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LP\Downloads\"/>
    </mc:Choice>
  </mc:AlternateContent>
  <xr:revisionPtr revIDLastSave="0" documentId="13_ncr:1_{47EA655B-A43E-4E55-8165-5DC38B3F22F6}" xr6:coauthVersionLast="47" xr6:coauthVersionMax="47" xr10:uidLastSave="{00000000-0000-0000-0000-000000000000}"/>
  <bookViews>
    <workbookView xWindow="-120" yWindow="-120" windowWidth="20730" windowHeight="11160" tabRatio="500" activeTab="27" xr2:uid="{00000000-000D-0000-FFFF-FFFF00000000}"/>
  </bookViews>
  <sheets>
    <sheet name="Summary" sheetId="1" r:id="rId1"/>
    <sheet name="Daily" sheetId="2" r:id="rId2"/>
    <sheet name="Weekly" sheetId="3" r:id="rId3"/>
    <sheet name="Monthly" sheetId="4" r:id="rId4"/>
    <sheet name="Province" sheetId="5" r:id="rId5"/>
    <sheet name="City" sheetId="6" r:id="rId6"/>
    <sheet name="Travel" sheetId="7" r:id="rId7"/>
    <sheet name="Statistics" sheetId="8" r:id="rId8"/>
    <sheet name="Regression_Excel" sheetId="9" r:id="rId9"/>
    <sheet name="Regression_Charts" sheetId="10" r:id="rId10"/>
    <sheet name="Logistic_Solver" sheetId="11" r:id="rId11"/>
    <sheet name="Clustering_Guide" sheetId="12" r:id="rId12"/>
    <sheet name="City_Agg" sheetId="13" r:id="rId13"/>
    <sheet name="KMeans_Data" sheetId="14" r:id="rId14"/>
    <sheet name="KMeans_City" sheetId="15" r:id="rId15"/>
    <sheet name="Elbow_Silhouette" sheetId="16" r:id="rId16"/>
    <sheet name="Elbow_Engine" sheetId="17" r:id="rId17"/>
    <sheet name="Distance_Matrix" sheetId="18" r:id="rId18"/>
    <sheet name="Province_Agg" sheetId="19" r:id="rId19"/>
    <sheet name="KMeans_Province" sheetId="20" r:id="rId20"/>
    <sheet name="Phase_Data" sheetId="21" r:id="rId21"/>
    <sheet name="KMeans_Phase" sheetId="22" r:id="rId22"/>
    <sheet name="Travel_Data" sheetId="23" r:id="rId23"/>
    <sheet name="KMeans_Travel" sheetId="24" r:id="rId24"/>
    <sheet name="Cluster_Charts" sheetId="25" r:id="rId25"/>
    <sheet name="Chart_Data" sheetId="26" r:id="rId26"/>
    <sheet name="Notes" sheetId="27" r:id="rId27"/>
    <sheet name="Data" sheetId="28" r:id="rId28"/>
  </sheets>
  <definedNames>
    <definedName name="_xlnm._FilterDatabase" localSheetId="27" hidden="1">Data!$A$1:$H$2797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97" i="28" l="1"/>
  <c r="H2796" i="28"/>
  <c r="H2795" i="28"/>
  <c r="H2794" i="28"/>
  <c r="H2793" i="28"/>
  <c r="H2792" i="28"/>
  <c r="H2791" i="28"/>
  <c r="H2790" i="28"/>
  <c r="H2789" i="28"/>
  <c r="H2788" i="28"/>
  <c r="H2787" i="28"/>
  <c r="H2786" i="28"/>
  <c r="H2785" i="28"/>
  <c r="H2784" i="28"/>
  <c r="H2783" i="28"/>
  <c r="H2782" i="28"/>
  <c r="H2781" i="28"/>
  <c r="H2780" i="28"/>
  <c r="H2779" i="28"/>
  <c r="H2778" i="28"/>
  <c r="H2777" i="28"/>
  <c r="H2776" i="28"/>
  <c r="H2775" i="28"/>
  <c r="H2774" i="28"/>
  <c r="H2773" i="28"/>
  <c r="H2772" i="28"/>
  <c r="H2771" i="28"/>
  <c r="H2770" i="28"/>
  <c r="H2769" i="28"/>
  <c r="H2768" i="28"/>
  <c r="H2767" i="28"/>
  <c r="H2766" i="28"/>
  <c r="H2765" i="28"/>
  <c r="H2764" i="28"/>
  <c r="H2763" i="28"/>
  <c r="H2762" i="28"/>
  <c r="H2761" i="28"/>
  <c r="H2760" i="28"/>
  <c r="H2759" i="28"/>
  <c r="H2758" i="28"/>
  <c r="H2757" i="28"/>
  <c r="H2756" i="28"/>
  <c r="H2755" i="28"/>
  <c r="H2754" i="28"/>
  <c r="H2753" i="28"/>
  <c r="H2752" i="28"/>
  <c r="H2751" i="28"/>
  <c r="H2750" i="28"/>
  <c r="H2749" i="28"/>
  <c r="H2748" i="28"/>
  <c r="H2747" i="28"/>
  <c r="H2746" i="28"/>
  <c r="H2745" i="28"/>
  <c r="H2744" i="28"/>
  <c r="H2743" i="28"/>
  <c r="H2742" i="28"/>
  <c r="H2741" i="28"/>
  <c r="H2740" i="28"/>
  <c r="H2739" i="28"/>
  <c r="H2738" i="28"/>
  <c r="H2737" i="28"/>
  <c r="H2736" i="28"/>
  <c r="H2735" i="28"/>
  <c r="H2734" i="28"/>
  <c r="H2733" i="28"/>
  <c r="H2732" i="28"/>
  <c r="H2731" i="28"/>
  <c r="H2730" i="28"/>
  <c r="H2729" i="28"/>
  <c r="H2728" i="28"/>
  <c r="H2727" i="28"/>
  <c r="H2726" i="28"/>
  <c r="H2725" i="28"/>
  <c r="H2724" i="28"/>
  <c r="H2723" i="28"/>
  <c r="H2722" i="28"/>
  <c r="H2721" i="28"/>
  <c r="H2720" i="28"/>
  <c r="H2719" i="28"/>
  <c r="H2718" i="28"/>
  <c r="H2717" i="28"/>
  <c r="H2716" i="28"/>
  <c r="H2715" i="28"/>
  <c r="H2714" i="28"/>
  <c r="H2713" i="28"/>
  <c r="H2712" i="28"/>
  <c r="H2711" i="28"/>
  <c r="H2710" i="28"/>
  <c r="H2709" i="28"/>
  <c r="H2708" i="28"/>
  <c r="H2707" i="28"/>
  <c r="H2706" i="28"/>
  <c r="H2705" i="28"/>
  <c r="H2704" i="28"/>
  <c r="H2703" i="28"/>
  <c r="H2702" i="28"/>
  <c r="H2701" i="28"/>
  <c r="H2700" i="28"/>
  <c r="H2699" i="28"/>
  <c r="H2698" i="28"/>
  <c r="H2697" i="28"/>
  <c r="H2696" i="28"/>
  <c r="H2695" i="28"/>
  <c r="H2694" i="28"/>
  <c r="H2693" i="28"/>
  <c r="H2692" i="28"/>
  <c r="H2691" i="28"/>
  <c r="H2690" i="28"/>
  <c r="H2689" i="28"/>
  <c r="H2688" i="28"/>
  <c r="H2687" i="28"/>
  <c r="H2686" i="28"/>
  <c r="H2685" i="28"/>
  <c r="H2684" i="28"/>
  <c r="H2683" i="28"/>
  <c r="H2682" i="28"/>
  <c r="H2681" i="28"/>
  <c r="H2680" i="28"/>
  <c r="H2679" i="28"/>
  <c r="H2678" i="28"/>
  <c r="H2677" i="28"/>
  <c r="H2676" i="28"/>
  <c r="H2675" i="28"/>
  <c r="H2674" i="28"/>
  <c r="H2673" i="28"/>
  <c r="H2672" i="28"/>
  <c r="H2671" i="28"/>
  <c r="H2670" i="28"/>
  <c r="H2669" i="28"/>
  <c r="H2668" i="28"/>
  <c r="H2667" i="28"/>
  <c r="H2666" i="28"/>
  <c r="H2665" i="28"/>
  <c r="H2664" i="28"/>
  <c r="H2663" i="28"/>
  <c r="H2662" i="28"/>
  <c r="H2661" i="28"/>
  <c r="H2660" i="28"/>
  <c r="H2659" i="28"/>
  <c r="H2658" i="28"/>
  <c r="H2657" i="28"/>
  <c r="H2656" i="28"/>
  <c r="H2655" i="28"/>
  <c r="H2654" i="28"/>
  <c r="H2653" i="28"/>
  <c r="H2652" i="28"/>
  <c r="H2651" i="28"/>
  <c r="H2650" i="28"/>
  <c r="H2649" i="28"/>
  <c r="H2648" i="28"/>
  <c r="H2647" i="28"/>
  <c r="H2646" i="28"/>
  <c r="H2645" i="28"/>
  <c r="H2644" i="28"/>
  <c r="H2643" i="28"/>
  <c r="H2642" i="28"/>
  <c r="H2641" i="28"/>
  <c r="H2640" i="28"/>
  <c r="H2639" i="28"/>
  <c r="H2638" i="28"/>
  <c r="H2637" i="28"/>
  <c r="H2636" i="28"/>
  <c r="H2635" i="28"/>
  <c r="H2634" i="28"/>
  <c r="H2633" i="28"/>
  <c r="H2632" i="28"/>
  <c r="H2631" i="28"/>
  <c r="H2630" i="28"/>
  <c r="H2629" i="28"/>
  <c r="H2628" i="28"/>
  <c r="H2627" i="28"/>
  <c r="H2626" i="28"/>
  <c r="H2625" i="28"/>
  <c r="H2624" i="28"/>
  <c r="H2623" i="28"/>
  <c r="H2622" i="28"/>
  <c r="H2621" i="28"/>
  <c r="H2620" i="28"/>
  <c r="H2619" i="28"/>
  <c r="H2618" i="28"/>
  <c r="H2617" i="28"/>
  <c r="H2616" i="28"/>
  <c r="H2615" i="28"/>
  <c r="H2614" i="28"/>
  <c r="H2613" i="28"/>
  <c r="H2612" i="28"/>
  <c r="H2611" i="28"/>
  <c r="H2610" i="28"/>
  <c r="H2609" i="28"/>
  <c r="H2608" i="28"/>
  <c r="H2607" i="28"/>
  <c r="H2606" i="28"/>
  <c r="H2605" i="28"/>
  <c r="H2604" i="28"/>
  <c r="H2603" i="28"/>
  <c r="H2602" i="28"/>
  <c r="H2601" i="28"/>
  <c r="H2600" i="28"/>
  <c r="H2599" i="28"/>
  <c r="H2598" i="28"/>
  <c r="H2597" i="28"/>
  <c r="H2596" i="28"/>
  <c r="H2595" i="28"/>
  <c r="H2594" i="28"/>
  <c r="H2593" i="28"/>
  <c r="H2592" i="28"/>
  <c r="H2591" i="28"/>
  <c r="H2590" i="28"/>
  <c r="H2589" i="28"/>
  <c r="H2588" i="28"/>
  <c r="H2587" i="28"/>
  <c r="H2586" i="28"/>
  <c r="H2585" i="28"/>
  <c r="H2584" i="28"/>
  <c r="H2583" i="28"/>
  <c r="H2582" i="28"/>
  <c r="H2581" i="28"/>
  <c r="H2580" i="28"/>
  <c r="H2579" i="28"/>
  <c r="H2578" i="28"/>
  <c r="H2577" i="28"/>
  <c r="H2576" i="28"/>
  <c r="H2575" i="28"/>
  <c r="H2574" i="28"/>
  <c r="H2573" i="28"/>
  <c r="H2572" i="28"/>
  <c r="H2571" i="28"/>
  <c r="H2570" i="28"/>
  <c r="H2569" i="28"/>
  <c r="H2568" i="28"/>
  <c r="H2567" i="28"/>
  <c r="H2566" i="28"/>
  <c r="H2565" i="28"/>
  <c r="H2564" i="28"/>
  <c r="H2563" i="28"/>
  <c r="H2562" i="28"/>
  <c r="H2561" i="28"/>
  <c r="H2560" i="28"/>
  <c r="H2559" i="28"/>
  <c r="H2558" i="28"/>
  <c r="H2557" i="28"/>
  <c r="H2556" i="28"/>
  <c r="H2555" i="28"/>
  <c r="H2554" i="28"/>
  <c r="H2553" i="28"/>
  <c r="H2552" i="28"/>
  <c r="H2551" i="28"/>
  <c r="H2550" i="28"/>
  <c r="H2549" i="28"/>
  <c r="H2548" i="28"/>
  <c r="H2547" i="28"/>
  <c r="H2546" i="28"/>
  <c r="H2545" i="28"/>
  <c r="H2544" i="28"/>
  <c r="H2543" i="28"/>
  <c r="H2542" i="28"/>
  <c r="H2541" i="28"/>
  <c r="H2540" i="28"/>
  <c r="H2539" i="28"/>
  <c r="H2538" i="28"/>
  <c r="H2537" i="28"/>
  <c r="H2536" i="28"/>
  <c r="H2535" i="28"/>
  <c r="H2534" i="28"/>
  <c r="H2533" i="28"/>
  <c r="H2532" i="28"/>
  <c r="H2531" i="28"/>
  <c r="H2530" i="28"/>
  <c r="H2529" i="28"/>
  <c r="H2528" i="28"/>
  <c r="H2527" i="28"/>
  <c r="H2526" i="28"/>
  <c r="H2525" i="28"/>
  <c r="H2524" i="28"/>
  <c r="H2523" i="28"/>
  <c r="H2522" i="28"/>
  <c r="H2521" i="28"/>
  <c r="H2520" i="28"/>
  <c r="H2519" i="28"/>
  <c r="H2518" i="28"/>
  <c r="H2517" i="28"/>
  <c r="H2516" i="28"/>
  <c r="H2515" i="28"/>
  <c r="H2514" i="28"/>
  <c r="H2513" i="28"/>
  <c r="H2512" i="28"/>
  <c r="H2511" i="28"/>
  <c r="H2510" i="28"/>
  <c r="H2509" i="28"/>
  <c r="H2508" i="28"/>
  <c r="H2507" i="28"/>
  <c r="H2506" i="28"/>
  <c r="H2505" i="28"/>
  <c r="H2504" i="28"/>
  <c r="H2503" i="28"/>
  <c r="H2502" i="28"/>
  <c r="H2501" i="28"/>
  <c r="H2500" i="28"/>
  <c r="H2499" i="28"/>
  <c r="H2498" i="28"/>
  <c r="H2497" i="28"/>
  <c r="H2496" i="28"/>
  <c r="H2495" i="28"/>
  <c r="H2494" i="28"/>
  <c r="H2493" i="28"/>
  <c r="H2492" i="28"/>
  <c r="H2491" i="28"/>
  <c r="H2490" i="28"/>
  <c r="H2489" i="28"/>
  <c r="H2488" i="28"/>
  <c r="H2487" i="28"/>
  <c r="H2486" i="28"/>
  <c r="H2485" i="28"/>
  <c r="H2484" i="28"/>
  <c r="H2483" i="28"/>
  <c r="H2482" i="28"/>
  <c r="H2481" i="28"/>
  <c r="H2480" i="28"/>
  <c r="H2479" i="28"/>
  <c r="H2478" i="28"/>
  <c r="H2477" i="28"/>
  <c r="H2476" i="28"/>
  <c r="H2475" i="28"/>
  <c r="H2474" i="28"/>
  <c r="H2473" i="28"/>
  <c r="H2472" i="28"/>
  <c r="H2471" i="28"/>
  <c r="H2470" i="28"/>
  <c r="H2469" i="28"/>
  <c r="H2468" i="28"/>
  <c r="H2467" i="28"/>
  <c r="H2466" i="28"/>
  <c r="H2465" i="28"/>
  <c r="H2464" i="28"/>
  <c r="H2463" i="28"/>
  <c r="H2462" i="28"/>
  <c r="H2461" i="28"/>
  <c r="H2460" i="28"/>
  <c r="H2459" i="28"/>
  <c r="H2458" i="28"/>
  <c r="H2457" i="28"/>
  <c r="H2456" i="28"/>
  <c r="H2455" i="28"/>
  <c r="H2454" i="28"/>
  <c r="H2453" i="28"/>
  <c r="H2452" i="28"/>
  <c r="H2451" i="28"/>
  <c r="H2450" i="28"/>
  <c r="H2449" i="28"/>
  <c r="H2448" i="28"/>
  <c r="H2447" i="28"/>
  <c r="H2446" i="28"/>
  <c r="H2445" i="28"/>
  <c r="H2444" i="28"/>
  <c r="H2443" i="28"/>
  <c r="H2442" i="28"/>
  <c r="H2441" i="28"/>
  <c r="H2440" i="28"/>
  <c r="H2439" i="28"/>
  <c r="H2438" i="28"/>
  <c r="H2437" i="28"/>
  <c r="H2436" i="28"/>
  <c r="H2435" i="28"/>
  <c r="H2434" i="28"/>
  <c r="H2433" i="28"/>
  <c r="H2432" i="28"/>
  <c r="H2431" i="28"/>
  <c r="H2430" i="28"/>
  <c r="H2429" i="28"/>
  <c r="H2428" i="28"/>
  <c r="H2427" i="28"/>
  <c r="H2426" i="28"/>
  <c r="H2425" i="28"/>
  <c r="H2424" i="28"/>
  <c r="H2423" i="28"/>
  <c r="H2422" i="28"/>
  <c r="H2421" i="28"/>
  <c r="H2420" i="28"/>
  <c r="H2419" i="28"/>
  <c r="H2418" i="28"/>
  <c r="H2417" i="28"/>
  <c r="H2416" i="28"/>
  <c r="H2415" i="28"/>
  <c r="H2414" i="28"/>
  <c r="H2413" i="28"/>
  <c r="H2412" i="28"/>
  <c r="H2411" i="28"/>
  <c r="H2410" i="28"/>
  <c r="H2409" i="28"/>
  <c r="H2408" i="28"/>
  <c r="H2407" i="28"/>
  <c r="H2406" i="28"/>
  <c r="H2405" i="28"/>
  <c r="H2404" i="28"/>
  <c r="H2403" i="28"/>
  <c r="H2402" i="28"/>
  <c r="H2401" i="28"/>
  <c r="H2400" i="28"/>
  <c r="H2399" i="28"/>
  <c r="H2398" i="28"/>
  <c r="H2397" i="28"/>
  <c r="H2396" i="28"/>
  <c r="H2395" i="28"/>
  <c r="H2394" i="28"/>
  <c r="H2393" i="28"/>
  <c r="H2392" i="28"/>
  <c r="H2391" i="28"/>
  <c r="H2390" i="28"/>
  <c r="H2389" i="28"/>
  <c r="H2388" i="28"/>
  <c r="H2387" i="28"/>
  <c r="H2386" i="28"/>
  <c r="H2385" i="28"/>
  <c r="H2384" i="28"/>
  <c r="H2383" i="28"/>
  <c r="H2382" i="28"/>
  <c r="H2381" i="28"/>
  <c r="H2380" i="28"/>
  <c r="H2379" i="28"/>
  <c r="H2378" i="28"/>
  <c r="H2377" i="28"/>
  <c r="H2376" i="28"/>
  <c r="H2375" i="28"/>
  <c r="H2374" i="28"/>
  <c r="H2373" i="28"/>
  <c r="H2372" i="28"/>
  <c r="H2371" i="28"/>
  <c r="H2370" i="28"/>
  <c r="H2369" i="28"/>
  <c r="H2368" i="28"/>
  <c r="H2367" i="28"/>
  <c r="H2366" i="28"/>
  <c r="H2365" i="28"/>
  <c r="H2364" i="28"/>
  <c r="H2363" i="28"/>
  <c r="H2362" i="28"/>
  <c r="H2361" i="28"/>
  <c r="H2360" i="28"/>
  <c r="H2359" i="28"/>
  <c r="H2358" i="28"/>
  <c r="H2357" i="28"/>
  <c r="H2356" i="28"/>
  <c r="H2355" i="28"/>
  <c r="H2354" i="28"/>
  <c r="H2353" i="28"/>
  <c r="H2352" i="28"/>
  <c r="H2351" i="28"/>
  <c r="H2350" i="28"/>
  <c r="H2349" i="28"/>
  <c r="H2348" i="28"/>
  <c r="H2347" i="28"/>
  <c r="H2346" i="28"/>
  <c r="H2345" i="28"/>
  <c r="H2344" i="28"/>
  <c r="H2343" i="28"/>
  <c r="H2342" i="28"/>
  <c r="H2341" i="28"/>
  <c r="H2340" i="28"/>
  <c r="H2339" i="28"/>
  <c r="H2338" i="28"/>
  <c r="H2337" i="28"/>
  <c r="H2336" i="28"/>
  <c r="H2335" i="28"/>
  <c r="H2334" i="28"/>
  <c r="H2333" i="28"/>
  <c r="H2332" i="28"/>
  <c r="H2331" i="28"/>
  <c r="H2330" i="28"/>
  <c r="H2329" i="28"/>
  <c r="H2328" i="28"/>
  <c r="H2327" i="28"/>
  <c r="H2326" i="28"/>
  <c r="H2325" i="28"/>
  <c r="H2324" i="28"/>
  <c r="H2323" i="28"/>
  <c r="H2322" i="28"/>
  <c r="H2321" i="28"/>
  <c r="H2320" i="28"/>
  <c r="H2319" i="28"/>
  <c r="H2318" i="28"/>
  <c r="H2317" i="28"/>
  <c r="H2316" i="28"/>
  <c r="H2315" i="28"/>
  <c r="H2314" i="28"/>
  <c r="H2313" i="28"/>
  <c r="H2312" i="28"/>
  <c r="H2311" i="28"/>
  <c r="H2310" i="28"/>
  <c r="H2309" i="28"/>
  <c r="H2308" i="28"/>
  <c r="H2307" i="28"/>
  <c r="H2306" i="28"/>
  <c r="H2305" i="28"/>
  <c r="H2304" i="28"/>
  <c r="H2303" i="28"/>
  <c r="H2302" i="28"/>
  <c r="H2301" i="28"/>
  <c r="H2300" i="28"/>
  <c r="H2299" i="28"/>
  <c r="H2298" i="28"/>
  <c r="H2297" i="28"/>
  <c r="H2296" i="28"/>
  <c r="H2295" i="28"/>
  <c r="H2294" i="28"/>
  <c r="H2293" i="28"/>
  <c r="H2292" i="28"/>
  <c r="H2291" i="28"/>
  <c r="H2290" i="28"/>
  <c r="H2289" i="28"/>
  <c r="H2288" i="28"/>
  <c r="H2287" i="28"/>
  <c r="H2286" i="28"/>
  <c r="H2285" i="28"/>
  <c r="H2284" i="28"/>
  <c r="H2283" i="28"/>
  <c r="H2282" i="28"/>
  <c r="H2281" i="28"/>
  <c r="H2280" i="28"/>
  <c r="H2279" i="28"/>
  <c r="H2278" i="28"/>
  <c r="H2277" i="28"/>
  <c r="H2276" i="28"/>
  <c r="H2275" i="28"/>
  <c r="H2274" i="28"/>
  <c r="H2273" i="28"/>
  <c r="H2272" i="28"/>
  <c r="H2271" i="28"/>
  <c r="H2270" i="28"/>
  <c r="H2269" i="28"/>
  <c r="H2268" i="28"/>
  <c r="H2267" i="28"/>
  <c r="H2266" i="28"/>
  <c r="H2265" i="28"/>
  <c r="H2264" i="28"/>
  <c r="H2263" i="28"/>
  <c r="H2262" i="28"/>
  <c r="H2261" i="28"/>
  <c r="H2260" i="28"/>
  <c r="H2259" i="28"/>
  <c r="H2258" i="28"/>
  <c r="H2257" i="28"/>
  <c r="H2256" i="28"/>
  <c r="H2255" i="28"/>
  <c r="H2254" i="28"/>
  <c r="H2253" i="28"/>
  <c r="H2252" i="28"/>
  <c r="H2251" i="28"/>
  <c r="H2250" i="28"/>
  <c r="H2249" i="28"/>
  <c r="H2248" i="28"/>
  <c r="H2247" i="28"/>
  <c r="H2246" i="28"/>
  <c r="H2245" i="28"/>
  <c r="H2244" i="28"/>
  <c r="H2243" i="28"/>
  <c r="H2242" i="28"/>
  <c r="H2241" i="28"/>
  <c r="H2240" i="28"/>
  <c r="H2239" i="28"/>
  <c r="H2238" i="28"/>
  <c r="H2237" i="28"/>
  <c r="H2236" i="28"/>
  <c r="H2235" i="28"/>
  <c r="H2234" i="28"/>
  <c r="H2233" i="28"/>
  <c r="H2232" i="28"/>
  <c r="H2231" i="28"/>
  <c r="H2230" i="28"/>
  <c r="H2229" i="28"/>
  <c r="H2228" i="28"/>
  <c r="H2227" i="28"/>
  <c r="H2226" i="28"/>
  <c r="H2225" i="28"/>
  <c r="H2224" i="28"/>
  <c r="H2223" i="28"/>
  <c r="H2222" i="28"/>
  <c r="H2221" i="28"/>
  <c r="H2220" i="28"/>
  <c r="H2219" i="28"/>
  <c r="H2218" i="28"/>
  <c r="H2217" i="28"/>
  <c r="H2216" i="28"/>
  <c r="H2215" i="28"/>
  <c r="H2214" i="28"/>
  <c r="H2213" i="28"/>
  <c r="H2212" i="28"/>
  <c r="H2211" i="28"/>
  <c r="H2210" i="28"/>
  <c r="H2209" i="28"/>
  <c r="H2208" i="28"/>
  <c r="H2207" i="28"/>
  <c r="H2206" i="28"/>
  <c r="H2205" i="28"/>
  <c r="H2204" i="28"/>
  <c r="H2203" i="28"/>
  <c r="H2202" i="28"/>
  <c r="H2201" i="28"/>
  <c r="H2200" i="28"/>
  <c r="H2199" i="28"/>
  <c r="H2198" i="28"/>
  <c r="H2197" i="28"/>
  <c r="H2196" i="28"/>
  <c r="H2195" i="28"/>
  <c r="H2194" i="28"/>
  <c r="H2193" i="28"/>
  <c r="H2192" i="28"/>
  <c r="H2191" i="28"/>
  <c r="H2190" i="28"/>
  <c r="H2189" i="28"/>
  <c r="H2188" i="28"/>
  <c r="H2187" i="28"/>
  <c r="H2186" i="28"/>
  <c r="H2185" i="28"/>
  <c r="H2184" i="28"/>
  <c r="H2183" i="28"/>
  <c r="H2182" i="28"/>
  <c r="H2181" i="28"/>
  <c r="H2180" i="28"/>
  <c r="H2179" i="28"/>
  <c r="H2178" i="28"/>
  <c r="H2177" i="28"/>
  <c r="H2176" i="28"/>
  <c r="H2175" i="28"/>
  <c r="H2174" i="28"/>
  <c r="H2173" i="28"/>
  <c r="H2172" i="28"/>
  <c r="H2171" i="28"/>
  <c r="H2170" i="28"/>
  <c r="H2169" i="28"/>
  <c r="H2168" i="28"/>
  <c r="H2167" i="28"/>
  <c r="H2166" i="28"/>
  <c r="H2165" i="28"/>
  <c r="H2164" i="28"/>
  <c r="H2163" i="28"/>
  <c r="H2162" i="28"/>
  <c r="H2161" i="28"/>
  <c r="H2160" i="28"/>
  <c r="H2159" i="28"/>
  <c r="H2158" i="28"/>
  <c r="H2157" i="28"/>
  <c r="H2156" i="28"/>
  <c r="H2155" i="28"/>
  <c r="H2154" i="28"/>
  <c r="H2153" i="28"/>
  <c r="H2152" i="28"/>
  <c r="H2151" i="28"/>
  <c r="H2150" i="28"/>
  <c r="H2149" i="28"/>
  <c r="H2148" i="28"/>
  <c r="H2147" i="28"/>
  <c r="H2146" i="28"/>
  <c r="H2145" i="28"/>
  <c r="H2144" i="28"/>
  <c r="H2143" i="28"/>
  <c r="H2142" i="28"/>
  <c r="H2141" i="28"/>
  <c r="H2140" i="28"/>
  <c r="H2139" i="28"/>
  <c r="H2138" i="28"/>
  <c r="H2137" i="28"/>
  <c r="H2136" i="28"/>
  <c r="H2135" i="28"/>
  <c r="H2134" i="28"/>
  <c r="H2133" i="28"/>
  <c r="H2132" i="28"/>
  <c r="H2131" i="28"/>
  <c r="H2130" i="28"/>
  <c r="H2129" i="28"/>
  <c r="H2128" i="28"/>
  <c r="H2127" i="28"/>
  <c r="H2126" i="28"/>
  <c r="H2125" i="28"/>
  <c r="H2124" i="28"/>
  <c r="H2123" i="28"/>
  <c r="H2122" i="28"/>
  <c r="H2121" i="28"/>
  <c r="H2120" i="28"/>
  <c r="H2119" i="28"/>
  <c r="H2118" i="28"/>
  <c r="H2117" i="28"/>
  <c r="H2116" i="28"/>
  <c r="H2115" i="28"/>
  <c r="H2114" i="28"/>
  <c r="H2113" i="28"/>
  <c r="H2112" i="28"/>
  <c r="H2111" i="28"/>
  <c r="H2110" i="28"/>
  <c r="H2109" i="28"/>
  <c r="H2108" i="28"/>
  <c r="H2107" i="28"/>
  <c r="H2106" i="28"/>
  <c r="H2105" i="28"/>
  <c r="H2104" i="28"/>
  <c r="H2103" i="28"/>
  <c r="H2102" i="28"/>
  <c r="H2101" i="28"/>
  <c r="H2100" i="28"/>
  <c r="H2099" i="28"/>
  <c r="H2098" i="28"/>
  <c r="H2097" i="28"/>
  <c r="H2096" i="28"/>
  <c r="H2095" i="28"/>
  <c r="H2094" i="28"/>
  <c r="H2093" i="28"/>
  <c r="H2092" i="28"/>
  <c r="H2091" i="28"/>
  <c r="H2090" i="28"/>
  <c r="H2089" i="28"/>
  <c r="H2088" i="28"/>
  <c r="H2087" i="28"/>
  <c r="H2086" i="28"/>
  <c r="H2085" i="28"/>
  <c r="H2084" i="28"/>
  <c r="H2083" i="28"/>
  <c r="H2082" i="28"/>
  <c r="H2081" i="28"/>
  <c r="H2080" i="28"/>
  <c r="H2079" i="28"/>
  <c r="H2078" i="28"/>
  <c r="H2077" i="28"/>
  <c r="H2076" i="28"/>
  <c r="H2075" i="28"/>
  <c r="H2074" i="28"/>
  <c r="H2073" i="28"/>
  <c r="H2072" i="28"/>
  <c r="H2071" i="28"/>
  <c r="H2070" i="28"/>
  <c r="H2069" i="28"/>
  <c r="H2068" i="28"/>
  <c r="H2067" i="28"/>
  <c r="H2066" i="28"/>
  <c r="H2065" i="28"/>
  <c r="H2064" i="28"/>
  <c r="H2063" i="28"/>
  <c r="H2062" i="28"/>
  <c r="H2061" i="28"/>
  <c r="H2060" i="28"/>
  <c r="H2059" i="28"/>
  <c r="H2058" i="28"/>
  <c r="H2057" i="28"/>
  <c r="H2056" i="28"/>
  <c r="H2055" i="28"/>
  <c r="H2054" i="28"/>
  <c r="H2053" i="28"/>
  <c r="H2052" i="28"/>
  <c r="H2051" i="28"/>
  <c r="H2050" i="28"/>
  <c r="H2049" i="28"/>
  <c r="H2048" i="28"/>
  <c r="H2047" i="28"/>
  <c r="H2046" i="28"/>
  <c r="H2045" i="28"/>
  <c r="H2044" i="28"/>
  <c r="H2043" i="28"/>
  <c r="H2042" i="28"/>
  <c r="H2041" i="28"/>
  <c r="H2040" i="28"/>
  <c r="H2039" i="28"/>
  <c r="H2038" i="28"/>
  <c r="H2037" i="28"/>
  <c r="H2036" i="28"/>
  <c r="H2035" i="28"/>
  <c r="H2034" i="28"/>
  <c r="H2033" i="28"/>
  <c r="H2032" i="28"/>
  <c r="H2031" i="28"/>
  <c r="H2030" i="28"/>
  <c r="H2029" i="28"/>
  <c r="H2028" i="28"/>
  <c r="H2027" i="28"/>
  <c r="H2026" i="28"/>
  <c r="H2025" i="28"/>
  <c r="H2024" i="28"/>
  <c r="H2023" i="28"/>
  <c r="H2022" i="28"/>
  <c r="H2021" i="28"/>
  <c r="H2020" i="28"/>
  <c r="H2019" i="28"/>
  <c r="H2018" i="28"/>
  <c r="H2017" i="28"/>
  <c r="H2016" i="28"/>
  <c r="H2015" i="28"/>
  <c r="H2014" i="28"/>
  <c r="H2013" i="28"/>
  <c r="H2012" i="28"/>
  <c r="H2011" i="28"/>
  <c r="H2010" i="28"/>
  <c r="H2009" i="28"/>
  <c r="H2008" i="28"/>
  <c r="H2007" i="28"/>
  <c r="H2006" i="28"/>
  <c r="H2005" i="28"/>
  <c r="H2004" i="28"/>
  <c r="H2003" i="28"/>
  <c r="H2002" i="28"/>
  <c r="H2001" i="28"/>
  <c r="H2000" i="28"/>
  <c r="H1999" i="28"/>
  <c r="H1998" i="28"/>
  <c r="H1997" i="28"/>
  <c r="H1996" i="28"/>
  <c r="H1995" i="28"/>
  <c r="H1994" i="28"/>
  <c r="H1993" i="28"/>
  <c r="H1992" i="28"/>
  <c r="H1991" i="28"/>
  <c r="H1990" i="28"/>
  <c r="H1989" i="28"/>
  <c r="H1988" i="28"/>
  <c r="H1987" i="28"/>
  <c r="H1986" i="28"/>
  <c r="H1985" i="28"/>
  <c r="H1984" i="28"/>
  <c r="H1983" i="28"/>
  <c r="H1982" i="28"/>
  <c r="H1981" i="28"/>
  <c r="H1980" i="28"/>
  <c r="H1979" i="28"/>
  <c r="H1978" i="28"/>
  <c r="H1977" i="28"/>
  <c r="H1976" i="28"/>
  <c r="H1975" i="28"/>
  <c r="H1974" i="28"/>
  <c r="H1973" i="28"/>
  <c r="H1972" i="28"/>
  <c r="H1971" i="28"/>
  <c r="H1970" i="28"/>
  <c r="H1969" i="28"/>
  <c r="H1968" i="28"/>
  <c r="H1967" i="28"/>
  <c r="H1966" i="28"/>
  <c r="H1965" i="28"/>
  <c r="H1964" i="28"/>
  <c r="H1963" i="28"/>
  <c r="H1962" i="28"/>
  <c r="H1961" i="28"/>
  <c r="H1960" i="28"/>
  <c r="H1959" i="28"/>
  <c r="H1958" i="28"/>
  <c r="H1957" i="28"/>
  <c r="H1956" i="28"/>
  <c r="H1955" i="28"/>
  <c r="H1954" i="28"/>
  <c r="H1953" i="28"/>
  <c r="H1952" i="28"/>
  <c r="H1951" i="28"/>
  <c r="H1950" i="28"/>
  <c r="H1949" i="28"/>
  <c r="H1948" i="28"/>
  <c r="H1947" i="28"/>
  <c r="H1946" i="28"/>
  <c r="H1945" i="28"/>
  <c r="H1944" i="28"/>
  <c r="H1943" i="28"/>
  <c r="H1942" i="28"/>
  <c r="H1941" i="28"/>
  <c r="H1940" i="28"/>
  <c r="H1939" i="28"/>
  <c r="H1938" i="28"/>
  <c r="H1937" i="28"/>
  <c r="H1936" i="28"/>
  <c r="H1935" i="28"/>
  <c r="H1934" i="28"/>
  <c r="H1933" i="28"/>
  <c r="H1932" i="28"/>
  <c r="H1931" i="28"/>
  <c r="H1930" i="28"/>
  <c r="H1929" i="28"/>
  <c r="H1928" i="28"/>
  <c r="H1927" i="28"/>
  <c r="H1926" i="28"/>
  <c r="H1925" i="28"/>
  <c r="H1924" i="28"/>
  <c r="H1923" i="28"/>
  <c r="H1922" i="28"/>
  <c r="H1921" i="28"/>
  <c r="H1920" i="28"/>
  <c r="H1919" i="28"/>
  <c r="H1918" i="28"/>
  <c r="H1917" i="28"/>
  <c r="H1916" i="28"/>
  <c r="H1915" i="28"/>
  <c r="H1914" i="28"/>
  <c r="H1913" i="28"/>
  <c r="H1912" i="28"/>
  <c r="H1911" i="28"/>
  <c r="H1910" i="28"/>
  <c r="H1909" i="28"/>
  <c r="H1908" i="28"/>
  <c r="H1907" i="28"/>
  <c r="H1906" i="28"/>
  <c r="H1905" i="28"/>
  <c r="H1904" i="28"/>
  <c r="H1903" i="28"/>
  <c r="H1902" i="28"/>
  <c r="H1901" i="28"/>
  <c r="H1900" i="28"/>
  <c r="H1899" i="28"/>
  <c r="H1898" i="28"/>
  <c r="H1897" i="28"/>
  <c r="H1896" i="28"/>
  <c r="H1895" i="28"/>
  <c r="H1894" i="28"/>
  <c r="H1893" i="28"/>
  <c r="H1892" i="28"/>
  <c r="H1891" i="28"/>
  <c r="H1890" i="28"/>
  <c r="H1889" i="28"/>
  <c r="H1888" i="28"/>
  <c r="H1887" i="28"/>
  <c r="H1886" i="28"/>
  <c r="H1885" i="28"/>
  <c r="H1884" i="28"/>
  <c r="H1883" i="28"/>
  <c r="H1882" i="28"/>
  <c r="H1881" i="28"/>
  <c r="H1880" i="28"/>
  <c r="H1879" i="28"/>
  <c r="H1878" i="28"/>
  <c r="H1877" i="28"/>
  <c r="H1876" i="28"/>
  <c r="H1875" i="28"/>
  <c r="H1874" i="28"/>
  <c r="H1873" i="28"/>
  <c r="H1872" i="28"/>
  <c r="H1871" i="28"/>
  <c r="H1870" i="28"/>
  <c r="H1869" i="28"/>
  <c r="H1868" i="28"/>
  <c r="H1867" i="28"/>
  <c r="H1866" i="28"/>
  <c r="H1865" i="28"/>
  <c r="H1864" i="28"/>
  <c r="H1863" i="28"/>
  <c r="H1862" i="28"/>
  <c r="H1861" i="28"/>
  <c r="H1860" i="28"/>
  <c r="H1859" i="28"/>
  <c r="H1858" i="28"/>
  <c r="H1857" i="28"/>
  <c r="H1856" i="28"/>
  <c r="H1855" i="28"/>
  <c r="H1854" i="28"/>
  <c r="H1853" i="28"/>
  <c r="H1852" i="28"/>
  <c r="H1851" i="28"/>
  <c r="H1850" i="28"/>
  <c r="H1849" i="28"/>
  <c r="H1848" i="28"/>
  <c r="H1847" i="28"/>
  <c r="H1846" i="28"/>
  <c r="H1845" i="28"/>
  <c r="H1844" i="28"/>
  <c r="H1843" i="28"/>
  <c r="H1842" i="28"/>
  <c r="H1841" i="28"/>
  <c r="H1840" i="28"/>
  <c r="H1839" i="28"/>
  <c r="H1838" i="28"/>
  <c r="H1837" i="28"/>
  <c r="H1836" i="28"/>
  <c r="H1835" i="28"/>
  <c r="H1834" i="28"/>
  <c r="H1833" i="28"/>
  <c r="H1832" i="28"/>
  <c r="H1831" i="28"/>
  <c r="H1830" i="28"/>
  <c r="H1829" i="28"/>
  <c r="H1828" i="28"/>
  <c r="H1827" i="28"/>
  <c r="H1826" i="28"/>
  <c r="H1825" i="28"/>
  <c r="H1824" i="28"/>
  <c r="H1823" i="28"/>
  <c r="H1822" i="28"/>
  <c r="H1821" i="28"/>
  <c r="H1820" i="28"/>
  <c r="H1819" i="28"/>
  <c r="H1818" i="28"/>
  <c r="H1817" i="28"/>
  <c r="H1816" i="28"/>
  <c r="H1815" i="28"/>
  <c r="H1814" i="28"/>
  <c r="H1813" i="28"/>
  <c r="H1812" i="28"/>
  <c r="H1811" i="28"/>
  <c r="H1810" i="28"/>
  <c r="H1809" i="28"/>
  <c r="H1808" i="28"/>
  <c r="H1807" i="28"/>
  <c r="H1806" i="28"/>
  <c r="H1805" i="28"/>
  <c r="H1804" i="28"/>
  <c r="H1803" i="28"/>
  <c r="H1802" i="28"/>
  <c r="H1801" i="28"/>
  <c r="H1800" i="28"/>
  <c r="H1799" i="28"/>
  <c r="H1798" i="28"/>
  <c r="H1797" i="28"/>
  <c r="H1796" i="28"/>
  <c r="H1795" i="28"/>
  <c r="H1794" i="28"/>
  <c r="H1793" i="28"/>
  <c r="H1792" i="28"/>
  <c r="H1791" i="28"/>
  <c r="H1790" i="28"/>
  <c r="H1789" i="28"/>
  <c r="H1788" i="28"/>
  <c r="H1787" i="28"/>
  <c r="H1786" i="28"/>
  <c r="H1785" i="28"/>
  <c r="H1784" i="28"/>
  <c r="H1783" i="28"/>
  <c r="H1782" i="28"/>
  <c r="H1781" i="28"/>
  <c r="H1780" i="28"/>
  <c r="H1779" i="28"/>
  <c r="H1778" i="28"/>
  <c r="H1777" i="28"/>
  <c r="H1776" i="28"/>
  <c r="H1775" i="28"/>
  <c r="H1774" i="28"/>
  <c r="H1773" i="28"/>
  <c r="H1772" i="28"/>
  <c r="H1771" i="28"/>
  <c r="H1770" i="28"/>
  <c r="H1769" i="28"/>
  <c r="H1768" i="28"/>
  <c r="H1767" i="28"/>
  <c r="H1766" i="28"/>
  <c r="H1765" i="28"/>
  <c r="H1764" i="28"/>
  <c r="H1763" i="28"/>
  <c r="H1762" i="28"/>
  <c r="H1761" i="28"/>
  <c r="H1760" i="28"/>
  <c r="H1759" i="28"/>
  <c r="H1758" i="28"/>
  <c r="H1757" i="28"/>
  <c r="H1756" i="28"/>
  <c r="H1755" i="28"/>
  <c r="H1754" i="28"/>
  <c r="H1753" i="28"/>
  <c r="H1752" i="28"/>
  <c r="H1751" i="28"/>
  <c r="H1750" i="28"/>
  <c r="H1749" i="28"/>
  <c r="H1748" i="28"/>
  <c r="H1747" i="28"/>
  <c r="H1746" i="28"/>
  <c r="H1745" i="28"/>
  <c r="H1744" i="28"/>
  <c r="H1743" i="28"/>
  <c r="H1742" i="28"/>
  <c r="H1741" i="28"/>
  <c r="H1740" i="28"/>
  <c r="H1739" i="28"/>
  <c r="H1738" i="28"/>
  <c r="H1737" i="28"/>
  <c r="H1736" i="28"/>
  <c r="H1735" i="28"/>
  <c r="H1734" i="28"/>
  <c r="H1733" i="28"/>
  <c r="H1732" i="28"/>
  <c r="H1731" i="28"/>
  <c r="H1730" i="28"/>
  <c r="H1729" i="28"/>
  <c r="H1728" i="28"/>
  <c r="H1727" i="28"/>
  <c r="H1726" i="28"/>
  <c r="H1725" i="28"/>
  <c r="H1724" i="28"/>
  <c r="H1723" i="28"/>
  <c r="H1722" i="28"/>
  <c r="H1721" i="28"/>
  <c r="H1720" i="28"/>
  <c r="H1719" i="28"/>
  <c r="H1718" i="28"/>
  <c r="H1717" i="28"/>
  <c r="H1716" i="28"/>
  <c r="H1715" i="28"/>
  <c r="H1714" i="28"/>
  <c r="H1713" i="28"/>
  <c r="H1712" i="28"/>
  <c r="H1711" i="28"/>
  <c r="H1710" i="28"/>
  <c r="H1709" i="28"/>
  <c r="H1708" i="28"/>
  <c r="H1707" i="28"/>
  <c r="H1706" i="28"/>
  <c r="H1705" i="28"/>
  <c r="H1704" i="28"/>
  <c r="H1703" i="28"/>
  <c r="H1702" i="28"/>
  <c r="H1701" i="28"/>
  <c r="H1700" i="28"/>
  <c r="H1699" i="28"/>
  <c r="H1698" i="28"/>
  <c r="H1697" i="28"/>
  <c r="H1696" i="28"/>
  <c r="H1695" i="28"/>
  <c r="H1694" i="28"/>
  <c r="H1693" i="28"/>
  <c r="H1692" i="28"/>
  <c r="H1691" i="28"/>
  <c r="H1690" i="28"/>
  <c r="H1689" i="28"/>
  <c r="H1688" i="28"/>
  <c r="H1687" i="28"/>
  <c r="H1686" i="28"/>
  <c r="H1685" i="28"/>
  <c r="H1684" i="28"/>
  <c r="H1683" i="28"/>
  <c r="H1682" i="28"/>
  <c r="H1681" i="28"/>
  <c r="H1680" i="28"/>
  <c r="H1679" i="28"/>
  <c r="H1678" i="28"/>
  <c r="H1677" i="28"/>
  <c r="H1676" i="28"/>
  <c r="H1675" i="28"/>
  <c r="H1674" i="28"/>
  <c r="H1673" i="28"/>
  <c r="H1672" i="28"/>
  <c r="H1671" i="28"/>
  <c r="H1670" i="28"/>
  <c r="H1669" i="28"/>
  <c r="H1668" i="28"/>
  <c r="H1667" i="28"/>
  <c r="H1666" i="28"/>
  <c r="H1665" i="28"/>
  <c r="H1664" i="28"/>
  <c r="H1663" i="28"/>
  <c r="H1662" i="28"/>
  <c r="H1661" i="28"/>
  <c r="H1660" i="28"/>
  <c r="H1659" i="28"/>
  <c r="H1658" i="28"/>
  <c r="H1657" i="28"/>
  <c r="H1656" i="28"/>
  <c r="H1655" i="28"/>
  <c r="H1654" i="28"/>
  <c r="H1653" i="28"/>
  <c r="H1652" i="28"/>
  <c r="H1651" i="28"/>
  <c r="H1650" i="28"/>
  <c r="H1649" i="28"/>
  <c r="H1648" i="28"/>
  <c r="H1647" i="28"/>
  <c r="H1646" i="28"/>
  <c r="H1645" i="28"/>
  <c r="H1644" i="28"/>
  <c r="H1643" i="28"/>
  <c r="H1642" i="28"/>
  <c r="H1641" i="28"/>
  <c r="H1640" i="28"/>
  <c r="H1639" i="28"/>
  <c r="H1638" i="28"/>
  <c r="H1637" i="28"/>
  <c r="H1636" i="28"/>
  <c r="H1635" i="28"/>
  <c r="H1634" i="28"/>
  <c r="H1633" i="28"/>
  <c r="H1632" i="28"/>
  <c r="H1631" i="28"/>
  <c r="H1630" i="28"/>
  <c r="H1629" i="28"/>
  <c r="H1628" i="28"/>
  <c r="H1627" i="28"/>
  <c r="H1626" i="28"/>
  <c r="H1625" i="28"/>
  <c r="H1624" i="28"/>
  <c r="H1623" i="28"/>
  <c r="H1622" i="28"/>
  <c r="H1621" i="28"/>
  <c r="H1620" i="28"/>
  <c r="H1619" i="28"/>
  <c r="H1618" i="28"/>
  <c r="H1617" i="28"/>
  <c r="H1616" i="28"/>
  <c r="H1615" i="28"/>
  <c r="H1614" i="28"/>
  <c r="H1613" i="28"/>
  <c r="H1612" i="28"/>
  <c r="H1611" i="28"/>
  <c r="H1610" i="28"/>
  <c r="H1609" i="28"/>
  <c r="H1608" i="28"/>
  <c r="H1607" i="28"/>
  <c r="H1606" i="28"/>
  <c r="H1605" i="28"/>
  <c r="H1604" i="28"/>
  <c r="H1603" i="28"/>
  <c r="H1602" i="28"/>
  <c r="H1601" i="28"/>
  <c r="H1600" i="28"/>
  <c r="H1599" i="28"/>
  <c r="H1598" i="28"/>
  <c r="H1597" i="28"/>
  <c r="H1596" i="28"/>
  <c r="H1595" i="28"/>
  <c r="H1594" i="28"/>
  <c r="H1593" i="28"/>
  <c r="H1592" i="28"/>
  <c r="H1591" i="28"/>
  <c r="H1590" i="28"/>
  <c r="H1589" i="28"/>
  <c r="H1588" i="28"/>
  <c r="H1587" i="28"/>
  <c r="H1586" i="28"/>
  <c r="H1585" i="28"/>
  <c r="H1584" i="28"/>
  <c r="H1583" i="28"/>
  <c r="H1582" i="28"/>
  <c r="H1581" i="28"/>
  <c r="H1580" i="28"/>
  <c r="H1579" i="28"/>
  <c r="H1578" i="28"/>
  <c r="H1577" i="28"/>
  <c r="H1576" i="28"/>
  <c r="H1575" i="28"/>
  <c r="H1574" i="28"/>
  <c r="H1573" i="28"/>
  <c r="H1572" i="28"/>
  <c r="H1571" i="28"/>
  <c r="H1570" i="28"/>
  <c r="H1569" i="28"/>
  <c r="H1568" i="28"/>
  <c r="H1567" i="28"/>
  <c r="H1566" i="28"/>
  <c r="H1565" i="28"/>
  <c r="H1564" i="28"/>
  <c r="H1563" i="28"/>
  <c r="H1562" i="28"/>
  <c r="H1561" i="28"/>
  <c r="H1560" i="28"/>
  <c r="H1559" i="28"/>
  <c r="H1558" i="28"/>
  <c r="H1557" i="28"/>
  <c r="H1556" i="28"/>
  <c r="H1555" i="28"/>
  <c r="H1554" i="28"/>
  <c r="H1553" i="28"/>
  <c r="H1552" i="28"/>
  <c r="H1551" i="28"/>
  <c r="H1550" i="28"/>
  <c r="H1549" i="28"/>
  <c r="H1548" i="28"/>
  <c r="H1547" i="28"/>
  <c r="H1546" i="28"/>
  <c r="H1545" i="28"/>
  <c r="H1544" i="28"/>
  <c r="H1543" i="28"/>
  <c r="H1542" i="28"/>
  <c r="H1541" i="28"/>
  <c r="H1540" i="28"/>
  <c r="H1539" i="28"/>
  <c r="H1538" i="28"/>
  <c r="H1537" i="28"/>
  <c r="H1536" i="28"/>
  <c r="H1535" i="28"/>
  <c r="H1534" i="28"/>
  <c r="H1533" i="28"/>
  <c r="H1532" i="28"/>
  <c r="H1531" i="28"/>
  <c r="H1530" i="28"/>
  <c r="H1529" i="28"/>
  <c r="H1528" i="28"/>
  <c r="H1527" i="28"/>
  <c r="H1526" i="28"/>
  <c r="H1525" i="28"/>
  <c r="H1524" i="28"/>
  <c r="H1523" i="28"/>
  <c r="H1522" i="28"/>
  <c r="H1521" i="28"/>
  <c r="H1520" i="28"/>
  <c r="H1519" i="28"/>
  <c r="H1518" i="28"/>
  <c r="H1517" i="28"/>
  <c r="H1516" i="28"/>
  <c r="H1515" i="28"/>
  <c r="H1514" i="28"/>
  <c r="H1513" i="28"/>
  <c r="H1512" i="28"/>
  <c r="H1511" i="28"/>
  <c r="H1510" i="28"/>
  <c r="H1509" i="28"/>
  <c r="H1508" i="28"/>
  <c r="H1507" i="28"/>
  <c r="H1506" i="28"/>
  <c r="H1505" i="28"/>
  <c r="H1504" i="28"/>
  <c r="H1503" i="28"/>
  <c r="H1502" i="28"/>
  <c r="H1501" i="28"/>
  <c r="H1500" i="28"/>
  <c r="H1499" i="28"/>
  <c r="H1498" i="28"/>
  <c r="H1497" i="28"/>
  <c r="H1496" i="28"/>
  <c r="H1495" i="28"/>
  <c r="H1494" i="28"/>
  <c r="H1493" i="28"/>
  <c r="H1492" i="28"/>
  <c r="H1491" i="28"/>
  <c r="H1490" i="28"/>
  <c r="H1489" i="28"/>
  <c r="H1488" i="28"/>
  <c r="H1487" i="28"/>
  <c r="H1486" i="28"/>
  <c r="H1485" i="28"/>
  <c r="H1484" i="28"/>
  <c r="H1483" i="28"/>
  <c r="H1482" i="28"/>
  <c r="H1481" i="28"/>
  <c r="H1480" i="28"/>
  <c r="H1479" i="28"/>
  <c r="H1478" i="28"/>
  <c r="H1477" i="28"/>
  <c r="H1476" i="28"/>
  <c r="H1475" i="28"/>
  <c r="H1474" i="28"/>
  <c r="H1473" i="28"/>
  <c r="H1472" i="28"/>
  <c r="H1471" i="28"/>
  <c r="H1470" i="28"/>
  <c r="H1469" i="28"/>
  <c r="H1468" i="28"/>
  <c r="H1467" i="28"/>
  <c r="H1466" i="28"/>
  <c r="H1465" i="28"/>
  <c r="H1464" i="28"/>
  <c r="H1463" i="28"/>
  <c r="H1462" i="28"/>
  <c r="H1461" i="28"/>
  <c r="H1460" i="28"/>
  <c r="H1459" i="28"/>
  <c r="H1458" i="28"/>
  <c r="H1457" i="28"/>
  <c r="H1456" i="28"/>
  <c r="H1455" i="28"/>
  <c r="H1454" i="28"/>
  <c r="H1453" i="28"/>
  <c r="H1452" i="28"/>
  <c r="H1451" i="28"/>
  <c r="H1450" i="28"/>
  <c r="H1449" i="28"/>
  <c r="H1448" i="28"/>
  <c r="H1447" i="28"/>
  <c r="H1446" i="28"/>
  <c r="H1445" i="28"/>
  <c r="H1444" i="28"/>
  <c r="H1443" i="28"/>
  <c r="H1442" i="28"/>
  <c r="H1441" i="28"/>
  <c r="H1440" i="28"/>
  <c r="H1439" i="28"/>
  <c r="H1438" i="28"/>
  <c r="H1437" i="28"/>
  <c r="H1436" i="28"/>
  <c r="H1435" i="28"/>
  <c r="H1434" i="28"/>
  <c r="H1433" i="28"/>
  <c r="H1432" i="28"/>
  <c r="H1431" i="28"/>
  <c r="H1430" i="28"/>
  <c r="H1429" i="28"/>
  <c r="H1428" i="28"/>
  <c r="H1427" i="28"/>
  <c r="H1426" i="28"/>
  <c r="H1425" i="28"/>
  <c r="H1424" i="28"/>
  <c r="H1423" i="28"/>
  <c r="H1422" i="28"/>
  <c r="H1421" i="28"/>
  <c r="H1420" i="28"/>
  <c r="H1419" i="28"/>
  <c r="H1418" i="28"/>
  <c r="H1417" i="28"/>
  <c r="H1416" i="28"/>
  <c r="H1415" i="28"/>
  <c r="H1414" i="28"/>
  <c r="H1413" i="28"/>
  <c r="H1412" i="28"/>
  <c r="H1411" i="28"/>
  <c r="H1410" i="28"/>
  <c r="H1409" i="28"/>
  <c r="H1408" i="28"/>
  <c r="H1407" i="28"/>
  <c r="H1406" i="28"/>
  <c r="H1405" i="28"/>
  <c r="H1404" i="28"/>
  <c r="H1403" i="28"/>
  <c r="H1402" i="28"/>
  <c r="H1401" i="28"/>
  <c r="H1400" i="28"/>
  <c r="H1399" i="28"/>
  <c r="H1398" i="28"/>
  <c r="H1397" i="28"/>
  <c r="H1396" i="28"/>
  <c r="H1395" i="28"/>
  <c r="H1394" i="28"/>
  <c r="H1393" i="28"/>
  <c r="H1392" i="28"/>
  <c r="H1391" i="28"/>
  <c r="H1390" i="28"/>
  <c r="H1389" i="28"/>
  <c r="H1388" i="28"/>
  <c r="H1387" i="28"/>
  <c r="H1386" i="28"/>
  <c r="H1385" i="28"/>
  <c r="H1384" i="28"/>
  <c r="H1383" i="28"/>
  <c r="H1382" i="28"/>
  <c r="H1381" i="28"/>
  <c r="H1380" i="28"/>
  <c r="H1379" i="28"/>
  <c r="H1378" i="28"/>
  <c r="H1377" i="28"/>
  <c r="H1376" i="28"/>
  <c r="H1375" i="28"/>
  <c r="H1374" i="28"/>
  <c r="H1373" i="28"/>
  <c r="H1372" i="28"/>
  <c r="H1371" i="28"/>
  <c r="H1370" i="28"/>
  <c r="H1369" i="28"/>
  <c r="H1368" i="28"/>
  <c r="H1367" i="28"/>
  <c r="H1366" i="28"/>
  <c r="H1365" i="28"/>
  <c r="H1364" i="28"/>
  <c r="H1363" i="28"/>
  <c r="H1362" i="28"/>
  <c r="H1361" i="28"/>
  <c r="H1360" i="28"/>
  <c r="H1359" i="28"/>
  <c r="H1358" i="28"/>
  <c r="H1357" i="28"/>
  <c r="H1356" i="28"/>
  <c r="H1355" i="28"/>
  <c r="H1354" i="28"/>
  <c r="H1353" i="28"/>
  <c r="H1352" i="28"/>
  <c r="H1351" i="28"/>
  <c r="H1350" i="28"/>
  <c r="H1349" i="28"/>
  <c r="H1348" i="28"/>
  <c r="H1347" i="28"/>
  <c r="H1346" i="28"/>
  <c r="H1345" i="28"/>
  <c r="H1344" i="28"/>
  <c r="H1343" i="28"/>
  <c r="H1342" i="28"/>
  <c r="H1341" i="28"/>
  <c r="H1340" i="28"/>
  <c r="H1339" i="28"/>
  <c r="H1338" i="28"/>
  <c r="H1337" i="28"/>
  <c r="H1336" i="28"/>
  <c r="H1335" i="28"/>
  <c r="H1334" i="28"/>
  <c r="H1333" i="28"/>
  <c r="H1332" i="28"/>
  <c r="H1331" i="28"/>
  <c r="H1330" i="28"/>
  <c r="H1329" i="28"/>
  <c r="H1328" i="28"/>
  <c r="H1327" i="28"/>
  <c r="H1326" i="28"/>
  <c r="H1325" i="28"/>
  <c r="H1324" i="28"/>
  <c r="H1323" i="28"/>
  <c r="H1322" i="28"/>
  <c r="H1321" i="28"/>
  <c r="H1320" i="28"/>
  <c r="H1319" i="28"/>
  <c r="H1318" i="28"/>
  <c r="H1317" i="28"/>
  <c r="H1316" i="28"/>
  <c r="H1315" i="28"/>
  <c r="H1314" i="28"/>
  <c r="H1313" i="28"/>
  <c r="H1312" i="28"/>
  <c r="H1311" i="28"/>
  <c r="H1310" i="28"/>
  <c r="H1309" i="28"/>
  <c r="H1308" i="28"/>
  <c r="H1307" i="28"/>
  <c r="H1306" i="28"/>
  <c r="H1305" i="28"/>
  <c r="H1304" i="28"/>
  <c r="H1303" i="28"/>
  <c r="H1302" i="28"/>
  <c r="H1301" i="28"/>
  <c r="H1300" i="28"/>
  <c r="H1299" i="28"/>
  <c r="H1298" i="28"/>
  <c r="H1297" i="28"/>
  <c r="H1296" i="28"/>
  <c r="H1295" i="28"/>
  <c r="H1294" i="28"/>
  <c r="H1293" i="28"/>
  <c r="H1292" i="28"/>
  <c r="H1291" i="28"/>
  <c r="H1290" i="28"/>
  <c r="H1289" i="28"/>
  <c r="H1288" i="28"/>
  <c r="H1287" i="28"/>
  <c r="H1286" i="28"/>
  <c r="H1285" i="28"/>
  <c r="H1284" i="28"/>
  <c r="H1283" i="28"/>
  <c r="H1282" i="28"/>
  <c r="H1281" i="28"/>
  <c r="H1280" i="28"/>
  <c r="H1279" i="28"/>
  <c r="H1278" i="28"/>
  <c r="H1277" i="28"/>
  <c r="H1276" i="28"/>
  <c r="H1275" i="28"/>
  <c r="H1274" i="28"/>
  <c r="H1273" i="28"/>
  <c r="H1272" i="28"/>
  <c r="H1271" i="28"/>
  <c r="H1270" i="28"/>
  <c r="H1269" i="28"/>
  <c r="H1268" i="28"/>
  <c r="H1267" i="28"/>
  <c r="H1266" i="28"/>
  <c r="H1265" i="28"/>
  <c r="H1264" i="28"/>
  <c r="H1263" i="28"/>
  <c r="H1262" i="28"/>
  <c r="H1261" i="28"/>
  <c r="H1260" i="28"/>
  <c r="H1259" i="28"/>
  <c r="H1258" i="28"/>
  <c r="H1257" i="28"/>
  <c r="H1256" i="28"/>
  <c r="H1255" i="28"/>
  <c r="H1254" i="28"/>
  <c r="H1253" i="28"/>
  <c r="H1252" i="28"/>
  <c r="H1251" i="28"/>
  <c r="H1250" i="28"/>
  <c r="H1249" i="28"/>
  <c r="H1248" i="28"/>
  <c r="H1247" i="28"/>
  <c r="H1246" i="28"/>
  <c r="H1245" i="28"/>
  <c r="H1244" i="28"/>
  <c r="H1243" i="28"/>
  <c r="H1242" i="28"/>
  <c r="H1241" i="28"/>
  <c r="H1240" i="28"/>
  <c r="H1239" i="28"/>
  <c r="H1238" i="28"/>
  <c r="H1237" i="28"/>
  <c r="H1236" i="28"/>
  <c r="H1235" i="28"/>
  <c r="H1234" i="28"/>
  <c r="H1233" i="28"/>
  <c r="H1232" i="28"/>
  <c r="H1231" i="28"/>
  <c r="H1230" i="28"/>
  <c r="H1229" i="28"/>
  <c r="H1228" i="28"/>
  <c r="H1227" i="28"/>
  <c r="H1226" i="28"/>
  <c r="H1225" i="28"/>
  <c r="H1224" i="28"/>
  <c r="H1223" i="28"/>
  <c r="H1222" i="28"/>
  <c r="H1221" i="28"/>
  <c r="H1220" i="28"/>
  <c r="H1219" i="28"/>
  <c r="H1218" i="28"/>
  <c r="H1217" i="28"/>
  <c r="H1216" i="28"/>
  <c r="H1215" i="28"/>
  <c r="H1214" i="28"/>
  <c r="H1213" i="28"/>
  <c r="H1212" i="28"/>
  <c r="H1211" i="28"/>
  <c r="H1210" i="28"/>
  <c r="H1209" i="28"/>
  <c r="H1208" i="28"/>
  <c r="H1207" i="28"/>
  <c r="H1206" i="28"/>
  <c r="H1205" i="28"/>
  <c r="H1204" i="28"/>
  <c r="H1203" i="28"/>
  <c r="H1202" i="28"/>
  <c r="H1201" i="28"/>
  <c r="H1200" i="28"/>
  <c r="H1199" i="28"/>
  <c r="H1198" i="28"/>
  <c r="H1197" i="28"/>
  <c r="H1196" i="28"/>
  <c r="H1195" i="28"/>
  <c r="H1194" i="28"/>
  <c r="H1193" i="28"/>
  <c r="H1192" i="28"/>
  <c r="H1191" i="28"/>
  <c r="H1190" i="28"/>
  <c r="H1189" i="28"/>
  <c r="H1188" i="28"/>
  <c r="H1187" i="28"/>
  <c r="H1186" i="28"/>
  <c r="H1185" i="28"/>
  <c r="H1184" i="28"/>
  <c r="H1183" i="28"/>
  <c r="H1182" i="28"/>
  <c r="H1181" i="28"/>
  <c r="H1180" i="28"/>
  <c r="H1179" i="28"/>
  <c r="H1178" i="28"/>
  <c r="H1177" i="28"/>
  <c r="H1176" i="28"/>
  <c r="H1175" i="28"/>
  <c r="H1174" i="28"/>
  <c r="H1173" i="28"/>
  <c r="H1172" i="28"/>
  <c r="H1171" i="28"/>
  <c r="H1170" i="28"/>
  <c r="H1169" i="28"/>
  <c r="H1168" i="28"/>
  <c r="H1167" i="28"/>
  <c r="H1166" i="28"/>
  <c r="H1165" i="28"/>
  <c r="H1164" i="28"/>
  <c r="H1163" i="28"/>
  <c r="H1162" i="28"/>
  <c r="H1161" i="28"/>
  <c r="H1160" i="28"/>
  <c r="H1159" i="28"/>
  <c r="H1158" i="28"/>
  <c r="H1157" i="28"/>
  <c r="H1156" i="28"/>
  <c r="H1155" i="28"/>
  <c r="H1154" i="28"/>
  <c r="H1153" i="28"/>
  <c r="H1152" i="28"/>
  <c r="H1151" i="28"/>
  <c r="H1150" i="28"/>
  <c r="H1149" i="28"/>
  <c r="H1148" i="28"/>
  <c r="H1147" i="28"/>
  <c r="H1146" i="28"/>
  <c r="H1145" i="28"/>
  <c r="H1144" i="28"/>
  <c r="H1143" i="28"/>
  <c r="H1142" i="28"/>
  <c r="H1141" i="28"/>
  <c r="H1140" i="28"/>
  <c r="H1139" i="28"/>
  <c r="H1138" i="28"/>
  <c r="H1137" i="28"/>
  <c r="H1136" i="28"/>
  <c r="H1135" i="28"/>
  <c r="H1134" i="28"/>
  <c r="H1133" i="28"/>
  <c r="H1132" i="28"/>
  <c r="H1131" i="28"/>
  <c r="H1130" i="28"/>
  <c r="H1129" i="28"/>
  <c r="H1128" i="28"/>
  <c r="H1127" i="28"/>
  <c r="H1126" i="28"/>
  <c r="H1125" i="28"/>
  <c r="H1124" i="28"/>
  <c r="H1123" i="28"/>
  <c r="H1122" i="28"/>
  <c r="H1121" i="28"/>
  <c r="H1120" i="28"/>
  <c r="H1119" i="28"/>
  <c r="H1118" i="28"/>
  <c r="H1117" i="28"/>
  <c r="H1116" i="28"/>
  <c r="H1115" i="28"/>
  <c r="H1114" i="28"/>
  <c r="H1113" i="28"/>
  <c r="H1112" i="28"/>
  <c r="H1111" i="28"/>
  <c r="H1110" i="28"/>
  <c r="H1109" i="28"/>
  <c r="H1108" i="28"/>
  <c r="H1107" i="28"/>
  <c r="H1106" i="28"/>
  <c r="H1105" i="28"/>
  <c r="H1104" i="28"/>
  <c r="H1103" i="28"/>
  <c r="H1102" i="28"/>
  <c r="H1101" i="28"/>
  <c r="H1100" i="28"/>
  <c r="H1099" i="28"/>
  <c r="H1098" i="28"/>
  <c r="H1097" i="28"/>
  <c r="H1096" i="28"/>
  <c r="H1095" i="28"/>
  <c r="H1094" i="28"/>
  <c r="H1093" i="28"/>
  <c r="H1092" i="28"/>
  <c r="H1091" i="28"/>
  <c r="H1090" i="28"/>
  <c r="H1089" i="28"/>
  <c r="H1088" i="28"/>
  <c r="H1087" i="28"/>
  <c r="H1086" i="28"/>
  <c r="H1085" i="28"/>
  <c r="H1084" i="28"/>
  <c r="H1083" i="28"/>
  <c r="H1082" i="28"/>
  <c r="H1081" i="28"/>
  <c r="H1080" i="28"/>
  <c r="H1079" i="28"/>
  <c r="H1078" i="28"/>
  <c r="H1077" i="28"/>
  <c r="H1076" i="28"/>
  <c r="H1075" i="28"/>
  <c r="H1074" i="28"/>
  <c r="H1073" i="28"/>
  <c r="H1072" i="28"/>
  <c r="H1071" i="28"/>
  <c r="H1070" i="28"/>
  <c r="H1069" i="28"/>
  <c r="H1068" i="28"/>
  <c r="H1067" i="28"/>
  <c r="H1066" i="28"/>
  <c r="H1065" i="28"/>
  <c r="H1064" i="28"/>
  <c r="H1063" i="28"/>
  <c r="H1062" i="28"/>
  <c r="H1061" i="28"/>
  <c r="H1060" i="28"/>
  <c r="H1059" i="28"/>
  <c r="H1058" i="28"/>
  <c r="H1057" i="28"/>
  <c r="H1056" i="28"/>
  <c r="H1055" i="28"/>
  <c r="H1054" i="28"/>
  <c r="H1053" i="28"/>
  <c r="H1052" i="28"/>
  <c r="H1051" i="28"/>
  <c r="H1050" i="28"/>
  <c r="H1049" i="28"/>
  <c r="H1048" i="28"/>
  <c r="H1047" i="28"/>
  <c r="H1046" i="28"/>
  <c r="H1045" i="28"/>
  <c r="H1044" i="28"/>
  <c r="H1043" i="28"/>
  <c r="H1042" i="28"/>
  <c r="H1041" i="28"/>
  <c r="H1040" i="28"/>
  <c r="H1039" i="28"/>
  <c r="H1038" i="28"/>
  <c r="H1037" i="28"/>
  <c r="H1036" i="28"/>
  <c r="H1035" i="28"/>
  <c r="H1034" i="28"/>
  <c r="H1033" i="28"/>
  <c r="H1032" i="28"/>
  <c r="H1031" i="28"/>
  <c r="H1030" i="28"/>
  <c r="H1029" i="28"/>
  <c r="H1028" i="28"/>
  <c r="H1027" i="28"/>
  <c r="H1026" i="28"/>
  <c r="H1025" i="28"/>
  <c r="H1024" i="28"/>
  <c r="H1023" i="28"/>
  <c r="H1022" i="28"/>
  <c r="H1021" i="28"/>
  <c r="H1020" i="28"/>
  <c r="H1019" i="28"/>
  <c r="H1018" i="28"/>
  <c r="H1017" i="28"/>
  <c r="H1016" i="28"/>
  <c r="H1015" i="28"/>
  <c r="H1014" i="28"/>
  <c r="H1013" i="28"/>
  <c r="H1012" i="28"/>
  <c r="H1011" i="28"/>
  <c r="H1010" i="28"/>
  <c r="H1009" i="28"/>
  <c r="H1008" i="28"/>
  <c r="H1007" i="28"/>
  <c r="H1006" i="28"/>
  <c r="H1005" i="28"/>
  <c r="H1004" i="28"/>
  <c r="H1003" i="28"/>
  <c r="H1002" i="28"/>
  <c r="H1001" i="28"/>
  <c r="H1000" i="28"/>
  <c r="H999" i="28"/>
  <c r="H998" i="28"/>
  <c r="H997" i="28"/>
  <c r="H996" i="28"/>
  <c r="H995" i="28"/>
  <c r="H994" i="28"/>
  <c r="H993" i="28"/>
  <c r="H992" i="28"/>
  <c r="H991" i="28"/>
  <c r="H990" i="28"/>
  <c r="H989" i="28"/>
  <c r="H988" i="28"/>
  <c r="H987" i="28"/>
  <c r="H986" i="28"/>
  <c r="H985" i="28"/>
  <c r="H984" i="28"/>
  <c r="H983" i="28"/>
  <c r="H982" i="28"/>
  <c r="H981" i="28"/>
  <c r="H980" i="28"/>
  <c r="H979" i="28"/>
  <c r="H978" i="28"/>
  <c r="H977" i="28"/>
  <c r="H976" i="28"/>
  <c r="H975" i="28"/>
  <c r="H974" i="28"/>
  <c r="H973" i="28"/>
  <c r="H972" i="28"/>
  <c r="H971" i="28"/>
  <c r="H970" i="28"/>
  <c r="H969" i="28"/>
  <c r="H968" i="28"/>
  <c r="H967" i="28"/>
  <c r="H966" i="28"/>
  <c r="H965" i="28"/>
  <c r="H964" i="28"/>
  <c r="H963" i="28"/>
  <c r="H962" i="28"/>
  <c r="H961" i="28"/>
  <c r="H960" i="28"/>
  <c r="H959" i="28"/>
  <c r="H958" i="28"/>
  <c r="H957" i="28"/>
  <c r="H956" i="28"/>
  <c r="H955" i="28"/>
  <c r="H954" i="28"/>
  <c r="H953" i="28"/>
  <c r="H952" i="28"/>
  <c r="H951" i="28"/>
  <c r="H950" i="28"/>
  <c r="H949" i="28"/>
  <c r="H948" i="28"/>
  <c r="H947" i="28"/>
  <c r="H946" i="28"/>
  <c r="H945" i="28"/>
  <c r="H944" i="28"/>
  <c r="H943" i="28"/>
  <c r="H942" i="28"/>
  <c r="H941" i="28"/>
  <c r="H940" i="28"/>
  <c r="H939" i="28"/>
  <c r="H938" i="28"/>
  <c r="H937" i="28"/>
  <c r="H936" i="28"/>
  <c r="H935" i="28"/>
  <c r="H934" i="28"/>
  <c r="H933" i="28"/>
  <c r="H932" i="28"/>
  <c r="H931" i="28"/>
  <c r="H930" i="28"/>
  <c r="H929" i="28"/>
  <c r="H928" i="28"/>
  <c r="H927" i="28"/>
  <c r="H926" i="28"/>
  <c r="H925" i="28"/>
  <c r="H924" i="28"/>
  <c r="H923" i="28"/>
  <c r="H922" i="28"/>
  <c r="H921" i="28"/>
  <c r="H920" i="28"/>
  <c r="H919" i="28"/>
  <c r="H918" i="28"/>
  <c r="H917" i="28"/>
  <c r="H916" i="28"/>
  <c r="H915" i="28"/>
  <c r="H914" i="28"/>
  <c r="H913" i="28"/>
  <c r="H912" i="28"/>
  <c r="H911" i="28"/>
  <c r="H910" i="28"/>
  <c r="H909" i="28"/>
  <c r="H908" i="28"/>
  <c r="H907" i="28"/>
  <c r="H906" i="28"/>
  <c r="H905" i="28"/>
  <c r="H904" i="28"/>
  <c r="H903" i="28"/>
  <c r="H902" i="28"/>
  <c r="H901" i="28"/>
  <c r="H900" i="28"/>
  <c r="H899" i="28"/>
  <c r="H898" i="28"/>
  <c r="H897" i="28"/>
  <c r="H896" i="28"/>
  <c r="H895" i="28"/>
  <c r="H894" i="28"/>
  <c r="H893" i="28"/>
  <c r="H892" i="28"/>
  <c r="H891" i="28"/>
  <c r="H890" i="28"/>
  <c r="H889" i="28"/>
  <c r="H888" i="28"/>
  <c r="H887" i="28"/>
  <c r="H886" i="28"/>
  <c r="H885" i="28"/>
  <c r="H884" i="28"/>
  <c r="H883" i="28"/>
  <c r="H882" i="28"/>
  <c r="H881" i="28"/>
  <c r="H880" i="28"/>
  <c r="H879" i="28"/>
  <c r="H878" i="28"/>
  <c r="H877" i="28"/>
  <c r="H876" i="28"/>
  <c r="H875" i="28"/>
  <c r="H874" i="28"/>
  <c r="H873" i="28"/>
  <c r="H872" i="28"/>
  <c r="H871" i="28"/>
  <c r="H870" i="28"/>
  <c r="H869" i="28"/>
  <c r="H868" i="28"/>
  <c r="H867" i="28"/>
  <c r="H866" i="28"/>
  <c r="H865" i="28"/>
  <c r="H864" i="28"/>
  <c r="H863" i="28"/>
  <c r="H862" i="28"/>
  <c r="H861" i="28"/>
  <c r="H860" i="28"/>
  <c r="H859" i="28"/>
  <c r="H858" i="28"/>
  <c r="H857" i="28"/>
  <c r="H856" i="28"/>
  <c r="H855" i="28"/>
  <c r="H854" i="28"/>
  <c r="H853" i="28"/>
  <c r="H852" i="28"/>
  <c r="H851" i="28"/>
  <c r="H850" i="28"/>
  <c r="H849" i="28"/>
  <c r="H848" i="28"/>
  <c r="H847" i="28"/>
  <c r="H846" i="28"/>
  <c r="H845" i="28"/>
  <c r="H844" i="28"/>
  <c r="H843" i="28"/>
  <c r="H842" i="28"/>
  <c r="H841" i="28"/>
  <c r="H840" i="28"/>
  <c r="H839" i="28"/>
  <c r="H838" i="28"/>
  <c r="H837" i="28"/>
  <c r="H836" i="28"/>
  <c r="H835" i="28"/>
  <c r="H834" i="28"/>
  <c r="H833" i="28"/>
  <c r="H832" i="28"/>
  <c r="H831" i="28"/>
  <c r="H830" i="28"/>
  <c r="H829" i="28"/>
  <c r="H828" i="28"/>
  <c r="H827" i="28"/>
  <c r="H826" i="28"/>
  <c r="H825" i="28"/>
  <c r="H824" i="28"/>
  <c r="H823" i="28"/>
  <c r="H822" i="28"/>
  <c r="H821" i="28"/>
  <c r="H820" i="28"/>
  <c r="H819" i="28"/>
  <c r="H818" i="28"/>
  <c r="H817" i="28"/>
  <c r="H816" i="28"/>
  <c r="H815" i="28"/>
  <c r="H814" i="28"/>
  <c r="H813" i="28"/>
  <c r="H812" i="28"/>
  <c r="H811" i="28"/>
  <c r="H810" i="28"/>
  <c r="H809" i="28"/>
  <c r="H808" i="28"/>
  <c r="H807" i="28"/>
  <c r="H806" i="28"/>
  <c r="H805" i="28"/>
  <c r="H804" i="28"/>
  <c r="H803" i="28"/>
  <c r="H802" i="28"/>
  <c r="H801" i="28"/>
  <c r="H800" i="28"/>
  <c r="H799" i="28"/>
  <c r="H798" i="28"/>
  <c r="H797" i="28"/>
  <c r="H796" i="28"/>
  <c r="H795" i="28"/>
  <c r="H794" i="28"/>
  <c r="H793" i="28"/>
  <c r="H792" i="28"/>
  <c r="H791" i="28"/>
  <c r="H790" i="28"/>
  <c r="H789" i="28"/>
  <c r="H788" i="28"/>
  <c r="H787" i="28"/>
  <c r="H786" i="28"/>
  <c r="H785" i="28"/>
  <c r="H784" i="28"/>
  <c r="H783" i="28"/>
  <c r="H782" i="28"/>
  <c r="H781" i="28"/>
  <c r="H780" i="28"/>
  <c r="H779" i="28"/>
  <c r="H778" i="28"/>
  <c r="H777" i="28"/>
  <c r="H776" i="28"/>
  <c r="H775" i="28"/>
  <c r="H774" i="28"/>
  <c r="H773" i="28"/>
  <c r="H772" i="28"/>
  <c r="H771" i="28"/>
  <c r="H770" i="28"/>
  <c r="H769" i="28"/>
  <c r="H768" i="28"/>
  <c r="H767" i="28"/>
  <c r="H766" i="28"/>
  <c r="H765" i="28"/>
  <c r="H764" i="28"/>
  <c r="H763" i="28"/>
  <c r="H762" i="28"/>
  <c r="H761" i="28"/>
  <c r="H760" i="28"/>
  <c r="H759" i="28"/>
  <c r="H758" i="28"/>
  <c r="H757" i="28"/>
  <c r="H756" i="28"/>
  <c r="H755" i="28"/>
  <c r="H754" i="28"/>
  <c r="H753" i="28"/>
  <c r="H752" i="28"/>
  <c r="H751" i="28"/>
  <c r="H750" i="28"/>
  <c r="H749" i="28"/>
  <c r="H748" i="28"/>
  <c r="H747" i="28"/>
  <c r="H746" i="28"/>
  <c r="H745" i="28"/>
  <c r="H744" i="28"/>
  <c r="H743" i="28"/>
  <c r="H742" i="28"/>
  <c r="H741" i="28"/>
  <c r="H740" i="28"/>
  <c r="H739" i="28"/>
  <c r="H738" i="28"/>
  <c r="H737" i="28"/>
  <c r="H736" i="28"/>
  <c r="H735" i="28"/>
  <c r="H734" i="28"/>
  <c r="H733" i="28"/>
  <c r="H732" i="28"/>
  <c r="H731" i="28"/>
  <c r="H730" i="28"/>
  <c r="H729" i="28"/>
  <c r="H728" i="28"/>
  <c r="H727" i="28"/>
  <c r="H726" i="28"/>
  <c r="H725" i="28"/>
  <c r="H724" i="28"/>
  <c r="H723" i="28"/>
  <c r="H722" i="28"/>
  <c r="H721" i="28"/>
  <c r="H720" i="28"/>
  <c r="H719" i="28"/>
  <c r="H718" i="28"/>
  <c r="H717" i="28"/>
  <c r="H716" i="28"/>
  <c r="H715" i="28"/>
  <c r="H714" i="28"/>
  <c r="H713" i="28"/>
  <c r="H712" i="28"/>
  <c r="H711" i="28"/>
  <c r="H710" i="28"/>
  <c r="H709" i="28"/>
  <c r="H708" i="28"/>
  <c r="H707" i="28"/>
  <c r="H706" i="28"/>
  <c r="H705" i="28"/>
  <c r="H704" i="28"/>
  <c r="H703" i="28"/>
  <c r="H702" i="28"/>
  <c r="H701" i="28"/>
  <c r="H700" i="28"/>
  <c r="H699" i="28"/>
  <c r="H698" i="28"/>
  <c r="H697" i="28"/>
  <c r="H696" i="28"/>
  <c r="H695" i="28"/>
  <c r="H694" i="28"/>
  <c r="H693" i="28"/>
  <c r="H692" i="28"/>
  <c r="H691" i="28"/>
  <c r="H690" i="28"/>
  <c r="H689" i="28"/>
  <c r="H688" i="28"/>
  <c r="H687" i="28"/>
  <c r="H686" i="28"/>
  <c r="H685" i="28"/>
  <c r="H684" i="28"/>
  <c r="H683" i="28"/>
  <c r="H682" i="28"/>
  <c r="H681" i="28"/>
  <c r="H680" i="28"/>
  <c r="H679" i="28"/>
  <c r="H678" i="28"/>
  <c r="H677" i="28"/>
  <c r="H676" i="28"/>
  <c r="H675" i="28"/>
  <c r="H674" i="28"/>
  <c r="H673" i="28"/>
  <c r="H672" i="28"/>
  <c r="H671" i="28"/>
  <c r="H670" i="28"/>
  <c r="H669" i="28"/>
  <c r="H668" i="28"/>
  <c r="H667" i="28"/>
  <c r="H666" i="28"/>
  <c r="H665" i="28"/>
  <c r="H664" i="28"/>
  <c r="H663" i="28"/>
  <c r="H662" i="28"/>
  <c r="H661" i="28"/>
  <c r="H660" i="28"/>
  <c r="H659" i="28"/>
  <c r="H658" i="28"/>
  <c r="H657" i="28"/>
  <c r="H656" i="28"/>
  <c r="H655" i="28"/>
  <c r="H654" i="28"/>
  <c r="H653" i="28"/>
  <c r="H652" i="28"/>
  <c r="H651" i="28"/>
  <c r="H650" i="28"/>
  <c r="H649" i="28"/>
  <c r="H648" i="28"/>
  <c r="H647" i="28"/>
  <c r="H646" i="28"/>
  <c r="H645" i="28"/>
  <c r="H644" i="28"/>
  <c r="H643" i="28"/>
  <c r="H642" i="28"/>
  <c r="H641" i="28"/>
  <c r="H640" i="28"/>
  <c r="H639" i="28"/>
  <c r="H638" i="28"/>
  <c r="H637" i="28"/>
  <c r="H636" i="28"/>
  <c r="H635" i="28"/>
  <c r="H634" i="28"/>
  <c r="H633" i="28"/>
  <c r="H632" i="28"/>
  <c r="H631" i="28"/>
  <c r="H630" i="28"/>
  <c r="H629" i="28"/>
  <c r="H628" i="28"/>
  <c r="H627" i="28"/>
  <c r="H626" i="28"/>
  <c r="H625" i="28"/>
  <c r="H624" i="28"/>
  <c r="H623" i="28"/>
  <c r="H622" i="28"/>
  <c r="H621" i="28"/>
  <c r="H620" i="28"/>
  <c r="H619" i="28"/>
  <c r="H618" i="28"/>
  <c r="H617" i="28"/>
  <c r="H616" i="28"/>
  <c r="H615" i="28"/>
  <c r="H614" i="28"/>
  <c r="H613" i="28"/>
  <c r="H612" i="28"/>
  <c r="H611" i="28"/>
  <c r="H610" i="28"/>
  <c r="H609" i="28"/>
  <c r="H608" i="28"/>
  <c r="H607" i="28"/>
  <c r="H606" i="28"/>
  <c r="H605" i="28"/>
  <c r="H604" i="28"/>
  <c r="H603" i="28"/>
  <c r="H602" i="28"/>
  <c r="H601" i="28"/>
  <c r="H600" i="28"/>
  <c r="H599" i="28"/>
  <c r="H598" i="28"/>
  <c r="H597" i="28"/>
  <c r="H596" i="28"/>
  <c r="H595" i="28"/>
  <c r="H594" i="28"/>
  <c r="H593" i="28"/>
  <c r="H592" i="28"/>
  <c r="H591" i="28"/>
  <c r="H590" i="28"/>
  <c r="H589" i="28"/>
  <c r="H588" i="28"/>
  <c r="H587" i="28"/>
  <c r="H586" i="28"/>
  <c r="H585" i="28"/>
  <c r="H584" i="28"/>
  <c r="H583" i="28"/>
  <c r="H582" i="28"/>
  <c r="H581" i="28"/>
  <c r="H580" i="28"/>
  <c r="H579" i="28"/>
  <c r="H578" i="28"/>
  <c r="H577" i="28"/>
  <c r="H576" i="28"/>
  <c r="H575" i="28"/>
  <c r="H574" i="28"/>
  <c r="H573" i="28"/>
  <c r="H572" i="28"/>
  <c r="H571" i="28"/>
  <c r="H570" i="28"/>
  <c r="H569" i="28"/>
  <c r="H568" i="28"/>
  <c r="H567" i="28"/>
  <c r="H566" i="28"/>
  <c r="H565" i="28"/>
  <c r="H564" i="28"/>
  <c r="H563" i="28"/>
  <c r="H562" i="28"/>
  <c r="H561" i="28"/>
  <c r="H560" i="28"/>
  <c r="H559" i="28"/>
  <c r="H558" i="28"/>
  <c r="H557" i="28"/>
  <c r="H556" i="28"/>
  <c r="H555" i="28"/>
  <c r="H554" i="28"/>
  <c r="H553" i="28"/>
  <c r="H552" i="28"/>
  <c r="H551" i="28"/>
  <c r="H550" i="28"/>
  <c r="H549" i="28"/>
  <c r="H548" i="28"/>
  <c r="H547" i="28"/>
  <c r="H546" i="28"/>
  <c r="H545" i="28"/>
  <c r="H544" i="28"/>
  <c r="H543" i="28"/>
  <c r="H542" i="28"/>
  <c r="H541" i="28"/>
  <c r="H540" i="28"/>
  <c r="H539" i="28"/>
  <c r="H538" i="28"/>
  <c r="H537" i="28"/>
  <c r="H536" i="28"/>
  <c r="H535" i="28"/>
  <c r="H534" i="28"/>
  <c r="H533" i="28"/>
  <c r="H532" i="28"/>
  <c r="H531" i="28"/>
  <c r="H530" i="28"/>
  <c r="H529" i="28"/>
  <c r="H528" i="28"/>
  <c r="H527" i="28"/>
  <c r="H526" i="28"/>
  <c r="H525" i="28"/>
  <c r="H524" i="28"/>
  <c r="H523" i="28"/>
  <c r="H522" i="28"/>
  <c r="H521" i="28"/>
  <c r="H520" i="28"/>
  <c r="H519" i="28"/>
  <c r="H518" i="28"/>
  <c r="H517" i="28"/>
  <c r="H516" i="28"/>
  <c r="H515" i="28"/>
  <c r="H514" i="28"/>
  <c r="H513" i="28"/>
  <c r="H512" i="28"/>
  <c r="H511" i="28"/>
  <c r="H510" i="28"/>
  <c r="H509" i="28"/>
  <c r="H508" i="28"/>
  <c r="H507" i="28"/>
  <c r="H506" i="28"/>
  <c r="H505" i="28"/>
  <c r="H504" i="28"/>
  <c r="H503" i="28"/>
  <c r="H502" i="28"/>
  <c r="H501" i="28"/>
  <c r="H500" i="28"/>
  <c r="H499" i="28"/>
  <c r="H498" i="28"/>
  <c r="H497" i="28"/>
  <c r="H496" i="28"/>
  <c r="H495" i="28"/>
  <c r="H494" i="28"/>
  <c r="H493" i="28"/>
  <c r="H492" i="28"/>
  <c r="H491" i="28"/>
  <c r="H490" i="28"/>
  <c r="H489" i="28"/>
  <c r="H488" i="28"/>
  <c r="H487" i="28"/>
  <c r="H486" i="28"/>
  <c r="H485" i="28"/>
  <c r="H484" i="28"/>
  <c r="H483" i="28"/>
  <c r="H482" i="28"/>
  <c r="H481" i="28"/>
  <c r="H480" i="28"/>
  <c r="H479" i="28"/>
  <c r="H478" i="28"/>
  <c r="H477" i="28"/>
  <c r="H476" i="28"/>
  <c r="H475" i="28"/>
  <c r="H474" i="28"/>
  <c r="H473" i="28"/>
  <c r="H472" i="28"/>
  <c r="H471" i="28"/>
  <c r="H470" i="28"/>
  <c r="H469" i="28"/>
  <c r="H468" i="28"/>
  <c r="H467" i="28"/>
  <c r="H466" i="28"/>
  <c r="H465" i="28"/>
  <c r="H464" i="28"/>
  <c r="H463" i="28"/>
  <c r="H462" i="28"/>
  <c r="H461" i="28"/>
  <c r="H460" i="28"/>
  <c r="H459" i="28"/>
  <c r="H458" i="28"/>
  <c r="H457" i="28"/>
  <c r="H456" i="28"/>
  <c r="H455" i="28"/>
  <c r="H454" i="28"/>
  <c r="H453" i="28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C10" i="27"/>
  <c r="D8" i="27"/>
  <c r="C8" i="27"/>
  <c r="C5" i="27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B6" i="24"/>
  <c r="E19" i="23"/>
  <c r="J19" i="23" s="1"/>
  <c r="D19" i="23"/>
  <c r="I19" i="23" s="1"/>
  <c r="C19" i="23"/>
  <c r="G19" i="23" s="1"/>
  <c r="B19" i="23"/>
  <c r="G18" i="23"/>
  <c r="E18" i="23"/>
  <c r="J18" i="23" s="1"/>
  <c r="D18" i="23"/>
  <c r="I18" i="23" s="1"/>
  <c r="C18" i="23"/>
  <c r="F18" i="23" s="1"/>
  <c r="B18" i="23"/>
  <c r="J17" i="23"/>
  <c r="F17" i="23"/>
  <c r="E17" i="23"/>
  <c r="D17" i="23"/>
  <c r="I17" i="23" s="1"/>
  <c r="C17" i="23"/>
  <c r="H17" i="23" s="1"/>
  <c r="B17" i="23"/>
  <c r="J16" i="23"/>
  <c r="F16" i="23"/>
  <c r="E16" i="23"/>
  <c r="D16" i="23"/>
  <c r="I16" i="23" s="1"/>
  <c r="C16" i="23"/>
  <c r="H16" i="23" s="1"/>
  <c r="B16" i="23"/>
  <c r="J15" i="23"/>
  <c r="F15" i="23"/>
  <c r="E15" i="23"/>
  <c r="D15" i="23"/>
  <c r="I15" i="23" s="1"/>
  <c r="C15" i="23"/>
  <c r="H15" i="23" s="1"/>
  <c r="B15" i="23"/>
  <c r="J14" i="23"/>
  <c r="H14" i="23"/>
  <c r="F14" i="23"/>
  <c r="E14" i="23"/>
  <c r="D14" i="23"/>
  <c r="I14" i="23" s="1"/>
  <c r="C14" i="23"/>
  <c r="G14" i="23" s="1"/>
  <c r="B14" i="23"/>
  <c r="J13" i="23"/>
  <c r="H13" i="23"/>
  <c r="F13" i="23"/>
  <c r="E13" i="23"/>
  <c r="D13" i="23"/>
  <c r="I13" i="23" s="1"/>
  <c r="C13" i="23"/>
  <c r="G13" i="23" s="1"/>
  <c r="B13" i="23"/>
  <c r="J12" i="23"/>
  <c r="H12" i="23"/>
  <c r="F12" i="23"/>
  <c r="E12" i="23"/>
  <c r="D12" i="23"/>
  <c r="I12" i="23" s="1"/>
  <c r="C12" i="23"/>
  <c r="G12" i="23" s="1"/>
  <c r="B12" i="23"/>
  <c r="J11" i="23"/>
  <c r="H11" i="23"/>
  <c r="F11" i="23"/>
  <c r="E11" i="23"/>
  <c r="D11" i="23"/>
  <c r="I11" i="23" s="1"/>
  <c r="C11" i="23"/>
  <c r="G11" i="23" s="1"/>
  <c r="B11" i="23"/>
  <c r="J10" i="23"/>
  <c r="H10" i="23"/>
  <c r="F10" i="23"/>
  <c r="E10" i="23"/>
  <c r="D10" i="23"/>
  <c r="I10" i="23" s="1"/>
  <c r="C10" i="23"/>
  <c r="G10" i="23" s="1"/>
  <c r="B10" i="23"/>
  <c r="J9" i="23"/>
  <c r="H9" i="23"/>
  <c r="F9" i="23"/>
  <c r="E9" i="23"/>
  <c r="D9" i="23"/>
  <c r="I9" i="23" s="1"/>
  <c r="C9" i="23"/>
  <c r="G9" i="23" s="1"/>
  <c r="B9" i="23"/>
  <c r="J8" i="23"/>
  <c r="H8" i="23"/>
  <c r="F8" i="23"/>
  <c r="E8" i="23"/>
  <c r="D8" i="23"/>
  <c r="I8" i="23" s="1"/>
  <c r="C8" i="23"/>
  <c r="G8" i="23" s="1"/>
  <c r="B8" i="23"/>
  <c r="J7" i="23"/>
  <c r="H7" i="23"/>
  <c r="E7" i="23"/>
  <c r="D7" i="23"/>
  <c r="C7" i="23"/>
  <c r="B7" i="23"/>
  <c r="J6" i="23"/>
  <c r="H6" i="23"/>
  <c r="E6" i="23"/>
  <c r="D6" i="23"/>
  <c r="C6" i="23"/>
  <c r="B6" i="23"/>
  <c r="J5" i="23"/>
  <c r="H5" i="23"/>
  <c r="E5" i="23"/>
  <c r="E20" i="23" s="1"/>
  <c r="D5" i="23"/>
  <c r="C5" i="23"/>
  <c r="C20" i="23" s="1"/>
  <c r="B5" i="23"/>
  <c r="B6" i="22"/>
  <c r="A30" i="20"/>
  <c r="A29" i="20"/>
  <c r="A28" i="20"/>
  <c r="A27" i="20"/>
  <c r="A26" i="20"/>
  <c r="A25" i="20"/>
  <c r="A24" i="20"/>
  <c r="A23" i="20"/>
  <c r="B6" i="20"/>
  <c r="D13" i="19"/>
  <c r="E12" i="19"/>
  <c r="J12" i="19" s="1"/>
  <c r="D12" i="19"/>
  <c r="I12" i="19" s="1"/>
  <c r="C12" i="19"/>
  <c r="B12" i="19"/>
  <c r="E11" i="19"/>
  <c r="J11" i="19" s="1"/>
  <c r="M11" i="19" s="1"/>
  <c r="D29" i="20" s="1"/>
  <c r="D11" i="19"/>
  <c r="I11" i="19" s="1"/>
  <c r="C11" i="19"/>
  <c r="G11" i="19" s="1"/>
  <c r="B11" i="19"/>
  <c r="E10" i="19"/>
  <c r="J10" i="19" s="1"/>
  <c r="D10" i="19"/>
  <c r="I10" i="19" s="1"/>
  <c r="C10" i="19"/>
  <c r="B10" i="19"/>
  <c r="E9" i="19"/>
  <c r="J9" i="19" s="1"/>
  <c r="D9" i="19"/>
  <c r="I9" i="19" s="1"/>
  <c r="L9" i="19" s="1"/>
  <c r="C27" i="20" s="1"/>
  <c r="C9" i="19"/>
  <c r="G9" i="19" s="1"/>
  <c r="B9" i="19"/>
  <c r="E8" i="19"/>
  <c r="J8" i="19" s="1"/>
  <c r="D8" i="19"/>
  <c r="I8" i="19" s="1"/>
  <c r="C8" i="19"/>
  <c r="B8" i="19"/>
  <c r="J7" i="19"/>
  <c r="E7" i="19"/>
  <c r="D7" i="19"/>
  <c r="I7" i="19" s="1"/>
  <c r="C7" i="19"/>
  <c r="B7" i="19"/>
  <c r="J6" i="19"/>
  <c r="E6" i="19"/>
  <c r="D6" i="19"/>
  <c r="I6" i="19" s="1"/>
  <c r="C6" i="19"/>
  <c r="G6" i="19" s="1"/>
  <c r="B6" i="19"/>
  <c r="J5" i="19"/>
  <c r="E5" i="19"/>
  <c r="E13" i="19" s="1"/>
  <c r="D5" i="19"/>
  <c r="I5" i="19" s="1"/>
  <c r="C5" i="19"/>
  <c r="B5" i="19"/>
  <c r="CW4" i="18"/>
  <c r="A260" i="17"/>
  <c r="A252" i="17"/>
  <c r="A244" i="17"/>
  <c r="A236" i="17"/>
  <c r="A228" i="17"/>
  <c r="A220" i="17"/>
  <c r="A212" i="17"/>
  <c r="A204" i="17"/>
  <c r="A196" i="17"/>
  <c r="A188" i="17"/>
  <c r="A180" i="17"/>
  <c r="A172" i="17"/>
  <c r="A164" i="17"/>
  <c r="A156" i="17"/>
  <c r="A148" i="17"/>
  <c r="A125" i="17"/>
  <c r="A123" i="17"/>
  <c r="A121" i="17"/>
  <c r="A117" i="17"/>
  <c r="A113" i="17"/>
  <c r="A109" i="17"/>
  <c r="A105" i="17"/>
  <c r="A101" i="17"/>
  <c r="A97" i="17"/>
  <c r="A93" i="17"/>
  <c r="A89" i="17"/>
  <c r="A85" i="17"/>
  <c r="A81" i="17"/>
  <c r="A77" i="17"/>
  <c r="A73" i="17"/>
  <c r="A69" i="17"/>
  <c r="A65" i="17"/>
  <c r="A61" i="17"/>
  <c r="A57" i="17"/>
  <c r="A53" i="17"/>
  <c r="A49" i="17"/>
  <c r="A45" i="17"/>
  <c r="A41" i="17"/>
  <c r="A37" i="17"/>
  <c r="A33" i="17"/>
  <c r="A29" i="17"/>
  <c r="A25" i="17"/>
  <c r="A21" i="17"/>
  <c r="A17" i="17"/>
  <c r="A139" i="15"/>
  <c r="A137" i="15"/>
  <c r="A135" i="15"/>
  <c r="A133" i="15"/>
  <c r="A131" i="15"/>
  <c r="A129" i="15"/>
  <c r="A127" i="15"/>
  <c r="A125" i="15"/>
  <c r="A123" i="15"/>
  <c r="A121" i="15"/>
  <c r="A119" i="15"/>
  <c r="A117" i="15"/>
  <c r="A115" i="15"/>
  <c r="A113" i="15"/>
  <c r="A111" i="15"/>
  <c r="A109" i="15"/>
  <c r="A107" i="15"/>
  <c r="A105" i="15"/>
  <c r="A103" i="15"/>
  <c r="A101" i="15"/>
  <c r="A99" i="15"/>
  <c r="A97" i="15"/>
  <c r="A95" i="15"/>
  <c r="A93" i="15"/>
  <c r="A91" i="15"/>
  <c r="A89" i="15"/>
  <c r="A87" i="15"/>
  <c r="A85" i="15"/>
  <c r="A83" i="15"/>
  <c r="A81" i="15"/>
  <c r="A79" i="15"/>
  <c r="A77" i="15"/>
  <c r="A75" i="15"/>
  <c r="A73" i="15"/>
  <c r="A71" i="15"/>
  <c r="A69" i="15"/>
  <c r="A67" i="15"/>
  <c r="A65" i="15"/>
  <c r="A63" i="15"/>
  <c r="A61" i="15"/>
  <c r="A59" i="15"/>
  <c r="A57" i="15"/>
  <c r="A55" i="15"/>
  <c r="A53" i="15"/>
  <c r="A51" i="15"/>
  <c r="A49" i="15"/>
  <c r="A47" i="15"/>
  <c r="A45" i="15"/>
  <c r="A43" i="15"/>
  <c r="A41" i="15"/>
  <c r="A39" i="15"/>
  <c r="A37" i="15"/>
  <c r="A35" i="15"/>
  <c r="A33" i="15"/>
  <c r="A31" i="15"/>
  <c r="A29" i="15"/>
  <c r="A27" i="15"/>
  <c r="A25" i="15"/>
  <c r="A23" i="15"/>
  <c r="B6" i="15"/>
  <c r="G121" i="14"/>
  <c r="D121" i="14"/>
  <c r="C121" i="14"/>
  <c r="F121" i="14" s="1"/>
  <c r="A121" i="14"/>
  <c r="A120" i="14"/>
  <c r="C119" i="14"/>
  <c r="F119" i="14" s="1"/>
  <c r="A119" i="14"/>
  <c r="A118" i="14"/>
  <c r="G117" i="14"/>
  <c r="C117" i="14"/>
  <c r="F117" i="14" s="1"/>
  <c r="A117" i="14"/>
  <c r="A116" i="14"/>
  <c r="C115" i="14"/>
  <c r="F115" i="14" s="1"/>
  <c r="A115" i="14"/>
  <c r="A114" i="14"/>
  <c r="G113" i="14"/>
  <c r="C113" i="14"/>
  <c r="F113" i="14" s="1"/>
  <c r="A113" i="14"/>
  <c r="A112" i="14"/>
  <c r="C111" i="14"/>
  <c r="F111" i="14" s="1"/>
  <c r="A111" i="14"/>
  <c r="A110" i="14"/>
  <c r="G109" i="14"/>
  <c r="C109" i="14"/>
  <c r="F109" i="14" s="1"/>
  <c r="A109" i="14"/>
  <c r="A108" i="14"/>
  <c r="C107" i="14"/>
  <c r="F107" i="14" s="1"/>
  <c r="A107" i="14"/>
  <c r="A106" i="14"/>
  <c r="G105" i="14"/>
  <c r="C105" i="14"/>
  <c r="F105" i="14" s="1"/>
  <c r="A105" i="14"/>
  <c r="A104" i="14"/>
  <c r="C103" i="14"/>
  <c r="F103" i="14" s="1"/>
  <c r="A103" i="14"/>
  <c r="A102" i="14"/>
  <c r="G101" i="14"/>
  <c r="C101" i="14"/>
  <c r="F101" i="14" s="1"/>
  <c r="A101" i="14"/>
  <c r="A100" i="14"/>
  <c r="C99" i="14"/>
  <c r="F99" i="14" s="1"/>
  <c r="A99" i="14"/>
  <c r="A98" i="14"/>
  <c r="C97" i="14"/>
  <c r="F97" i="14" s="1"/>
  <c r="A97" i="14"/>
  <c r="A96" i="14"/>
  <c r="C95" i="14"/>
  <c r="F95" i="14" s="1"/>
  <c r="A95" i="14"/>
  <c r="A94" i="14"/>
  <c r="G93" i="14"/>
  <c r="C93" i="14"/>
  <c r="F93" i="14" s="1"/>
  <c r="A93" i="14"/>
  <c r="A92" i="14"/>
  <c r="C91" i="14"/>
  <c r="F91" i="14" s="1"/>
  <c r="A91" i="14"/>
  <c r="A90" i="14"/>
  <c r="G89" i="14"/>
  <c r="C89" i="14"/>
  <c r="F89" i="14" s="1"/>
  <c r="A89" i="14"/>
  <c r="A88" i="14"/>
  <c r="C87" i="14"/>
  <c r="F87" i="14" s="1"/>
  <c r="A87" i="14"/>
  <c r="A86" i="14"/>
  <c r="G85" i="14"/>
  <c r="C85" i="14"/>
  <c r="F85" i="14" s="1"/>
  <c r="A85" i="14"/>
  <c r="A84" i="14"/>
  <c r="C83" i="14"/>
  <c r="F83" i="14" s="1"/>
  <c r="A83" i="14"/>
  <c r="A82" i="14"/>
  <c r="G81" i="14"/>
  <c r="C81" i="14"/>
  <c r="F81" i="14" s="1"/>
  <c r="A81" i="14"/>
  <c r="A80" i="14"/>
  <c r="C79" i="14"/>
  <c r="F79" i="14" s="1"/>
  <c r="A79" i="14"/>
  <c r="A78" i="14"/>
  <c r="G77" i="14"/>
  <c r="C77" i="14"/>
  <c r="F77" i="14" s="1"/>
  <c r="A77" i="14"/>
  <c r="A76" i="14"/>
  <c r="C75" i="14"/>
  <c r="F75" i="14" s="1"/>
  <c r="A75" i="14"/>
  <c r="A74" i="14"/>
  <c r="G73" i="14"/>
  <c r="C73" i="14"/>
  <c r="F73" i="14" s="1"/>
  <c r="A73" i="14"/>
  <c r="A72" i="14"/>
  <c r="C71" i="14"/>
  <c r="F71" i="14" s="1"/>
  <c r="A71" i="14"/>
  <c r="A70" i="14"/>
  <c r="G69" i="14"/>
  <c r="C69" i="14"/>
  <c r="F69" i="14" s="1"/>
  <c r="A69" i="14"/>
  <c r="A68" i="14"/>
  <c r="C67" i="14"/>
  <c r="F67" i="14" s="1"/>
  <c r="A67" i="14"/>
  <c r="A66" i="14"/>
  <c r="G65" i="14"/>
  <c r="C65" i="14"/>
  <c r="F65" i="14" s="1"/>
  <c r="A65" i="14"/>
  <c r="A64" i="14"/>
  <c r="C63" i="14"/>
  <c r="F63" i="14" s="1"/>
  <c r="A63" i="14"/>
  <c r="A62" i="14"/>
  <c r="G61" i="14"/>
  <c r="C61" i="14"/>
  <c r="F61" i="14" s="1"/>
  <c r="A61" i="14"/>
  <c r="A60" i="14"/>
  <c r="C59" i="14"/>
  <c r="F59" i="14" s="1"/>
  <c r="A59" i="14"/>
  <c r="A58" i="14"/>
  <c r="G57" i="14"/>
  <c r="C57" i="14"/>
  <c r="F57" i="14" s="1"/>
  <c r="A57" i="14"/>
  <c r="A56" i="14"/>
  <c r="C55" i="14"/>
  <c r="F55" i="14" s="1"/>
  <c r="A55" i="14"/>
  <c r="A54" i="14"/>
  <c r="G53" i="14"/>
  <c r="C53" i="14"/>
  <c r="F53" i="14" s="1"/>
  <c r="A53" i="14"/>
  <c r="A52" i="14"/>
  <c r="C51" i="14"/>
  <c r="F51" i="14" s="1"/>
  <c r="A51" i="14"/>
  <c r="A50" i="14"/>
  <c r="G49" i="14"/>
  <c r="C49" i="14"/>
  <c r="F49" i="14" s="1"/>
  <c r="A49" i="14"/>
  <c r="A48" i="14"/>
  <c r="C47" i="14"/>
  <c r="F47" i="14" s="1"/>
  <c r="A47" i="14"/>
  <c r="A46" i="14"/>
  <c r="G45" i="14"/>
  <c r="C45" i="14"/>
  <c r="F45" i="14" s="1"/>
  <c r="A45" i="14"/>
  <c r="A44" i="14"/>
  <c r="C43" i="14"/>
  <c r="F43" i="14" s="1"/>
  <c r="A43" i="14"/>
  <c r="A42" i="14"/>
  <c r="G41" i="14"/>
  <c r="C41" i="14"/>
  <c r="F41" i="14" s="1"/>
  <c r="A41" i="14"/>
  <c r="A40" i="14"/>
  <c r="C39" i="14"/>
  <c r="F39" i="14" s="1"/>
  <c r="A39" i="14"/>
  <c r="A38" i="14"/>
  <c r="G37" i="14"/>
  <c r="C37" i="14"/>
  <c r="F37" i="14" s="1"/>
  <c r="A37" i="14"/>
  <c r="A36" i="14"/>
  <c r="C35" i="14"/>
  <c r="F35" i="14" s="1"/>
  <c r="A35" i="14"/>
  <c r="A34" i="14"/>
  <c r="G33" i="14"/>
  <c r="C33" i="14"/>
  <c r="F33" i="14" s="1"/>
  <c r="A33" i="14"/>
  <c r="A32" i="14"/>
  <c r="C31" i="14"/>
  <c r="F31" i="14" s="1"/>
  <c r="A31" i="14"/>
  <c r="A30" i="14"/>
  <c r="G29" i="14"/>
  <c r="C29" i="14"/>
  <c r="F29" i="14" s="1"/>
  <c r="A29" i="14"/>
  <c r="A28" i="14"/>
  <c r="C27" i="14"/>
  <c r="F27" i="14" s="1"/>
  <c r="A27" i="14"/>
  <c r="A26" i="14"/>
  <c r="G25" i="14"/>
  <c r="C25" i="14"/>
  <c r="F25" i="14" s="1"/>
  <c r="A25" i="14"/>
  <c r="A24" i="14"/>
  <c r="C23" i="14"/>
  <c r="F23" i="14" s="1"/>
  <c r="A23" i="14"/>
  <c r="A22" i="14"/>
  <c r="G21" i="14"/>
  <c r="C21" i="14"/>
  <c r="F21" i="14" s="1"/>
  <c r="A21" i="14"/>
  <c r="A20" i="14"/>
  <c r="C19" i="14"/>
  <c r="F19" i="14" s="1"/>
  <c r="A19" i="14"/>
  <c r="A18" i="14"/>
  <c r="G17" i="14"/>
  <c r="C17" i="14"/>
  <c r="F17" i="14" s="1"/>
  <c r="A17" i="14"/>
  <c r="A16" i="14"/>
  <c r="C15" i="14"/>
  <c r="F15" i="14" s="1"/>
  <c r="A15" i="14"/>
  <c r="A14" i="14"/>
  <c r="C13" i="14"/>
  <c r="F13" i="14" s="1"/>
  <c r="A13" i="14"/>
  <c r="A12" i="14"/>
  <c r="A11" i="14"/>
  <c r="A10" i="14"/>
  <c r="G9" i="14"/>
  <c r="C9" i="14"/>
  <c r="F9" i="14" s="1"/>
  <c r="A9" i="14"/>
  <c r="A8" i="14"/>
  <c r="A7" i="14"/>
  <c r="A6" i="14"/>
  <c r="C5" i="14"/>
  <c r="F5" i="14" s="1"/>
  <c r="A5" i="14"/>
  <c r="E4" i="18" s="1"/>
  <c r="G121" i="13"/>
  <c r="E121" i="13"/>
  <c r="D121" i="13"/>
  <c r="C121" i="13"/>
  <c r="B121" i="13"/>
  <c r="E120" i="13"/>
  <c r="D120" i="13"/>
  <c r="C120" i="14" s="1"/>
  <c r="F120" i="14" s="1"/>
  <c r="C120" i="13"/>
  <c r="G120" i="13" s="1"/>
  <c r="B120" i="13"/>
  <c r="G119" i="13"/>
  <c r="E119" i="13"/>
  <c r="D119" i="14" s="1"/>
  <c r="G119" i="14" s="1"/>
  <c r="D119" i="13"/>
  <c r="C119" i="13"/>
  <c r="B119" i="13"/>
  <c r="E118" i="13"/>
  <c r="D118" i="13"/>
  <c r="C118" i="14" s="1"/>
  <c r="F118" i="14" s="1"/>
  <c r="C118" i="13"/>
  <c r="G118" i="13" s="1"/>
  <c r="B118" i="13"/>
  <c r="E117" i="13"/>
  <c r="D117" i="14" s="1"/>
  <c r="D117" i="13"/>
  <c r="C117" i="13"/>
  <c r="B117" i="13"/>
  <c r="E116" i="13"/>
  <c r="D116" i="13"/>
  <c r="C116" i="14" s="1"/>
  <c r="F116" i="14" s="1"/>
  <c r="C116" i="13"/>
  <c r="G116" i="13" s="1"/>
  <c r="B116" i="13"/>
  <c r="G115" i="13"/>
  <c r="E115" i="13"/>
  <c r="D115" i="14" s="1"/>
  <c r="G115" i="14" s="1"/>
  <c r="D115" i="13"/>
  <c r="C115" i="13"/>
  <c r="B115" i="13"/>
  <c r="E114" i="13"/>
  <c r="D114" i="13"/>
  <c r="C114" i="14" s="1"/>
  <c r="F114" i="14" s="1"/>
  <c r="C114" i="13"/>
  <c r="G114" i="13" s="1"/>
  <c r="B114" i="13"/>
  <c r="G113" i="13"/>
  <c r="E113" i="13"/>
  <c r="D113" i="14" s="1"/>
  <c r="D113" i="13"/>
  <c r="C113" i="13"/>
  <c r="B113" i="13"/>
  <c r="E112" i="13"/>
  <c r="D112" i="14" s="1"/>
  <c r="G112" i="14" s="1"/>
  <c r="D112" i="13"/>
  <c r="C112" i="14" s="1"/>
  <c r="F112" i="14" s="1"/>
  <c r="C112" i="13"/>
  <c r="G112" i="13" s="1"/>
  <c r="B112" i="13"/>
  <c r="G111" i="13"/>
  <c r="E111" i="13"/>
  <c r="D111" i="14" s="1"/>
  <c r="G111" i="14" s="1"/>
  <c r="D111" i="13"/>
  <c r="C111" i="13"/>
  <c r="B111" i="13"/>
  <c r="E110" i="13"/>
  <c r="D110" i="14" s="1"/>
  <c r="G110" i="14" s="1"/>
  <c r="D110" i="13"/>
  <c r="C110" i="14" s="1"/>
  <c r="F110" i="14" s="1"/>
  <c r="C110" i="13"/>
  <c r="G110" i="13" s="1"/>
  <c r="B110" i="13"/>
  <c r="E109" i="13"/>
  <c r="D109" i="14" s="1"/>
  <c r="D109" i="13"/>
  <c r="C109" i="13"/>
  <c r="B109" i="13"/>
  <c r="E108" i="13"/>
  <c r="D108" i="14" s="1"/>
  <c r="G108" i="14" s="1"/>
  <c r="D108" i="13"/>
  <c r="C108" i="14" s="1"/>
  <c r="F108" i="14" s="1"/>
  <c r="C108" i="13"/>
  <c r="G108" i="13" s="1"/>
  <c r="B108" i="13"/>
  <c r="G107" i="13"/>
  <c r="E107" i="13"/>
  <c r="D107" i="14" s="1"/>
  <c r="G107" i="14" s="1"/>
  <c r="D107" i="13"/>
  <c r="C107" i="13"/>
  <c r="B107" i="13"/>
  <c r="E106" i="13"/>
  <c r="D106" i="14" s="1"/>
  <c r="G106" i="14" s="1"/>
  <c r="D106" i="13"/>
  <c r="C106" i="14" s="1"/>
  <c r="F106" i="14" s="1"/>
  <c r="C106" i="13"/>
  <c r="G106" i="13" s="1"/>
  <c r="B106" i="13"/>
  <c r="G105" i="13"/>
  <c r="E105" i="13"/>
  <c r="D105" i="14" s="1"/>
  <c r="D105" i="13"/>
  <c r="C105" i="13"/>
  <c r="B105" i="13"/>
  <c r="E104" i="13"/>
  <c r="D104" i="14" s="1"/>
  <c r="G104" i="14" s="1"/>
  <c r="D104" i="13"/>
  <c r="C104" i="14" s="1"/>
  <c r="F104" i="14" s="1"/>
  <c r="C104" i="13"/>
  <c r="G104" i="13" s="1"/>
  <c r="B104" i="13"/>
  <c r="E103" i="13"/>
  <c r="D103" i="14" s="1"/>
  <c r="G103" i="14" s="1"/>
  <c r="D103" i="13"/>
  <c r="C103" i="13"/>
  <c r="B103" i="13"/>
  <c r="E102" i="13"/>
  <c r="D102" i="14" s="1"/>
  <c r="G102" i="14" s="1"/>
  <c r="D102" i="13"/>
  <c r="C102" i="14" s="1"/>
  <c r="F102" i="14" s="1"/>
  <c r="C102" i="13"/>
  <c r="G102" i="13" s="1"/>
  <c r="B102" i="13"/>
  <c r="E101" i="13"/>
  <c r="D101" i="14" s="1"/>
  <c r="D101" i="13"/>
  <c r="C101" i="13"/>
  <c r="B101" i="13"/>
  <c r="E100" i="13"/>
  <c r="D100" i="14" s="1"/>
  <c r="G100" i="14" s="1"/>
  <c r="D100" i="13"/>
  <c r="C100" i="14" s="1"/>
  <c r="F100" i="14" s="1"/>
  <c r="C100" i="13"/>
  <c r="G100" i="13" s="1"/>
  <c r="B100" i="13"/>
  <c r="G99" i="13"/>
  <c r="E99" i="13"/>
  <c r="D99" i="14" s="1"/>
  <c r="G99" i="14" s="1"/>
  <c r="D99" i="13"/>
  <c r="C99" i="13"/>
  <c r="B99" i="13"/>
  <c r="E98" i="13"/>
  <c r="D98" i="14" s="1"/>
  <c r="G98" i="14" s="1"/>
  <c r="D98" i="13"/>
  <c r="C98" i="14" s="1"/>
  <c r="F98" i="14" s="1"/>
  <c r="C98" i="13"/>
  <c r="G98" i="13" s="1"/>
  <c r="B98" i="13"/>
  <c r="G97" i="13"/>
  <c r="E97" i="13"/>
  <c r="D97" i="14" s="1"/>
  <c r="G97" i="14" s="1"/>
  <c r="D97" i="13"/>
  <c r="C97" i="13"/>
  <c r="B97" i="13"/>
  <c r="E96" i="13"/>
  <c r="D96" i="14" s="1"/>
  <c r="G96" i="14" s="1"/>
  <c r="D96" i="13"/>
  <c r="C96" i="14" s="1"/>
  <c r="F96" i="14" s="1"/>
  <c r="C96" i="13"/>
  <c r="G96" i="13" s="1"/>
  <c r="B96" i="13"/>
  <c r="G95" i="13"/>
  <c r="E95" i="13"/>
  <c r="D95" i="14" s="1"/>
  <c r="G95" i="14" s="1"/>
  <c r="D95" i="13"/>
  <c r="C95" i="13"/>
  <c r="B95" i="13"/>
  <c r="E94" i="13"/>
  <c r="D94" i="14" s="1"/>
  <c r="G94" i="14" s="1"/>
  <c r="D94" i="13"/>
  <c r="C94" i="14" s="1"/>
  <c r="F94" i="14" s="1"/>
  <c r="C94" i="13"/>
  <c r="G94" i="13" s="1"/>
  <c r="B94" i="13"/>
  <c r="E93" i="13"/>
  <c r="D93" i="14" s="1"/>
  <c r="D93" i="13"/>
  <c r="C93" i="13"/>
  <c r="B93" i="13"/>
  <c r="E92" i="13"/>
  <c r="D92" i="14" s="1"/>
  <c r="G92" i="14" s="1"/>
  <c r="D92" i="13"/>
  <c r="C92" i="14" s="1"/>
  <c r="F92" i="14" s="1"/>
  <c r="C92" i="13"/>
  <c r="G92" i="13" s="1"/>
  <c r="B92" i="13"/>
  <c r="G91" i="13"/>
  <c r="E91" i="13"/>
  <c r="D91" i="14" s="1"/>
  <c r="G91" i="14" s="1"/>
  <c r="D91" i="13"/>
  <c r="C91" i="13"/>
  <c r="B91" i="13"/>
  <c r="E90" i="13"/>
  <c r="D90" i="14" s="1"/>
  <c r="G90" i="14" s="1"/>
  <c r="D90" i="13"/>
  <c r="C90" i="14" s="1"/>
  <c r="F90" i="14" s="1"/>
  <c r="C90" i="13"/>
  <c r="G90" i="13" s="1"/>
  <c r="B90" i="13"/>
  <c r="G89" i="13"/>
  <c r="E89" i="13"/>
  <c r="D89" i="14" s="1"/>
  <c r="D89" i="13"/>
  <c r="C89" i="13"/>
  <c r="B89" i="13"/>
  <c r="E88" i="13"/>
  <c r="D88" i="14" s="1"/>
  <c r="G88" i="14" s="1"/>
  <c r="D88" i="13"/>
  <c r="C88" i="14" s="1"/>
  <c r="F88" i="14" s="1"/>
  <c r="C88" i="13"/>
  <c r="G88" i="13" s="1"/>
  <c r="B88" i="13"/>
  <c r="G87" i="13"/>
  <c r="E87" i="13"/>
  <c r="D87" i="14" s="1"/>
  <c r="G87" i="14" s="1"/>
  <c r="D87" i="13"/>
  <c r="C87" i="13"/>
  <c r="B87" i="13"/>
  <c r="E86" i="13"/>
  <c r="D86" i="14" s="1"/>
  <c r="G86" i="14" s="1"/>
  <c r="D86" i="13"/>
  <c r="C86" i="14" s="1"/>
  <c r="F86" i="14" s="1"/>
  <c r="C86" i="13"/>
  <c r="G86" i="13" s="1"/>
  <c r="B86" i="13"/>
  <c r="E85" i="13"/>
  <c r="D85" i="14" s="1"/>
  <c r="D85" i="13"/>
  <c r="C85" i="13"/>
  <c r="B85" i="13"/>
  <c r="E84" i="13"/>
  <c r="D84" i="14" s="1"/>
  <c r="G84" i="14" s="1"/>
  <c r="D84" i="13"/>
  <c r="C84" i="14" s="1"/>
  <c r="F84" i="14" s="1"/>
  <c r="C84" i="13"/>
  <c r="G84" i="13" s="1"/>
  <c r="B84" i="13"/>
  <c r="G83" i="13"/>
  <c r="E83" i="13"/>
  <c r="D83" i="14" s="1"/>
  <c r="G83" i="14" s="1"/>
  <c r="D83" i="13"/>
  <c r="C83" i="13"/>
  <c r="B83" i="13"/>
  <c r="E82" i="13"/>
  <c r="D82" i="14" s="1"/>
  <c r="G82" i="14" s="1"/>
  <c r="D82" i="13"/>
  <c r="C82" i="14" s="1"/>
  <c r="F82" i="14" s="1"/>
  <c r="C82" i="13"/>
  <c r="G82" i="13" s="1"/>
  <c r="B82" i="13"/>
  <c r="G81" i="13"/>
  <c r="E81" i="13"/>
  <c r="D81" i="14" s="1"/>
  <c r="D81" i="13"/>
  <c r="C81" i="13"/>
  <c r="B81" i="13"/>
  <c r="E80" i="13"/>
  <c r="D80" i="14" s="1"/>
  <c r="G80" i="14" s="1"/>
  <c r="D80" i="13"/>
  <c r="C80" i="14" s="1"/>
  <c r="F80" i="14" s="1"/>
  <c r="C80" i="13"/>
  <c r="G80" i="13" s="1"/>
  <c r="B80" i="13"/>
  <c r="G79" i="13"/>
  <c r="E79" i="13"/>
  <c r="D79" i="14" s="1"/>
  <c r="G79" i="14" s="1"/>
  <c r="D79" i="13"/>
  <c r="C79" i="13"/>
  <c r="B79" i="13"/>
  <c r="E78" i="13"/>
  <c r="D78" i="14" s="1"/>
  <c r="G78" i="14" s="1"/>
  <c r="D78" i="13"/>
  <c r="C78" i="14" s="1"/>
  <c r="F78" i="14" s="1"/>
  <c r="C78" i="13"/>
  <c r="G78" i="13" s="1"/>
  <c r="B78" i="13"/>
  <c r="E77" i="13"/>
  <c r="D77" i="14" s="1"/>
  <c r="D77" i="13"/>
  <c r="C77" i="13"/>
  <c r="B77" i="13"/>
  <c r="E76" i="13"/>
  <c r="D76" i="14" s="1"/>
  <c r="G76" i="14" s="1"/>
  <c r="D76" i="13"/>
  <c r="C76" i="14" s="1"/>
  <c r="F76" i="14" s="1"/>
  <c r="C76" i="13"/>
  <c r="G76" i="13" s="1"/>
  <c r="B76" i="13"/>
  <c r="G75" i="13"/>
  <c r="E75" i="13"/>
  <c r="D75" i="14" s="1"/>
  <c r="G75" i="14" s="1"/>
  <c r="D75" i="13"/>
  <c r="C75" i="13"/>
  <c r="B75" i="13"/>
  <c r="E74" i="13"/>
  <c r="D74" i="14" s="1"/>
  <c r="G74" i="14" s="1"/>
  <c r="D74" i="13"/>
  <c r="C74" i="14" s="1"/>
  <c r="F74" i="14" s="1"/>
  <c r="C74" i="13"/>
  <c r="G74" i="13" s="1"/>
  <c r="B74" i="13"/>
  <c r="G73" i="13"/>
  <c r="E73" i="13"/>
  <c r="D73" i="14" s="1"/>
  <c r="D73" i="13"/>
  <c r="C73" i="13"/>
  <c r="B73" i="13"/>
  <c r="E72" i="13"/>
  <c r="D72" i="14" s="1"/>
  <c r="G72" i="14" s="1"/>
  <c r="D72" i="13"/>
  <c r="C72" i="14" s="1"/>
  <c r="F72" i="14" s="1"/>
  <c r="C72" i="13"/>
  <c r="G72" i="13" s="1"/>
  <c r="B72" i="13"/>
  <c r="E71" i="13"/>
  <c r="D71" i="14" s="1"/>
  <c r="G71" i="14" s="1"/>
  <c r="D71" i="13"/>
  <c r="C71" i="13"/>
  <c r="B71" i="13"/>
  <c r="E70" i="13"/>
  <c r="D70" i="14" s="1"/>
  <c r="G70" i="14" s="1"/>
  <c r="D70" i="13"/>
  <c r="C70" i="14" s="1"/>
  <c r="F70" i="14" s="1"/>
  <c r="C70" i="13"/>
  <c r="G70" i="13" s="1"/>
  <c r="B70" i="13"/>
  <c r="E69" i="13"/>
  <c r="D69" i="14" s="1"/>
  <c r="D69" i="13"/>
  <c r="C69" i="13"/>
  <c r="B69" i="13"/>
  <c r="E68" i="13"/>
  <c r="D68" i="14" s="1"/>
  <c r="G68" i="14" s="1"/>
  <c r="D68" i="13"/>
  <c r="C68" i="13"/>
  <c r="G68" i="13" s="1"/>
  <c r="B68" i="13"/>
  <c r="F67" i="13"/>
  <c r="E67" i="13"/>
  <c r="D67" i="14" s="1"/>
  <c r="G67" i="14" s="1"/>
  <c r="D67" i="13"/>
  <c r="C67" i="13"/>
  <c r="B67" i="14" s="1"/>
  <c r="E67" i="14" s="1"/>
  <c r="B67" i="13"/>
  <c r="E66" i="13"/>
  <c r="D66" i="14" s="1"/>
  <c r="G66" i="14" s="1"/>
  <c r="D66" i="13"/>
  <c r="C66" i="13"/>
  <c r="G66" i="13" s="1"/>
  <c r="B66" i="13"/>
  <c r="E65" i="13"/>
  <c r="D65" i="14" s="1"/>
  <c r="D65" i="13"/>
  <c r="C65" i="13"/>
  <c r="G65" i="13" s="1"/>
  <c r="B65" i="13"/>
  <c r="E64" i="13"/>
  <c r="D64" i="14" s="1"/>
  <c r="G64" i="14" s="1"/>
  <c r="D64" i="13"/>
  <c r="C64" i="13"/>
  <c r="B64" i="13"/>
  <c r="F63" i="13"/>
  <c r="E63" i="13"/>
  <c r="D63" i="14" s="1"/>
  <c r="G63" i="14" s="1"/>
  <c r="D63" i="13"/>
  <c r="C63" i="13"/>
  <c r="B63" i="14" s="1"/>
  <c r="E63" i="14" s="1"/>
  <c r="B63" i="13"/>
  <c r="E62" i="13"/>
  <c r="D62" i="14" s="1"/>
  <c r="G62" i="14" s="1"/>
  <c r="D62" i="13"/>
  <c r="C62" i="13"/>
  <c r="B62" i="13"/>
  <c r="E61" i="13"/>
  <c r="D61" i="14" s="1"/>
  <c r="D61" i="13"/>
  <c r="C61" i="13"/>
  <c r="B61" i="13"/>
  <c r="E60" i="13"/>
  <c r="D60" i="14" s="1"/>
  <c r="G60" i="14" s="1"/>
  <c r="D60" i="13"/>
  <c r="C60" i="13"/>
  <c r="G60" i="13" s="1"/>
  <c r="B60" i="13"/>
  <c r="F59" i="13"/>
  <c r="E59" i="13"/>
  <c r="D59" i="14" s="1"/>
  <c r="G59" i="14" s="1"/>
  <c r="D59" i="13"/>
  <c r="C59" i="13"/>
  <c r="B59" i="14" s="1"/>
  <c r="E59" i="14" s="1"/>
  <c r="B59" i="13"/>
  <c r="E58" i="13"/>
  <c r="D58" i="14" s="1"/>
  <c r="G58" i="14" s="1"/>
  <c r="D58" i="13"/>
  <c r="C58" i="13"/>
  <c r="B58" i="13"/>
  <c r="G57" i="13"/>
  <c r="E57" i="13"/>
  <c r="D57" i="14" s="1"/>
  <c r="D57" i="13"/>
  <c r="C57" i="13"/>
  <c r="B57" i="13"/>
  <c r="E56" i="13"/>
  <c r="D56" i="14" s="1"/>
  <c r="G56" i="14" s="1"/>
  <c r="D56" i="13"/>
  <c r="C56" i="13"/>
  <c r="B56" i="13"/>
  <c r="F55" i="13"/>
  <c r="E55" i="13"/>
  <c r="D55" i="14" s="1"/>
  <c r="G55" i="14" s="1"/>
  <c r="D55" i="13"/>
  <c r="C55" i="13"/>
  <c r="B55" i="14" s="1"/>
  <c r="E55" i="14" s="1"/>
  <c r="B55" i="13"/>
  <c r="E54" i="13"/>
  <c r="D54" i="14" s="1"/>
  <c r="G54" i="14" s="1"/>
  <c r="D54" i="13"/>
  <c r="C54" i="13"/>
  <c r="B54" i="13"/>
  <c r="E53" i="13"/>
  <c r="D53" i="14" s="1"/>
  <c r="D53" i="13"/>
  <c r="C53" i="13"/>
  <c r="B53" i="13"/>
  <c r="E52" i="13"/>
  <c r="D52" i="14" s="1"/>
  <c r="G52" i="14" s="1"/>
  <c r="D52" i="13"/>
  <c r="C52" i="13"/>
  <c r="G52" i="13" s="1"/>
  <c r="B52" i="13"/>
  <c r="F51" i="13"/>
  <c r="E51" i="13"/>
  <c r="D51" i="14" s="1"/>
  <c r="G51" i="14" s="1"/>
  <c r="D51" i="13"/>
  <c r="C51" i="13"/>
  <c r="B51" i="14" s="1"/>
  <c r="E51" i="14" s="1"/>
  <c r="B51" i="13"/>
  <c r="E50" i="13"/>
  <c r="D50" i="14" s="1"/>
  <c r="G50" i="14" s="1"/>
  <c r="D50" i="13"/>
  <c r="C50" i="13"/>
  <c r="B50" i="13"/>
  <c r="G49" i="13"/>
  <c r="E49" i="13"/>
  <c r="D49" i="14" s="1"/>
  <c r="D49" i="13"/>
  <c r="C49" i="13"/>
  <c r="B49" i="13"/>
  <c r="E48" i="13"/>
  <c r="D48" i="14" s="1"/>
  <c r="G48" i="14" s="1"/>
  <c r="D48" i="13"/>
  <c r="C48" i="13"/>
  <c r="B48" i="13"/>
  <c r="F47" i="13"/>
  <c r="E47" i="13"/>
  <c r="D47" i="14" s="1"/>
  <c r="G47" i="14" s="1"/>
  <c r="D47" i="13"/>
  <c r="C47" i="13"/>
  <c r="B47" i="14" s="1"/>
  <c r="E47" i="14" s="1"/>
  <c r="B47" i="13"/>
  <c r="E46" i="13"/>
  <c r="D46" i="14" s="1"/>
  <c r="G46" i="14" s="1"/>
  <c r="D46" i="13"/>
  <c r="C46" i="13"/>
  <c r="B46" i="13"/>
  <c r="E45" i="13"/>
  <c r="D45" i="14" s="1"/>
  <c r="D45" i="13"/>
  <c r="C45" i="13"/>
  <c r="B45" i="13"/>
  <c r="E44" i="13"/>
  <c r="D44" i="14" s="1"/>
  <c r="G44" i="14" s="1"/>
  <c r="D44" i="13"/>
  <c r="C44" i="13"/>
  <c r="G44" i="13" s="1"/>
  <c r="B44" i="13"/>
  <c r="F43" i="13"/>
  <c r="E43" i="13"/>
  <c r="D43" i="14" s="1"/>
  <c r="G43" i="14" s="1"/>
  <c r="D43" i="13"/>
  <c r="C43" i="13"/>
  <c r="B43" i="14" s="1"/>
  <c r="E43" i="14" s="1"/>
  <c r="B43" i="13"/>
  <c r="E42" i="13"/>
  <c r="D42" i="14" s="1"/>
  <c r="G42" i="14" s="1"/>
  <c r="D42" i="13"/>
  <c r="C42" i="13"/>
  <c r="B42" i="13"/>
  <c r="G41" i="13"/>
  <c r="E41" i="13"/>
  <c r="D41" i="14" s="1"/>
  <c r="D41" i="13"/>
  <c r="C41" i="13"/>
  <c r="B41" i="13"/>
  <c r="E40" i="13"/>
  <c r="D40" i="14" s="1"/>
  <c r="G40" i="14" s="1"/>
  <c r="D40" i="13"/>
  <c r="C40" i="13"/>
  <c r="B40" i="13"/>
  <c r="F39" i="13"/>
  <c r="E39" i="13"/>
  <c r="D39" i="14" s="1"/>
  <c r="G39" i="14" s="1"/>
  <c r="D39" i="13"/>
  <c r="C39" i="13"/>
  <c r="B39" i="14" s="1"/>
  <c r="E39" i="14" s="1"/>
  <c r="B39" i="13"/>
  <c r="E38" i="13"/>
  <c r="D38" i="14" s="1"/>
  <c r="G38" i="14" s="1"/>
  <c r="D38" i="13"/>
  <c r="C38" i="13"/>
  <c r="B38" i="13"/>
  <c r="E37" i="13"/>
  <c r="D37" i="14" s="1"/>
  <c r="D37" i="13"/>
  <c r="C37" i="13"/>
  <c r="B37" i="13"/>
  <c r="E36" i="13"/>
  <c r="D36" i="14" s="1"/>
  <c r="G36" i="14" s="1"/>
  <c r="D36" i="13"/>
  <c r="C36" i="13"/>
  <c r="G36" i="13" s="1"/>
  <c r="B36" i="13"/>
  <c r="F35" i="13"/>
  <c r="E35" i="13"/>
  <c r="D35" i="14" s="1"/>
  <c r="G35" i="14" s="1"/>
  <c r="D35" i="13"/>
  <c r="C35" i="13"/>
  <c r="B35" i="14" s="1"/>
  <c r="E35" i="14" s="1"/>
  <c r="B35" i="13"/>
  <c r="E34" i="13"/>
  <c r="D34" i="14" s="1"/>
  <c r="G34" i="14" s="1"/>
  <c r="D34" i="13"/>
  <c r="C34" i="13"/>
  <c r="G34" i="13" s="1"/>
  <c r="B34" i="13"/>
  <c r="G33" i="13"/>
  <c r="E33" i="13"/>
  <c r="D33" i="14" s="1"/>
  <c r="D33" i="13"/>
  <c r="C33" i="13"/>
  <c r="B33" i="13"/>
  <c r="E32" i="13"/>
  <c r="D32" i="14" s="1"/>
  <c r="G32" i="14" s="1"/>
  <c r="D32" i="13"/>
  <c r="C32" i="13"/>
  <c r="B32" i="13"/>
  <c r="F31" i="13"/>
  <c r="E31" i="13"/>
  <c r="D31" i="14" s="1"/>
  <c r="G31" i="14" s="1"/>
  <c r="D31" i="13"/>
  <c r="C31" i="13"/>
  <c r="B31" i="14" s="1"/>
  <c r="E31" i="14" s="1"/>
  <c r="B31" i="13"/>
  <c r="E30" i="13"/>
  <c r="D30" i="14" s="1"/>
  <c r="G30" i="14" s="1"/>
  <c r="D30" i="13"/>
  <c r="C30" i="13"/>
  <c r="G30" i="13" s="1"/>
  <c r="B30" i="13"/>
  <c r="E29" i="13"/>
  <c r="D29" i="14" s="1"/>
  <c r="D29" i="13"/>
  <c r="C29" i="13"/>
  <c r="B29" i="13"/>
  <c r="E28" i="13"/>
  <c r="D28" i="14" s="1"/>
  <c r="G28" i="14" s="1"/>
  <c r="D28" i="13"/>
  <c r="C28" i="13"/>
  <c r="G28" i="13" s="1"/>
  <c r="B28" i="13"/>
  <c r="F27" i="13"/>
  <c r="E27" i="13"/>
  <c r="D27" i="14" s="1"/>
  <c r="G27" i="14" s="1"/>
  <c r="D27" i="13"/>
  <c r="C27" i="13"/>
  <c r="B27" i="14" s="1"/>
  <c r="E27" i="14" s="1"/>
  <c r="B27" i="13"/>
  <c r="E26" i="13"/>
  <c r="D26" i="14" s="1"/>
  <c r="G26" i="14" s="1"/>
  <c r="D26" i="13"/>
  <c r="C26" i="13"/>
  <c r="G26" i="13" s="1"/>
  <c r="B26" i="13"/>
  <c r="G25" i="13"/>
  <c r="E25" i="13"/>
  <c r="D25" i="14" s="1"/>
  <c r="D25" i="13"/>
  <c r="C25" i="13"/>
  <c r="B25" i="13"/>
  <c r="E24" i="13"/>
  <c r="D24" i="14" s="1"/>
  <c r="G24" i="14" s="1"/>
  <c r="D24" i="13"/>
  <c r="C24" i="13"/>
  <c r="B24" i="13"/>
  <c r="F23" i="13"/>
  <c r="E23" i="13"/>
  <c r="D23" i="14" s="1"/>
  <c r="G23" i="14" s="1"/>
  <c r="D23" i="13"/>
  <c r="C23" i="13"/>
  <c r="B23" i="14" s="1"/>
  <c r="E23" i="14" s="1"/>
  <c r="B23" i="13"/>
  <c r="E22" i="13"/>
  <c r="D22" i="14" s="1"/>
  <c r="G22" i="14" s="1"/>
  <c r="D22" i="13"/>
  <c r="C22" i="13"/>
  <c r="G22" i="13" s="1"/>
  <c r="B22" i="13"/>
  <c r="E21" i="13"/>
  <c r="D21" i="14" s="1"/>
  <c r="D21" i="13"/>
  <c r="C21" i="13"/>
  <c r="B21" i="13"/>
  <c r="E20" i="13"/>
  <c r="D20" i="14" s="1"/>
  <c r="G20" i="14" s="1"/>
  <c r="D20" i="13"/>
  <c r="C20" i="13"/>
  <c r="G20" i="13" s="1"/>
  <c r="B20" i="13"/>
  <c r="F19" i="13"/>
  <c r="E19" i="13"/>
  <c r="D19" i="14" s="1"/>
  <c r="G19" i="14" s="1"/>
  <c r="D19" i="13"/>
  <c r="C19" i="13"/>
  <c r="B19" i="14" s="1"/>
  <c r="E19" i="14" s="1"/>
  <c r="B19" i="13"/>
  <c r="E18" i="13"/>
  <c r="D18" i="14" s="1"/>
  <c r="G18" i="14" s="1"/>
  <c r="D18" i="13"/>
  <c r="C18" i="13"/>
  <c r="G18" i="13" s="1"/>
  <c r="B18" i="13"/>
  <c r="G17" i="13"/>
  <c r="E17" i="13"/>
  <c r="D17" i="14" s="1"/>
  <c r="D17" i="13"/>
  <c r="C17" i="13"/>
  <c r="B17" i="13"/>
  <c r="E16" i="13"/>
  <c r="D16" i="14" s="1"/>
  <c r="G16" i="14" s="1"/>
  <c r="D16" i="13"/>
  <c r="C16" i="13"/>
  <c r="B16" i="13"/>
  <c r="F15" i="13"/>
  <c r="E15" i="13"/>
  <c r="D15" i="14" s="1"/>
  <c r="G15" i="14" s="1"/>
  <c r="D15" i="13"/>
  <c r="C15" i="13"/>
  <c r="B15" i="14" s="1"/>
  <c r="E15" i="14" s="1"/>
  <c r="B15" i="13"/>
  <c r="F14" i="13"/>
  <c r="E14" i="13"/>
  <c r="D14" i="14" s="1"/>
  <c r="G14" i="14" s="1"/>
  <c r="D14" i="13"/>
  <c r="C14" i="14" s="1"/>
  <c r="F14" i="14" s="1"/>
  <c r="C14" i="13"/>
  <c r="G14" i="13" s="1"/>
  <c r="B14" i="13"/>
  <c r="E13" i="13"/>
  <c r="D13" i="14" s="1"/>
  <c r="G13" i="14" s="1"/>
  <c r="D13" i="13"/>
  <c r="F13" i="13" s="1"/>
  <c r="C13" i="13"/>
  <c r="B13" i="14" s="1"/>
  <c r="E13" i="14" s="1"/>
  <c r="B13" i="13"/>
  <c r="E12" i="13"/>
  <c r="D12" i="14" s="1"/>
  <c r="G12" i="14" s="1"/>
  <c r="D12" i="13"/>
  <c r="C12" i="14" s="1"/>
  <c r="F12" i="14" s="1"/>
  <c r="C12" i="13"/>
  <c r="G12" i="13" s="1"/>
  <c r="B12" i="13"/>
  <c r="E11" i="13"/>
  <c r="D11" i="14" s="1"/>
  <c r="G11" i="14" s="1"/>
  <c r="D11" i="13"/>
  <c r="C11" i="14" s="1"/>
  <c r="F11" i="14" s="1"/>
  <c r="C11" i="13"/>
  <c r="B11" i="13"/>
  <c r="E10" i="13"/>
  <c r="D10" i="14" s="1"/>
  <c r="G10" i="14" s="1"/>
  <c r="D10" i="13"/>
  <c r="C10" i="13"/>
  <c r="B10" i="13"/>
  <c r="E9" i="13"/>
  <c r="D9" i="14" s="1"/>
  <c r="D9" i="13"/>
  <c r="C9" i="13"/>
  <c r="B9" i="14" s="1"/>
  <c r="E9" i="14" s="1"/>
  <c r="B9" i="13"/>
  <c r="E8" i="13"/>
  <c r="D8" i="14" s="1"/>
  <c r="G8" i="14" s="1"/>
  <c r="D8" i="13"/>
  <c r="C8" i="13"/>
  <c r="G8" i="13" s="1"/>
  <c r="B8" i="13"/>
  <c r="F7" i="13"/>
  <c r="E7" i="13"/>
  <c r="D7" i="14" s="1"/>
  <c r="G7" i="14" s="1"/>
  <c r="D7" i="13"/>
  <c r="C7" i="14" s="1"/>
  <c r="F7" i="14" s="1"/>
  <c r="C7" i="13"/>
  <c r="B7" i="14" s="1"/>
  <c r="E7" i="14" s="1"/>
  <c r="B7" i="13"/>
  <c r="F6" i="13"/>
  <c r="E6" i="13"/>
  <c r="D6" i="14" s="1"/>
  <c r="G6" i="14" s="1"/>
  <c r="D6" i="13"/>
  <c r="C6" i="14" s="1"/>
  <c r="F6" i="14" s="1"/>
  <c r="C6" i="13"/>
  <c r="G6" i="13" s="1"/>
  <c r="B6" i="13"/>
  <c r="E5" i="13"/>
  <c r="D5" i="13"/>
  <c r="C5" i="13"/>
  <c r="B5" i="13"/>
  <c r="J28" i="11"/>
  <c r="J27" i="11"/>
  <c r="B24" i="7"/>
  <c r="E24" i="7" s="1"/>
  <c r="E19" i="7"/>
  <c r="D19" i="7"/>
  <c r="C19" i="7"/>
  <c r="E18" i="7"/>
  <c r="D18" i="7"/>
  <c r="C18" i="7"/>
  <c r="G18" i="7" s="1"/>
  <c r="E17" i="7"/>
  <c r="D17" i="7"/>
  <c r="C17" i="7"/>
  <c r="G17" i="7" s="1"/>
  <c r="E16" i="7"/>
  <c r="D16" i="7"/>
  <c r="C16" i="7"/>
  <c r="G16" i="7" s="1"/>
  <c r="E15" i="7"/>
  <c r="D15" i="7"/>
  <c r="G15" i="7" s="1"/>
  <c r="C15" i="7"/>
  <c r="E14" i="7"/>
  <c r="D14" i="7"/>
  <c r="C14" i="7"/>
  <c r="E13" i="7"/>
  <c r="D13" i="7"/>
  <c r="C13" i="7"/>
  <c r="G13" i="7" s="1"/>
  <c r="E12" i="7"/>
  <c r="D12" i="7"/>
  <c r="C12" i="7"/>
  <c r="E11" i="7"/>
  <c r="D11" i="7"/>
  <c r="C11" i="7"/>
  <c r="G11" i="7" s="1"/>
  <c r="E10" i="7"/>
  <c r="D10" i="7"/>
  <c r="C10" i="7"/>
  <c r="G10" i="7" s="1"/>
  <c r="E9" i="7"/>
  <c r="D9" i="7"/>
  <c r="C9" i="7"/>
  <c r="G9" i="7" s="1"/>
  <c r="E8" i="7"/>
  <c r="D8" i="7"/>
  <c r="C8" i="7"/>
  <c r="E7" i="7"/>
  <c r="D7" i="7"/>
  <c r="C25" i="7" s="1"/>
  <c r="C7" i="7"/>
  <c r="B25" i="7" s="1"/>
  <c r="E6" i="7"/>
  <c r="D6" i="7"/>
  <c r="C27" i="7" s="1"/>
  <c r="C6" i="7"/>
  <c r="G6" i="7" s="1"/>
  <c r="E5" i="7"/>
  <c r="D5" i="7"/>
  <c r="C24" i="7" s="1"/>
  <c r="C5" i="7"/>
  <c r="G5" i="7" s="1"/>
  <c r="J21" i="6"/>
  <c r="F21" i="6"/>
  <c r="F20" i="6" s="1"/>
  <c r="E21" i="6"/>
  <c r="I21" i="6" s="1"/>
  <c r="D21" i="6"/>
  <c r="D20" i="6"/>
  <c r="G20" i="6" s="1"/>
  <c r="G19" i="6"/>
  <c r="F19" i="6"/>
  <c r="E19" i="6"/>
  <c r="D19" i="6"/>
  <c r="J19" i="6" s="1"/>
  <c r="C19" i="6"/>
  <c r="G18" i="6"/>
  <c r="F18" i="6"/>
  <c r="E18" i="6"/>
  <c r="D18" i="6"/>
  <c r="J18" i="6" s="1"/>
  <c r="C18" i="6"/>
  <c r="G17" i="6"/>
  <c r="F17" i="6"/>
  <c r="E17" i="6"/>
  <c r="D17" i="6"/>
  <c r="J17" i="6" s="1"/>
  <c r="C17" i="6"/>
  <c r="G16" i="6"/>
  <c r="F16" i="6"/>
  <c r="E16" i="6"/>
  <c r="D16" i="6"/>
  <c r="J16" i="6" s="1"/>
  <c r="C16" i="6"/>
  <c r="G15" i="6"/>
  <c r="F15" i="6"/>
  <c r="E15" i="6"/>
  <c r="D15" i="6"/>
  <c r="J15" i="6" s="1"/>
  <c r="C15" i="6"/>
  <c r="G14" i="6"/>
  <c r="F14" i="6"/>
  <c r="E14" i="6"/>
  <c r="D14" i="6"/>
  <c r="J14" i="6" s="1"/>
  <c r="C14" i="6"/>
  <c r="G13" i="6"/>
  <c r="F13" i="6"/>
  <c r="E13" i="6"/>
  <c r="D13" i="6"/>
  <c r="J13" i="6" s="1"/>
  <c r="C13" i="6"/>
  <c r="G12" i="6"/>
  <c r="F12" i="6"/>
  <c r="E12" i="6"/>
  <c r="D12" i="6"/>
  <c r="J12" i="6" s="1"/>
  <c r="C12" i="6"/>
  <c r="G11" i="6"/>
  <c r="F11" i="6"/>
  <c r="C13" i="27" s="1"/>
  <c r="E11" i="6"/>
  <c r="D11" i="6"/>
  <c r="J11" i="6" s="1"/>
  <c r="C11" i="6"/>
  <c r="G10" i="6"/>
  <c r="F10" i="6"/>
  <c r="E10" i="6"/>
  <c r="D10" i="6"/>
  <c r="J10" i="6" s="1"/>
  <c r="C10" i="6"/>
  <c r="G9" i="6"/>
  <c r="F9" i="6"/>
  <c r="E9" i="6"/>
  <c r="D9" i="6"/>
  <c r="J9" i="6" s="1"/>
  <c r="C9" i="6"/>
  <c r="G8" i="6"/>
  <c r="F8" i="6"/>
  <c r="E8" i="6"/>
  <c r="D8" i="6"/>
  <c r="J8" i="6" s="1"/>
  <c r="C8" i="6"/>
  <c r="G7" i="6"/>
  <c r="F7" i="6"/>
  <c r="E7" i="6"/>
  <c r="D7" i="6"/>
  <c r="J7" i="6" s="1"/>
  <c r="C7" i="6"/>
  <c r="G6" i="6"/>
  <c r="F6" i="6"/>
  <c r="E6" i="6"/>
  <c r="D6" i="6"/>
  <c r="J6" i="6" s="1"/>
  <c r="C6" i="6"/>
  <c r="G5" i="6"/>
  <c r="G21" i="6" s="1"/>
  <c r="F5" i="6"/>
  <c r="E5" i="6"/>
  <c r="D5" i="6"/>
  <c r="J5" i="6" s="1"/>
  <c r="C5" i="6"/>
  <c r="A41" i="5"/>
  <c r="A40" i="5"/>
  <c r="A39" i="5"/>
  <c r="A38" i="5"/>
  <c r="A37" i="5"/>
  <c r="A36" i="5"/>
  <c r="A35" i="5"/>
  <c r="A34" i="5"/>
  <c r="A28" i="5"/>
  <c r="A27" i="5"/>
  <c r="A26" i="5"/>
  <c r="A25" i="5"/>
  <c r="A24" i="5"/>
  <c r="A23" i="5"/>
  <c r="A22" i="5"/>
  <c r="A21" i="5"/>
  <c r="J12" i="5"/>
  <c r="D12" i="5"/>
  <c r="C12" i="5"/>
  <c r="B12" i="5"/>
  <c r="J11" i="5"/>
  <c r="I11" i="5"/>
  <c r="E11" i="5"/>
  <c r="D11" i="5"/>
  <c r="C11" i="5"/>
  <c r="B11" i="5"/>
  <c r="H11" i="5" s="1"/>
  <c r="J10" i="5"/>
  <c r="D10" i="5"/>
  <c r="C10" i="5"/>
  <c r="B10" i="5"/>
  <c r="J9" i="5"/>
  <c r="I9" i="5"/>
  <c r="E9" i="5"/>
  <c r="D9" i="5"/>
  <c r="C9" i="5"/>
  <c r="B9" i="5"/>
  <c r="H9" i="5" s="1"/>
  <c r="J8" i="5"/>
  <c r="D8" i="5"/>
  <c r="C8" i="5"/>
  <c r="B8" i="5"/>
  <c r="J7" i="5"/>
  <c r="I7" i="5"/>
  <c r="E7" i="5"/>
  <c r="D7" i="5"/>
  <c r="C7" i="5"/>
  <c r="B7" i="5"/>
  <c r="H7" i="5" s="1"/>
  <c r="J6" i="5"/>
  <c r="D6" i="5"/>
  <c r="C6" i="5"/>
  <c r="B6" i="5"/>
  <c r="J5" i="5"/>
  <c r="J13" i="5" s="1"/>
  <c r="I5" i="5"/>
  <c r="E5" i="5"/>
  <c r="D5" i="5"/>
  <c r="D13" i="5" s="1"/>
  <c r="C5" i="5"/>
  <c r="C13" i="5" s="1"/>
  <c r="B5" i="5"/>
  <c r="H5" i="5" s="1"/>
  <c r="B19" i="3"/>
  <c r="B18" i="3"/>
  <c r="B16" i="3"/>
  <c r="B15" i="3"/>
  <c r="B14" i="3"/>
  <c r="B12" i="3"/>
  <c r="B11" i="3"/>
  <c r="B10" i="3"/>
  <c r="B8" i="3"/>
  <c r="B7" i="3"/>
  <c r="B6" i="3"/>
  <c r="B5" i="3"/>
  <c r="P5" i="2"/>
  <c r="N5" i="2"/>
  <c r="E53" i="9" s="1"/>
  <c r="G5" i="2"/>
  <c r="D5" i="2"/>
  <c r="C5" i="2"/>
  <c r="B5" i="2"/>
  <c r="A5" i="2"/>
  <c r="E5" i="1"/>
  <c r="C5" i="1"/>
  <c r="A5" i="1"/>
  <c r="G5" i="1" s="1"/>
  <c r="G8" i="5" l="1"/>
  <c r="G9" i="5"/>
  <c r="G12" i="5"/>
  <c r="E25" i="7"/>
  <c r="G6" i="5"/>
  <c r="G7" i="5"/>
  <c r="G10" i="5"/>
  <c r="G11" i="5"/>
  <c r="B13" i="11"/>
  <c r="D13" i="11" s="1"/>
  <c r="E13" i="11" s="1"/>
  <c r="F13" i="11" s="1"/>
  <c r="F53" i="9"/>
  <c r="G8" i="7"/>
  <c r="G12" i="7"/>
  <c r="C5" i="21"/>
  <c r="B53" i="9"/>
  <c r="C13" i="11" s="1"/>
  <c r="C20" i="7"/>
  <c r="F12" i="7" s="1"/>
  <c r="E122" i="13"/>
  <c r="B21" i="14"/>
  <c r="E21" i="14" s="1"/>
  <c r="F21" i="13"/>
  <c r="B37" i="14"/>
  <c r="E37" i="14" s="1"/>
  <c r="F37" i="13"/>
  <c r="B69" i="14"/>
  <c r="E69" i="14" s="1"/>
  <c r="F69" i="13"/>
  <c r="G69" i="13"/>
  <c r="B71" i="14"/>
  <c r="E71" i="14" s="1"/>
  <c r="F71" i="13"/>
  <c r="B101" i="14"/>
  <c r="E101" i="14" s="1"/>
  <c r="F101" i="13"/>
  <c r="G101" i="13"/>
  <c r="X4" i="18"/>
  <c r="A33" i="18"/>
  <c r="A427" i="17"/>
  <c r="A296" i="17"/>
  <c r="A165" i="17"/>
  <c r="A42" i="15"/>
  <c r="A34" i="17"/>
  <c r="AN4" i="18"/>
  <c r="A49" i="18"/>
  <c r="A443" i="17"/>
  <c r="A312" i="17"/>
  <c r="A181" i="17"/>
  <c r="A58" i="15"/>
  <c r="A50" i="17"/>
  <c r="H6" i="5"/>
  <c r="C15" i="5" s="1"/>
  <c r="B15" i="5" s="1"/>
  <c r="H8" i="5"/>
  <c r="H10" i="5"/>
  <c r="H12" i="5"/>
  <c r="B13" i="5"/>
  <c r="H13" i="5" s="1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 s="1"/>
  <c r="E20" i="6"/>
  <c r="I20" i="6"/>
  <c r="C26" i="7"/>
  <c r="D20" i="7"/>
  <c r="G20" i="7" s="1"/>
  <c r="B27" i="7"/>
  <c r="C8" i="14"/>
  <c r="F8" i="14" s="1"/>
  <c r="I5" i="14" s="1"/>
  <c r="F8" i="13"/>
  <c r="G11" i="13"/>
  <c r="C20" i="14"/>
  <c r="F20" i="14" s="1"/>
  <c r="F20" i="13"/>
  <c r="C28" i="14"/>
  <c r="F28" i="14" s="1"/>
  <c r="F28" i="13"/>
  <c r="C36" i="14"/>
  <c r="F36" i="14" s="1"/>
  <c r="F36" i="13"/>
  <c r="C44" i="14"/>
  <c r="F44" i="14" s="1"/>
  <c r="F44" i="13"/>
  <c r="C52" i="14"/>
  <c r="F52" i="14" s="1"/>
  <c r="F52" i="13"/>
  <c r="C60" i="14"/>
  <c r="F60" i="14" s="1"/>
  <c r="F60" i="13"/>
  <c r="C68" i="14"/>
  <c r="F68" i="14" s="1"/>
  <c r="F68" i="13"/>
  <c r="B93" i="14"/>
  <c r="E93" i="14" s="1"/>
  <c r="F93" i="13"/>
  <c r="G93" i="13"/>
  <c r="B95" i="14"/>
  <c r="E95" i="14" s="1"/>
  <c r="F95" i="13"/>
  <c r="D120" i="14"/>
  <c r="G120" i="14" s="1"/>
  <c r="F120" i="13"/>
  <c r="H4" i="18"/>
  <c r="A17" i="18"/>
  <c r="A411" i="17"/>
  <c r="A280" i="17"/>
  <c r="A149" i="17"/>
  <c r="A26" i="15"/>
  <c r="A18" i="17"/>
  <c r="L4" i="18"/>
  <c r="A415" i="17"/>
  <c r="A21" i="18"/>
  <c r="A30" i="15"/>
  <c r="A153" i="17"/>
  <c r="A22" i="17"/>
  <c r="A284" i="17"/>
  <c r="AB4" i="18"/>
  <c r="A431" i="17"/>
  <c r="A37" i="18"/>
  <c r="A46" i="15"/>
  <c r="A169" i="17"/>
  <c r="A38" i="17"/>
  <c r="A300" i="17"/>
  <c r="A9" i="1"/>
  <c r="G9" i="13"/>
  <c r="B45" i="14"/>
  <c r="E45" i="14" s="1"/>
  <c r="F45" i="13"/>
  <c r="B61" i="14"/>
  <c r="E61" i="14" s="1"/>
  <c r="F61" i="13"/>
  <c r="B103" i="14"/>
  <c r="E103" i="14" s="1"/>
  <c r="F103" i="13"/>
  <c r="D5" i="21"/>
  <c r="I5" i="21" s="1"/>
  <c r="A5" i="21"/>
  <c r="A53" i="9"/>
  <c r="E5" i="2"/>
  <c r="A6" i="2"/>
  <c r="B9" i="3"/>
  <c r="B13" i="3"/>
  <c r="B17" i="3"/>
  <c r="A5" i="4"/>
  <c r="G5" i="5"/>
  <c r="E6" i="5"/>
  <c r="E13" i="5" s="1"/>
  <c r="I6" i="5"/>
  <c r="B16" i="5" s="1"/>
  <c r="E8" i="5"/>
  <c r="I8" i="5"/>
  <c r="E10" i="5"/>
  <c r="I10" i="5"/>
  <c r="E12" i="5"/>
  <c r="I12" i="5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J20" i="6"/>
  <c r="C28" i="7"/>
  <c r="F7" i="7"/>
  <c r="F11" i="7"/>
  <c r="G14" i="7"/>
  <c r="F15" i="7"/>
  <c r="F17" i="7"/>
  <c r="B26" i="7"/>
  <c r="B28" i="7" s="1"/>
  <c r="C53" i="9"/>
  <c r="B11" i="14"/>
  <c r="E11" i="14" s="1"/>
  <c r="F11" i="13"/>
  <c r="F12" i="13"/>
  <c r="G16" i="13"/>
  <c r="B17" i="14"/>
  <c r="E17" i="14" s="1"/>
  <c r="F17" i="13"/>
  <c r="G24" i="13"/>
  <c r="B25" i="14"/>
  <c r="E25" i="14" s="1"/>
  <c r="F25" i="13"/>
  <c r="G32" i="13"/>
  <c r="B33" i="14"/>
  <c r="E33" i="14" s="1"/>
  <c r="F33" i="13"/>
  <c r="G40" i="13"/>
  <c r="B41" i="14"/>
  <c r="E41" i="14" s="1"/>
  <c r="F41" i="13"/>
  <c r="G48" i="13"/>
  <c r="B49" i="14"/>
  <c r="E49" i="14" s="1"/>
  <c r="F49" i="13"/>
  <c r="G56" i="13"/>
  <c r="B57" i="14"/>
  <c r="E57" i="14" s="1"/>
  <c r="F57" i="13"/>
  <c r="G64" i="13"/>
  <c r="B65" i="14"/>
  <c r="E65" i="14" s="1"/>
  <c r="F65" i="13"/>
  <c r="B85" i="14"/>
  <c r="E85" i="14" s="1"/>
  <c r="F85" i="13"/>
  <c r="G85" i="13"/>
  <c r="B87" i="14"/>
  <c r="E87" i="14" s="1"/>
  <c r="F87" i="13"/>
  <c r="B117" i="14"/>
  <c r="E117" i="14" s="1"/>
  <c r="F117" i="13"/>
  <c r="G117" i="13"/>
  <c r="B119" i="14"/>
  <c r="E119" i="14" s="1"/>
  <c r="F119" i="13"/>
  <c r="P4" i="18"/>
  <c r="A419" i="17"/>
  <c r="A25" i="18"/>
  <c r="A157" i="17"/>
  <c r="A34" i="15"/>
  <c r="A288" i="17"/>
  <c r="A26" i="17"/>
  <c r="AF4" i="18"/>
  <c r="A435" i="17"/>
  <c r="A41" i="18"/>
  <c r="A173" i="17"/>
  <c r="A50" i="15"/>
  <c r="A304" i="17"/>
  <c r="A42" i="17"/>
  <c r="B29" i="14"/>
  <c r="E29" i="14" s="1"/>
  <c r="F29" i="13"/>
  <c r="B53" i="14"/>
  <c r="E53" i="14" s="1"/>
  <c r="F53" i="13"/>
  <c r="C9" i="1"/>
  <c r="F5" i="2"/>
  <c r="E20" i="7"/>
  <c r="G7" i="7"/>
  <c r="G19" i="7"/>
  <c r="D122" i="13"/>
  <c r="F5" i="13"/>
  <c r="F9" i="13"/>
  <c r="C10" i="14"/>
  <c r="F10" i="14" s="1"/>
  <c r="I33" i="14" s="1"/>
  <c r="F10" i="13"/>
  <c r="C16" i="14"/>
  <c r="F16" i="14" s="1"/>
  <c r="F16" i="13"/>
  <c r="G21" i="13"/>
  <c r="C24" i="14"/>
  <c r="F24" i="14" s="1"/>
  <c r="F24" i="13"/>
  <c r="G29" i="13"/>
  <c r="C32" i="14"/>
  <c r="F32" i="14" s="1"/>
  <c r="F32" i="13"/>
  <c r="G37" i="13"/>
  <c r="C40" i="14"/>
  <c r="F40" i="14" s="1"/>
  <c r="F40" i="13"/>
  <c r="G45" i="13"/>
  <c r="C48" i="14"/>
  <c r="F48" i="14" s="1"/>
  <c r="F48" i="13"/>
  <c r="G53" i="13"/>
  <c r="C56" i="14"/>
  <c r="F56" i="14" s="1"/>
  <c r="F56" i="13"/>
  <c r="G61" i="13"/>
  <c r="C64" i="14"/>
  <c r="F64" i="14" s="1"/>
  <c r="F64" i="13"/>
  <c r="G71" i="13"/>
  <c r="B77" i="14"/>
  <c r="E77" i="14" s="1"/>
  <c r="F77" i="13"/>
  <c r="G77" i="13"/>
  <c r="B79" i="14"/>
  <c r="E79" i="14" s="1"/>
  <c r="F79" i="13"/>
  <c r="G103" i="13"/>
  <c r="B109" i="14"/>
  <c r="E109" i="14" s="1"/>
  <c r="F109" i="13"/>
  <c r="G109" i="13"/>
  <c r="B111" i="14"/>
  <c r="E111" i="14" s="1"/>
  <c r="F111" i="13"/>
  <c r="D114" i="14"/>
  <c r="G114" i="14" s="1"/>
  <c r="F114" i="13"/>
  <c r="T4" i="18"/>
  <c r="A29" i="18"/>
  <c r="A423" i="17"/>
  <c r="A292" i="17"/>
  <c r="A38" i="15"/>
  <c r="A161" i="17"/>
  <c r="A30" i="17"/>
  <c r="AJ4" i="18"/>
  <c r="A45" i="18"/>
  <c r="A439" i="17"/>
  <c r="A308" i="17"/>
  <c r="A54" i="15"/>
  <c r="A177" i="17"/>
  <c r="A46" i="17"/>
  <c r="A53" i="18"/>
  <c r="AR4" i="18"/>
  <c r="A447" i="17"/>
  <c r="A62" i="15"/>
  <c r="A185" i="17"/>
  <c r="A54" i="17"/>
  <c r="AV4" i="18"/>
  <c r="A57" i="18"/>
  <c r="A451" i="17"/>
  <c r="A189" i="17"/>
  <c r="A66" i="15"/>
  <c r="A320" i="17"/>
  <c r="A58" i="17"/>
  <c r="AZ4" i="18"/>
  <c r="A61" i="18"/>
  <c r="A455" i="17"/>
  <c r="A324" i="17"/>
  <c r="A70" i="15"/>
  <c r="A193" i="17"/>
  <c r="A62" i="17"/>
  <c r="BD4" i="18"/>
  <c r="A65" i="18"/>
  <c r="A459" i="17"/>
  <c r="A328" i="17"/>
  <c r="A197" i="17"/>
  <c r="A74" i="15"/>
  <c r="A66" i="17"/>
  <c r="A69" i="18"/>
  <c r="BH4" i="18"/>
  <c r="A463" i="17"/>
  <c r="A78" i="15"/>
  <c r="A201" i="17"/>
  <c r="A70" i="17"/>
  <c r="A332" i="17"/>
  <c r="A73" i="18"/>
  <c r="BL4" i="18"/>
  <c r="A467" i="17"/>
  <c r="A205" i="17"/>
  <c r="A82" i="15"/>
  <c r="A336" i="17"/>
  <c r="A74" i="17"/>
  <c r="A77" i="18"/>
  <c r="BP4" i="18"/>
  <c r="A471" i="17"/>
  <c r="A340" i="17"/>
  <c r="A86" i="15"/>
  <c r="A209" i="17"/>
  <c r="A78" i="17"/>
  <c r="A81" i="18"/>
  <c r="BT4" i="18"/>
  <c r="A475" i="17"/>
  <c r="A344" i="17"/>
  <c r="A213" i="17"/>
  <c r="A90" i="15"/>
  <c r="A82" i="17"/>
  <c r="A85" i="18"/>
  <c r="BX4" i="18"/>
  <c r="A479" i="17"/>
  <c r="A94" i="15"/>
  <c r="A217" i="17"/>
  <c r="A86" i="17"/>
  <c r="A348" i="17"/>
  <c r="CB4" i="18"/>
  <c r="A89" i="18"/>
  <c r="A483" i="17"/>
  <c r="A221" i="17"/>
  <c r="A98" i="15"/>
  <c r="A352" i="17"/>
  <c r="A90" i="17"/>
  <c r="A93" i="18"/>
  <c r="CF4" i="18"/>
  <c r="A487" i="17"/>
  <c r="A356" i="17"/>
  <c r="A102" i="15"/>
  <c r="A225" i="17"/>
  <c r="A94" i="17"/>
  <c r="A97" i="18"/>
  <c r="CJ4" i="18"/>
  <c r="A491" i="17"/>
  <c r="A360" i="17"/>
  <c r="A229" i="17"/>
  <c r="A106" i="15"/>
  <c r="A98" i="17"/>
  <c r="A101" i="18"/>
  <c r="CN4" i="18"/>
  <c r="A495" i="17"/>
  <c r="A110" i="15"/>
  <c r="A233" i="17"/>
  <c r="A102" i="17"/>
  <c r="A364" i="17"/>
  <c r="A105" i="18"/>
  <c r="CR4" i="18"/>
  <c r="A499" i="17"/>
  <c r="A237" i="17"/>
  <c r="A114" i="15"/>
  <c r="A368" i="17"/>
  <c r="A106" i="17"/>
  <c r="A109" i="18"/>
  <c r="CV4" i="18"/>
  <c r="A503" i="17"/>
  <c r="A372" i="17"/>
  <c r="A118" i="15"/>
  <c r="A241" i="17"/>
  <c r="A110" i="17"/>
  <c r="A113" i="18"/>
  <c r="CZ4" i="18"/>
  <c r="A507" i="17"/>
  <c r="A376" i="17"/>
  <c r="A245" i="17"/>
  <c r="A122" i="15"/>
  <c r="A114" i="17"/>
  <c r="A117" i="18"/>
  <c r="DD4" i="18"/>
  <c r="A511" i="17"/>
  <c r="A126" i="15"/>
  <c r="A249" i="17"/>
  <c r="A118" i="17"/>
  <c r="A380" i="17"/>
  <c r="A121" i="18"/>
  <c r="DH4" i="18"/>
  <c r="A515" i="17"/>
  <c r="A122" i="17"/>
  <c r="A253" i="17"/>
  <c r="A130" i="15"/>
  <c r="A384" i="17"/>
  <c r="A125" i="18"/>
  <c r="DL4" i="18"/>
  <c r="A519" i="17"/>
  <c r="A126" i="17"/>
  <c r="A388" i="17"/>
  <c r="A134" i="15"/>
  <c r="A257" i="17"/>
  <c r="A129" i="18"/>
  <c r="DP4" i="18"/>
  <c r="A523" i="17"/>
  <c r="A130" i="17"/>
  <c r="A392" i="17"/>
  <c r="A261" i="17"/>
  <c r="A138" i="15"/>
  <c r="G7" i="13"/>
  <c r="G15" i="13"/>
  <c r="G19" i="13"/>
  <c r="G23" i="13"/>
  <c r="G27" i="13"/>
  <c r="G31" i="13"/>
  <c r="G35" i="13"/>
  <c r="G38" i="13"/>
  <c r="G39" i="13"/>
  <c r="G42" i="13"/>
  <c r="G43" i="13"/>
  <c r="G46" i="13"/>
  <c r="G47" i="13"/>
  <c r="G50" i="13"/>
  <c r="G51" i="13"/>
  <c r="G54" i="13"/>
  <c r="G55" i="13"/>
  <c r="G58" i="13"/>
  <c r="G59" i="13"/>
  <c r="G62" i="13"/>
  <c r="G63" i="13"/>
  <c r="G67" i="13"/>
  <c r="B73" i="14"/>
  <c r="E73" i="14" s="1"/>
  <c r="F73" i="13"/>
  <c r="B81" i="14"/>
  <c r="E81" i="14" s="1"/>
  <c r="F81" i="13"/>
  <c r="B89" i="14"/>
  <c r="E89" i="14" s="1"/>
  <c r="F89" i="13"/>
  <c r="B97" i="14"/>
  <c r="E97" i="14" s="1"/>
  <c r="F97" i="13"/>
  <c r="B105" i="14"/>
  <c r="E105" i="14" s="1"/>
  <c r="F105" i="13"/>
  <c r="B113" i="14"/>
  <c r="E113" i="14" s="1"/>
  <c r="F113" i="13"/>
  <c r="D116" i="14"/>
  <c r="G116" i="14" s="1"/>
  <c r="F116" i="13"/>
  <c r="B121" i="14"/>
  <c r="E121" i="14" s="1"/>
  <c r="F121" i="13"/>
  <c r="A15" i="18"/>
  <c r="F4" i="18"/>
  <c r="A409" i="17"/>
  <c r="A147" i="17"/>
  <c r="A278" i="17"/>
  <c r="A16" i="17"/>
  <c r="A24" i="15"/>
  <c r="A19" i="18"/>
  <c r="J4" i="18"/>
  <c r="A151" i="17"/>
  <c r="A282" i="17"/>
  <c r="A413" i="17"/>
  <c r="A20" i="17"/>
  <c r="A28" i="15"/>
  <c r="A23" i="18"/>
  <c r="N4" i="18"/>
  <c r="A155" i="17"/>
  <c r="A286" i="17"/>
  <c r="A417" i="17"/>
  <c r="A24" i="17"/>
  <c r="A32" i="15"/>
  <c r="A27" i="18"/>
  <c r="R4" i="18"/>
  <c r="A159" i="17"/>
  <c r="A290" i="17"/>
  <c r="A421" i="17"/>
  <c r="A28" i="17"/>
  <c r="A36" i="15"/>
  <c r="A31" i="18"/>
  <c r="V4" i="18"/>
  <c r="A163" i="17"/>
  <c r="A425" i="17"/>
  <c r="A294" i="17"/>
  <c r="A32" i="17"/>
  <c r="A40" i="15"/>
  <c r="A35" i="18"/>
  <c r="Z4" i="18"/>
  <c r="A429" i="17"/>
  <c r="A167" i="17"/>
  <c r="A298" i="17"/>
  <c r="A36" i="17"/>
  <c r="A44" i="15"/>
  <c r="A39" i="18"/>
  <c r="AD4" i="18"/>
  <c r="A171" i="17"/>
  <c r="A302" i="17"/>
  <c r="A40" i="17"/>
  <c r="A48" i="15"/>
  <c r="A43" i="18"/>
  <c r="AH4" i="18"/>
  <c r="A175" i="17"/>
  <c r="A306" i="17"/>
  <c r="A437" i="17"/>
  <c r="A44" i="17"/>
  <c r="A52" i="15"/>
  <c r="A47" i="18"/>
  <c r="AL4" i="18"/>
  <c r="A179" i="17"/>
  <c r="A441" i="17"/>
  <c r="A310" i="17"/>
  <c r="A48" i="17"/>
  <c r="A56" i="15"/>
  <c r="A51" i="18"/>
  <c r="AP4" i="18"/>
  <c r="A445" i="17"/>
  <c r="A183" i="17"/>
  <c r="A314" i="17"/>
  <c r="A52" i="17"/>
  <c r="A60" i="15"/>
  <c r="A55" i="18"/>
  <c r="AT4" i="18"/>
  <c r="A187" i="17"/>
  <c r="A318" i="17"/>
  <c r="A56" i="17"/>
  <c r="A64" i="15"/>
  <c r="A449" i="17"/>
  <c r="AX4" i="18"/>
  <c r="A59" i="18"/>
  <c r="A191" i="17"/>
  <c r="A322" i="17"/>
  <c r="A453" i="17"/>
  <c r="A60" i="17"/>
  <c r="A68" i="15"/>
  <c r="A63" i="18"/>
  <c r="BB4" i="18"/>
  <c r="A195" i="17"/>
  <c r="A457" i="17"/>
  <c r="A326" i="17"/>
  <c r="A64" i="17"/>
  <c r="A72" i="15"/>
  <c r="BF4" i="18"/>
  <c r="A461" i="17"/>
  <c r="A199" i="17"/>
  <c r="A330" i="17"/>
  <c r="A67" i="18"/>
  <c r="A68" i="17"/>
  <c r="A76" i="15"/>
  <c r="A71" i="18"/>
  <c r="BJ4" i="18"/>
  <c r="A203" i="17"/>
  <c r="A334" i="17"/>
  <c r="A72" i="17"/>
  <c r="A465" i="17"/>
  <c r="A80" i="15"/>
  <c r="A75" i="18"/>
  <c r="BN4" i="18"/>
  <c r="A207" i="17"/>
  <c r="A338" i="17"/>
  <c r="A469" i="17"/>
  <c r="A76" i="17"/>
  <c r="A84" i="15"/>
  <c r="A79" i="18"/>
  <c r="BR4" i="18"/>
  <c r="A211" i="17"/>
  <c r="A473" i="17"/>
  <c r="A342" i="17"/>
  <c r="A80" i="17"/>
  <c r="A88" i="15"/>
  <c r="BV4" i="18"/>
  <c r="A83" i="18"/>
  <c r="A477" i="17"/>
  <c r="A215" i="17"/>
  <c r="A346" i="17"/>
  <c r="A84" i="17"/>
  <c r="A92" i="15"/>
  <c r="A87" i="18"/>
  <c r="BZ4" i="18"/>
  <c r="A219" i="17"/>
  <c r="A350" i="17"/>
  <c r="A481" i="17"/>
  <c r="A88" i="17"/>
  <c r="A96" i="15"/>
  <c r="A91" i="18"/>
  <c r="CD4" i="18"/>
  <c r="A223" i="17"/>
  <c r="A354" i="17"/>
  <c r="A485" i="17"/>
  <c r="A92" i="17"/>
  <c r="A100" i="15"/>
  <c r="A95" i="18"/>
  <c r="CH4" i="18"/>
  <c r="A227" i="17"/>
  <c r="A489" i="17"/>
  <c r="A358" i="17"/>
  <c r="A96" i="17"/>
  <c r="A104" i="15"/>
  <c r="A99" i="18"/>
  <c r="CL4" i="18"/>
  <c r="A493" i="17"/>
  <c r="A231" i="17"/>
  <c r="A362" i="17"/>
  <c r="A100" i="17"/>
  <c r="A108" i="15"/>
  <c r="A497" i="17"/>
  <c r="A103" i="18"/>
  <c r="CP4" i="18"/>
  <c r="A235" i="17"/>
  <c r="A366" i="17"/>
  <c r="A104" i="17"/>
  <c r="A112" i="15"/>
  <c r="A107" i="18"/>
  <c r="CT4" i="18"/>
  <c r="A239" i="17"/>
  <c r="A370" i="17"/>
  <c r="A501" i="17"/>
  <c r="A108" i="17"/>
  <c r="A116" i="15"/>
  <c r="A111" i="18"/>
  <c r="A505" i="17"/>
  <c r="CX4" i="18"/>
  <c r="A243" i="17"/>
  <c r="A374" i="17"/>
  <c r="A112" i="17"/>
  <c r="A120" i="15"/>
  <c r="A115" i="18"/>
  <c r="DB4" i="18"/>
  <c r="A247" i="17"/>
  <c r="A509" i="17"/>
  <c r="A378" i="17"/>
  <c r="A116" i="17"/>
  <c r="A124" i="15"/>
  <c r="A119" i="18"/>
  <c r="A513" i="17"/>
  <c r="DF4" i="18"/>
  <c r="A251" i="17"/>
  <c r="A382" i="17"/>
  <c r="A120" i="17"/>
  <c r="A128" i="15"/>
  <c r="A123" i="18"/>
  <c r="DJ4" i="18"/>
  <c r="A517" i="17"/>
  <c r="A255" i="17"/>
  <c r="A386" i="17"/>
  <c r="A124" i="17"/>
  <c r="A132" i="15"/>
  <c r="A127" i="18"/>
  <c r="A521" i="17"/>
  <c r="DN4" i="18"/>
  <c r="A259" i="17"/>
  <c r="A390" i="17"/>
  <c r="A136" i="15"/>
  <c r="A128" i="17"/>
  <c r="A316" i="17"/>
  <c r="B5" i="14"/>
  <c r="E5" i="14" s="1"/>
  <c r="H19" i="14" s="1"/>
  <c r="C122" i="13"/>
  <c r="G122" i="13" s="1"/>
  <c r="G5" i="13"/>
  <c r="G10" i="13"/>
  <c r="G13" i="13"/>
  <c r="C18" i="14"/>
  <c r="F18" i="14" s="1"/>
  <c r="F18" i="13"/>
  <c r="C22" i="14"/>
  <c r="F22" i="14" s="1"/>
  <c r="F22" i="13"/>
  <c r="C26" i="14"/>
  <c r="F26" i="14" s="1"/>
  <c r="I26" i="14" s="1"/>
  <c r="F26" i="13"/>
  <c r="C30" i="14"/>
  <c r="F30" i="14" s="1"/>
  <c r="F30" i="13"/>
  <c r="C34" i="14"/>
  <c r="F34" i="14" s="1"/>
  <c r="F34" i="13"/>
  <c r="C38" i="14"/>
  <c r="F38" i="14" s="1"/>
  <c r="F38" i="13"/>
  <c r="C42" i="14"/>
  <c r="F42" i="14" s="1"/>
  <c r="F42" i="13"/>
  <c r="C46" i="14"/>
  <c r="F46" i="14" s="1"/>
  <c r="F46" i="13"/>
  <c r="C50" i="14"/>
  <c r="F50" i="14" s="1"/>
  <c r="F50" i="13"/>
  <c r="C54" i="14"/>
  <c r="F54" i="14" s="1"/>
  <c r="F54" i="13"/>
  <c r="C58" i="14"/>
  <c r="F58" i="14" s="1"/>
  <c r="I58" i="14" s="1"/>
  <c r="F58" i="13"/>
  <c r="C62" i="14"/>
  <c r="F62" i="14" s="1"/>
  <c r="F62" i="13"/>
  <c r="C66" i="14"/>
  <c r="F66" i="14" s="1"/>
  <c r="I66" i="14" s="1"/>
  <c r="F66" i="13"/>
  <c r="B75" i="14"/>
  <c r="E75" i="14" s="1"/>
  <c r="F75" i="13"/>
  <c r="B83" i="14"/>
  <c r="E83" i="14" s="1"/>
  <c r="F83" i="13"/>
  <c r="B91" i="14"/>
  <c r="E91" i="14" s="1"/>
  <c r="F91" i="13"/>
  <c r="B99" i="14"/>
  <c r="E99" i="14" s="1"/>
  <c r="F99" i="13"/>
  <c r="B107" i="14"/>
  <c r="E107" i="14" s="1"/>
  <c r="F107" i="13"/>
  <c r="B115" i="14"/>
  <c r="E115" i="14" s="1"/>
  <c r="F115" i="13"/>
  <c r="D118" i="14"/>
  <c r="G118" i="14" s="1"/>
  <c r="J118" i="14" s="1"/>
  <c r="F118" i="13"/>
  <c r="A433" i="17"/>
  <c r="F70" i="13"/>
  <c r="F72" i="13"/>
  <c r="F74" i="13"/>
  <c r="F76" i="13"/>
  <c r="F78" i="13"/>
  <c r="F80" i="13"/>
  <c r="F82" i="13"/>
  <c r="F84" i="13"/>
  <c r="F86" i="13"/>
  <c r="F88" i="13"/>
  <c r="F90" i="13"/>
  <c r="F92" i="13"/>
  <c r="F94" i="13"/>
  <c r="F96" i="13"/>
  <c r="F98" i="13"/>
  <c r="F100" i="13"/>
  <c r="F102" i="13"/>
  <c r="F104" i="13"/>
  <c r="F106" i="13"/>
  <c r="F108" i="13"/>
  <c r="F110" i="13"/>
  <c r="F112" i="13"/>
  <c r="D5" i="14"/>
  <c r="G5" i="14" s="1"/>
  <c r="J61" i="14" s="1"/>
  <c r="B6" i="14"/>
  <c r="E6" i="14" s="1"/>
  <c r="B8" i="14"/>
  <c r="E8" i="14" s="1"/>
  <c r="B10" i="14"/>
  <c r="E10" i="14" s="1"/>
  <c r="B12" i="14"/>
  <c r="E12" i="14" s="1"/>
  <c r="B14" i="14"/>
  <c r="E14" i="14" s="1"/>
  <c r="B16" i="14"/>
  <c r="E16" i="14" s="1"/>
  <c r="B18" i="14"/>
  <c r="E18" i="14" s="1"/>
  <c r="B20" i="14"/>
  <c r="E20" i="14" s="1"/>
  <c r="B22" i="14"/>
  <c r="E22" i="14" s="1"/>
  <c r="B24" i="14"/>
  <c r="E24" i="14" s="1"/>
  <c r="B26" i="14"/>
  <c r="E26" i="14" s="1"/>
  <c r="B28" i="14"/>
  <c r="E28" i="14" s="1"/>
  <c r="B30" i="14"/>
  <c r="E30" i="14" s="1"/>
  <c r="B32" i="14"/>
  <c r="E32" i="14" s="1"/>
  <c r="B34" i="14"/>
  <c r="E34" i="14" s="1"/>
  <c r="B36" i="14"/>
  <c r="E36" i="14" s="1"/>
  <c r="B38" i="14"/>
  <c r="E38" i="14" s="1"/>
  <c r="B40" i="14"/>
  <c r="E40" i="14" s="1"/>
  <c r="B42" i="14"/>
  <c r="E42" i="14" s="1"/>
  <c r="B44" i="14"/>
  <c r="E44" i="14" s="1"/>
  <c r="B46" i="14"/>
  <c r="E46" i="14" s="1"/>
  <c r="B48" i="14"/>
  <c r="E48" i="14" s="1"/>
  <c r="B50" i="14"/>
  <c r="E50" i="14" s="1"/>
  <c r="B52" i="14"/>
  <c r="E52" i="14" s="1"/>
  <c r="B54" i="14"/>
  <c r="E54" i="14" s="1"/>
  <c r="B56" i="14"/>
  <c r="E56" i="14" s="1"/>
  <c r="B58" i="14"/>
  <c r="E58" i="14" s="1"/>
  <c r="B60" i="14"/>
  <c r="E60" i="14" s="1"/>
  <c r="B62" i="14"/>
  <c r="E62" i="14" s="1"/>
  <c r="B64" i="14"/>
  <c r="E64" i="14" s="1"/>
  <c r="B66" i="14"/>
  <c r="E66" i="14" s="1"/>
  <c r="B68" i="14"/>
  <c r="E68" i="14" s="1"/>
  <c r="B70" i="14"/>
  <c r="E70" i="14" s="1"/>
  <c r="B72" i="14"/>
  <c r="E72" i="14" s="1"/>
  <c r="B74" i="14"/>
  <c r="E74" i="14" s="1"/>
  <c r="B76" i="14"/>
  <c r="E76" i="14" s="1"/>
  <c r="B78" i="14"/>
  <c r="E78" i="14" s="1"/>
  <c r="B80" i="14"/>
  <c r="E80" i="14" s="1"/>
  <c r="B82" i="14"/>
  <c r="E82" i="14" s="1"/>
  <c r="B84" i="14"/>
  <c r="E84" i="14" s="1"/>
  <c r="B86" i="14"/>
  <c r="E86" i="14" s="1"/>
  <c r="B88" i="14"/>
  <c r="E88" i="14" s="1"/>
  <c r="B90" i="14"/>
  <c r="E90" i="14" s="1"/>
  <c r="B92" i="14"/>
  <c r="E92" i="14" s="1"/>
  <c r="B94" i="14"/>
  <c r="E94" i="14" s="1"/>
  <c r="B96" i="14"/>
  <c r="E96" i="14" s="1"/>
  <c r="B98" i="14"/>
  <c r="E98" i="14" s="1"/>
  <c r="B100" i="14"/>
  <c r="E100" i="14" s="1"/>
  <c r="B102" i="14"/>
  <c r="E102" i="14" s="1"/>
  <c r="B104" i="14"/>
  <c r="E104" i="14" s="1"/>
  <c r="B106" i="14"/>
  <c r="E106" i="14" s="1"/>
  <c r="B108" i="14"/>
  <c r="E108" i="14" s="1"/>
  <c r="B110" i="14"/>
  <c r="E110" i="14" s="1"/>
  <c r="B112" i="14"/>
  <c r="E112" i="14" s="1"/>
  <c r="B114" i="14"/>
  <c r="E114" i="14" s="1"/>
  <c r="H114" i="14" s="1"/>
  <c r="B116" i="14"/>
  <c r="E116" i="14" s="1"/>
  <c r="B118" i="14"/>
  <c r="E118" i="14" s="1"/>
  <c r="B120" i="14"/>
  <c r="E120" i="14" s="1"/>
  <c r="A14" i="18"/>
  <c r="A408" i="17"/>
  <c r="A146" i="17"/>
  <c r="A277" i="17"/>
  <c r="A16" i="18"/>
  <c r="G4" i="18"/>
  <c r="A279" i="17"/>
  <c r="A410" i="17"/>
  <c r="A18" i="18"/>
  <c r="A412" i="17"/>
  <c r="I4" i="18"/>
  <c r="A150" i="17"/>
  <c r="A281" i="17"/>
  <c r="A20" i="18"/>
  <c r="K4" i="18"/>
  <c r="A283" i="17"/>
  <c r="A22" i="18"/>
  <c r="A416" i="17"/>
  <c r="A154" i="17"/>
  <c r="M4" i="18"/>
  <c r="A285" i="17"/>
  <c r="A24" i="18"/>
  <c r="O4" i="18"/>
  <c r="A418" i="17"/>
  <c r="A287" i="17"/>
  <c r="A26" i="18"/>
  <c r="A420" i="17"/>
  <c r="Q4" i="18"/>
  <c r="A158" i="17"/>
  <c r="A289" i="17"/>
  <c r="A28" i="18"/>
  <c r="S4" i="18"/>
  <c r="A422" i="17"/>
  <c r="A291" i="17"/>
  <c r="A30" i="18"/>
  <c r="A424" i="17"/>
  <c r="U4" i="18"/>
  <c r="A162" i="17"/>
  <c r="A293" i="17"/>
  <c r="A32" i="18"/>
  <c r="W4" i="18"/>
  <c r="A426" i="17"/>
  <c r="A295" i="17"/>
  <c r="A34" i="18"/>
  <c r="A428" i="17"/>
  <c r="Y4" i="18"/>
  <c r="A166" i="17"/>
  <c r="A297" i="17"/>
  <c r="A36" i="18"/>
  <c r="AA4" i="18"/>
  <c r="A430" i="17"/>
  <c r="A299" i="17"/>
  <c r="A38" i="18"/>
  <c r="A432" i="17"/>
  <c r="AC4" i="18"/>
  <c r="A170" i="17"/>
  <c r="A301" i="17"/>
  <c r="A40" i="18"/>
  <c r="AE4" i="18"/>
  <c r="A434" i="17"/>
  <c r="A303" i="17"/>
  <c r="A42" i="18"/>
  <c r="A436" i="17"/>
  <c r="AG4" i="18"/>
  <c r="A174" i="17"/>
  <c r="A305" i="17"/>
  <c r="A44" i="18"/>
  <c r="AI4" i="18"/>
  <c r="A438" i="17"/>
  <c r="A307" i="17"/>
  <c r="A46" i="18"/>
  <c r="A440" i="17"/>
  <c r="A178" i="17"/>
  <c r="A309" i="17"/>
  <c r="A48" i="18"/>
  <c r="AM4" i="18"/>
  <c r="A442" i="17"/>
  <c r="A311" i="17"/>
  <c r="A50" i="18"/>
  <c r="A444" i="17"/>
  <c r="AO4" i="18"/>
  <c r="A182" i="17"/>
  <c r="A313" i="17"/>
  <c r="A52" i="18"/>
  <c r="AQ4" i="18"/>
  <c r="A446" i="17"/>
  <c r="A315" i="17"/>
  <c r="A54" i="18"/>
  <c r="A448" i="17"/>
  <c r="A186" i="17"/>
  <c r="AS4" i="18"/>
  <c r="A317" i="17"/>
  <c r="A56" i="18"/>
  <c r="AU4" i="18"/>
  <c r="A450" i="17"/>
  <c r="A319" i="17"/>
  <c r="A58" i="18"/>
  <c r="A452" i="17"/>
  <c r="AW4" i="18"/>
  <c r="A190" i="17"/>
  <c r="A321" i="17"/>
  <c r="A60" i="18"/>
  <c r="AY4" i="18"/>
  <c r="A454" i="17"/>
  <c r="A323" i="17"/>
  <c r="A456" i="17"/>
  <c r="A62" i="18"/>
  <c r="BA4" i="18"/>
  <c r="A194" i="17"/>
  <c r="A325" i="17"/>
  <c r="A64" i="18"/>
  <c r="BC4" i="18"/>
  <c r="A458" i="17"/>
  <c r="A327" i="17"/>
  <c r="A66" i="18"/>
  <c r="A460" i="17"/>
  <c r="BE4" i="18"/>
  <c r="A198" i="17"/>
  <c r="A329" i="17"/>
  <c r="A68" i="18"/>
  <c r="BG4" i="18"/>
  <c r="A462" i="17"/>
  <c r="A331" i="17"/>
  <c r="A70" i="18"/>
  <c r="A464" i="17"/>
  <c r="BI4" i="18"/>
  <c r="A202" i="17"/>
  <c r="A333" i="17"/>
  <c r="A72" i="18"/>
  <c r="BK4" i="18"/>
  <c r="A466" i="17"/>
  <c r="A335" i="17"/>
  <c r="A74" i="18"/>
  <c r="A468" i="17"/>
  <c r="BM4" i="18"/>
  <c r="A206" i="17"/>
  <c r="A337" i="17"/>
  <c r="A76" i="18"/>
  <c r="BO4" i="18"/>
  <c r="A470" i="17"/>
  <c r="A339" i="17"/>
  <c r="A78" i="18"/>
  <c r="A472" i="17"/>
  <c r="A210" i="17"/>
  <c r="A341" i="17"/>
  <c r="A80" i="18"/>
  <c r="BS4" i="18"/>
  <c r="A474" i="17"/>
  <c r="A343" i="17"/>
  <c r="A82" i="18"/>
  <c r="A476" i="17"/>
  <c r="BU4" i="18"/>
  <c r="A214" i="17"/>
  <c r="A345" i="17"/>
  <c r="A84" i="18"/>
  <c r="BW4" i="18"/>
  <c r="A478" i="17"/>
  <c r="A347" i="17"/>
  <c r="A86" i="18"/>
  <c r="A480" i="17"/>
  <c r="A218" i="17"/>
  <c r="BY4" i="18"/>
  <c r="A349" i="17"/>
  <c r="A88" i="18"/>
  <c r="CA4" i="18"/>
  <c r="A482" i="17"/>
  <c r="A351" i="17"/>
  <c r="A90" i="18"/>
  <c r="A484" i="17"/>
  <c r="CC4" i="18"/>
  <c r="A222" i="17"/>
  <c r="A353" i="17"/>
  <c r="A92" i="18"/>
  <c r="CE4" i="18"/>
  <c r="A486" i="17"/>
  <c r="A355" i="17"/>
  <c r="A94" i="18"/>
  <c r="A488" i="17"/>
  <c r="CG4" i="18"/>
  <c r="A226" i="17"/>
  <c r="A357" i="17"/>
  <c r="A96" i="18"/>
  <c r="CI4" i="18"/>
  <c r="A490" i="17"/>
  <c r="A359" i="17"/>
  <c r="A98" i="18"/>
  <c r="A492" i="17"/>
  <c r="CK4" i="18"/>
  <c r="A230" i="17"/>
  <c r="A361" i="17"/>
  <c r="A100" i="18"/>
  <c r="CM4" i="18"/>
  <c r="A494" i="17"/>
  <c r="A363" i="17"/>
  <c r="A102" i="18"/>
  <c r="A496" i="17"/>
  <c r="CO4" i="18"/>
  <c r="A234" i="17"/>
  <c r="A365" i="17"/>
  <c r="A104" i="18"/>
  <c r="CQ4" i="18"/>
  <c r="A498" i="17"/>
  <c r="A367" i="17"/>
  <c r="A106" i="18"/>
  <c r="A500" i="17"/>
  <c r="CS4" i="18"/>
  <c r="A238" i="17"/>
  <c r="A369" i="17"/>
  <c r="A108" i="18"/>
  <c r="CU4" i="18"/>
  <c r="A502" i="17"/>
  <c r="A371" i="17"/>
  <c r="A110" i="18"/>
  <c r="A504" i="17"/>
  <c r="A242" i="17"/>
  <c r="A373" i="17"/>
  <c r="A112" i="18"/>
  <c r="CY4" i="18"/>
  <c r="A506" i="17"/>
  <c r="A375" i="17"/>
  <c r="A114" i="18"/>
  <c r="A508" i="17"/>
  <c r="DA4" i="18"/>
  <c r="A246" i="17"/>
  <c r="A377" i="17"/>
  <c r="A116" i="18"/>
  <c r="DC4" i="18"/>
  <c r="A510" i="17"/>
  <c r="A379" i="17"/>
  <c r="A118" i="18"/>
  <c r="A512" i="17"/>
  <c r="A250" i="17"/>
  <c r="DE4" i="18"/>
  <c r="A381" i="17"/>
  <c r="A120" i="18"/>
  <c r="DG4" i="18"/>
  <c r="A514" i="17"/>
  <c r="A383" i="17"/>
  <c r="A122" i="18"/>
  <c r="A516" i="17"/>
  <c r="DI4" i="18"/>
  <c r="A254" i="17"/>
  <c r="A385" i="17"/>
  <c r="A124" i="18"/>
  <c r="DK4" i="18"/>
  <c r="A518" i="17"/>
  <c r="A387" i="17"/>
  <c r="A126" i="18"/>
  <c r="A520" i="17"/>
  <c r="DM4" i="18"/>
  <c r="A258" i="17"/>
  <c r="A389" i="17"/>
  <c r="A128" i="18"/>
  <c r="DO4" i="18"/>
  <c r="A522" i="17"/>
  <c r="A391" i="17"/>
  <c r="A130" i="18"/>
  <c r="A524" i="17"/>
  <c r="A393" i="17"/>
  <c r="DQ4" i="18"/>
  <c r="A262" i="17"/>
  <c r="A15" i="17"/>
  <c r="A19" i="17"/>
  <c r="A23" i="17"/>
  <c r="A27" i="17"/>
  <c r="A31" i="17"/>
  <c r="A35" i="17"/>
  <c r="A39" i="17"/>
  <c r="A43" i="17"/>
  <c r="A47" i="17"/>
  <c r="A51" i="17"/>
  <c r="A55" i="17"/>
  <c r="A59" i="17"/>
  <c r="A63" i="17"/>
  <c r="A67" i="17"/>
  <c r="A71" i="17"/>
  <c r="A75" i="17"/>
  <c r="A79" i="17"/>
  <c r="A83" i="17"/>
  <c r="A87" i="17"/>
  <c r="A91" i="17"/>
  <c r="A95" i="17"/>
  <c r="A99" i="17"/>
  <c r="A103" i="17"/>
  <c r="A107" i="17"/>
  <c r="A111" i="17"/>
  <c r="A115" i="17"/>
  <c r="A119" i="17"/>
  <c r="A131" i="17"/>
  <c r="A152" i="17"/>
  <c r="A160" i="17"/>
  <c r="A168" i="17"/>
  <c r="A176" i="17"/>
  <c r="A184" i="17"/>
  <c r="A192" i="17"/>
  <c r="A200" i="17"/>
  <c r="A208" i="17"/>
  <c r="A216" i="17"/>
  <c r="A224" i="17"/>
  <c r="A232" i="17"/>
  <c r="A240" i="17"/>
  <c r="A248" i="17"/>
  <c r="A256" i="17"/>
  <c r="A414" i="17"/>
  <c r="AK4" i="18"/>
  <c r="A127" i="17"/>
  <c r="A129" i="17"/>
  <c r="BQ4" i="18"/>
  <c r="F12" i="19"/>
  <c r="H12" i="19"/>
  <c r="G12" i="19"/>
  <c r="C13" i="19"/>
  <c r="G13" i="19" s="1"/>
  <c r="H5" i="19"/>
  <c r="F5" i="19"/>
  <c r="G5" i="19"/>
  <c r="H7" i="19"/>
  <c r="F7" i="19"/>
  <c r="G7" i="19"/>
  <c r="M9" i="19"/>
  <c r="D27" i="20" s="1"/>
  <c r="H6" i="19"/>
  <c r="F6" i="19"/>
  <c r="F8" i="19"/>
  <c r="H8" i="19"/>
  <c r="G8" i="19"/>
  <c r="F10" i="19"/>
  <c r="H10" i="19"/>
  <c r="G10" i="19"/>
  <c r="L5" i="19"/>
  <c r="C23" i="20" s="1"/>
  <c r="X17" i="20" s="1"/>
  <c r="M5" i="19"/>
  <c r="D23" i="20" s="1"/>
  <c r="L6" i="19"/>
  <c r="C24" i="20" s="1"/>
  <c r="M6" i="19"/>
  <c r="D24" i="20" s="1"/>
  <c r="L7" i="19"/>
  <c r="C25" i="20" s="1"/>
  <c r="M7" i="19"/>
  <c r="D25" i="20" s="1"/>
  <c r="L8" i="19"/>
  <c r="C26" i="20" s="1"/>
  <c r="L10" i="19"/>
  <c r="C28" i="20" s="1"/>
  <c r="L12" i="19"/>
  <c r="C30" i="20" s="1"/>
  <c r="Y17" i="20" s="1"/>
  <c r="Z17" i="20"/>
  <c r="M8" i="19"/>
  <c r="D26" i="20" s="1"/>
  <c r="F9" i="19"/>
  <c r="H9" i="19"/>
  <c r="K9" i="19" s="1"/>
  <c r="B27" i="20" s="1"/>
  <c r="M10" i="19"/>
  <c r="D28" i="20" s="1"/>
  <c r="F11" i="19"/>
  <c r="H11" i="19"/>
  <c r="M12" i="19"/>
  <c r="D30" i="20" s="1"/>
  <c r="Y18" i="20" s="1"/>
  <c r="L11" i="19"/>
  <c r="C29" i="20" s="1"/>
  <c r="Z18" i="20"/>
  <c r="X18" i="20"/>
  <c r="M5" i="23"/>
  <c r="D23" i="24" s="1"/>
  <c r="X18" i="24" s="1"/>
  <c r="M18" i="23"/>
  <c r="D36" i="24" s="1"/>
  <c r="M7" i="23"/>
  <c r="D25" i="24" s="1"/>
  <c r="I5" i="23"/>
  <c r="F5" i="23"/>
  <c r="I7" i="23"/>
  <c r="F7" i="23"/>
  <c r="D20" i="23"/>
  <c r="G20" i="23" s="1"/>
  <c r="M6" i="23"/>
  <c r="D24" i="24" s="1"/>
  <c r="I6" i="23"/>
  <c r="L6" i="23" s="1"/>
  <c r="C24" i="24" s="1"/>
  <c r="F6" i="23"/>
  <c r="M8" i="23"/>
  <c r="D26" i="24" s="1"/>
  <c r="Z18" i="24" s="1"/>
  <c r="M12" i="23"/>
  <c r="D30" i="24" s="1"/>
  <c r="M15" i="23"/>
  <c r="D33" i="24" s="1"/>
  <c r="M17" i="23"/>
  <c r="D35" i="24" s="1"/>
  <c r="M11" i="23"/>
  <c r="D29" i="24" s="1"/>
  <c r="L15" i="23"/>
  <c r="C33" i="24" s="1"/>
  <c r="M10" i="23"/>
  <c r="D28" i="24" s="1"/>
  <c r="M14" i="23"/>
  <c r="D32" i="24" s="1"/>
  <c r="M16" i="23"/>
  <c r="D34" i="24" s="1"/>
  <c r="M19" i="23"/>
  <c r="D37" i="24" s="1"/>
  <c r="G6" i="23"/>
  <c r="G7" i="23"/>
  <c r="M9" i="23"/>
  <c r="D27" i="24" s="1"/>
  <c r="L13" i="23"/>
  <c r="C31" i="24" s="1"/>
  <c r="M13" i="23"/>
  <c r="D31" i="24" s="1"/>
  <c r="G5" i="23"/>
  <c r="G15" i="23"/>
  <c r="G16" i="23"/>
  <c r="G17" i="23"/>
  <c r="H18" i="23"/>
  <c r="K11" i="23" s="1"/>
  <c r="B29" i="24" s="1"/>
  <c r="Y18" i="24"/>
  <c r="F19" i="23"/>
  <c r="H19" i="23"/>
  <c r="K19" i="23" s="1"/>
  <c r="B37" i="24" s="1"/>
  <c r="C42" i="18" l="1"/>
  <c r="AG6" i="18"/>
  <c r="C436" i="17"/>
  <c r="C305" i="17"/>
  <c r="C174" i="17"/>
  <c r="C51" i="15"/>
  <c r="C43" i="17"/>
  <c r="C14" i="18"/>
  <c r="E6" i="18"/>
  <c r="C277" i="17"/>
  <c r="X271" i="17" s="1"/>
  <c r="C408" i="17"/>
  <c r="C23" i="15"/>
  <c r="X17" i="15" s="1"/>
  <c r="C15" i="17"/>
  <c r="C146" i="17"/>
  <c r="K13" i="5"/>
  <c r="K7" i="5"/>
  <c r="K5" i="5"/>
  <c r="K11" i="5"/>
  <c r="K9" i="5"/>
  <c r="D70" i="18"/>
  <c r="BI7" i="18"/>
  <c r="D464" i="17"/>
  <c r="D79" i="15"/>
  <c r="D333" i="17"/>
  <c r="D202" i="17"/>
  <c r="D71" i="17"/>
  <c r="S5" i="18"/>
  <c r="B422" i="17"/>
  <c r="B160" i="17"/>
  <c r="B291" i="17"/>
  <c r="B28" i="18"/>
  <c r="B29" i="17"/>
  <c r="B37" i="15"/>
  <c r="D24" i="7"/>
  <c r="D25" i="7"/>
  <c r="K8" i="23"/>
  <c r="B26" i="24" s="1"/>
  <c r="K16" i="23"/>
  <c r="B34" i="24" s="1"/>
  <c r="K10" i="23"/>
  <c r="B28" i="24" s="1"/>
  <c r="L5" i="23"/>
  <c r="C23" i="24" s="1"/>
  <c r="X17" i="24" s="1"/>
  <c r="B123" i="18"/>
  <c r="DJ5" i="18"/>
  <c r="B517" i="17"/>
  <c r="B386" i="17"/>
  <c r="B124" i="17"/>
  <c r="B132" i="15"/>
  <c r="B255" i="17"/>
  <c r="H98" i="14"/>
  <c r="H82" i="14"/>
  <c r="H66" i="14"/>
  <c r="H42" i="14"/>
  <c r="H26" i="14"/>
  <c r="D127" i="18"/>
  <c r="D521" i="17"/>
  <c r="DN7" i="18"/>
  <c r="D259" i="17"/>
  <c r="D390" i="17"/>
  <c r="D128" i="17"/>
  <c r="D136" i="15"/>
  <c r="J86" i="14"/>
  <c r="C67" i="18"/>
  <c r="BF6" i="18"/>
  <c r="C461" i="17"/>
  <c r="C199" i="17"/>
  <c r="C68" i="17"/>
  <c r="C330" i="17"/>
  <c r="C76" i="15"/>
  <c r="I50" i="14"/>
  <c r="I18" i="14"/>
  <c r="J92" i="14"/>
  <c r="J64" i="14"/>
  <c r="J56" i="14"/>
  <c r="J48" i="14"/>
  <c r="J36" i="14"/>
  <c r="H27" i="14"/>
  <c r="H7" i="14"/>
  <c r="H109" i="14"/>
  <c r="I96" i="14"/>
  <c r="J55" i="14"/>
  <c r="J30" i="14"/>
  <c r="J93" i="14"/>
  <c r="I12" i="14"/>
  <c r="J103" i="14"/>
  <c r="H85" i="14"/>
  <c r="H49" i="14"/>
  <c r="H11" i="14"/>
  <c r="A23" i="22"/>
  <c r="B5" i="21"/>
  <c r="J41" i="14"/>
  <c r="J120" i="14"/>
  <c r="I60" i="14"/>
  <c r="F9" i="5"/>
  <c r="I86" i="14"/>
  <c r="I118" i="14"/>
  <c r="J97" i="14"/>
  <c r="J13" i="14"/>
  <c r="L19" i="23"/>
  <c r="C37" i="24" s="1"/>
  <c r="K11" i="19"/>
  <c r="B29" i="20" s="1"/>
  <c r="K7" i="19"/>
  <c r="B25" i="20" s="1"/>
  <c r="H112" i="14"/>
  <c r="H88" i="14"/>
  <c r="H80" i="14"/>
  <c r="H48" i="14"/>
  <c r="H40" i="14"/>
  <c r="H8" i="14"/>
  <c r="J94" i="14"/>
  <c r="J14" i="14"/>
  <c r="H121" i="14"/>
  <c r="H113" i="14"/>
  <c r="J100" i="14"/>
  <c r="H81" i="14"/>
  <c r="J68" i="14"/>
  <c r="H31" i="14"/>
  <c r="J24" i="14"/>
  <c r="H15" i="14"/>
  <c r="I121" i="14"/>
  <c r="I117" i="14"/>
  <c r="I113" i="14"/>
  <c r="I109" i="14"/>
  <c r="I105" i="14"/>
  <c r="I101" i="14"/>
  <c r="I97" i="14"/>
  <c r="I93" i="14"/>
  <c r="I89" i="14"/>
  <c r="I85" i="14"/>
  <c r="I81" i="14"/>
  <c r="I77" i="14"/>
  <c r="I73" i="14"/>
  <c r="I69" i="14"/>
  <c r="I65" i="14"/>
  <c r="I61" i="14"/>
  <c r="I57" i="14"/>
  <c r="I53" i="14"/>
  <c r="I49" i="14"/>
  <c r="I45" i="14"/>
  <c r="J37" i="14"/>
  <c r="I25" i="14"/>
  <c r="J115" i="14"/>
  <c r="H111" i="14"/>
  <c r="I106" i="14"/>
  <c r="J95" i="14"/>
  <c r="H77" i="14"/>
  <c r="J54" i="14"/>
  <c r="J47" i="14"/>
  <c r="I40" i="14"/>
  <c r="J22" i="14"/>
  <c r="J15" i="14"/>
  <c r="J81" i="14"/>
  <c r="J25" i="14"/>
  <c r="I88" i="14"/>
  <c r="H53" i="14"/>
  <c r="J11" i="14"/>
  <c r="H119" i="14"/>
  <c r="I114" i="14"/>
  <c r="I92" i="14"/>
  <c r="H87" i="14"/>
  <c r="I82" i="14"/>
  <c r="H57" i="14"/>
  <c r="H25" i="14"/>
  <c r="E28" i="7"/>
  <c r="E5" i="21"/>
  <c r="J5" i="21" s="1"/>
  <c r="D53" i="9"/>
  <c r="H6" i="2"/>
  <c r="H5" i="2"/>
  <c r="J85" i="14"/>
  <c r="I29" i="14"/>
  <c r="H103" i="14"/>
  <c r="I112" i="14"/>
  <c r="J98" i="14"/>
  <c r="I80" i="14"/>
  <c r="J67" i="14"/>
  <c r="J59" i="14"/>
  <c r="J51" i="14"/>
  <c r="J43" i="14"/>
  <c r="J35" i="14"/>
  <c r="J27" i="14"/>
  <c r="J19" i="14"/>
  <c r="K12" i="5"/>
  <c r="K8" i="5"/>
  <c r="J113" i="14"/>
  <c r="J65" i="14"/>
  <c r="I94" i="14"/>
  <c r="J75" i="14"/>
  <c r="I13" i="5"/>
  <c r="F8" i="5"/>
  <c r="K5" i="19"/>
  <c r="B23" i="20" s="1"/>
  <c r="H58" i="14"/>
  <c r="Z6" i="18"/>
  <c r="C429" i="17"/>
  <c r="C35" i="18"/>
  <c r="C167" i="17"/>
  <c r="C36" i="17"/>
  <c r="C298" i="17"/>
  <c r="C44" i="15"/>
  <c r="J40" i="14"/>
  <c r="I41" i="14"/>
  <c r="J62" i="14"/>
  <c r="I16" i="14"/>
  <c r="J45" i="14"/>
  <c r="H17" i="14"/>
  <c r="H61" i="14"/>
  <c r="I68" i="14"/>
  <c r="I28" i="14"/>
  <c r="F5" i="5"/>
  <c r="H37" i="14"/>
  <c r="H104" i="14"/>
  <c r="H64" i="14"/>
  <c r="H24" i="14"/>
  <c r="H75" i="14"/>
  <c r="L16" i="23"/>
  <c r="C34" i="24" s="1"/>
  <c r="K8" i="19"/>
  <c r="B26" i="20" s="1"/>
  <c r="X140" i="17"/>
  <c r="H118" i="14"/>
  <c r="H110" i="14"/>
  <c r="H102" i="14"/>
  <c r="H94" i="14"/>
  <c r="H86" i="14"/>
  <c r="H78" i="14"/>
  <c r="H70" i="14"/>
  <c r="H62" i="14"/>
  <c r="H54" i="14"/>
  <c r="H46" i="14"/>
  <c r="H38" i="14"/>
  <c r="H30" i="14"/>
  <c r="H22" i="14"/>
  <c r="H14" i="14"/>
  <c r="H6" i="14"/>
  <c r="H115" i="14"/>
  <c r="J102" i="14"/>
  <c r="H83" i="14"/>
  <c r="J70" i="14"/>
  <c r="I62" i="14"/>
  <c r="I54" i="14"/>
  <c r="I46" i="14"/>
  <c r="I38" i="14"/>
  <c r="I30" i="14"/>
  <c r="I22" i="14"/>
  <c r="J121" i="14"/>
  <c r="I27" i="14"/>
  <c r="I23" i="14"/>
  <c r="I19" i="14"/>
  <c r="I15" i="14"/>
  <c r="J108" i="14"/>
  <c r="H89" i="14"/>
  <c r="J76" i="14"/>
  <c r="H63" i="14"/>
  <c r="H59" i="14"/>
  <c r="H55" i="14"/>
  <c r="H51" i="14"/>
  <c r="H47" i="14"/>
  <c r="H43" i="14"/>
  <c r="H39" i="14"/>
  <c r="H35" i="14"/>
  <c r="J28" i="14"/>
  <c r="J8" i="14"/>
  <c r="J21" i="14"/>
  <c r="I14" i="14"/>
  <c r="J104" i="14"/>
  <c r="I84" i="14"/>
  <c r="H79" i="14"/>
  <c r="I74" i="14"/>
  <c r="I64" i="14"/>
  <c r="J46" i="14"/>
  <c r="J39" i="14"/>
  <c r="I32" i="14"/>
  <c r="I11" i="14"/>
  <c r="F122" i="13"/>
  <c r="J117" i="14"/>
  <c r="J73" i="14"/>
  <c r="I13" i="14"/>
  <c r="I76" i="14"/>
  <c r="J10" i="14"/>
  <c r="I37" i="14"/>
  <c r="J112" i="14"/>
  <c r="J91" i="14"/>
  <c r="J80" i="14"/>
  <c r="H65" i="14"/>
  <c r="H33" i="14"/>
  <c r="C16" i="5"/>
  <c r="A20" i="1" s="1"/>
  <c r="A13" i="11"/>
  <c r="J29" i="11"/>
  <c r="J69" i="14"/>
  <c r="I9" i="14"/>
  <c r="J96" i="14"/>
  <c r="H45" i="14"/>
  <c r="J111" i="14"/>
  <c r="H93" i="14"/>
  <c r="J79" i="14"/>
  <c r="J66" i="14"/>
  <c r="J58" i="14"/>
  <c r="J50" i="14"/>
  <c r="J42" i="14"/>
  <c r="J34" i="14"/>
  <c r="J26" i="14"/>
  <c r="J18" i="14"/>
  <c r="I8" i="14"/>
  <c r="E27" i="7"/>
  <c r="D27" i="7"/>
  <c r="F11" i="5"/>
  <c r="F7" i="5"/>
  <c r="A17" i="1" s="1"/>
  <c r="J105" i="14"/>
  <c r="I70" i="14"/>
  <c r="I102" i="14"/>
  <c r="I120" i="14"/>
  <c r="H101" i="14"/>
  <c r="H69" i="14"/>
  <c r="H21" i="14"/>
  <c r="F18" i="7"/>
  <c r="F5" i="7"/>
  <c r="F16" i="7"/>
  <c r="F14" i="7"/>
  <c r="F10" i="7"/>
  <c r="F6" i="7"/>
  <c r="F13" i="7"/>
  <c r="F9" i="7"/>
  <c r="F10" i="5"/>
  <c r="F12" i="5"/>
  <c r="F8" i="7"/>
  <c r="K18" i="23"/>
  <c r="B36" i="24" s="1"/>
  <c r="Z16" i="20"/>
  <c r="Z27" i="20" s="1"/>
  <c r="H106" i="14"/>
  <c r="H90" i="14"/>
  <c r="H74" i="14"/>
  <c r="H50" i="14"/>
  <c r="H34" i="14"/>
  <c r="H18" i="14"/>
  <c r="H10" i="14"/>
  <c r="H99" i="14"/>
  <c r="C75" i="18"/>
  <c r="BN6" i="18"/>
  <c r="C469" i="17"/>
  <c r="C338" i="17"/>
  <c r="C207" i="17"/>
  <c r="C76" i="17"/>
  <c r="C84" i="15"/>
  <c r="I42" i="14"/>
  <c r="I34" i="14"/>
  <c r="H5" i="14"/>
  <c r="H105" i="14"/>
  <c r="H73" i="14"/>
  <c r="J60" i="14"/>
  <c r="J52" i="14"/>
  <c r="J44" i="14"/>
  <c r="J20" i="14"/>
  <c r="I116" i="14"/>
  <c r="J82" i="14"/>
  <c r="I48" i="14"/>
  <c r="J23" i="14"/>
  <c r="I10" i="14"/>
  <c r="L5" i="2"/>
  <c r="I5" i="2"/>
  <c r="F5" i="21" s="1"/>
  <c r="J106" i="14"/>
  <c r="J17" i="14"/>
  <c r="H117" i="14"/>
  <c r="J71" i="14"/>
  <c r="B33" i="5"/>
  <c r="B20" i="5"/>
  <c r="A6" i="4"/>
  <c r="A6" i="21"/>
  <c r="A54" i="9"/>
  <c r="A14" i="11" s="1"/>
  <c r="B6" i="2"/>
  <c r="A7" i="2"/>
  <c r="E6" i="2"/>
  <c r="P6" i="2"/>
  <c r="D6" i="2"/>
  <c r="N6" i="2"/>
  <c r="E54" i="9" s="1"/>
  <c r="C6" i="2"/>
  <c r="J109" i="14"/>
  <c r="H9" i="14"/>
  <c r="J99" i="14"/>
  <c r="J88" i="14"/>
  <c r="I52" i="14"/>
  <c r="I44" i="14"/>
  <c r="I36" i="14"/>
  <c r="I20" i="14"/>
  <c r="J77" i="14"/>
  <c r="J87" i="14"/>
  <c r="H5" i="21"/>
  <c r="G5" i="21"/>
  <c r="F6" i="5"/>
  <c r="K12" i="23"/>
  <c r="B30" i="24" s="1"/>
  <c r="K7" i="23"/>
  <c r="B25" i="24" s="1"/>
  <c r="K5" i="23"/>
  <c r="B23" i="24" s="1"/>
  <c r="L10" i="23"/>
  <c r="C28" i="24" s="1"/>
  <c r="K14" i="23"/>
  <c r="B32" i="24" s="1"/>
  <c r="K15" i="23"/>
  <c r="B33" i="24" s="1"/>
  <c r="L18" i="23"/>
  <c r="C36" i="24" s="1"/>
  <c r="Y17" i="24" s="1"/>
  <c r="K6" i="19"/>
  <c r="B24" i="20" s="1"/>
  <c r="H120" i="14"/>
  <c r="H96" i="14"/>
  <c r="H72" i="14"/>
  <c r="H56" i="14"/>
  <c r="H32" i="14"/>
  <c r="H16" i="14"/>
  <c r="H107" i="14"/>
  <c r="J6" i="14"/>
  <c r="L14" i="23"/>
  <c r="C32" i="24" s="1"/>
  <c r="K9" i="23"/>
  <c r="B27" i="24" s="1"/>
  <c r="L8" i="23"/>
  <c r="C26" i="24" s="1"/>
  <c r="Z17" i="24" s="1"/>
  <c r="L7" i="23"/>
  <c r="C25" i="24" s="1"/>
  <c r="K10" i="19"/>
  <c r="B28" i="20" s="1"/>
  <c r="L9" i="23"/>
  <c r="C27" i="24" s="1"/>
  <c r="K6" i="23"/>
  <c r="B24" i="24" s="1"/>
  <c r="K13" i="23"/>
  <c r="B31" i="24" s="1"/>
  <c r="L17" i="23"/>
  <c r="C35" i="24" s="1"/>
  <c r="L11" i="23"/>
  <c r="C29" i="24" s="1"/>
  <c r="K17" i="23"/>
  <c r="B35" i="24" s="1"/>
  <c r="L12" i="23"/>
  <c r="C30" i="24" s="1"/>
  <c r="F20" i="23"/>
  <c r="F13" i="19"/>
  <c r="K12" i="19"/>
  <c r="B30" i="20" s="1"/>
  <c r="X9" i="17"/>
  <c r="X402" i="17"/>
  <c r="H116" i="14"/>
  <c r="H108" i="14"/>
  <c r="H100" i="14"/>
  <c r="H92" i="14"/>
  <c r="H84" i="14"/>
  <c r="H76" i="14"/>
  <c r="H68" i="14"/>
  <c r="H60" i="14"/>
  <c r="H52" i="14"/>
  <c r="H44" i="14"/>
  <c r="H36" i="14"/>
  <c r="H28" i="14"/>
  <c r="H20" i="14"/>
  <c r="H12" i="14"/>
  <c r="J5" i="14"/>
  <c r="J110" i="14"/>
  <c r="H91" i="14"/>
  <c r="J78" i="14"/>
  <c r="H13" i="14"/>
  <c r="I119" i="14"/>
  <c r="I115" i="14"/>
  <c r="I111" i="14"/>
  <c r="I107" i="14"/>
  <c r="I103" i="14"/>
  <c r="I99" i="14"/>
  <c r="I95" i="14"/>
  <c r="I91" i="14"/>
  <c r="I87" i="14"/>
  <c r="I83" i="14"/>
  <c r="I79" i="14"/>
  <c r="I75" i="14"/>
  <c r="I71" i="14"/>
  <c r="I67" i="14"/>
  <c r="I63" i="14"/>
  <c r="I59" i="14"/>
  <c r="I55" i="14"/>
  <c r="I51" i="14"/>
  <c r="I47" i="14"/>
  <c r="I43" i="14"/>
  <c r="I39" i="14"/>
  <c r="I35" i="14"/>
  <c r="I31" i="14"/>
  <c r="J116" i="14"/>
  <c r="H97" i="14"/>
  <c r="J84" i="14"/>
  <c r="H67" i="14"/>
  <c r="J32" i="14"/>
  <c r="H23" i="14"/>
  <c r="J16" i="14"/>
  <c r="I6" i="14"/>
  <c r="J114" i="14"/>
  <c r="J83" i="14"/>
  <c r="J72" i="14"/>
  <c r="J63" i="14"/>
  <c r="I56" i="14"/>
  <c r="J38" i="14"/>
  <c r="J31" i="14"/>
  <c r="I24" i="14"/>
  <c r="J101" i="14"/>
  <c r="J57" i="14"/>
  <c r="J119" i="14"/>
  <c r="J74" i="14"/>
  <c r="H29" i="14"/>
  <c r="J33" i="14"/>
  <c r="I21" i="14"/>
  <c r="I104" i="14"/>
  <c r="J90" i="14"/>
  <c r="I72" i="14"/>
  <c r="H41" i="14"/>
  <c r="D26" i="7"/>
  <c r="E26" i="7"/>
  <c r="G13" i="5"/>
  <c r="J53" i="14"/>
  <c r="J107" i="14"/>
  <c r="J29" i="14"/>
  <c r="I17" i="14"/>
  <c r="J9" i="14"/>
  <c r="I100" i="14"/>
  <c r="H95" i="14"/>
  <c r="I90" i="14"/>
  <c r="J12" i="14"/>
  <c r="J7" i="14"/>
  <c r="K10" i="5"/>
  <c r="K6" i="5"/>
  <c r="J89" i="14"/>
  <c r="J49" i="14"/>
  <c r="I78" i="14"/>
  <c r="I110" i="14"/>
  <c r="I108" i="14"/>
  <c r="I98" i="14"/>
  <c r="H71" i="14"/>
  <c r="I7" i="14"/>
  <c r="F19" i="7"/>
  <c r="G13" i="11"/>
  <c r="D6" i="21" l="1"/>
  <c r="I6" i="21" s="1"/>
  <c r="C54" i="9"/>
  <c r="G6" i="2"/>
  <c r="A7" i="21"/>
  <c r="B7" i="2"/>
  <c r="A55" i="9"/>
  <c r="A15" i="11" s="1"/>
  <c r="A8" i="2"/>
  <c r="E7" i="2"/>
  <c r="P7" i="2"/>
  <c r="D7" i="2"/>
  <c r="N7" i="2"/>
  <c r="E55" i="9" s="1"/>
  <c r="C7" i="2"/>
  <c r="B126" i="18"/>
  <c r="DM5" i="18"/>
  <c r="DM28" i="18" s="1"/>
  <c r="B258" i="17"/>
  <c r="B520" i="17"/>
  <c r="B389" i="17"/>
  <c r="B135" i="15"/>
  <c r="B127" i="17"/>
  <c r="B14" i="18"/>
  <c r="E5" i="18"/>
  <c r="B146" i="17"/>
  <c r="B277" i="17"/>
  <c r="B408" i="17"/>
  <c r="B15" i="17"/>
  <c r="B23" i="15"/>
  <c r="C79" i="18"/>
  <c r="BR6" i="18"/>
  <c r="C473" i="17"/>
  <c r="C342" i="17"/>
  <c r="C211" i="17"/>
  <c r="C80" i="17"/>
  <c r="C88" i="15"/>
  <c r="D120" i="18"/>
  <c r="DG7" i="18"/>
  <c r="D514" i="17"/>
  <c r="D252" i="17"/>
  <c r="D383" i="17"/>
  <c r="D121" i="17"/>
  <c r="D129" i="15"/>
  <c r="D82" i="18"/>
  <c r="BU7" i="18"/>
  <c r="D476" i="17"/>
  <c r="D214" i="17"/>
  <c r="D91" i="15"/>
  <c r="D83" i="17"/>
  <c r="D345" i="17"/>
  <c r="C73" i="18"/>
  <c r="BL6" i="18"/>
  <c r="C467" i="17"/>
  <c r="C205" i="17"/>
  <c r="C336" i="17"/>
  <c r="C74" i="17"/>
  <c r="C82" i="15"/>
  <c r="AU5" i="18"/>
  <c r="B56" i="18"/>
  <c r="B450" i="17"/>
  <c r="B319" i="17"/>
  <c r="B188" i="17"/>
  <c r="B57" i="17"/>
  <c r="B65" i="15"/>
  <c r="D130" i="18"/>
  <c r="DQ7" i="18"/>
  <c r="D524" i="17"/>
  <c r="D131" i="17"/>
  <c r="D393" i="17"/>
  <c r="D262" i="17"/>
  <c r="D139" i="15"/>
  <c r="B23" i="18"/>
  <c r="N5" i="18"/>
  <c r="N123" i="18" s="1"/>
  <c r="B417" i="17"/>
  <c r="B286" i="17"/>
  <c r="B32" i="15"/>
  <c r="B155" i="17"/>
  <c r="B24" i="17"/>
  <c r="B119" i="18"/>
  <c r="DF5" i="18"/>
  <c r="B513" i="17"/>
  <c r="B382" i="17"/>
  <c r="B128" i="15"/>
  <c r="B251" i="17"/>
  <c r="B120" i="17"/>
  <c r="B84" i="18"/>
  <c r="BW5" i="18"/>
  <c r="B478" i="17"/>
  <c r="B216" i="17"/>
  <c r="B85" i="17"/>
  <c r="B93" i="15"/>
  <c r="B347" i="17"/>
  <c r="D71" i="18"/>
  <c r="BJ7" i="18"/>
  <c r="D465" i="17"/>
  <c r="D203" i="17"/>
  <c r="D334" i="17"/>
  <c r="D72" i="17"/>
  <c r="D80" i="15"/>
  <c r="B112" i="18"/>
  <c r="CY5" i="18"/>
  <c r="CY123" i="18" s="1"/>
  <c r="B506" i="17"/>
  <c r="B375" i="17"/>
  <c r="B244" i="17"/>
  <c r="B113" i="17"/>
  <c r="B121" i="15"/>
  <c r="B62" i="18"/>
  <c r="BA5" i="18"/>
  <c r="BA28" i="18" s="1"/>
  <c r="B456" i="17"/>
  <c r="B194" i="17"/>
  <c r="B325" i="17"/>
  <c r="B63" i="17"/>
  <c r="B71" i="15"/>
  <c r="B120" i="18"/>
  <c r="DG5" i="18"/>
  <c r="B514" i="17"/>
  <c r="B383" i="17"/>
  <c r="B252" i="17"/>
  <c r="B121" i="17"/>
  <c r="B129" i="15"/>
  <c r="C86" i="18"/>
  <c r="BY6" i="18"/>
  <c r="C480" i="17"/>
  <c r="C349" i="17"/>
  <c r="C95" i="15"/>
  <c r="C218" i="17"/>
  <c r="C87" i="17"/>
  <c r="C118" i="18"/>
  <c r="DE6" i="18"/>
  <c r="C512" i="17"/>
  <c r="C381" i="17"/>
  <c r="C127" i="15"/>
  <c r="C250" i="17"/>
  <c r="C119" i="17"/>
  <c r="B49" i="18"/>
  <c r="B443" i="17"/>
  <c r="AN5" i="18"/>
  <c r="B181" i="17"/>
  <c r="B312" i="17"/>
  <c r="B58" i="15"/>
  <c r="B50" i="17"/>
  <c r="Z25" i="20"/>
  <c r="Y25" i="20"/>
  <c r="D112" i="18"/>
  <c r="CY7" i="18"/>
  <c r="D506" i="17"/>
  <c r="D244" i="17"/>
  <c r="D375" i="17"/>
  <c r="D113" i="17"/>
  <c r="D121" i="15"/>
  <c r="AA5" i="18"/>
  <c r="B36" i="18"/>
  <c r="B430" i="17"/>
  <c r="B168" i="17"/>
  <c r="B37" i="17"/>
  <c r="B45" i="15"/>
  <c r="B299" i="17"/>
  <c r="Y28" i="24"/>
  <c r="DD6" i="18"/>
  <c r="DD123" i="18" s="1"/>
  <c r="C117" i="18"/>
  <c r="C511" i="17"/>
  <c r="C249" i="17"/>
  <c r="C380" i="17"/>
  <c r="C118" i="17"/>
  <c r="C126" i="15"/>
  <c r="D98" i="18"/>
  <c r="CK7" i="18"/>
  <c r="D492" i="17"/>
  <c r="D230" i="17"/>
  <c r="D107" i="15"/>
  <c r="D99" i="17"/>
  <c r="D361" i="17"/>
  <c r="D16" i="18"/>
  <c r="G7" i="18"/>
  <c r="D410" i="17"/>
  <c r="AB403" i="17" s="1"/>
  <c r="D148" i="17"/>
  <c r="D279" i="17"/>
  <c r="AB272" i="17" s="1"/>
  <c r="D17" i="17"/>
  <c r="D25" i="15"/>
  <c r="C109" i="18"/>
  <c r="CV6" i="18"/>
  <c r="C503" i="17"/>
  <c r="C241" i="17"/>
  <c r="C372" i="17"/>
  <c r="C110" i="17"/>
  <c r="C118" i="15"/>
  <c r="D116" i="18"/>
  <c r="DC7" i="18"/>
  <c r="D248" i="17"/>
  <c r="D510" i="17"/>
  <c r="D379" i="17"/>
  <c r="D117" i="17"/>
  <c r="D125" i="15"/>
  <c r="C113" i="18"/>
  <c r="CZ6" i="18"/>
  <c r="C507" i="17"/>
  <c r="C245" i="17"/>
  <c r="C376" i="17"/>
  <c r="C114" i="17"/>
  <c r="C122" i="15"/>
  <c r="B38" i="18"/>
  <c r="AC5" i="18"/>
  <c r="B170" i="17"/>
  <c r="B301" i="17"/>
  <c r="B432" i="17"/>
  <c r="B39" i="17"/>
  <c r="B47" i="15"/>
  <c r="D110" i="18"/>
  <c r="CW7" i="18"/>
  <c r="CW28" i="18" s="1"/>
  <c r="D504" i="17"/>
  <c r="D373" i="17"/>
  <c r="D119" i="15"/>
  <c r="D242" i="17"/>
  <c r="D111" i="17"/>
  <c r="D47" i="18"/>
  <c r="D441" i="17"/>
  <c r="AL7" i="18"/>
  <c r="D179" i="17"/>
  <c r="D310" i="17"/>
  <c r="D48" i="17"/>
  <c r="D56" i="15"/>
  <c r="D92" i="18"/>
  <c r="CE7" i="18"/>
  <c r="D224" i="17"/>
  <c r="D355" i="17"/>
  <c r="D486" i="17"/>
  <c r="D93" i="17"/>
  <c r="D101" i="15"/>
  <c r="W5" i="18"/>
  <c r="W123" i="18" s="1"/>
  <c r="B426" i="17"/>
  <c r="B32" i="18"/>
  <c r="B295" i="17"/>
  <c r="B164" i="17"/>
  <c r="B33" i="17"/>
  <c r="B41" i="15"/>
  <c r="B106" i="18"/>
  <c r="B500" i="17"/>
  <c r="CS5" i="18"/>
  <c r="B238" i="17"/>
  <c r="B369" i="17"/>
  <c r="B107" i="17"/>
  <c r="B115" i="15"/>
  <c r="C48" i="18"/>
  <c r="C442" i="17"/>
  <c r="AM6" i="18"/>
  <c r="C180" i="17"/>
  <c r="C311" i="17"/>
  <c r="C49" i="17"/>
  <c r="C57" i="15"/>
  <c r="C64" i="18"/>
  <c r="C458" i="17"/>
  <c r="BC6" i="18"/>
  <c r="C196" i="17"/>
  <c r="C327" i="17"/>
  <c r="C65" i="17"/>
  <c r="C73" i="15"/>
  <c r="C80" i="18"/>
  <c r="C474" i="17"/>
  <c r="BS6" i="18"/>
  <c r="C212" i="17"/>
  <c r="C343" i="17"/>
  <c r="C81" i="17"/>
  <c r="C89" i="15"/>
  <c r="C96" i="18"/>
  <c r="C490" i="17"/>
  <c r="CI6" i="18"/>
  <c r="C228" i="17"/>
  <c r="C359" i="17"/>
  <c r="C97" i="17"/>
  <c r="C105" i="15"/>
  <c r="C112" i="18"/>
  <c r="C506" i="17"/>
  <c r="C244" i="17"/>
  <c r="CY6" i="18"/>
  <c r="C375" i="17"/>
  <c r="C113" i="17"/>
  <c r="C121" i="15"/>
  <c r="C128" i="18"/>
  <c r="C522" i="17"/>
  <c r="DO6" i="18"/>
  <c r="C260" i="17"/>
  <c r="C391" i="17"/>
  <c r="C137" i="15"/>
  <c r="C129" i="17"/>
  <c r="D119" i="18"/>
  <c r="D513" i="17"/>
  <c r="DF7" i="18"/>
  <c r="D251" i="17"/>
  <c r="D382" i="17"/>
  <c r="D120" i="17"/>
  <c r="D128" i="15"/>
  <c r="B37" i="18"/>
  <c r="B431" i="17"/>
  <c r="AB5" i="18"/>
  <c r="B169" i="17"/>
  <c r="B300" i="17"/>
  <c r="B46" i="15"/>
  <c r="B38" i="17"/>
  <c r="B69" i="18"/>
  <c r="B463" i="17"/>
  <c r="BH5" i="18"/>
  <c r="BH28" i="18" s="1"/>
  <c r="B201" i="17"/>
  <c r="B332" i="17"/>
  <c r="B78" i="15"/>
  <c r="B70" i="17"/>
  <c r="B101" i="18"/>
  <c r="B495" i="17"/>
  <c r="CN5" i="18"/>
  <c r="B233" i="17"/>
  <c r="B364" i="17"/>
  <c r="B110" i="15"/>
  <c r="B102" i="17"/>
  <c r="Z30" i="20"/>
  <c r="Y30" i="20"/>
  <c r="Y16" i="20"/>
  <c r="Y27" i="20" s="1"/>
  <c r="X24" i="24"/>
  <c r="B116" i="18"/>
  <c r="DC5" i="18"/>
  <c r="B510" i="17"/>
  <c r="B248" i="17"/>
  <c r="B117" i="17"/>
  <c r="B125" i="15"/>
  <c r="B379" i="17"/>
  <c r="B81" i="18"/>
  <c r="B475" i="17"/>
  <c r="BT5" i="18"/>
  <c r="B213" i="17"/>
  <c r="B344" i="17"/>
  <c r="B90" i="15"/>
  <c r="B82" i="17"/>
  <c r="X16" i="24"/>
  <c r="C61" i="18"/>
  <c r="AZ6" i="18"/>
  <c r="C193" i="17"/>
  <c r="C324" i="17"/>
  <c r="C62" i="17"/>
  <c r="C70" i="15"/>
  <c r="C455" i="17"/>
  <c r="D118" i="18"/>
  <c r="DE7" i="18"/>
  <c r="D512" i="17"/>
  <c r="D127" i="15"/>
  <c r="D381" i="17"/>
  <c r="D250" i="17"/>
  <c r="D119" i="17"/>
  <c r="B21" i="5"/>
  <c r="B23" i="5"/>
  <c r="B25" i="5"/>
  <c r="B27" i="5"/>
  <c r="B22" i="5"/>
  <c r="B24" i="5"/>
  <c r="B26" i="5"/>
  <c r="B28" i="5"/>
  <c r="Q7" i="18"/>
  <c r="D420" i="17"/>
  <c r="D26" i="18"/>
  <c r="D158" i="17"/>
  <c r="D35" i="15"/>
  <c r="D289" i="17"/>
  <c r="D27" i="17"/>
  <c r="J6" i="18"/>
  <c r="C413" i="17"/>
  <c r="C151" i="17"/>
  <c r="C20" i="17"/>
  <c r="C19" i="18"/>
  <c r="C28" i="15"/>
  <c r="C282" i="17"/>
  <c r="C125" i="18"/>
  <c r="DL6" i="18"/>
  <c r="C519" i="17"/>
  <c r="C257" i="17"/>
  <c r="C388" i="17"/>
  <c r="C126" i="17"/>
  <c r="C134" i="15"/>
  <c r="D69" i="18"/>
  <c r="BH7" i="18"/>
  <c r="D463" i="17"/>
  <c r="D332" i="17"/>
  <c r="D201" i="17"/>
  <c r="D78" i="15"/>
  <c r="D70" i="17"/>
  <c r="AH6" i="18"/>
  <c r="C43" i="18"/>
  <c r="C437" i="17"/>
  <c r="C306" i="17"/>
  <c r="C175" i="17"/>
  <c r="C44" i="17"/>
  <c r="C52" i="15"/>
  <c r="B43" i="18"/>
  <c r="AH5" i="18"/>
  <c r="AH123" i="18" s="1"/>
  <c r="B437" i="17"/>
  <c r="B306" i="17"/>
  <c r="B52" i="15"/>
  <c r="B175" i="17"/>
  <c r="B44" i="17"/>
  <c r="B115" i="18"/>
  <c r="DB5" i="18"/>
  <c r="B509" i="17"/>
  <c r="B378" i="17"/>
  <c r="B124" i="15"/>
  <c r="B116" i="17"/>
  <c r="B247" i="17"/>
  <c r="F20" i="7"/>
  <c r="B110" i="18"/>
  <c r="CW5" i="18"/>
  <c r="B242" i="17"/>
  <c r="B373" i="17"/>
  <c r="B111" i="17"/>
  <c r="B119" i="15"/>
  <c r="B504" i="17"/>
  <c r="D114" i="18"/>
  <c r="DA7" i="18"/>
  <c r="D508" i="17"/>
  <c r="D246" i="17"/>
  <c r="D123" i="15"/>
  <c r="D115" i="17"/>
  <c r="D377" i="17"/>
  <c r="D43" i="18"/>
  <c r="D437" i="17"/>
  <c r="D175" i="17"/>
  <c r="D306" i="17"/>
  <c r="D44" i="17"/>
  <c r="D52" i="15"/>
  <c r="AH7" i="18"/>
  <c r="D75" i="18"/>
  <c r="D469" i="17"/>
  <c r="BN7" i="18"/>
  <c r="D207" i="17"/>
  <c r="D338" i="17"/>
  <c r="D76" i="17"/>
  <c r="D84" i="15"/>
  <c r="B54" i="18"/>
  <c r="AS5" i="18"/>
  <c r="B186" i="17"/>
  <c r="B317" i="17"/>
  <c r="B448" i="17"/>
  <c r="B55" i="17"/>
  <c r="B63" i="15"/>
  <c r="B42" i="18"/>
  <c r="AG5" i="18"/>
  <c r="AG123" i="18" s="1"/>
  <c r="B174" i="17"/>
  <c r="B436" i="17"/>
  <c r="B305" i="17"/>
  <c r="B43" i="17"/>
  <c r="B51" i="15"/>
  <c r="D121" i="18"/>
  <c r="DH7" i="18"/>
  <c r="D515" i="17"/>
  <c r="D384" i="17"/>
  <c r="D122" i="17"/>
  <c r="D130" i="15"/>
  <c r="D253" i="17"/>
  <c r="D19" i="18"/>
  <c r="D413" i="17"/>
  <c r="J7" i="18"/>
  <c r="D151" i="17"/>
  <c r="D282" i="17"/>
  <c r="D20" i="17"/>
  <c r="D28" i="15"/>
  <c r="D126" i="18"/>
  <c r="DM7" i="18"/>
  <c r="D520" i="17"/>
  <c r="D127" i="17"/>
  <c r="D389" i="17"/>
  <c r="D135" i="15"/>
  <c r="D258" i="17"/>
  <c r="C41" i="18"/>
  <c r="AF6" i="18"/>
  <c r="C435" i="17"/>
  <c r="C173" i="17"/>
  <c r="C304" i="17"/>
  <c r="C42" i="17"/>
  <c r="C50" i="15"/>
  <c r="C83" i="18"/>
  <c r="BV6" i="18"/>
  <c r="C477" i="17"/>
  <c r="C215" i="17"/>
  <c r="C84" i="17"/>
  <c r="C346" i="17"/>
  <c r="C92" i="15"/>
  <c r="N6" i="18"/>
  <c r="C417" i="17"/>
  <c r="C23" i="18"/>
  <c r="C155" i="17"/>
  <c r="C286" i="17"/>
  <c r="C24" i="17"/>
  <c r="C32" i="15"/>
  <c r="AI5" i="18"/>
  <c r="B438" i="17"/>
  <c r="B44" i="18"/>
  <c r="B176" i="17"/>
  <c r="B307" i="17"/>
  <c r="B45" i="17"/>
  <c r="B53" i="15"/>
  <c r="B60" i="18"/>
  <c r="AY5" i="18"/>
  <c r="B454" i="17"/>
  <c r="B192" i="17"/>
  <c r="B323" i="17"/>
  <c r="B61" i="17"/>
  <c r="B69" i="15"/>
  <c r="D85" i="18"/>
  <c r="BX7" i="18"/>
  <c r="D479" i="17"/>
  <c r="D348" i="17"/>
  <c r="D217" i="17"/>
  <c r="D94" i="15"/>
  <c r="D86" i="17"/>
  <c r="C28" i="18"/>
  <c r="C422" i="17"/>
  <c r="S6" i="18"/>
  <c r="C160" i="17"/>
  <c r="C291" i="17"/>
  <c r="C29" i="17"/>
  <c r="C37" i="15"/>
  <c r="V6" i="18"/>
  <c r="C31" i="18"/>
  <c r="C425" i="17"/>
  <c r="C294" i="17"/>
  <c r="C163" i="17"/>
  <c r="C32" i="17"/>
  <c r="C40" i="15"/>
  <c r="BB6" i="18"/>
  <c r="C457" i="17"/>
  <c r="C63" i="18"/>
  <c r="C326" i="17"/>
  <c r="C195" i="17"/>
  <c r="C64" i="17"/>
  <c r="C72" i="15"/>
  <c r="D111" i="18"/>
  <c r="D505" i="17"/>
  <c r="CX7" i="18"/>
  <c r="D243" i="17"/>
  <c r="D374" i="17"/>
  <c r="D112" i="17"/>
  <c r="D120" i="15"/>
  <c r="B31" i="18"/>
  <c r="V5" i="18"/>
  <c r="B425" i="17"/>
  <c r="B294" i="17"/>
  <c r="B40" i="15"/>
  <c r="B163" i="17"/>
  <c r="B32" i="17"/>
  <c r="B63" i="18"/>
  <c r="BB5" i="18"/>
  <c r="B457" i="17"/>
  <c r="B326" i="17"/>
  <c r="B72" i="15"/>
  <c r="B195" i="17"/>
  <c r="B64" i="17"/>
  <c r="B95" i="18"/>
  <c r="CH5" i="18"/>
  <c r="B489" i="17"/>
  <c r="B358" i="17"/>
  <c r="B104" i="15"/>
  <c r="B227" i="17"/>
  <c r="B96" i="17"/>
  <c r="B127" i="18"/>
  <c r="DN5" i="18"/>
  <c r="B521" i="17"/>
  <c r="B390" i="17"/>
  <c r="B136" i="15"/>
  <c r="B259" i="17"/>
  <c r="B128" i="17"/>
  <c r="B33" i="18"/>
  <c r="B427" i="17"/>
  <c r="B165" i="17"/>
  <c r="X5" i="18"/>
  <c r="X123" i="18" s="1"/>
  <c r="B296" i="17"/>
  <c r="B42" i="15"/>
  <c r="B34" i="17"/>
  <c r="A16" i="1"/>
  <c r="F13" i="5"/>
  <c r="B26" i="18"/>
  <c r="Q5" i="18"/>
  <c r="B158" i="17"/>
  <c r="B420" i="17"/>
  <c r="B289" i="17"/>
  <c r="B27" i="17"/>
  <c r="B35" i="15"/>
  <c r="C50" i="18"/>
  <c r="AO6" i="18"/>
  <c r="C444" i="17"/>
  <c r="C313" i="17"/>
  <c r="C182" i="17"/>
  <c r="C59" i="15"/>
  <c r="C51" i="17"/>
  <c r="D74" i="18"/>
  <c r="BM7" i="18"/>
  <c r="D468" i="17"/>
  <c r="D206" i="17"/>
  <c r="D83" i="15"/>
  <c r="D337" i="17"/>
  <c r="D75" i="17"/>
  <c r="D52" i="18"/>
  <c r="AQ7" i="18"/>
  <c r="D446" i="17"/>
  <c r="D184" i="17"/>
  <c r="D315" i="17"/>
  <c r="D53" i="17"/>
  <c r="D61" i="15"/>
  <c r="C89" i="18"/>
  <c r="CB6" i="18"/>
  <c r="C483" i="17"/>
  <c r="C221" i="17"/>
  <c r="C352" i="17"/>
  <c r="C90" i="17"/>
  <c r="C98" i="15"/>
  <c r="C38" i="18"/>
  <c r="AC6" i="18"/>
  <c r="C432" i="17"/>
  <c r="C301" i="17"/>
  <c r="C47" i="15"/>
  <c r="C39" i="17"/>
  <c r="C170" i="17"/>
  <c r="H7" i="2"/>
  <c r="C91" i="18"/>
  <c r="CD6" i="18"/>
  <c r="C485" i="17"/>
  <c r="C354" i="17"/>
  <c r="C223" i="17"/>
  <c r="C92" i="17"/>
  <c r="C100" i="15"/>
  <c r="B128" i="18"/>
  <c r="DO5" i="18"/>
  <c r="B522" i="17"/>
  <c r="B129" i="17"/>
  <c r="B391" i="17"/>
  <c r="B260" i="17"/>
  <c r="B137" i="15"/>
  <c r="C97" i="18"/>
  <c r="CJ6" i="18"/>
  <c r="CJ28" i="18" s="1"/>
  <c r="C229" i="17"/>
  <c r="C360" i="17"/>
  <c r="C491" i="17"/>
  <c r="C98" i="17"/>
  <c r="C106" i="15"/>
  <c r="D31" i="18"/>
  <c r="D425" i="17"/>
  <c r="V7" i="18"/>
  <c r="D163" i="17"/>
  <c r="D294" i="17"/>
  <c r="D32" i="17"/>
  <c r="D40" i="15"/>
  <c r="B86" i="18"/>
  <c r="BY5" i="18"/>
  <c r="B218" i="17"/>
  <c r="B349" i="17"/>
  <c r="B480" i="17"/>
  <c r="B87" i="17"/>
  <c r="B95" i="15"/>
  <c r="D124" i="18"/>
  <c r="DK7" i="18"/>
  <c r="D518" i="17"/>
  <c r="D256" i="17"/>
  <c r="D387" i="17"/>
  <c r="D133" i="15"/>
  <c r="D125" i="17"/>
  <c r="C58" i="18"/>
  <c r="AW6" i="18"/>
  <c r="AW28" i="18" s="1"/>
  <c r="C452" i="17"/>
  <c r="C321" i="17"/>
  <c r="C190" i="17"/>
  <c r="C67" i="15"/>
  <c r="C59" i="17"/>
  <c r="C74" i="18"/>
  <c r="BM6" i="18"/>
  <c r="C468" i="17"/>
  <c r="C337" i="17"/>
  <c r="C206" i="17"/>
  <c r="C83" i="15"/>
  <c r="C75" i="17"/>
  <c r="C90" i="18"/>
  <c r="CC6" i="18"/>
  <c r="C484" i="17"/>
  <c r="C353" i="17"/>
  <c r="C222" i="17"/>
  <c r="C99" i="15"/>
  <c r="C91" i="17"/>
  <c r="C106" i="18"/>
  <c r="CS6" i="18"/>
  <c r="C500" i="17"/>
  <c r="C369" i="17"/>
  <c r="C238" i="17"/>
  <c r="C115" i="15"/>
  <c r="C107" i="17"/>
  <c r="C122" i="18"/>
  <c r="DI6" i="18"/>
  <c r="DI28" i="18" s="1"/>
  <c r="C516" i="17"/>
  <c r="C385" i="17"/>
  <c r="C254" i="17"/>
  <c r="C123" i="17"/>
  <c r="C131" i="15"/>
  <c r="D33" i="18"/>
  <c r="X7" i="18"/>
  <c r="D427" i="17"/>
  <c r="D296" i="17"/>
  <c r="D42" i="15"/>
  <c r="D165" i="17"/>
  <c r="D34" i="17"/>
  <c r="D109" i="18"/>
  <c r="CV7" i="18"/>
  <c r="D503" i="17"/>
  <c r="D372" i="17"/>
  <c r="D241" i="17"/>
  <c r="D118" i="15"/>
  <c r="D110" i="17"/>
  <c r="D23" i="18"/>
  <c r="N7" i="18"/>
  <c r="D417" i="17"/>
  <c r="D155" i="17"/>
  <c r="D286" i="17"/>
  <c r="D24" i="17"/>
  <c r="D32" i="15"/>
  <c r="B57" i="18"/>
  <c r="B451" i="17"/>
  <c r="B189" i="17"/>
  <c r="B320" i="17"/>
  <c r="B66" i="15"/>
  <c r="AV5" i="18"/>
  <c r="AV123" i="18" s="1"/>
  <c r="B58" i="17"/>
  <c r="Z29" i="20"/>
  <c r="Y29" i="20"/>
  <c r="C127" i="18"/>
  <c r="DN6" i="18"/>
  <c r="DN28" i="18" s="1"/>
  <c r="C521" i="17"/>
  <c r="C128" i="17"/>
  <c r="C390" i="17"/>
  <c r="C259" i="17"/>
  <c r="C136" i="15"/>
  <c r="D129" i="18"/>
  <c r="DP7" i="18"/>
  <c r="D523" i="17"/>
  <c r="Y403" i="17" s="1"/>
  <c r="D392" i="17"/>
  <c r="Y272" i="17" s="1"/>
  <c r="D130" i="17"/>
  <c r="Y10" i="17" s="1"/>
  <c r="D138" i="15"/>
  <c r="Y18" i="15" s="1"/>
  <c r="D261" i="17"/>
  <c r="Y141" i="17" s="1"/>
  <c r="K5" i="18"/>
  <c r="B20" i="18"/>
  <c r="B414" i="17"/>
  <c r="B152" i="17"/>
  <c r="B21" i="17"/>
  <c r="B29" i="15"/>
  <c r="B283" i="17"/>
  <c r="C21" i="18"/>
  <c r="L6" i="18"/>
  <c r="C415" i="17"/>
  <c r="C153" i="17"/>
  <c r="C284" i="17"/>
  <c r="C22" i="17"/>
  <c r="C30" i="15"/>
  <c r="C105" i="18"/>
  <c r="CR6" i="18"/>
  <c r="C237" i="17"/>
  <c r="C499" i="17"/>
  <c r="C368" i="17"/>
  <c r="C106" i="17"/>
  <c r="C114" i="15"/>
  <c r="D45" i="18"/>
  <c r="AJ7" i="18"/>
  <c r="D439" i="17"/>
  <c r="D308" i="17"/>
  <c r="D177" i="17"/>
  <c r="D54" i="15"/>
  <c r="D46" i="17"/>
  <c r="D101" i="18"/>
  <c r="CN7" i="18"/>
  <c r="D495" i="17"/>
  <c r="AC403" i="17" s="1"/>
  <c r="D364" i="17"/>
  <c r="D233" i="17"/>
  <c r="D110" i="15"/>
  <c r="D102" i="17"/>
  <c r="B75" i="18"/>
  <c r="BN5" i="18"/>
  <c r="B469" i="17"/>
  <c r="B338" i="17"/>
  <c r="B84" i="15"/>
  <c r="B207" i="17"/>
  <c r="B76" i="17"/>
  <c r="X34" i="24"/>
  <c r="C107" i="18"/>
  <c r="CT6" i="18"/>
  <c r="C501" i="17"/>
  <c r="C370" i="17"/>
  <c r="C239" i="17"/>
  <c r="C108" i="17"/>
  <c r="C116" i="15"/>
  <c r="B104" i="18"/>
  <c r="CQ5" i="18"/>
  <c r="CQ123" i="18" s="1"/>
  <c r="B498" i="17"/>
  <c r="B367" i="17"/>
  <c r="B236" i="17"/>
  <c r="B105" i="17"/>
  <c r="B113" i="15"/>
  <c r="D40" i="18"/>
  <c r="AE7" i="18"/>
  <c r="D172" i="17"/>
  <c r="AA141" i="17" s="1"/>
  <c r="D303" i="17"/>
  <c r="AA272" i="17" s="1"/>
  <c r="D41" i="17"/>
  <c r="D49" i="15"/>
  <c r="D434" i="17"/>
  <c r="AA403" i="17" s="1"/>
  <c r="D25" i="18"/>
  <c r="P7" i="18"/>
  <c r="D419" i="17"/>
  <c r="D288" i="17"/>
  <c r="D34" i="15"/>
  <c r="D26" i="17"/>
  <c r="D157" i="17"/>
  <c r="C44" i="18"/>
  <c r="C438" i="17"/>
  <c r="C176" i="17"/>
  <c r="AI6" i="18"/>
  <c r="C307" i="17"/>
  <c r="C45" i="17"/>
  <c r="C53" i="15"/>
  <c r="C454" i="17"/>
  <c r="C60" i="18"/>
  <c r="AY6" i="18"/>
  <c r="C192" i="17"/>
  <c r="C323" i="17"/>
  <c r="C61" i="17"/>
  <c r="C69" i="15"/>
  <c r="C92" i="18"/>
  <c r="C486" i="17"/>
  <c r="CE6" i="18"/>
  <c r="C224" i="17"/>
  <c r="C355" i="17"/>
  <c r="C93" i="17"/>
  <c r="C101" i="15"/>
  <c r="C108" i="18"/>
  <c r="C502" i="17"/>
  <c r="CU6" i="18"/>
  <c r="C240" i="17"/>
  <c r="C371" i="17"/>
  <c r="C109" i="17"/>
  <c r="C117" i="15"/>
  <c r="C124" i="18"/>
  <c r="C518" i="17"/>
  <c r="DK6" i="18"/>
  <c r="C256" i="17"/>
  <c r="C387" i="17"/>
  <c r="C133" i="15"/>
  <c r="C125" i="17"/>
  <c r="B29" i="18"/>
  <c r="B423" i="17"/>
  <c r="T5" i="18"/>
  <c r="T123" i="18" s="1"/>
  <c r="B161" i="17"/>
  <c r="B292" i="17"/>
  <c r="B38" i="15"/>
  <c r="B30" i="17"/>
  <c r="B125" i="18"/>
  <c r="B519" i="17"/>
  <c r="DL5" i="18"/>
  <c r="DL123" i="18" s="1"/>
  <c r="B257" i="17"/>
  <c r="B388" i="17"/>
  <c r="B134" i="15"/>
  <c r="B126" i="17"/>
  <c r="D15" i="18"/>
  <c r="D409" i="17"/>
  <c r="F7" i="18"/>
  <c r="D147" i="17"/>
  <c r="D278" i="17"/>
  <c r="D16" i="17"/>
  <c r="D24" i="15"/>
  <c r="Y24" i="20"/>
  <c r="Z24" i="20"/>
  <c r="C53" i="18"/>
  <c r="AR6" i="18"/>
  <c r="C185" i="17"/>
  <c r="C447" i="17"/>
  <c r="C316" i="17"/>
  <c r="C54" i="17"/>
  <c r="C62" i="15"/>
  <c r="D91" i="18"/>
  <c r="D485" i="17"/>
  <c r="CD7" i="18"/>
  <c r="D223" i="17"/>
  <c r="D354" i="17"/>
  <c r="D92" i="17"/>
  <c r="D100" i="15"/>
  <c r="B99" i="18"/>
  <c r="CL5" i="18"/>
  <c r="CL123" i="18" s="1"/>
  <c r="B493" i="17"/>
  <c r="B362" i="17"/>
  <c r="B108" i="15"/>
  <c r="B231" i="17"/>
  <c r="B100" i="17"/>
  <c r="D35" i="18"/>
  <c r="D429" i="17"/>
  <c r="Z7" i="18"/>
  <c r="D167" i="17"/>
  <c r="D298" i="17"/>
  <c r="D36" i="17"/>
  <c r="D44" i="15"/>
  <c r="D113" i="18"/>
  <c r="CZ7" i="18"/>
  <c r="D507" i="17"/>
  <c r="D376" i="17"/>
  <c r="D122" i="15"/>
  <c r="D245" i="17"/>
  <c r="D114" i="17"/>
  <c r="C24" i="18"/>
  <c r="C418" i="17"/>
  <c r="O6" i="18"/>
  <c r="O28" i="18" s="1"/>
  <c r="C156" i="17"/>
  <c r="C287" i="17"/>
  <c r="C25" i="17"/>
  <c r="C33" i="15"/>
  <c r="B92" i="18"/>
  <c r="CE5" i="18"/>
  <c r="B486" i="17"/>
  <c r="B224" i="17"/>
  <c r="B355" i="17"/>
  <c r="B93" i="17"/>
  <c r="B101" i="15"/>
  <c r="B87" i="18"/>
  <c r="BZ5" i="18"/>
  <c r="B481" i="17"/>
  <c r="B350" i="17"/>
  <c r="B96" i="15"/>
  <c r="B219" i="17"/>
  <c r="B88" i="17"/>
  <c r="B70" i="18"/>
  <c r="BI5" i="18"/>
  <c r="B202" i="17"/>
  <c r="B333" i="17"/>
  <c r="B464" i="17"/>
  <c r="B71" i="17"/>
  <c r="B79" i="15"/>
  <c r="D44" i="18"/>
  <c r="AI7" i="18"/>
  <c r="D176" i="17"/>
  <c r="D307" i="17"/>
  <c r="D438" i="17"/>
  <c r="D45" i="17"/>
  <c r="D53" i="15"/>
  <c r="B66" i="18"/>
  <c r="BE5" i="18"/>
  <c r="B198" i="17"/>
  <c r="B329" i="17"/>
  <c r="B67" i="17"/>
  <c r="B460" i="17"/>
  <c r="B75" i="15"/>
  <c r="D24" i="18"/>
  <c r="O7" i="18"/>
  <c r="D156" i="17"/>
  <c r="D287" i="17"/>
  <c r="D25" i="17"/>
  <c r="D33" i="15"/>
  <c r="D418" i="17"/>
  <c r="C70" i="18"/>
  <c r="BI6" i="18"/>
  <c r="C464" i="17"/>
  <c r="C333" i="17"/>
  <c r="C79" i="15"/>
  <c r="C202" i="17"/>
  <c r="C71" i="17"/>
  <c r="O5" i="18"/>
  <c r="B24" i="18"/>
  <c r="B418" i="17"/>
  <c r="B287" i="17"/>
  <c r="B156" i="17"/>
  <c r="B25" i="17"/>
  <c r="B33" i="15"/>
  <c r="D106" i="18"/>
  <c r="CS7" i="18"/>
  <c r="D500" i="17"/>
  <c r="D238" i="17"/>
  <c r="D115" i="15"/>
  <c r="D369" i="17"/>
  <c r="D107" i="17"/>
  <c r="D73" i="18"/>
  <c r="BL7" i="18"/>
  <c r="D467" i="17"/>
  <c r="D336" i="17"/>
  <c r="D82" i="15"/>
  <c r="D205" i="17"/>
  <c r="D74" i="17"/>
  <c r="C16" i="18"/>
  <c r="C410" i="17"/>
  <c r="AB402" i="17" s="1"/>
  <c r="G6" i="18"/>
  <c r="C148" i="17"/>
  <c r="C279" i="17"/>
  <c r="AB271" i="17" s="1"/>
  <c r="C17" i="17"/>
  <c r="C25" i="15"/>
  <c r="I7" i="18"/>
  <c r="D18" i="18"/>
  <c r="D412" i="17"/>
  <c r="D150" i="17"/>
  <c r="D27" i="15"/>
  <c r="D19" i="17"/>
  <c r="D281" i="17"/>
  <c r="BA7" i="18"/>
  <c r="D62" i="18"/>
  <c r="D456" i="17"/>
  <c r="D325" i="17"/>
  <c r="D71" i="15"/>
  <c r="D194" i="17"/>
  <c r="D63" i="17"/>
  <c r="B50" i="18"/>
  <c r="AO5" i="18"/>
  <c r="AO123" i="18" s="1"/>
  <c r="B182" i="17"/>
  <c r="B313" i="17"/>
  <c r="B51" i="17"/>
  <c r="B59" i="15"/>
  <c r="B444" i="17"/>
  <c r="C30" i="18"/>
  <c r="U6" i="18"/>
  <c r="C424" i="17"/>
  <c r="C293" i="17"/>
  <c r="C39" i="15"/>
  <c r="C31" i="17"/>
  <c r="C162" i="17"/>
  <c r="D83" i="18"/>
  <c r="D477" i="17"/>
  <c r="BV7" i="18"/>
  <c r="D215" i="17"/>
  <c r="D346" i="17"/>
  <c r="D84" i="17"/>
  <c r="D92" i="15"/>
  <c r="C65" i="18"/>
  <c r="BD6" i="18"/>
  <c r="BD28" i="18" s="1"/>
  <c r="C197" i="17"/>
  <c r="C328" i="17"/>
  <c r="C459" i="17"/>
  <c r="C66" i="17"/>
  <c r="C74" i="15"/>
  <c r="D123" i="18"/>
  <c r="D517" i="17"/>
  <c r="D255" i="17"/>
  <c r="DJ7" i="18"/>
  <c r="D386" i="17"/>
  <c r="D132" i="15"/>
  <c r="D124" i="17"/>
  <c r="D41" i="18"/>
  <c r="AF7" i="18"/>
  <c r="D435" i="17"/>
  <c r="D304" i="17"/>
  <c r="D50" i="15"/>
  <c r="D173" i="17"/>
  <c r="D42" i="17"/>
  <c r="D125" i="18"/>
  <c r="DL7" i="18"/>
  <c r="D519" i="17"/>
  <c r="D388" i="17"/>
  <c r="D257" i="17"/>
  <c r="D134" i="15"/>
  <c r="D126" i="17"/>
  <c r="C52" i="18"/>
  <c r="C446" i="17"/>
  <c r="AQ6" i="18"/>
  <c r="C184" i="17"/>
  <c r="C315" i="17"/>
  <c r="C53" i="17"/>
  <c r="C61" i="15"/>
  <c r="C68" i="18"/>
  <c r="C462" i="17"/>
  <c r="C200" i="17"/>
  <c r="C331" i="17"/>
  <c r="BG6" i="18"/>
  <c r="C69" i="17"/>
  <c r="C77" i="15"/>
  <c r="C84" i="18"/>
  <c r="C478" i="17"/>
  <c r="BW6" i="18"/>
  <c r="C216" i="17"/>
  <c r="C347" i="17"/>
  <c r="C85" i="17"/>
  <c r="C93" i="15"/>
  <c r="C100" i="18"/>
  <c r="C494" i="17"/>
  <c r="C232" i="17"/>
  <c r="C363" i="17"/>
  <c r="CM6" i="18"/>
  <c r="CM28" i="18" s="1"/>
  <c r="C101" i="17"/>
  <c r="C109" i="15"/>
  <c r="C116" i="18"/>
  <c r="C510" i="17"/>
  <c r="DC6" i="18"/>
  <c r="C248" i="17"/>
  <c r="C379" i="17"/>
  <c r="C117" i="17"/>
  <c r="C125" i="15"/>
  <c r="B22" i="18"/>
  <c r="M5" i="18"/>
  <c r="B154" i="17"/>
  <c r="B285" i="17"/>
  <c r="B416" i="17"/>
  <c r="B23" i="17"/>
  <c r="B31" i="15"/>
  <c r="E7" i="18"/>
  <c r="D408" i="17"/>
  <c r="X403" i="17" s="1"/>
  <c r="D14" i="18"/>
  <c r="D277" i="17"/>
  <c r="X272" i="17" s="1"/>
  <c r="D23" i="15"/>
  <c r="X18" i="15" s="1"/>
  <c r="D146" i="17"/>
  <c r="X141" i="17" s="1"/>
  <c r="D15" i="17"/>
  <c r="X10" i="17" s="1"/>
  <c r="B45" i="18"/>
  <c r="B439" i="17"/>
  <c r="AJ5" i="18"/>
  <c r="AJ123" i="18" s="1"/>
  <c r="B177" i="17"/>
  <c r="B308" i="17"/>
  <c r="B54" i="15"/>
  <c r="B46" i="17"/>
  <c r="B77" i="18"/>
  <c r="B471" i="17"/>
  <c r="BP5" i="18"/>
  <c r="B209" i="17"/>
  <c r="B340" i="17"/>
  <c r="B86" i="15"/>
  <c r="B78" i="17"/>
  <c r="B109" i="18"/>
  <c r="B503" i="17"/>
  <c r="CV5" i="18"/>
  <c r="CV123" i="18" s="1"/>
  <c r="B241" i="17"/>
  <c r="B372" i="17"/>
  <c r="B118" i="15"/>
  <c r="B110" i="17"/>
  <c r="X27" i="24"/>
  <c r="Y27" i="24"/>
  <c r="Z27" i="24"/>
  <c r="B25" i="18"/>
  <c r="B419" i="17"/>
  <c r="B157" i="17"/>
  <c r="B288" i="17"/>
  <c r="B34" i="15"/>
  <c r="B26" i="17"/>
  <c r="P5" i="18"/>
  <c r="P123" i="18" s="1"/>
  <c r="B105" i="18"/>
  <c r="B499" i="17"/>
  <c r="CR5" i="18"/>
  <c r="CR123" i="18" s="1"/>
  <c r="B237" i="17"/>
  <c r="B368" i="17"/>
  <c r="B114" i="15"/>
  <c r="B106" i="17"/>
  <c r="Z33" i="24"/>
  <c r="X33" i="24"/>
  <c r="Y33" i="24"/>
  <c r="Z25" i="24"/>
  <c r="X25" i="24"/>
  <c r="C29" i="18"/>
  <c r="T6" i="18"/>
  <c r="C161" i="17"/>
  <c r="C292" i="17"/>
  <c r="C30" i="17"/>
  <c r="C423" i="17"/>
  <c r="C38" i="15"/>
  <c r="D97" i="18"/>
  <c r="CJ7" i="18"/>
  <c r="D491" i="17"/>
  <c r="D360" i="17"/>
  <c r="D106" i="15"/>
  <c r="D229" i="17"/>
  <c r="D98" i="17"/>
  <c r="C6" i="21"/>
  <c r="B54" i="9"/>
  <c r="C14" i="11" s="1"/>
  <c r="F6" i="2"/>
  <c r="F7" i="2"/>
  <c r="D115" i="18"/>
  <c r="D509" i="17"/>
  <c r="DB7" i="18"/>
  <c r="DB28" i="18" s="1"/>
  <c r="D247" i="17"/>
  <c r="D378" i="17"/>
  <c r="D116" i="17"/>
  <c r="D124" i="15"/>
  <c r="D32" i="18"/>
  <c r="W7" i="18"/>
  <c r="D164" i="17"/>
  <c r="D426" i="17"/>
  <c r="D295" i="17"/>
  <c r="D33" i="17"/>
  <c r="D41" i="15"/>
  <c r="D29" i="18"/>
  <c r="T7" i="18"/>
  <c r="D423" i="17"/>
  <c r="D292" i="17"/>
  <c r="D161" i="17"/>
  <c r="D38" i="15"/>
  <c r="D30" i="17"/>
  <c r="B82" i="18"/>
  <c r="BU5" i="18"/>
  <c r="BU123" i="18" s="1"/>
  <c r="B214" i="17"/>
  <c r="B345" i="17"/>
  <c r="B83" i="17"/>
  <c r="B476" i="17"/>
  <c r="B91" i="15"/>
  <c r="AP6" i="18"/>
  <c r="C445" i="17"/>
  <c r="C51" i="18"/>
  <c r="C183" i="17"/>
  <c r="C52" i="17"/>
  <c r="C60" i="15"/>
  <c r="C314" i="17"/>
  <c r="B108" i="18"/>
  <c r="CU5" i="18"/>
  <c r="B502" i="17"/>
  <c r="B240" i="17"/>
  <c r="B371" i="17"/>
  <c r="B109" i="17"/>
  <c r="B117" i="15"/>
  <c r="B59" i="18"/>
  <c r="AX5" i="18"/>
  <c r="AX123" i="18" s="1"/>
  <c r="B453" i="17"/>
  <c r="B322" i="17"/>
  <c r="B68" i="15"/>
  <c r="B191" i="17"/>
  <c r="B60" i="17"/>
  <c r="C129" i="18"/>
  <c r="DP6" i="18"/>
  <c r="C261" i="17"/>
  <c r="Y140" i="17" s="1"/>
  <c r="C392" i="17"/>
  <c r="Y271" i="17" s="1"/>
  <c r="C523" i="17"/>
  <c r="Y402" i="17" s="1"/>
  <c r="C130" i="17"/>
  <c r="Y9" i="17" s="1"/>
  <c r="C138" i="15"/>
  <c r="Y17" i="15" s="1"/>
  <c r="C17" i="18"/>
  <c r="H6" i="18"/>
  <c r="C149" i="17"/>
  <c r="C280" i="17"/>
  <c r="C411" i="17"/>
  <c r="C18" i="17"/>
  <c r="C26" i="15"/>
  <c r="D51" i="18"/>
  <c r="D445" i="17"/>
  <c r="AP7" i="18"/>
  <c r="D183" i="17"/>
  <c r="D314" i="17"/>
  <c r="D52" i="17"/>
  <c r="D60" i="15"/>
  <c r="CA7" i="18"/>
  <c r="D88" i="18"/>
  <c r="D220" i="17"/>
  <c r="D351" i="17"/>
  <c r="D89" i="17"/>
  <c r="D97" i="15"/>
  <c r="D482" i="17"/>
  <c r="D105" i="18"/>
  <c r="CR7" i="18"/>
  <c r="D499" i="17"/>
  <c r="D368" i="17"/>
  <c r="D114" i="15"/>
  <c r="D237" i="17"/>
  <c r="D106" i="17"/>
  <c r="B74" i="18"/>
  <c r="BM5" i="18"/>
  <c r="B206" i="17"/>
  <c r="B468" i="17"/>
  <c r="B337" i="17"/>
  <c r="B75" i="17"/>
  <c r="B83" i="15"/>
  <c r="C46" i="18"/>
  <c r="AK6" i="18"/>
  <c r="C440" i="17"/>
  <c r="C309" i="17"/>
  <c r="C55" i="15"/>
  <c r="C47" i="17"/>
  <c r="C178" i="17"/>
  <c r="C85" i="18"/>
  <c r="BX6" i="18"/>
  <c r="C217" i="17"/>
  <c r="C479" i="17"/>
  <c r="C348" i="17"/>
  <c r="C86" i="17"/>
  <c r="C94" i="15"/>
  <c r="D48" i="18"/>
  <c r="AM7" i="18"/>
  <c r="D180" i="17"/>
  <c r="D442" i="17"/>
  <c r="D311" i="17"/>
  <c r="D49" i="17"/>
  <c r="D57" i="15"/>
  <c r="B88" i="18"/>
  <c r="CA5" i="18"/>
  <c r="CA123" i="18" s="1"/>
  <c r="B482" i="17"/>
  <c r="B351" i="17"/>
  <c r="B220" i="17"/>
  <c r="B89" i="17"/>
  <c r="B97" i="15"/>
  <c r="U7" i="18"/>
  <c r="D424" i="17"/>
  <c r="D30" i="18"/>
  <c r="D293" i="17"/>
  <c r="D39" i="15"/>
  <c r="D162" i="17"/>
  <c r="D31" i="17"/>
  <c r="AM5" i="18"/>
  <c r="AM123" i="18" s="1"/>
  <c r="B442" i="17"/>
  <c r="B48" i="18"/>
  <c r="B311" i="17"/>
  <c r="B180" i="17"/>
  <c r="B49" i="17"/>
  <c r="B57" i="15"/>
  <c r="BC5" i="18"/>
  <c r="B64" i="18"/>
  <c r="B458" i="17"/>
  <c r="B327" i="17"/>
  <c r="B196" i="17"/>
  <c r="B65" i="17"/>
  <c r="B73" i="15"/>
  <c r="B98" i="18"/>
  <c r="CK5" i="18"/>
  <c r="B230" i="17"/>
  <c r="B361" i="17"/>
  <c r="B492" i="17"/>
  <c r="B99" i="17"/>
  <c r="B107" i="15"/>
  <c r="C32" i="18"/>
  <c r="C426" i="17"/>
  <c r="W6" i="18"/>
  <c r="C164" i="17"/>
  <c r="C295" i="17"/>
  <c r="C33" i="17"/>
  <c r="C41" i="15"/>
  <c r="AD6" i="18"/>
  <c r="AD123" i="18" s="1"/>
  <c r="C433" i="17"/>
  <c r="C39" i="18"/>
  <c r="C171" i="17"/>
  <c r="C302" i="17"/>
  <c r="C40" i="17"/>
  <c r="C48" i="15"/>
  <c r="C71" i="18"/>
  <c r="BJ6" i="18"/>
  <c r="BJ123" i="18" s="1"/>
  <c r="C465" i="17"/>
  <c r="C203" i="17"/>
  <c r="C334" i="17"/>
  <c r="C72" i="17"/>
  <c r="C80" i="15"/>
  <c r="B124" i="18"/>
  <c r="DK5" i="18"/>
  <c r="B518" i="17"/>
  <c r="B125" i="17"/>
  <c r="B256" i="17"/>
  <c r="B387" i="17"/>
  <c r="B133" i="15"/>
  <c r="B39" i="18"/>
  <c r="AD5" i="18"/>
  <c r="AD28" i="18" s="1"/>
  <c r="B433" i="17"/>
  <c r="B302" i="17"/>
  <c r="B48" i="15"/>
  <c r="B171" i="17"/>
  <c r="B40" i="17"/>
  <c r="B71" i="18"/>
  <c r="BJ5" i="18"/>
  <c r="B465" i="17"/>
  <c r="B334" i="17"/>
  <c r="B80" i="15"/>
  <c r="B203" i="17"/>
  <c r="B72" i="17"/>
  <c r="B103" i="18"/>
  <c r="CP5" i="18"/>
  <c r="CP28" i="18" s="1"/>
  <c r="B497" i="17"/>
  <c r="B366" i="17"/>
  <c r="B112" i="15"/>
  <c r="B235" i="17"/>
  <c r="B104" i="17"/>
  <c r="Z26" i="20"/>
  <c r="Y26" i="20"/>
  <c r="X26" i="20"/>
  <c r="AA26" i="20" s="1"/>
  <c r="B73" i="18"/>
  <c r="B467" i="17"/>
  <c r="BL5" i="18"/>
  <c r="B205" i="17"/>
  <c r="B336" i="17"/>
  <c r="B82" i="15"/>
  <c r="B74" i="17"/>
  <c r="C37" i="18"/>
  <c r="AB6" i="18"/>
  <c r="AB28" i="18" s="1"/>
  <c r="C169" i="17"/>
  <c r="C431" i="17"/>
  <c r="C300" i="17"/>
  <c r="C38" i="17"/>
  <c r="C46" i="15"/>
  <c r="AS7" i="18"/>
  <c r="D448" i="17"/>
  <c r="D54" i="18"/>
  <c r="D63" i="15"/>
  <c r="D317" i="17"/>
  <c r="D186" i="17"/>
  <c r="D55" i="17"/>
  <c r="D49" i="18"/>
  <c r="AN7" i="18"/>
  <c r="D443" i="17"/>
  <c r="D312" i="17"/>
  <c r="D58" i="15"/>
  <c r="D181" i="17"/>
  <c r="D50" i="17"/>
  <c r="B67" i="18"/>
  <c r="BF5" i="18"/>
  <c r="BF28" i="18" s="1"/>
  <c r="B461" i="17"/>
  <c r="B330" i="17"/>
  <c r="B76" i="15"/>
  <c r="B199" i="17"/>
  <c r="B68" i="17"/>
  <c r="D122" i="18"/>
  <c r="DI7" i="18"/>
  <c r="D516" i="17"/>
  <c r="D123" i="17"/>
  <c r="D254" i="17"/>
  <c r="D131" i="15"/>
  <c r="D385" i="17"/>
  <c r="D28" i="18"/>
  <c r="S7" i="18"/>
  <c r="D160" i="17"/>
  <c r="D291" i="17"/>
  <c r="D422" i="17"/>
  <c r="D29" i="17"/>
  <c r="D37" i="15"/>
  <c r="D60" i="18"/>
  <c r="AY7" i="18"/>
  <c r="D192" i="17"/>
  <c r="D323" i="17"/>
  <c r="D454" i="17"/>
  <c r="D61" i="17"/>
  <c r="D69" i="15"/>
  <c r="D107" i="18"/>
  <c r="D501" i="17"/>
  <c r="D239" i="17"/>
  <c r="D370" i="17"/>
  <c r="D108" i="17"/>
  <c r="CT7" i="18"/>
  <c r="D116" i="15"/>
  <c r="D94" i="18"/>
  <c r="CG7" i="18"/>
  <c r="D488" i="17"/>
  <c r="D357" i="17"/>
  <c r="D103" i="15"/>
  <c r="D226" i="17"/>
  <c r="D95" i="17"/>
  <c r="B96" i="18"/>
  <c r="CI5" i="18"/>
  <c r="B490" i="17"/>
  <c r="B359" i="17"/>
  <c r="B228" i="17"/>
  <c r="B97" i="17"/>
  <c r="B105" i="15"/>
  <c r="Y7" i="18"/>
  <c r="D34" i="18"/>
  <c r="D428" i="17"/>
  <c r="D166" i="17"/>
  <c r="D43" i="15"/>
  <c r="D35" i="17"/>
  <c r="D297" i="17"/>
  <c r="C49" i="18"/>
  <c r="AN6" i="18"/>
  <c r="C181" i="17"/>
  <c r="C312" i="17"/>
  <c r="C443" i="17"/>
  <c r="C50" i="17"/>
  <c r="C58" i="15"/>
  <c r="D104" i="18"/>
  <c r="CQ7" i="18"/>
  <c r="D498" i="17"/>
  <c r="D236" i="17"/>
  <c r="D367" i="17"/>
  <c r="D105" i="17"/>
  <c r="D113" i="15"/>
  <c r="C34" i="18"/>
  <c r="Y6" i="18"/>
  <c r="C428" i="17"/>
  <c r="C297" i="17"/>
  <c r="C166" i="17"/>
  <c r="C43" i="15"/>
  <c r="C35" i="17"/>
  <c r="C62" i="18"/>
  <c r="BA6" i="18"/>
  <c r="C456" i="17"/>
  <c r="C325" i="17"/>
  <c r="C71" i="15"/>
  <c r="C63" i="17"/>
  <c r="C194" i="17"/>
  <c r="C78" i="18"/>
  <c r="BQ6" i="18"/>
  <c r="C472" i="17"/>
  <c r="C341" i="17"/>
  <c r="C87" i="15"/>
  <c r="C79" i="17"/>
  <c r="C210" i="17"/>
  <c r="C94" i="18"/>
  <c r="CG6" i="18"/>
  <c r="C488" i="17"/>
  <c r="C357" i="17"/>
  <c r="C103" i="15"/>
  <c r="C95" i="17"/>
  <c r="C226" i="17"/>
  <c r="C110" i="18"/>
  <c r="CW6" i="18"/>
  <c r="C504" i="17"/>
  <c r="C373" i="17"/>
  <c r="C119" i="15"/>
  <c r="C111" i="17"/>
  <c r="C242" i="17"/>
  <c r="C126" i="18"/>
  <c r="DM6" i="18"/>
  <c r="C520" i="17"/>
  <c r="C389" i="17"/>
  <c r="C135" i="15"/>
  <c r="C127" i="17"/>
  <c r="C258" i="17"/>
  <c r="AE5" i="18"/>
  <c r="AE123" i="18" s="1"/>
  <c r="B40" i="18"/>
  <c r="B434" i="17"/>
  <c r="B303" i="17"/>
  <c r="B172" i="17"/>
  <c r="B41" i="17"/>
  <c r="B49" i="15"/>
  <c r="B122" i="18"/>
  <c r="B516" i="17"/>
  <c r="DI5" i="18"/>
  <c r="B254" i="17"/>
  <c r="B385" i="17"/>
  <c r="B123" i="17"/>
  <c r="B131" i="15"/>
  <c r="D103" i="18"/>
  <c r="D497" i="17"/>
  <c r="CP7" i="18"/>
  <c r="D235" i="17"/>
  <c r="D366" i="17"/>
  <c r="D104" i="17"/>
  <c r="D112" i="15"/>
  <c r="B89" i="18"/>
  <c r="B483" i="17"/>
  <c r="B221" i="17"/>
  <c r="B352" i="17"/>
  <c r="CB5" i="18"/>
  <c r="B98" i="15"/>
  <c r="B90" i="17"/>
  <c r="C95" i="18"/>
  <c r="CH6" i="18"/>
  <c r="C489" i="17"/>
  <c r="C358" i="17"/>
  <c r="C227" i="17"/>
  <c r="C96" i="17"/>
  <c r="C104" i="15"/>
  <c r="AO7" i="18"/>
  <c r="D50" i="18"/>
  <c r="D444" i="17"/>
  <c r="D182" i="17"/>
  <c r="D59" i="15"/>
  <c r="D51" i="17"/>
  <c r="D313" i="17"/>
  <c r="B58" i="18"/>
  <c r="AW5" i="18"/>
  <c r="B190" i="17"/>
  <c r="B452" i="17"/>
  <c r="B321" i="17"/>
  <c r="B59" i="17"/>
  <c r="B67" i="15"/>
  <c r="D102" i="18"/>
  <c r="CO7" i="18"/>
  <c r="CO28" i="18" s="1"/>
  <c r="D496" i="17"/>
  <c r="D111" i="15"/>
  <c r="D365" i="17"/>
  <c r="D234" i="17"/>
  <c r="D103" i="17"/>
  <c r="B118" i="18"/>
  <c r="DE5" i="18"/>
  <c r="B250" i="17"/>
  <c r="B381" i="17"/>
  <c r="B512" i="17"/>
  <c r="B119" i="17"/>
  <c r="B127" i="15"/>
  <c r="D57" i="18"/>
  <c r="AV7" i="18"/>
  <c r="D451" i="17"/>
  <c r="D320" i="17"/>
  <c r="D66" i="15"/>
  <c r="D58" i="17"/>
  <c r="D189" i="17"/>
  <c r="R6" i="18"/>
  <c r="R28" i="18" s="1"/>
  <c r="C27" i="18"/>
  <c r="C421" i="17"/>
  <c r="Z402" i="17" s="1"/>
  <c r="C290" i="17"/>
  <c r="Z271" i="17" s="1"/>
  <c r="C159" i="17"/>
  <c r="Z140" i="17" s="1"/>
  <c r="C28" i="17"/>
  <c r="C36" i="15"/>
  <c r="Z17" i="15" s="1"/>
  <c r="B91" i="18"/>
  <c r="CD5" i="18"/>
  <c r="CD123" i="18" s="1"/>
  <c r="B485" i="17"/>
  <c r="B354" i="17"/>
  <c r="B100" i="15"/>
  <c r="B223" i="17"/>
  <c r="B92" i="17"/>
  <c r="DK123" i="18"/>
  <c r="DC123" i="18"/>
  <c r="CU123" i="18"/>
  <c r="CE123" i="18"/>
  <c r="BW123" i="18"/>
  <c r="BO123" i="18"/>
  <c r="AY123" i="18"/>
  <c r="AI123" i="18"/>
  <c r="AA123" i="18"/>
  <c r="S123" i="18"/>
  <c r="DN123" i="18"/>
  <c r="DF123" i="18"/>
  <c r="CH123" i="18"/>
  <c r="BR123" i="18"/>
  <c r="V123" i="18"/>
  <c r="F123" i="18"/>
  <c r="CN123" i="18"/>
  <c r="BH123" i="18"/>
  <c r="AB123" i="18"/>
  <c r="DI123" i="18"/>
  <c r="CS123" i="18"/>
  <c r="BM123" i="18"/>
  <c r="AW123" i="18"/>
  <c r="Q123" i="18"/>
  <c r="DP123" i="18"/>
  <c r="CZ123" i="18"/>
  <c r="AN123" i="18"/>
  <c r="E123" i="18"/>
  <c r="BI123" i="18"/>
  <c r="DM123" i="18"/>
  <c r="X26" i="24"/>
  <c r="Z16" i="24"/>
  <c r="Z24" i="24" s="1"/>
  <c r="A18" i="1"/>
  <c r="D28" i="7"/>
  <c r="DQ28" i="18"/>
  <c r="DE28" i="18"/>
  <c r="CS28" i="18"/>
  <c r="CK28" i="18"/>
  <c r="BU28" i="18"/>
  <c r="BM28" i="18"/>
  <c r="BI28" i="18"/>
  <c r="BE28" i="18"/>
  <c r="AO28" i="18"/>
  <c r="Y28" i="18"/>
  <c r="E28" i="18"/>
  <c r="DP28" i="18"/>
  <c r="DL28" i="18"/>
  <c r="CR28" i="18"/>
  <c r="BL28" i="18"/>
  <c r="AV28" i="18"/>
  <c r="AN28" i="18"/>
  <c r="AF28" i="18"/>
  <c r="DK28" i="18"/>
  <c r="DC28" i="18"/>
  <c r="CU28" i="18"/>
  <c r="CE28" i="18"/>
  <c r="BW28" i="18"/>
  <c r="BS28" i="18"/>
  <c r="BO28" i="18"/>
  <c r="AY28" i="18"/>
  <c r="AI28" i="18"/>
  <c r="AA28" i="18"/>
  <c r="S28" i="18"/>
  <c r="DF28" i="18"/>
  <c r="CL28" i="18"/>
  <c r="Z28" i="18"/>
  <c r="CH28" i="18"/>
  <c r="V28" i="18"/>
  <c r="CT28" i="18"/>
  <c r="BN28" i="18"/>
  <c r="D58" i="18"/>
  <c r="AW7" i="18"/>
  <c r="D452" i="17"/>
  <c r="D190" i="17"/>
  <c r="D67" i="15"/>
  <c r="D321" i="17"/>
  <c r="D59" i="17"/>
  <c r="AC7" i="18"/>
  <c r="AC28" i="18" s="1"/>
  <c r="D38" i="18"/>
  <c r="D432" i="17"/>
  <c r="D47" i="15"/>
  <c r="D301" i="17"/>
  <c r="D170" i="17"/>
  <c r="D39" i="17"/>
  <c r="D99" i="18"/>
  <c r="D493" i="17"/>
  <c r="CL7" i="18"/>
  <c r="D231" i="17"/>
  <c r="D362" i="17"/>
  <c r="D100" i="17"/>
  <c r="D108" i="15"/>
  <c r="D66" i="18"/>
  <c r="BE7" i="18"/>
  <c r="D460" i="17"/>
  <c r="D198" i="17"/>
  <c r="D75" i="15"/>
  <c r="D67" i="17"/>
  <c r="D329" i="17"/>
  <c r="D81" i="18"/>
  <c r="BT7" i="18"/>
  <c r="D475" i="17"/>
  <c r="D344" i="17"/>
  <c r="D90" i="15"/>
  <c r="D213" i="17"/>
  <c r="D82" i="17"/>
  <c r="D93" i="18"/>
  <c r="CF7" i="18"/>
  <c r="D487" i="17"/>
  <c r="D356" i="17"/>
  <c r="D225" i="17"/>
  <c r="D102" i="15"/>
  <c r="D94" i="17"/>
  <c r="C76" i="18"/>
  <c r="C470" i="17"/>
  <c r="C208" i="17"/>
  <c r="BO6" i="18"/>
  <c r="C339" i="17"/>
  <c r="C77" i="17"/>
  <c r="C85" i="15"/>
  <c r="B100" i="18"/>
  <c r="CM5" i="18"/>
  <c r="B494" i="17"/>
  <c r="B232" i="17"/>
  <c r="B101" i="17"/>
  <c r="B109" i="15"/>
  <c r="B363" i="17"/>
  <c r="B61" i="18"/>
  <c r="B455" i="17"/>
  <c r="AZ5" i="18"/>
  <c r="AZ123" i="18" s="1"/>
  <c r="B193" i="17"/>
  <c r="B324" i="17"/>
  <c r="B70" i="15"/>
  <c r="B62" i="17"/>
  <c r="B93" i="18"/>
  <c r="B487" i="17"/>
  <c r="CF5" i="18"/>
  <c r="CF123" i="18" s="1"/>
  <c r="B225" i="17"/>
  <c r="B356" i="17"/>
  <c r="B102" i="15"/>
  <c r="B94" i="17"/>
  <c r="X31" i="24"/>
  <c r="Z31" i="24"/>
  <c r="B65" i="18"/>
  <c r="B459" i="17"/>
  <c r="B197" i="17"/>
  <c r="BD5" i="18"/>
  <c r="B328" i="17"/>
  <c r="B74" i="15"/>
  <c r="B66" i="17"/>
  <c r="D86" i="18"/>
  <c r="BY7" i="18"/>
  <c r="BY123" i="18" s="1"/>
  <c r="D480" i="17"/>
  <c r="D95" i="15"/>
  <c r="D349" i="17"/>
  <c r="D218" i="17"/>
  <c r="D87" i="17"/>
  <c r="B18" i="18"/>
  <c r="I5" i="18"/>
  <c r="I123" i="18" s="1"/>
  <c r="B412" i="17"/>
  <c r="B150" i="17"/>
  <c r="B281" i="17"/>
  <c r="B19" i="17"/>
  <c r="B27" i="15"/>
  <c r="D61" i="18"/>
  <c r="AZ7" i="18"/>
  <c r="D455" i="17"/>
  <c r="D324" i="17"/>
  <c r="D193" i="17"/>
  <c r="D70" i="15"/>
  <c r="D62" i="17"/>
  <c r="B27" i="18"/>
  <c r="R5" i="18"/>
  <c r="R123" i="18" s="1"/>
  <c r="B421" i="17"/>
  <c r="B290" i="17"/>
  <c r="B36" i="15"/>
  <c r="B159" i="17"/>
  <c r="B28" i="17"/>
  <c r="B78" i="18"/>
  <c r="BQ5" i="18"/>
  <c r="BQ28" i="18" s="1"/>
  <c r="B472" i="17"/>
  <c r="B210" i="17"/>
  <c r="B341" i="17"/>
  <c r="B79" i="17"/>
  <c r="B87" i="15"/>
  <c r="D67" i="18"/>
  <c r="D461" i="17"/>
  <c r="BF7" i="18"/>
  <c r="D199" i="17"/>
  <c r="D330" i="17"/>
  <c r="D68" i="17"/>
  <c r="D76" i="15"/>
  <c r="D78" i="18"/>
  <c r="BQ7" i="18"/>
  <c r="D472" i="17"/>
  <c r="D341" i="17"/>
  <c r="D87" i="15"/>
  <c r="D210" i="17"/>
  <c r="D79" i="17"/>
  <c r="D100" i="18"/>
  <c r="CM7" i="18"/>
  <c r="D494" i="17"/>
  <c r="D232" i="17"/>
  <c r="D363" i="17"/>
  <c r="D101" i="17"/>
  <c r="D109" i="15"/>
  <c r="C20" i="18"/>
  <c r="C414" i="17"/>
  <c r="K6" i="18"/>
  <c r="C152" i="17"/>
  <c r="C283" i="17"/>
  <c r="C21" i="17"/>
  <c r="C29" i="15"/>
  <c r="D37" i="18"/>
  <c r="AB7" i="18"/>
  <c r="D431" i="17"/>
  <c r="D300" i="17"/>
  <c r="D169" i="17"/>
  <c r="D46" i="15"/>
  <c r="D38" i="17"/>
  <c r="B72" i="18"/>
  <c r="BK5" i="18"/>
  <c r="BK123" i="18" s="1"/>
  <c r="B466" i="17"/>
  <c r="B335" i="17"/>
  <c r="B204" i="17"/>
  <c r="B73" i="17"/>
  <c r="B81" i="15"/>
  <c r="AT6" i="18"/>
  <c r="C55" i="18"/>
  <c r="C449" i="17"/>
  <c r="C187" i="17"/>
  <c r="C318" i="17"/>
  <c r="C56" i="17"/>
  <c r="C64" i="15"/>
  <c r="B55" i="18"/>
  <c r="AT5" i="18"/>
  <c r="AT123" i="18" s="1"/>
  <c r="B449" i="17"/>
  <c r="B318" i="17"/>
  <c r="B64" i="15"/>
  <c r="B187" i="17"/>
  <c r="B56" i="17"/>
  <c r="B46" i="18"/>
  <c r="AK5" i="18"/>
  <c r="AK28" i="18" s="1"/>
  <c r="B440" i="17"/>
  <c r="B178" i="17"/>
  <c r="B309" i="17"/>
  <c r="B47" i="17"/>
  <c r="B55" i="15"/>
  <c r="C103" i="18"/>
  <c r="CP6" i="18"/>
  <c r="C497" i="17"/>
  <c r="C235" i="17"/>
  <c r="C366" i="17"/>
  <c r="C104" i="17"/>
  <c r="C112" i="15"/>
  <c r="D76" i="18"/>
  <c r="BO7" i="18"/>
  <c r="D208" i="17"/>
  <c r="D339" i="17"/>
  <c r="D470" i="17"/>
  <c r="D77" i="17"/>
  <c r="D85" i="15"/>
  <c r="C123" i="18"/>
  <c r="DG123" i="18" s="1"/>
  <c r="DJ6" i="18"/>
  <c r="DJ28" i="18" s="1"/>
  <c r="C517" i="17"/>
  <c r="C124" i="17"/>
  <c r="C386" i="17"/>
  <c r="C255" i="17"/>
  <c r="C132" i="15"/>
  <c r="D63" i="18"/>
  <c r="D457" i="17"/>
  <c r="BB7" i="18"/>
  <c r="BB28" i="18" s="1"/>
  <c r="D195" i="17"/>
  <c r="D326" i="17"/>
  <c r="D64" i="17"/>
  <c r="D72" i="15"/>
  <c r="C54" i="18"/>
  <c r="AS6" i="18"/>
  <c r="AS28" i="18" s="1"/>
  <c r="C448" i="17"/>
  <c r="C317" i="17"/>
  <c r="C63" i="15"/>
  <c r="C186" i="17"/>
  <c r="C55" i="17"/>
  <c r="C102" i="18"/>
  <c r="CO6" i="18"/>
  <c r="C496" i="17"/>
  <c r="C365" i="17"/>
  <c r="C111" i="15"/>
  <c r="C234" i="17"/>
  <c r="C103" i="17"/>
  <c r="B90" i="18"/>
  <c r="CC5" i="18"/>
  <c r="CC28" i="18" s="1"/>
  <c r="B222" i="17"/>
  <c r="B484" i="17"/>
  <c r="B353" i="17"/>
  <c r="B91" i="17"/>
  <c r="B99" i="15"/>
  <c r="B121" i="18"/>
  <c r="B515" i="17"/>
  <c r="B253" i="17"/>
  <c r="B384" i="17"/>
  <c r="B122" i="17"/>
  <c r="B130" i="15"/>
  <c r="DH5" i="18"/>
  <c r="DH28" i="18" s="1"/>
  <c r="C69" i="18"/>
  <c r="BH6" i="18"/>
  <c r="C201" i="17"/>
  <c r="C463" i="17"/>
  <c r="C332" i="17"/>
  <c r="C70" i="17"/>
  <c r="C78" i="15"/>
  <c r="BC7" i="18"/>
  <c r="BC28" i="18" s="1"/>
  <c r="D64" i="18"/>
  <c r="D196" i="17"/>
  <c r="D458" i="17"/>
  <c r="D327" i="17"/>
  <c r="D65" i="17"/>
  <c r="D73" i="15"/>
  <c r="B51" i="18"/>
  <c r="AP5" i="18"/>
  <c r="AP123" i="18" s="1"/>
  <c r="B445" i="17"/>
  <c r="B314" i="17"/>
  <c r="B60" i="15"/>
  <c r="B52" i="17"/>
  <c r="B183" i="17"/>
  <c r="C119" i="18"/>
  <c r="DF6" i="18"/>
  <c r="C513" i="17"/>
  <c r="C251" i="17"/>
  <c r="C382" i="17"/>
  <c r="C120" i="17"/>
  <c r="C128" i="15"/>
  <c r="D21" i="18"/>
  <c r="L7" i="18"/>
  <c r="D284" i="17"/>
  <c r="D415" i="17"/>
  <c r="D153" i="17"/>
  <c r="D30" i="15"/>
  <c r="D22" i="17"/>
  <c r="B80" i="18"/>
  <c r="BS5" i="18"/>
  <c r="B474" i="17"/>
  <c r="B343" i="17"/>
  <c r="B212" i="17"/>
  <c r="B81" i="17"/>
  <c r="B89" i="15"/>
  <c r="C87" i="18"/>
  <c r="BZ6" i="18"/>
  <c r="BZ28" i="18" s="1"/>
  <c r="C481" i="17"/>
  <c r="C219" i="17"/>
  <c r="C350" i="17"/>
  <c r="C88" i="17"/>
  <c r="C96" i="15"/>
  <c r="C99" i="18"/>
  <c r="CL6" i="18"/>
  <c r="C493" i="17"/>
  <c r="C231" i="17"/>
  <c r="C100" i="17"/>
  <c r="C362" i="17"/>
  <c r="C108" i="15"/>
  <c r="C26" i="18"/>
  <c r="Q6" i="18"/>
  <c r="Q28" i="18" s="1"/>
  <c r="C420" i="17"/>
  <c r="C289" i="17"/>
  <c r="C158" i="17"/>
  <c r="C35" i="15"/>
  <c r="C27" i="17"/>
  <c r="BT6" i="18"/>
  <c r="BT28" i="18" s="1"/>
  <c r="C81" i="18"/>
  <c r="C213" i="17"/>
  <c r="C344" i="17"/>
  <c r="C475" i="17"/>
  <c r="C82" i="17"/>
  <c r="C90" i="15"/>
  <c r="AG7" i="18"/>
  <c r="D436" i="17"/>
  <c r="D42" i="18"/>
  <c r="D174" i="17"/>
  <c r="D51" i="15"/>
  <c r="D305" i="17"/>
  <c r="D43" i="17"/>
  <c r="D128" i="18"/>
  <c r="DO7" i="18"/>
  <c r="DO28" i="18" s="1"/>
  <c r="D522" i="17"/>
  <c r="D260" i="17"/>
  <c r="D391" i="17"/>
  <c r="D137" i="15"/>
  <c r="D129" i="17"/>
  <c r="C33" i="18"/>
  <c r="X6" i="18"/>
  <c r="C165" i="17"/>
  <c r="C296" i="17"/>
  <c r="C427" i="17"/>
  <c r="C34" i="17"/>
  <c r="C42" i="15"/>
  <c r="BK7" i="18"/>
  <c r="D72" i="18"/>
  <c r="D204" i="17"/>
  <c r="D335" i="17"/>
  <c r="D73" i="17"/>
  <c r="D81" i="15"/>
  <c r="D466" i="17"/>
  <c r="F6" i="18"/>
  <c r="C15" i="18"/>
  <c r="C409" i="17"/>
  <c r="C278" i="17"/>
  <c r="C147" i="17"/>
  <c r="C16" i="17"/>
  <c r="C24" i="15"/>
  <c r="B76" i="18"/>
  <c r="BO5" i="18"/>
  <c r="B470" i="17"/>
  <c r="B208" i="17"/>
  <c r="B339" i="17"/>
  <c r="B77" i="17"/>
  <c r="B85" i="15"/>
  <c r="C40" i="18"/>
  <c r="C434" i="17"/>
  <c r="AA402" i="17" s="1"/>
  <c r="AE6" i="18"/>
  <c r="C172" i="17"/>
  <c r="AA140" i="17" s="1"/>
  <c r="C303" i="17"/>
  <c r="AA271" i="17" s="1"/>
  <c r="C41" i="17"/>
  <c r="C49" i="15"/>
  <c r="C56" i="18"/>
  <c r="C450" i="17"/>
  <c r="AU6" i="18"/>
  <c r="AU28" i="18" s="1"/>
  <c r="C188" i="17"/>
  <c r="C319" i="17"/>
  <c r="C57" i="17"/>
  <c r="C65" i="15"/>
  <c r="C72" i="18"/>
  <c r="C466" i="17"/>
  <c r="BK6" i="18"/>
  <c r="C204" i="17"/>
  <c r="C335" i="17"/>
  <c r="C73" i="17"/>
  <c r="C81" i="15"/>
  <c r="C88" i="18"/>
  <c r="C482" i="17"/>
  <c r="CA6" i="18"/>
  <c r="C220" i="17"/>
  <c r="C351" i="17"/>
  <c r="C89" i="17"/>
  <c r="C97" i="15"/>
  <c r="C104" i="18"/>
  <c r="C498" i="17"/>
  <c r="CQ6" i="18"/>
  <c r="C236" i="17"/>
  <c r="C367" i="17"/>
  <c r="C105" i="17"/>
  <c r="C113" i="15"/>
  <c r="C120" i="18"/>
  <c r="C514" i="17"/>
  <c r="DG6" i="18"/>
  <c r="DG28" i="18" s="1"/>
  <c r="C252" i="17"/>
  <c r="C383" i="17"/>
  <c r="C121" i="17"/>
  <c r="C129" i="15"/>
  <c r="D87" i="18"/>
  <c r="BZ7" i="18"/>
  <c r="D481" i="17"/>
  <c r="D219" i="17"/>
  <c r="D350" i="17"/>
  <c r="D88" i="17"/>
  <c r="D96" i="15"/>
  <c r="B21" i="18"/>
  <c r="B415" i="17"/>
  <c r="L5" i="18"/>
  <c r="L28" i="18" s="1"/>
  <c r="B153" i="17"/>
  <c r="B284" i="17"/>
  <c r="B30" i="15"/>
  <c r="B22" i="17"/>
  <c r="B447" i="17"/>
  <c r="B53" i="18"/>
  <c r="AR5" i="18"/>
  <c r="AR28" i="18" s="1"/>
  <c r="B185" i="17"/>
  <c r="B316" i="17"/>
  <c r="B62" i="15"/>
  <c r="B54" i="17"/>
  <c r="B85" i="18"/>
  <c r="B479" i="17"/>
  <c r="BX5" i="18"/>
  <c r="BX28" i="18" s="1"/>
  <c r="B217" i="17"/>
  <c r="B348" i="17"/>
  <c r="B94" i="15"/>
  <c r="B86" i="17"/>
  <c r="B117" i="18"/>
  <c r="B511" i="17"/>
  <c r="DD5" i="18"/>
  <c r="DD28" i="18" s="1"/>
  <c r="B249" i="17"/>
  <c r="B380" i="17"/>
  <c r="B126" i="15"/>
  <c r="B118" i="17"/>
  <c r="Y28" i="20"/>
  <c r="Z28" i="20"/>
  <c r="B41" i="18"/>
  <c r="B435" i="17"/>
  <c r="AF5" i="18"/>
  <c r="AF123" i="18" s="1"/>
  <c r="B173" i="17"/>
  <c r="B304" i="17"/>
  <c r="B50" i="15"/>
  <c r="B42" i="17"/>
  <c r="B129" i="18"/>
  <c r="B523" i="17"/>
  <c r="B261" i="17"/>
  <c r="DP5" i="18"/>
  <c r="B392" i="17"/>
  <c r="B138" i="15"/>
  <c r="B130" i="17"/>
  <c r="Y32" i="24"/>
  <c r="X32" i="24"/>
  <c r="AA32" i="24" s="1"/>
  <c r="Z32" i="24"/>
  <c r="X30" i="24"/>
  <c r="Z30" i="24"/>
  <c r="D96" i="18"/>
  <c r="CI7" i="18"/>
  <c r="CI28" i="18" s="1"/>
  <c r="D228" i="17"/>
  <c r="D490" i="17"/>
  <c r="D359" i="17"/>
  <c r="D97" i="17"/>
  <c r="D105" i="15"/>
  <c r="C45" i="18"/>
  <c r="AJ6" i="18"/>
  <c r="AJ28" i="18" s="1"/>
  <c r="C177" i="17"/>
  <c r="C308" i="17"/>
  <c r="C439" i="17"/>
  <c r="C46" i="17"/>
  <c r="C54" i="15"/>
  <c r="CU7" i="18"/>
  <c r="D240" i="17"/>
  <c r="D371" i="17"/>
  <c r="D108" i="18"/>
  <c r="D502" i="17"/>
  <c r="D109" i="17"/>
  <c r="D117" i="15"/>
  <c r="B14" i="11"/>
  <c r="D14" i="11" s="1"/>
  <c r="E14" i="11" s="1"/>
  <c r="F14" i="11" s="1"/>
  <c r="F54" i="9"/>
  <c r="E6" i="21"/>
  <c r="J6" i="21" s="1"/>
  <c r="D54" i="9"/>
  <c r="A24" i="22"/>
  <c r="B6" i="21"/>
  <c r="A7" i="4"/>
  <c r="C33" i="5"/>
  <c r="C20" i="5"/>
  <c r="D80" i="18"/>
  <c r="BS7" i="18"/>
  <c r="D212" i="17"/>
  <c r="D474" i="17"/>
  <c r="D343" i="17"/>
  <c r="D81" i="17"/>
  <c r="D89" i="15"/>
  <c r="AV6" i="18"/>
  <c r="C57" i="18"/>
  <c r="C451" i="17"/>
  <c r="C189" i="17"/>
  <c r="C320" i="17"/>
  <c r="C58" i="17"/>
  <c r="C66" i="15"/>
  <c r="D53" i="18"/>
  <c r="AR7" i="18"/>
  <c r="D447" i="17"/>
  <c r="D316" i="17"/>
  <c r="D185" i="17"/>
  <c r="D62" i="15"/>
  <c r="D54" i="17"/>
  <c r="B114" i="18"/>
  <c r="B508" i="17"/>
  <c r="DA5" i="18"/>
  <c r="DA123" i="18" s="1"/>
  <c r="B246" i="17"/>
  <c r="B377" i="17"/>
  <c r="B115" i="17"/>
  <c r="B123" i="15"/>
  <c r="B19" i="18"/>
  <c r="J5" i="18"/>
  <c r="J28" i="18" s="1"/>
  <c r="B282" i="17"/>
  <c r="B413" i="17"/>
  <c r="B28" i="15"/>
  <c r="B20" i="17"/>
  <c r="B151" i="17"/>
  <c r="B83" i="18"/>
  <c r="BV5" i="18"/>
  <c r="BV28" i="18" s="1"/>
  <c r="B477" i="17"/>
  <c r="B346" i="17"/>
  <c r="B92" i="15"/>
  <c r="B84" i="17"/>
  <c r="B215" i="17"/>
  <c r="Z36" i="24"/>
  <c r="X36" i="24"/>
  <c r="Y16" i="24"/>
  <c r="B30" i="18"/>
  <c r="U5" i="18"/>
  <c r="U28" i="18" s="1"/>
  <c r="B424" i="17"/>
  <c r="B162" i="17"/>
  <c r="B293" i="17"/>
  <c r="B31" i="17"/>
  <c r="B39" i="15"/>
  <c r="C111" i="18"/>
  <c r="CX6" i="18"/>
  <c r="CX123" i="18" s="1"/>
  <c r="C505" i="17"/>
  <c r="C374" i="17"/>
  <c r="C243" i="17"/>
  <c r="C112" i="17"/>
  <c r="C120" i="15"/>
  <c r="D27" i="18"/>
  <c r="D421" i="17"/>
  <c r="Z403" i="17" s="1"/>
  <c r="R7" i="18"/>
  <c r="D159" i="17"/>
  <c r="Z141" i="17" s="1"/>
  <c r="D290" i="17"/>
  <c r="Z272" i="17" s="1"/>
  <c r="D28" i="17"/>
  <c r="D36" i="15"/>
  <c r="Z18" i="15" s="1"/>
  <c r="D59" i="18"/>
  <c r="D453" i="17"/>
  <c r="D191" i="17"/>
  <c r="AX7" i="18"/>
  <c r="D322" i="17"/>
  <c r="D60" i="17"/>
  <c r="D68" i="15"/>
  <c r="B102" i="18"/>
  <c r="CO5" i="18"/>
  <c r="CO123" i="18" s="1"/>
  <c r="B234" i="17"/>
  <c r="B365" i="17"/>
  <c r="B496" i="17"/>
  <c r="B103" i="17"/>
  <c r="B111" i="15"/>
  <c r="C18" i="18"/>
  <c r="I6" i="18"/>
  <c r="I28" i="18" s="1"/>
  <c r="C281" i="17"/>
  <c r="C412" i="17"/>
  <c r="C150" i="17"/>
  <c r="C27" i="15"/>
  <c r="C19" i="17"/>
  <c r="D89" i="18"/>
  <c r="CB7" i="18"/>
  <c r="CB28" i="18" s="1"/>
  <c r="D483" i="17"/>
  <c r="D352" i="17"/>
  <c r="D98" i="15"/>
  <c r="D90" i="17"/>
  <c r="D221" i="17"/>
  <c r="C22" i="18"/>
  <c r="M6" i="18"/>
  <c r="M123" i="18" s="1"/>
  <c r="C285" i="17"/>
  <c r="C416" i="17"/>
  <c r="C31" i="15"/>
  <c r="C154" i="17"/>
  <c r="C23" i="17"/>
  <c r="D55" i="18"/>
  <c r="AT7" i="18"/>
  <c r="D449" i="17"/>
  <c r="D187" i="17"/>
  <c r="D318" i="17"/>
  <c r="D56" i="17"/>
  <c r="D64" i="15"/>
  <c r="C93" i="18"/>
  <c r="CF6" i="18"/>
  <c r="C225" i="17"/>
  <c r="C356" i="17"/>
  <c r="C94" i="17"/>
  <c r="C487" i="17"/>
  <c r="C102" i="15"/>
  <c r="D17" i="18"/>
  <c r="H7" i="18"/>
  <c r="H28" i="18" s="1"/>
  <c r="D280" i="17"/>
  <c r="D411" i="17"/>
  <c r="D26" i="15"/>
  <c r="D149" i="17"/>
  <c r="D18" i="17"/>
  <c r="AQ5" i="18"/>
  <c r="AQ123" i="18" s="1"/>
  <c r="B52" i="18"/>
  <c r="B446" i="17"/>
  <c r="B184" i="17"/>
  <c r="B53" i="17"/>
  <c r="B61" i="15"/>
  <c r="B315" i="17"/>
  <c r="B68" i="18"/>
  <c r="BG5" i="18"/>
  <c r="BG28" i="18" s="1"/>
  <c r="B462" i="17"/>
  <c r="B200" i="17"/>
  <c r="B69" i="17"/>
  <c r="B77" i="15"/>
  <c r="B331" i="17"/>
  <c r="D117" i="18"/>
  <c r="DD7" i="18"/>
  <c r="D511" i="17"/>
  <c r="D380" i="17"/>
  <c r="D249" i="17"/>
  <c r="D126" i="15"/>
  <c r="D118" i="17"/>
  <c r="C36" i="18"/>
  <c r="C430" i="17"/>
  <c r="C168" i="17"/>
  <c r="C299" i="17"/>
  <c r="C37" i="17"/>
  <c r="C45" i="15"/>
  <c r="AA6" i="18"/>
  <c r="AL6" i="18"/>
  <c r="C47" i="18"/>
  <c r="C441" i="17"/>
  <c r="C310" i="17"/>
  <c r="C179" i="17"/>
  <c r="C48" i="17"/>
  <c r="C56" i="15"/>
  <c r="D79" i="18"/>
  <c r="D473" i="17"/>
  <c r="BR7" i="18"/>
  <c r="D211" i="17"/>
  <c r="D342" i="17"/>
  <c r="D80" i="17"/>
  <c r="D88" i="15"/>
  <c r="B15" i="18"/>
  <c r="F5" i="18"/>
  <c r="F28" i="18" s="1"/>
  <c r="B278" i="17"/>
  <c r="B24" i="15"/>
  <c r="B147" i="17"/>
  <c r="B409" i="17"/>
  <c r="B16" i="17"/>
  <c r="B47" i="18"/>
  <c r="AL5" i="18"/>
  <c r="AL123" i="18" s="1"/>
  <c r="B441" i="17"/>
  <c r="B310" i="17"/>
  <c r="B56" i="15"/>
  <c r="B179" i="17"/>
  <c r="B48" i="17"/>
  <c r="B79" i="18"/>
  <c r="BR5" i="18"/>
  <c r="BR28" i="18" s="1"/>
  <c r="B473" i="17"/>
  <c r="B342" i="17"/>
  <c r="B88" i="15"/>
  <c r="B211" i="17"/>
  <c r="B80" i="17"/>
  <c r="B111" i="18"/>
  <c r="CX5" i="18"/>
  <c r="CX28" i="18" s="1"/>
  <c r="B505" i="17"/>
  <c r="B374" i="17"/>
  <c r="B120" i="15"/>
  <c r="B243" i="17"/>
  <c r="B112" i="17"/>
  <c r="B113" i="18"/>
  <c r="B507" i="17"/>
  <c r="CZ5" i="18"/>
  <c r="CZ28" i="18" s="1"/>
  <c r="B245" i="17"/>
  <c r="B376" i="17"/>
  <c r="B122" i="15"/>
  <c r="B114" i="17"/>
  <c r="C77" i="18"/>
  <c r="BP6" i="18"/>
  <c r="BP28" i="18" s="1"/>
  <c r="C209" i="17"/>
  <c r="C340" i="17"/>
  <c r="C78" i="17"/>
  <c r="C471" i="17"/>
  <c r="C86" i="15"/>
  <c r="C25" i="18"/>
  <c r="P6" i="18"/>
  <c r="P28" i="18" s="1"/>
  <c r="C419" i="17"/>
  <c r="C157" i="17"/>
  <c r="C288" i="17"/>
  <c r="C26" i="17"/>
  <c r="C34" i="15"/>
  <c r="Z23" i="20"/>
  <c r="Y23" i="20"/>
  <c r="X16" i="20"/>
  <c r="X27" i="20" s="1"/>
  <c r="AA27" i="20" s="1"/>
  <c r="D84" i="18"/>
  <c r="BW7" i="18"/>
  <c r="D478" i="17"/>
  <c r="D216" i="17"/>
  <c r="D347" i="17"/>
  <c r="D85" i="17"/>
  <c r="D93" i="15"/>
  <c r="D36" i="18"/>
  <c r="AA7" i="18"/>
  <c r="D430" i="17"/>
  <c r="D168" i="17"/>
  <c r="D299" i="17"/>
  <c r="D37" i="17"/>
  <c r="D45" i="15"/>
  <c r="D68" i="18"/>
  <c r="BG7" i="18"/>
  <c r="D462" i="17"/>
  <c r="D200" i="17"/>
  <c r="D331" i="17"/>
  <c r="D69" i="17"/>
  <c r="D77" i="15"/>
  <c r="C121" i="18"/>
  <c r="DH6" i="18"/>
  <c r="C253" i="17"/>
  <c r="C384" i="17"/>
  <c r="C130" i="15"/>
  <c r="C515" i="17"/>
  <c r="C122" i="17"/>
  <c r="B34" i="18"/>
  <c r="Y5" i="18"/>
  <c r="Y123" i="18" s="1"/>
  <c r="B166" i="17"/>
  <c r="B297" i="17"/>
  <c r="B428" i="17"/>
  <c r="B35" i="17"/>
  <c r="B43" i="15"/>
  <c r="C101" i="18"/>
  <c r="CN6" i="18"/>
  <c r="CN28" i="18" s="1"/>
  <c r="C233" i="17"/>
  <c r="C495" i="17"/>
  <c r="AC402" i="17" s="1"/>
  <c r="C364" i="17"/>
  <c r="C102" i="17"/>
  <c r="C110" i="15"/>
  <c r="D20" i="18"/>
  <c r="K7" i="18"/>
  <c r="K123" i="18" s="1"/>
  <c r="D152" i="17"/>
  <c r="D283" i="17"/>
  <c r="D414" i="17"/>
  <c r="D21" i="17"/>
  <c r="D29" i="15"/>
  <c r="D90" i="18"/>
  <c r="CC7" i="18"/>
  <c r="D484" i="17"/>
  <c r="D222" i="17"/>
  <c r="D99" i="15"/>
  <c r="D353" i="17"/>
  <c r="D91" i="17"/>
  <c r="D56" i="18"/>
  <c r="AU7" i="18"/>
  <c r="D188" i="17"/>
  <c r="D319" i="17"/>
  <c r="D450" i="17"/>
  <c r="D57" i="17"/>
  <c r="D65" i="15"/>
  <c r="C115" i="18"/>
  <c r="DB6" i="18"/>
  <c r="C509" i="17"/>
  <c r="C247" i="17"/>
  <c r="C116" i="17"/>
  <c r="C124" i="15"/>
  <c r="C378" i="17"/>
  <c r="AK7" i="18"/>
  <c r="D440" i="17"/>
  <c r="D46" i="18"/>
  <c r="D309" i="17"/>
  <c r="D55" i="15"/>
  <c r="D178" i="17"/>
  <c r="D47" i="17"/>
  <c r="C66" i="18"/>
  <c r="BE6" i="18"/>
  <c r="C460" i="17"/>
  <c r="C329" i="17"/>
  <c r="C198" i="17"/>
  <c r="C75" i="15"/>
  <c r="C67" i="17"/>
  <c r="C82" i="18"/>
  <c r="BU6" i="18"/>
  <c r="C476" i="17"/>
  <c r="C345" i="17"/>
  <c r="C214" i="17"/>
  <c r="C91" i="15"/>
  <c r="C83" i="17"/>
  <c r="C98" i="18"/>
  <c r="CK6" i="18"/>
  <c r="C492" i="17"/>
  <c r="C361" i="17"/>
  <c r="C230" i="17"/>
  <c r="C107" i="15"/>
  <c r="C99" i="17"/>
  <c r="C114" i="18"/>
  <c r="DA6" i="18"/>
  <c r="DA28" i="18" s="1"/>
  <c r="C508" i="17"/>
  <c r="C377" i="17"/>
  <c r="C246" i="17"/>
  <c r="C123" i="15"/>
  <c r="C115" i="17"/>
  <c r="C130" i="18"/>
  <c r="DQ6" i="18"/>
  <c r="C524" i="17"/>
  <c r="C393" i="17"/>
  <c r="C262" i="17"/>
  <c r="C139" i="15"/>
  <c r="C131" i="17"/>
  <c r="D77" i="18"/>
  <c r="BP7" i="18"/>
  <c r="D471" i="17"/>
  <c r="D340" i="17"/>
  <c r="D209" i="17"/>
  <c r="D86" i="15"/>
  <c r="D78" i="17"/>
  <c r="B130" i="18"/>
  <c r="B524" i="17"/>
  <c r="DQ5" i="18"/>
  <c r="DQ123" i="18" s="1"/>
  <c r="B393" i="17"/>
  <c r="B262" i="17"/>
  <c r="B131" i="17"/>
  <c r="B139" i="15"/>
  <c r="B17" i="18"/>
  <c r="B411" i="17"/>
  <c r="H5" i="18"/>
  <c r="B149" i="17"/>
  <c r="B280" i="17"/>
  <c r="B26" i="15"/>
  <c r="B18" i="17"/>
  <c r="B97" i="18"/>
  <c r="B491" i="17"/>
  <c r="B229" i="17"/>
  <c r="CJ5" i="18"/>
  <c r="B360" i="17"/>
  <c r="B106" i="15"/>
  <c r="B98" i="17"/>
  <c r="M7" i="18"/>
  <c r="D22" i="18"/>
  <c r="D416" i="17"/>
  <c r="D31" i="15"/>
  <c r="D285" i="17"/>
  <c r="D154" i="17"/>
  <c r="D23" i="17"/>
  <c r="B94" i="18"/>
  <c r="CG5" i="18"/>
  <c r="CG123" i="18" s="1"/>
  <c r="B488" i="17"/>
  <c r="B226" i="17"/>
  <c r="B357" i="17"/>
  <c r="B95" i="17"/>
  <c r="B103" i="15"/>
  <c r="D39" i="18"/>
  <c r="AD7" i="18"/>
  <c r="D433" i="17"/>
  <c r="D171" i="17"/>
  <c r="D302" i="17"/>
  <c r="D40" i="17"/>
  <c r="D48" i="15"/>
  <c r="G5" i="18"/>
  <c r="G123" i="18" s="1"/>
  <c r="B410" i="17"/>
  <c r="B16" i="18"/>
  <c r="B279" i="17"/>
  <c r="B148" i="17"/>
  <c r="B17" i="17"/>
  <c r="B25" i="15"/>
  <c r="D65" i="18"/>
  <c r="BD7" i="18"/>
  <c r="D459" i="17"/>
  <c r="D328" i="17"/>
  <c r="D74" i="15"/>
  <c r="D197" i="17"/>
  <c r="D66" i="17"/>
  <c r="AX6" i="18"/>
  <c r="AX28" i="18" s="1"/>
  <c r="C59" i="18"/>
  <c r="C453" i="17"/>
  <c r="C322" i="17"/>
  <c r="C191" i="17"/>
  <c r="C60" i="17"/>
  <c r="C68" i="15"/>
  <c r="D95" i="18"/>
  <c r="D489" i="17"/>
  <c r="CH7" i="18"/>
  <c r="D227" i="17"/>
  <c r="D358" i="17"/>
  <c r="D96" i="17"/>
  <c r="D104" i="15"/>
  <c r="B35" i="18"/>
  <c r="Z5" i="18"/>
  <c r="Z123" i="18" s="1"/>
  <c r="B429" i="17"/>
  <c r="B298" i="17"/>
  <c r="B44" i="15"/>
  <c r="B167" i="17"/>
  <c r="B36" i="17"/>
  <c r="B107" i="18"/>
  <c r="CT5" i="18"/>
  <c r="CT123" i="18" s="1"/>
  <c r="B501" i="17"/>
  <c r="B370" i="17"/>
  <c r="B116" i="15"/>
  <c r="B239" i="17"/>
  <c r="B108" i="17"/>
  <c r="AB411" i="17" l="1"/>
  <c r="AA411" i="17"/>
  <c r="AC411" i="17"/>
  <c r="DQ130" i="18"/>
  <c r="DM130" i="18"/>
  <c r="DI130" i="18"/>
  <c r="DE130" i="18"/>
  <c r="DA130" i="18"/>
  <c r="CW130" i="18"/>
  <c r="CS130" i="18"/>
  <c r="CO130" i="18"/>
  <c r="CK130" i="18"/>
  <c r="CG130" i="18"/>
  <c r="CC130" i="18"/>
  <c r="BY130" i="18"/>
  <c r="BU130" i="18"/>
  <c r="BQ130" i="18"/>
  <c r="BM130" i="18"/>
  <c r="BI130" i="18"/>
  <c r="BE130" i="18"/>
  <c r="BA130" i="18"/>
  <c r="AW130" i="18"/>
  <c r="AS130" i="18"/>
  <c r="AO130" i="18"/>
  <c r="AK130" i="18"/>
  <c r="AG130" i="18"/>
  <c r="AC130" i="18"/>
  <c r="Y130" i="18"/>
  <c r="U130" i="18"/>
  <c r="Q130" i="18"/>
  <c r="M130" i="18"/>
  <c r="I130" i="18"/>
  <c r="DP130" i="18"/>
  <c r="DL130" i="18"/>
  <c r="DH130" i="18"/>
  <c r="DD130" i="18"/>
  <c r="CZ130" i="18"/>
  <c r="CV130" i="18"/>
  <c r="CR130" i="18"/>
  <c r="CN130" i="18"/>
  <c r="CJ130" i="18"/>
  <c r="CF130" i="18"/>
  <c r="CB130" i="18"/>
  <c r="BX130" i="18"/>
  <c r="BT130" i="18"/>
  <c r="BP130" i="18"/>
  <c r="BL130" i="18"/>
  <c r="BH130" i="18"/>
  <c r="BD130" i="18"/>
  <c r="AZ130" i="18"/>
  <c r="AV130" i="18"/>
  <c r="AR130" i="18"/>
  <c r="AN130" i="18"/>
  <c r="AJ130" i="18"/>
  <c r="AF130" i="18"/>
  <c r="AB130" i="18"/>
  <c r="X130" i="18"/>
  <c r="T130" i="18"/>
  <c r="P130" i="18"/>
  <c r="L130" i="18"/>
  <c r="H130" i="18"/>
  <c r="DO130" i="18"/>
  <c r="DG130" i="18"/>
  <c r="CY130" i="18"/>
  <c r="CQ130" i="18"/>
  <c r="CI130" i="18"/>
  <c r="CA130" i="18"/>
  <c r="BS130" i="18"/>
  <c r="BK130" i="18"/>
  <c r="BC130" i="18"/>
  <c r="AU130" i="18"/>
  <c r="AM130" i="18"/>
  <c r="AE130" i="18"/>
  <c r="W130" i="18"/>
  <c r="O130" i="18"/>
  <c r="G130" i="18"/>
  <c r="DN130" i="18"/>
  <c r="DF130" i="18"/>
  <c r="CX130" i="18"/>
  <c r="CP130" i="18"/>
  <c r="CH130" i="18"/>
  <c r="BZ130" i="18"/>
  <c r="BR130" i="18"/>
  <c r="BJ130" i="18"/>
  <c r="BB130" i="18"/>
  <c r="AT130" i="18"/>
  <c r="AL130" i="18"/>
  <c r="AD130" i="18"/>
  <c r="V130" i="18"/>
  <c r="N130" i="18"/>
  <c r="F130" i="18"/>
  <c r="DB130" i="18"/>
  <c r="CL130" i="18"/>
  <c r="BV130" i="18"/>
  <c r="BF130" i="18"/>
  <c r="AP130" i="18"/>
  <c r="Z130" i="18"/>
  <c r="J130" i="18"/>
  <c r="DK130" i="18"/>
  <c r="CU130" i="18"/>
  <c r="CE130" i="18"/>
  <c r="BO130" i="18"/>
  <c r="AY130" i="18"/>
  <c r="AI130" i="18"/>
  <c r="S130" i="18"/>
  <c r="E130" i="18"/>
  <c r="DJ130" i="18"/>
  <c r="CT130" i="18"/>
  <c r="CD130" i="18"/>
  <c r="BN130" i="18"/>
  <c r="AX130" i="18"/>
  <c r="AH130" i="18"/>
  <c r="R130" i="18"/>
  <c r="DC130" i="18"/>
  <c r="AQ130" i="18"/>
  <c r="CM130" i="18"/>
  <c r="AA130" i="18"/>
  <c r="BW130" i="18"/>
  <c r="K130" i="18"/>
  <c r="BG130" i="18"/>
  <c r="Y80" i="17"/>
  <c r="DN15" i="18"/>
  <c r="DJ15" i="18"/>
  <c r="DF15" i="18"/>
  <c r="DB15" i="18"/>
  <c r="CX15" i="18"/>
  <c r="CT15" i="18"/>
  <c r="CP15" i="18"/>
  <c r="CL15" i="18"/>
  <c r="CH15" i="18"/>
  <c r="CD15" i="18"/>
  <c r="BZ15" i="18"/>
  <c r="BV15" i="18"/>
  <c r="BR15" i="18"/>
  <c r="BN15" i="18"/>
  <c r="BJ15" i="18"/>
  <c r="BF15" i="18"/>
  <c r="BB15" i="18"/>
  <c r="AX15" i="18"/>
  <c r="AT15" i="18"/>
  <c r="AP15" i="18"/>
  <c r="AL15" i="18"/>
  <c r="AH15" i="18"/>
  <c r="AD15" i="18"/>
  <c r="Z15" i="18"/>
  <c r="V15" i="18"/>
  <c r="R15" i="18"/>
  <c r="N15" i="18"/>
  <c r="J15" i="18"/>
  <c r="F15" i="18"/>
  <c r="DQ15" i="18"/>
  <c r="DM15" i="18"/>
  <c r="DI15" i="18"/>
  <c r="DE15" i="18"/>
  <c r="DA15" i="18"/>
  <c r="CW15" i="18"/>
  <c r="CS15" i="18"/>
  <c r="CO15" i="18"/>
  <c r="CK15" i="18"/>
  <c r="CG15" i="18"/>
  <c r="CC15" i="18"/>
  <c r="BY15" i="18"/>
  <c r="BU15" i="18"/>
  <c r="BQ15" i="18"/>
  <c r="BM15" i="18"/>
  <c r="BI15" i="18"/>
  <c r="BE15" i="18"/>
  <c r="BA15" i="18"/>
  <c r="AW15" i="18"/>
  <c r="AS15" i="18"/>
  <c r="AO15" i="18"/>
  <c r="AK15" i="18"/>
  <c r="AG15" i="18"/>
  <c r="AC15" i="18"/>
  <c r="Y15" i="18"/>
  <c r="U15" i="18"/>
  <c r="Q15" i="18"/>
  <c r="M15" i="18"/>
  <c r="I15" i="18"/>
  <c r="E15" i="18"/>
  <c r="DP15" i="18"/>
  <c r="DL15" i="18"/>
  <c r="DH15" i="18"/>
  <c r="DD15" i="18"/>
  <c r="CZ15" i="18"/>
  <c r="CV15" i="18"/>
  <c r="CR15" i="18"/>
  <c r="CN15" i="18"/>
  <c r="CJ15" i="18"/>
  <c r="CF15" i="18"/>
  <c r="CB15" i="18"/>
  <c r="BX15" i="18"/>
  <c r="BT15" i="18"/>
  <c r="BP15" i="18"/>
  <c r="BL15" i="18"/>
  <c r="BH15" i="18"/>
  <c r="BD15" i="18"/>
  <c r="AZ15" i="18"/>
  <c r="AV15" i="18"/>
  <c r="AR15" i="18"/>
  <c r="AN15" i="18"/>
  <c r="AJ15" i="18"/>
  <c r="AF15" i="18"/>
  <c r="AB15" i="18"/>
  <c r="X15" i="18"/>
  <c r="T15" i="18"/>
  <c r="P15" i="18"/>
  <c r="L15" i="18"/>
  <c r="H15" i="18"/>
  <c r="DK15" i="18"/>
  <c r="CU15" i="18"/>
  <c r="CE15" i="18"/>
  <c r="BO15" i="18"/>
  <c r="AY15" i="18"/>
  <c r="AI15" i="18"/>
  <c r="S15" i="18"/>
  <c r="DG15" i="18"/>
  <c r="CQ15" i="18"/>
  <c r="CA15" i="18"/>
  <c r="BK15" i="18"/>
  <c r="AU15" i="18"/>
  <c r="AE15" i="18"/>
  <c r="O15" i="18"/>
  <c r="DC15" i="18"/>
  <c r="CM15" i="18"/>
  <c r="BW15" i="18"/>
  <c r="BG15" i="18"/>
  <c r="AQ15" i="18"/>
  <c r="AA15" i="18"/>
  <c r="K15" i="18"/>
  <c r="CI15" i="18"/>
  <c r="W15" i="18"/>
  <c r="BS15" i="18"/>
  <c r="G15" i="18"/>
  <c r="DO15" i="18"/>
  <c r="BC15" i="18"/>
  <c r="CY15" i="18"/>
  <c r="AM15" i="18"/>
  <c r="Y200" i="17"/>
  <c r="AA200" i="17"/>
  <c r="DN19" i="18"/>
  <c r="DJ19" i="18"/>
  <c r="DF19" i="18"/>
  <c r="DB19" i="18"/>
  <c r="CX19" i="18"/>
  <c r="CT19" i="18"/>
  <c r="CP19" i="18"/>
  <c r="CL19" i="18"/>
  <c r="CH19" i="18"/>
  <c r="CD19" i="18"/>
  <c r="BZ19" i="18"/>
  <c r="BV19" i="18"/>
  <c r="BR19" i="18"/>
  <c r="BN19" i="18"/>
  <c r="BJ19" i="18"/>
  <c r="BF19" i="18"/>
  <c r="BB19" i="18"/>
  <c r="AX19" i="18"/>
  <c r="AT19" i="18"/>
  <c r="AP19" i="18"/>
  <c r="AL19" i="18"/>
  <c r="AH19" i="18"/>
  <c r="AD19" i="18"/>
  <c r="Z19" i="18"/>
  <c r="V19" i="18"/>
  <c r="R19" i="18"/>
  <c r="N19" i="18"/>
  <c r="J19" i="18"/>
  <c r="F19" i="18"/>
  <c r="DQ19" i="18"/>
  <c r="DM19" i="18"/>
  <c r="DI19" i="18"/>
  <c r="DE19" i="18"/>
  <c r="DA19" i="18"/>
  <c r="CW19" i="18"/>
  <c r="CS19" i="18"/>
  <c r="CO19" i="18"/>
  <c r="CK19" i="18"/>
  <c r="CG19" i="18"/>
  <c r="CC19" i="18"/>
  <c r="BY19" i="18"/>
  <c r="BU19" i="18"/>
  <c r="BQ19" i="18"/>
  <c r="BM19" i="18"/>
  <c r="BI19" i="18"/>
  <c r="BE19" i="18"/>
  <c r="BA19" i="18"/>
  <c r="AW19" i="18"/>
  <c r="AS19" i="18"/>
  <c r="AO19" i="18"/>
  <c r="AK19" i="18"/>
  <c r="AG19" i="18"/>
  <c r="AC19" i="18"/>
  <c r="Y19" i="18"/>
  <c r="U19" i="18"/>
  <c r="Q19" i="18"/>
  <c r="M19" i="18"/>
  <c r="I19" i="18"/>
  <c r="E19" i="18"/>
  <c r="DP19" i="18"/>
  <c r="DL19" i="18"/>
  <c r="DH19" i="18"/>
  <c r="DD19" i="18"/>
  <c r="CZ19" i="18"/>
  <c r="CV19" i="18"/>
  <c r="CR19" i="18"/>
  <c r="CN19" i="18"/>
  <c r="CJ19" i="18"/>
  <c r="CF19" i="18"/>
  <c r="CB19" i="18"/>
  <c r="BX19" i="18"/>
  <c r="BT19" i="18"/>
  <c r="BP19" i="18"/>
  <c r="BL19" i="18"/>
  <c r="BH19" i="18"/>
  <c r="BD19" i="18"/>
  <c r="AZ19" i="18"/>
  <c r="AV19" i="18"/>
  <c r="AR19" i="18"/>
  <c r="AN19" i="18"/>
  <c r="AJ19" i="18"/>
  <c r="AF19" i="18"/>
  <c r="AB19" i="18"/>
  <c r="X19" i="18"/>
  <c r="T19" i="18"/>
  <c r="P19" i="18"/>
  <c r="L19" i="18"/>
  <c r="H19" i="18"/>
  <c r="DG19" i="18"/>
  <c r="CQ19" i="18"/>
  <c r="CA19" i="18"/>
  <c r="BK19" i="18"/>
  <c r="AU19" i="18"/>
  <c r="AE19" i="18"/>
  <c r="O19" i="18"/>
  <c r="DC19" i="18"/>
  <c r="CM19" i="18"/>
  <c r="BW19" i="18"/>
  <c r="BG19" i="18"/>
  <c r="AQ19" i="18"/>
  <c r="AA19" i="18"/>
  <c r="K19" i="18"/>
  <c r="DO19" i="18"/>
  <c r="CY19" i="18"/>
  <c r="CI19" i="18"/>
  <c r="BS19" i="18"/>
  <c r="BC19" i="18"/>
  <c r="AM19" i="18"/>
  <c r="W19" i="18"/>
  <c r="G19" i="18"/>
  <c r="DK19" i="18"/>
  <c r="AY19" i="18"/>
  <c r="CU19" i="18"/>
  <c r="AI19" i="18"/>
  <c r="CE19" i="18"/>
  <c r="S19" i="18"/>
  <c r="BO19" i="18"/>
  <c r="Y8" i="17"/>
  <c r="Y130" i="17" s="1"/>
  <c r="AC435" i="17"/>
  <c r="Y185" i="17"/>
  <c r="X185" i="17"/>
  <c r="AB470" i="17"/>
  <c r="AA470" i="17"/>
  <c r="DO80" i="18"/>
  <c r="DK80" i="18"/>
  <c r="DG80" i="18"/>
  <c r="DC80" i="18"/>
  <c r="CY80" i="18"/>
  <c r="CU80" i="18"/>
  <c r="CQ80" i="18"/>
  <c r="CM80" i="18"/>
  <c r="CI80" i="18"/>
  <c r="CE80" i="18"/>
  <c r="CA80" i="18"/>
  <c r="BW80" i="18"/>
  <c r="BS80" i="18"/>
  <c r="BO80" i="18"/>
  <c r="BK80" i="18"/>
  <c r="BG80" i="18"/>
  <c r="BC80" i="18"/>
  <c r="AY80" i="18"/>
  <c r="AU80" i="18"/>
  <c r="AQ80" i="18"/>
  <c r="AM80" i="18"/>
  <c r="AI80" i="18"/>
  <c r="AE80" i="18"/>
  <c r="AA80" i="18"/>
  <c r="W80" i="18"/>
  <c r="S80" i="18"/>
  <c r="O80" i="18"/>
  <c r="K80" i="18"/>
  <c r="G80" i="18"/>
  <c r="DN80" i="18"/>
  <c r="DJ80" i="18"/>
  <c r="DF80" i="18"/>
  <c r="DB80" i="18"/>
  <c r="CX80" i="18"/>
  <c r="CT80" i="18"/>
  <c r="CP80" i="18"/>
  <c r="CL80" i="18"/>
  <c r="CH80" i="18"/>
  <c r="CD80" i="18"/>
  <c r="BZ80" i="18"/>
  <c r="BV80" i="18"/>
  <c r="BR80" i="18"/>
  <c r="BN80" i="18"/>
  <c r="BJ80" i="18"/>
  <c r="BF80" i="18"/>
  <c r="BB80" i="18"/>
  <c r="AX80" i="18"/>
  <c r="AT80" i="18"/>
  <c r="AP80" i="18"/>
  <c r="AL80" i="18"/>
  <c r="AH80" i="18"/>
  <c r="AD80" i="18"/>
  <c r="Z80" i="18"/>
  <c r="V80" i="18"/>
  <c r="R80" i="18"/>
  <c r="N80" i="18"/>
  <c r="J80" i="18"/>
  <c r="F80" i="18"/>
  <c r="DQ80" i="18"/>
  <c r="DM80" i="18"/>
  <c r="DI80" i="18"/>
  <c r="DE80" i="18"/>
  <c r="DA80" i="18"/>
  <c r="CW80" i="18"/>
  <c r="CS80" i="18"/>
  <c r="CO80" i="18"/>
  <c r="CK80" i="18"/>
  <c r="CG80" i="18"/>
  <c r="CC80" i="18"/>
  <c r="BY80" i="18"/>
  <c r="BU80" i="18"/>
  <c r="BQ80" i="18"/>
  <c r="BM80" i="18"/>
  <c r="BI80" i="18"/>
  <c r="BE80" i="18"/>
  <c r="BA80" i="18"/>
  <c r="AW80" i="18"/>
  <c r="AS80" i="18"/>
  <c r="AO80" i="18"/>
  <c r="AK80" i="18"/>
  <c r="AG80" i="18"/>
  <c r="AC80" i="18"/>
  <c r="Y80" i="18"/>
  <c r="U80" i="18"/>
  <c r="Q80" i="18"/>
  <c r="M80" i="18"/>
  <c r="I80" i="18"/>
  <c r="E80" i="18"/>
  <c r="DP80" i="18"/>
  <c r="CZ80" i="18"/>
  <c r="CJ80" i="18"/>
  <c r="BT80" i="18"/>
  <c r="BD80" i="18"/>
  <c r="AN80" i="18"/>
  <c r="X80" i="18"/>
  <c r="H80" i="18"/>
  <c r="DL80" i="18"/>
  <c r="CV80" i="18"/>
  <c r="CF80" i="18"/>
  <c r="BP80" i="18"/>
  <c r="AZ80" i="18"/>
  <c r="AJ80" i="18"/>
  <c r="T80" i="18"/>
  <c r="DH80" i="18"/>
  <c r="CR80" i="18"/>
  <c r="CB80" i="18"/>
  <c r="BL80" i="18"/>
  <c r="AV80" i="18"/>
  <c r="AF80" i="18"/>
  <c r="P80" i="18"/>
  <c r="BX80" i="18"/>
  <c r="L80" i="18"/>
  <c r="BH80" i="18"/>
  <c r="DD80" i="18"/>
  <c r="AR80" i="18"/>
  <c r="CN80" i="18"/>
  <c r="AB80" i="18"/>
  <c r="Y91" i="17"/>
  <c r="Z27" i="15"/>
  <c r="Z328" i="17"/>
  <c r="Y328" i="17"/>
  <c r="DQ93" i="18"/>
  <c r="DM93" i="18"/>
  <c r="DI93" i="18"/>
  <c r="DE93" i="18"/>
  <c r="DA93" i="18"/>
  <c r="CW93" i="18"/>
  <c r="CS93" i="18"/>
  <c r="CO93" i="18"/>
  <c r="CK93" i="18"/>
  <c r="CG93" i="18"/>
  <c r="CC93" i="18"/>
  <c r="BY93" i="18"/>
  <c r="BU93" i="18"/>
  <c r="BQ93" i="18"/>
  <c r="BM93" i="18"/>
  <c r="BI93" i="18"/>
  <c r="BE93" i="18"/>
  <c r="BA93" i="18"/>
  <c r="AW93" i="18"/>
  <c r="AS93" i="18"/>
  <c r="AO93" i="18"/>
  <c r="AK93" i="18"/>
  <c r="AG93" i="18"/>
  <c r="AC93" i="18"/>
  <c r="Y93" i="18"/>
  <c r="U93" i="18"/>
  <c r="Q93" i="18"/>
  <c r="M93" i="18"/>
  <c r="I93" i="18"/>
  <c r="E93" i="18"/>
  <c r="DP93" i="18"/>
  <c r="DL93" i="18"/>
  <c r="DH93" i="18"/>
  <c r="DD93" i="18"/>
  <c r="CZ93" i="18"/>
  <c r="CV93" i="18"/>
  <c r="CR93" i="18"/>
  <c r="CN93" i="18"/>
  <c r="CJ93" i="18"/>
  <c r="CF93" i="18"/>
  <c r="CB93" i="18"/>
  <c r="BX93" i="18"/>
  <c r="BT93" i="18"/>
  <c r="BP93" i="18"/>
  <c r="BL93" i="18"/>
  <c r="BH93" i="18"/>
  <c r="BD93" i="18"/>
  <c r="AZ93" i="18"/>
  <c r="AV93" i="18"/>
  <c r="AR93" i="18"/>
  <c r="AN93" i="18"/>
  <c r="AJ93" i="18"/>
  <c r="AF93" i="18"/>
  <c r="AB93" i="18"/>
  <c r="X93" i="18"/>
  <c r="T93" i="18"/>
  <c r="P93" i="18"/>
  <c r="L93" i="18"/>
  <c r="H93" i="18"/>
  <c r="DJ93" i="18"/>
  <c r="DB93" i="18"/>
  <c r="CT93" i="18"/>
  <c r="CL93" i="18"/>
  <c r="CD93" i="18"/>
  <c r="BV93" i="18"/>
  <c r="BN93" i="18"/>
  <c r="BF93" i="18"/>
  <c r="AX93" i="18"/>
  <c r="AP93" i="18"/>
  <c r="AH93" i="18"/>
  <c r="Z93" i="18"/>
  <c r="R93" i="18"/>
  <c r="J93" i="18"/>
  <c r="DO93" i="18"/>
  <c r="DG93" i="18"/>
  <c r="CY93" i="18"/>
  <c r="CQ93" i="18"/>
  <c r="CI93" i="18"/>
  <c r="CA93" i="18"/>
  <c r="BS93" i="18"/>
  <c r="BK93" i="18"/>
  <c r="BC93" i="18"/>
  <c r="AU93" i="18"/>
  <c r="AM93" i="18"/>
  <c r="AE93" i="18"/>
  <c r="W93" i="18"/>
  <c r="O93" i="18"/>
  <c r="G93" i="18"/>
  <c r="DN93" i="18"/>
  <c r="DF93" i="18"/>
  <c r="CX93" i="18"/>
  <c r="CP93" i="18"/>
  <c r="CH93" i="18"/>
  <c r="BZ93" i="18"/>
  <c r="BR93" i="18"/>
  <c r="BJ93" i="18"/>
  <c r="BB93" i="18"/>
  <c r="AT93" i="18"/>
  <c r="AL93" i="18"/>
  <c r="AD93" i="18"/>
  <c r="V93" i="18"/>
  <c r="N93" i="18"/>
  <c r="F93" i="18"/>
  <c r="DK93" i="18"/>
  <c r="CE93" i="18"/>
  <c r="AY93" i="18"/>
  <c r="S93" i="18"/>
  <c r="DC93" i="18"/>
  <c r="BW93" i="18"/>
  <c r="AQ93" i="18"/>
  <c r="K93" i="18"/>
  <c r="CU93" i="18"/>
  <c r="BO93" i="18"/>
  <c r="AI93" i="18"/>
  <c r="CM93" i="18"/>
  <c r="BG93" i="18"/>
  <c r="AA93" i="18"/>
  <c r="X363" i="17"/>
  <c r="H123" i="18"/>
  <c r="BT123" i="18"/>
  <c r="DO58" i="18"/>
  <c r="DK58" i="18"/>
  <c r="DG58" i="18"/>
  <c r="DC58" i="18"/>
  <c r="CY58" i="18"/>
  <c r="CU58" i="18"/>
  <c r="CQ58" i="18"/>
  <c r="CM58" i="18"/>
  <c r="CI58" i="18"/>
  <c r="CE58" i="18"/>
  <c r="CA58" i="18"/>
  <c r="BW58" i="18"/>
  <c r="BS58" i="18"/>
  <c r="BO58" i="18"/>
  <c r="BK58" i="18"/>
  <c r="BG58" i="18"/>
  <c r="BC58" i="18"/>
  <c r="AY58" i="18"/>
  <c r="AU58" i="18"/>
  <c r="AQ58" i="18"/>
  <c r="AM58" i="18"/>
  <c r="AI58" i="18"/>
  <c r="AE58" i="18"/>
  <c r="AA58" i="18"/>
  <c r="W58" i="18"/>
  <c r="S58" i="18"/>
  <c r="O58" i="18"/>
  <c r="K58" i="18"/>
  <c r="G58" i="18"/>
  <c r="DQ58" i="18"/>
  <c r="DL58" i="18"/>
  <c r="DF58" i="18"/>
  <c r="DA58" i="18"/>
  <c r="CV58" i="18"/>
  <c r="CP58" i="18"/>
  <c r="CK58" i="18"/>
  <c r="CF58" i="18"/>
  <c r="BZ58" i="18"/>
  <c r="BU58" i="18"/>
  <c r="BP58" i="18"/>
  <c r="BJ58" i="18"/>
  <c r="BE58" i="18"/>
  <c r="AZ58" i="18"/>
  <c r="AT58" i="18"/>
  <c r="AO58" i="18"/>
  <c r="AJ58" i="18"/>
  <c r="AD58" i="18"/>
  <c r="Y58" i="18"/>
  <c r="T58" i="18"/>
  <c r="N58" i="18"/>
  <c r="I58" i="18"/>
  <c r="DP58" i="18"/>
  <c r="DJ58" i="18"/>
  <c r="DE58" i="18"/>
  <c r="CZ58" i="18"/>
  <c r="CT58" i="18"/>
  <c r="CO58" i="18"/>
  <c r="CJ58" i="18"/>
  <c r="CD58" i="18"/>
  <c r="BY58" i="18"/>
  <c r="BT58" i="18"/>
  <c r="BN58" i="18"/>
  <c r="BI58" i="18"/>
  <c r="BD58" i="18"/>
  <c r="AX58" i="18"/>
  <c r="AS58" i="18"/>
  <c r="AN58" i="18"/>
  <c r="AH58" i="18"/>
  <c r="AC58" i="18"/>
  <c r="X58" i="18"/>
  <c r="R58" i="18"/>
  <c r="M58" i="18"/>
  <c r="H58" i="18"/>
  <c r="DN58" i="18"/>
  <c r="DI58" i="18"/>
  <c r="DD58" i="18"/>
  <c r="CX58" i="18"/>
  <c r="CS58" i="18"/>
  <c r="CN58" i="18"/>
  <c r="CH58" i="18"/>
  <c r="CC58" i="18"/>
  <c r="BX58" i="18"/>
  <c r="BR58" i="18"/>
  <c r="BM58" i="18"/>
  <c r="BH58" i="18"/>
  <c r="BB58" i="18"/>
  <c r="AW58" i="18"/>
  <c r="AR58" i="18"/>
  <c r="AL58" i="18"/>
  <c r="AG58" i="18"/>
  <c r="AB58" i="18"/>
  <c r="V58" i="18"/>
  <c r="Q58" i="18"/>
  <c r="L58" i="18"/>
  <c r="F58" i="18"/>
  <c r="DB58" i="18"/>
  <c r="CG58" i="18"/>
  <c r="BL58" i="18"/>
  <c r="AP58" i="18"/>
  <c r="U58" i="18"/>
  <c r="CW58" i="18"/>
  <c r="CB58" i="18"/>
  <c r="BF58" i="18"/>
  <c r="AK58" i="18"/>
  <c r="P58" i="18"/>
  <c r="DM58" i="18"/>
  <c r="CR58" i="18"/>
  <c r="BV58" i="18"/>
  <c r="BA58" i="18"/>
  <c r="AF58" i="18"/>
  <c r="J58" i="18"/>
  <c r="AV58" i="18"/>
  <c r="DH58" i="18"/>
  <c r="Z58" i="18"/>
  <c r="CL58" i="18"/>
  <c r="E58" i="18"/>
  <c r="BQ58" i="18"/>
  <c r="DN96" i="18"/>
  <c r="DJ96" i="18"/>
  <c r="DF96" i="18"/>
  <c r="DB96" i="18"/>
  <c r="CX96" i="18"/>
  <c r="CT96" i="18"/>
  <c r="CP96" i="18"/>
  <c r="CL96" i="18"/>
  <c r="CH96" i="18"/>
  <c r="CD96" i="18"/>
  <c r="BZ96" i="18"/>
  <c r="BV96" i="18"/>
  <c r="BR96" i="18"/>
  <c r="BN96" i="18"/>
  <c r="BJ96" i="18"/>
  <c r="BF96" i="18"/>
  <c r="BB96" i="18"/>
  <c r="AX96" i="18"/>
  <c r="AT96" i="18"/>
  <c r="AP96" i="18"/>
  <c r="AL96" i="18"/>
  <c r="AH96" i="18"/>
  <c r="AD96" i="18"/>
  <c r="Z96" i="18"/>
  <c r="V96" i="18"/>
  <c r="R96" i="18"/>
  <c r="N96" i="18"/>
  <c r="J96" i="18"/>
  <c r="F96" i="18"/>
  <c r="DQ96" i="18"/>
  <c r="DM96" i="18"/>
  <c r="DI96" i="18"/>
  <c r="DE96" i="18"/>
  <c r="DA96" i="18"/>
  <c r="CW96" i="18"/>
  <c r="CS96" i="18"/>
  <c r="CO96" i="18"/>
  <c r="CK96" i="18"/>
  <c r="CG96" i="18"/>
  <c r="CC96" i="18"/>
  <c r="BY96" i="18"/>
  <c r="BU96" i="18"/>
  <c r="BQ96" i="18"/>
  <c r="BM96" i="18"/>
  <c r="BI96" i="18"/>
  <c r="BE96" i="18"/>
  <c r="BA96" i="18"/>
  <c r="AW96" i="18"/>
  <c r="AS96" i="18"/>
  <c r="AO96" i="18"/>
  <c r="AK96" i="18"/>
  <c r="AG96" i="18"/>
  <c r="AC96" i="18"/>
  <c r="Y96" i="18"/>
  <c r="U96" i="18"/>
  <c r="Q96" i="18"/>
  <c r="M96" i="18"/>
  <c r="I96" i="18"/>
  <c r="E96" i="18"/>
  <c r="DO96" i="18"/>
  <c r="DG96" i="18"/>
  <c r="CY96" i="18"/>
  <c r="CQ96" i="18"/>
  <c r="CI96" i="18"/>
  <c r="CA96" i="18"/>
  <c r="BS96" i="18"/>
  <c r="BK96" i="18"/>
  <c r="BC96" i="18"/>
  <c r="AU96" i="18"/>
  <c r="AM96" i="18"/>
  <c r="AE96" i="18"/>
  <c r="W96" i="18"/>
  <c r="O96" i="18"/>
  <c r="G96" i="18"/>
  <c r="DL96" i="18"/>
  <c r="DD96" i="18"/>
  <c r="CV96" i="18"/>
  <c r="CN96" i="18"/>
  <c r="CF96" i="18"/>
  <c r="BX96" i="18"/>
  <c r="BP96" i="18"/>
  <c r="BH96" i="18"/>
  <c r="AZ96" i="18"/>
  <c r="AR96" i="18"/>
  <c r="AJ96" i="18"/>
  <c r="AB96" i="18"/>
  <c r="T96" i="18"/>
  <c r="L96" i="18"/>
  <c r="DK96" i="18"/>
  <c r="DC96" i="18"/>
  <c r="CU96" i="18"/>
  <c r="CM96" i="18"/>
  <c r="CE96" i="18"/>
  <c r="BW96" i="18"/>
  <c r="BO96" i="18"/>
  <c r="BG96" i="18"/>
  <c r="AY96" i="18"/>
  <c r="AQ96" i="18"/>
  <c r="AI96" i="18"/>
  <c r="AA96" i="18"/>
  <c r="S96" i="18"/>
  <c r="K96" i="18"/>
  <c r="CZ96" i="18"/>
  <c r="BT96" i="18"/>
  <c r="AN96" i="18"/>
  <c r="H96" i="18"/>
  <c r="CR96" i="18"/>
  <c r="BL96" i="18"/>
  <c r="AF96" i="18"/>
  <c r="DP96" i="18"/>
  <c r="CJ96" i="18"/>
  <c r="BD96" i="18"/>
  <c r="X96" i="18"/>
  <c r="P96" i="18"/>
  <c r="DH96" i="18"/>
  <c r="CB96" i="18"/>
  <c r="AV96" i="18"/>
  <c r="DQ64" i="18"/>
  <c r="DM64" i="18"/>
  <c r="DI64" i="18"/>
  <c r="DE64" i="18"/>
  <c r="DA64" i="18"/>
  <c r="CW64" i="18"/>
  <c r="CS64" i="18"/>
  <c r="CO64" i="18"/>
  <c r="CK64" i="18"/>
  <c r="CG64" i="18"/>
  <c r="CC64" i="18"/>
  <c r="BY64" i="18"/>
  <c r="BU64" i="18"/>
  <c r="BQ64" i="18"/>
  <c r="BM64" i="18"/>
  <c r="BI64" i="18"/>
  <c r="BE64" i="18"/>
  <c r="BA64" i="18"/>
  <c r="AW64" i="18"/>
  <c r="AS64" i="18"/>
  <c r="AO64" i="18"/>
  <c r="AK64" i="18"/>
  <c r="AG64" i="18"/>
  <c r="AC64" i="18"/>
  <c r="Y64" i="18"/>
  <c r="U64" i="18"/>
  <c r="Q64" i="18"/>
  <c r="M64" i="18"/>
  <c r="I64" i="18"/>
  <c r="E64" i="18"/>
  <c r="DP64" i="18"/>
  <c r="DK64" i="18"/>
  <c r="DF64" i="18"/>
  <c r="CZ64" i="18"/>
  <c r="CU64" i="18"/>
  <c r="CP64" i="18"/>
  <c r="CJ64" i="18"/>
  <c r="CE64" i="18"/>
  <c r="BZ64" i="18"/>
  <c r="BT64" i="18"/>
  <c r="BO64" i="18"/>
  <c r="BJ64" i="18"/>
  <c r="BD64" i="18"/>
  <c r="AY64" i="18"/>
  <c r="AT64" i="18"/>
  <c r="AN64" i="18"/>
  <c r="AI64" i="18"/>
  <c r="AD64" i="18"/>
  <c r="X64" i="18"/>
  <c r="S64" i="18"/>
  <c r="N64" i="18"/>
  <c r="H64" i="18"/>
  <c r="DO64" i="18"/>
  <c r="DJ64" i="18"/>
  <c r="DD64" i="18"/>
  <c r="CY64" i="18"/>
  <c r="CT64" i="18"/>
  <c r="CN64" i="18"/>
  <c r="CI64" i="18"/>
  <c r="CD64" i="18"/>
  <c r="BX64" i="18"/>
  <c r="BS64" i="18"/>
  <c r="BN64" i="18"/>
  <c r="BH64" i="18"/>
  <c r="BC64" i="18"/>
  <c r="AX64" i="18"/>
  <c r="AR64" i="18"/>
  <c r="AM64" i="18"/>
  <c r="AH64" i="18"/>
  <c r="AB64" i="18"/>
  <c r="W64" i="18"/>
  <c r="R64" i="18"/>
  <c r="L64" i="18"/>
  <c r="G64" i="18"/>
  <c r="DN64" i="18"/>
  <c r="DH64" i="18"/>
  <c r="DC64" i="18"/>
  <c r="CX64" i="18"/>
  <c r="CR64" i="18"/>
  <c r="CM64" i="18"/>
  <c r="CH64" i="18"/>
  <c r="CB64" i="18"/>
  <c r="BW64" i="18"/>
  <c r="BR64" i="18"/>
  <c r="BL64" i="18"/>
  <c r="BG64" i="18"/>
  <c r="BB64" i="18"/>
  <c r="AV64" i="18"/>
  <c r="AQ64" i="18"/>
  <c r="AL64" i="18"/>
  <c r="AF64" i="18"/>
  <c r="AA64" i="18"/>
  <c r="V64" i="18"/>
  <c r="P64" i="18"/>
  <c r="K64" i="18"/>
  <c r="F64" i="18"/>
  <c r="DB64" i="18"/>
  <c r="CF64" i="18"/>
  <c r="BK64" i="18"/>
  <c r="AP64" i="18"/>
  <c r="T64" i="18"/>
  <c r="CV64" i="18"/>
  <c r="CA64" i="18"/>
  <c r="BF64" i="18"/>
  <c r="AJ64" i="18"/>
  <c r="O64" i="18"/>
  <c r="DL64" i="18"/>
  <c r="CQ64" i="18"/>
  <c r="BV64" i="18"/>
  <c r="AZ64" i="18"/>
  <c r="AE64" i="18"/>
  <c r="J64" i="18"/>
  <c r="CL64" i="18"/>
  <c r="BP64" i="18"/>
  <c r="AU64" i="18"/>
  <c r="DG64" i="18"/>
  <c r="Z64" i="18"/>
  <c r="AA453" i="17"/>
  <c r="Y109" i="17"/>
  <c r="AA27" i="24"/>
  <c r="Z86" i="15"/>
  <c r="Y86" i="15"/>
  <c r="Y313" i="17"/>
  <c r="D7" i="21"/>
  <c r="I7" i="21" s="1"/>
  <c r="C55" i="9"/>
  <c r="Y108" i="17"/>
  <c r="AB501" i="17"/>
  <c r="AA501" i="17"/>
  <c r="Y17" i="17"/>
  <c r="AB410" i="17"/>
  <c r="AB401" i="17"/>
  <c r="AA226" i="17"/>
  <c r="Y226" i="17"/>
  <c r="AB491" i="17"/>
  <c r="AC491" i="17"/>
  <c r="Z280" i="17"/>
  <c r="Y280" i="17"/>
  <c r="DP17" i="18"/>
  <c r="DL17" i="18"/>
  <c r="DH17" i="18"/>
  <c r="DD17" i="18"/>
  <c r="CZ17" i="18"/>
  <c r="CV17" i="18"/>
  <c r="CR17" i="18"/>
  <c r="CN17" i="18"/>
  <c r="CJ17" i="18"/>
  <c r="CF17" i="18"/>
  <c r="CB17" i="18"/>
  <c r="BX17" i="18"/>
  <c r="BT17" i="18"/>
  <c r="BP17" i="18"/>
  <c r="BL17" i="18"/>
  <c r="BH17" i="18"/>
  <c r="BD17" i="18"/>
  <c r="AZ17" i="18"/>
  <c r="AV17" i="18"/>
  <c r="AR17" i="18"/>
  <c r="AN17" i="18"/>
  <c r="AJ17" i="18"/>
  <c r="AF17" i="18"/>
  <c r="AB17" i="18"/>
  <c r="X17" i="18"/>
  <c r="T17" i="18"/>
  <c r="P17" i="18"/>
  <c r="L17" i="18"/>
  <c r="H17" i="18"/>
  <c r="DO17" i="18"/>
  <c r="DK17" i="18"/>
  <c r="DG17" i="18"/>
  <c r="DC17" i="18"/>
  <c r="CY17" i="18"/>
  <c r="CU17" i="18"/>
  <c r="CQ17" i="18"/>
  <c r="CM17" i="18"/>
  <c r="CI17" i="18"/>
  <c r="CE17" i="18"/>
  <c r="CA17" i="18"/>
  <c r="BW17" i="18"/>
  <c r="BS17" i="18"/>
  <c r="BO17" i="18"/>
  <c r="BK17" i="18"/>
  <c r="BG17" i="18"/>
  <c r="BC17" i="18"/>
  <c r="AY17" i="18"/>
  <c r="AU17" i="18"/>
  <c r="AQ17" i="18"/>
  <c r="AM17" i="18"/>
  <c r="AI17" i="18"/>
  <c r="AE17" i="18"/>
  <c r="AA17" i="18"/>
  <c r="W17" i="18"/>
  <c r="S17" i="18"/>
  <c r="O17" i="18"/>
  <c r="K17" i="18"/>
  <c r="G17" i="18"/>
  <c r="DN17" i="18"/>
  <c r="DJ17" i="18"/>
  <c r="DF17" i="18"/>
  <c r="DB17" i="18"/>
  <c r="CX17" i="18"/>
  <c r="CT17" i="18"/>
  <c r="CP17" i="18"/>
  <c r="CL17" i="18"/>
  <c r="CH17" i="18"/>
  <c r="CD17" i="18"/>
  <c r="BZ17" i="18"/>
  <c r="BV17" i="18"/>
  <c r="BR17" i="18"/>
  <c r="BN17" i="18"/>
  <c r="BJ17" i="18"/>
  <c r="BF17" i="18"/>
  <c r="BB17" i="18"/>
  <c r="AX17" i="18"/>
  <c r="AT17" i="18"/>
  <c r="AP17" i="18"/>
  <c r="AL17" i="18"/>
  <c r="AH17" i="18"/>
  <c r="AD17" i="18"/>
  <c r="Z17" i="18"/>
  <c r="V17" i="18"/>
  <c r="R17" i="18"/>
  <c r="N17" i="18"/>
  <c r="J17" i="18"/>
  <c r="F17" i="18"/>
  <c r="DI17" i="18"/>
  <c r="CS17" i="18"/>
  <c r="CC17" i="18"/>
  <c r="BM17" i="18"/>
  <c r="AW17" i="18"/>
  <c r="AG17" i="18"/>
  <c r="Q17" i="18"/>
  <c r="DE17" i="18"/>
  <c r="CO17" i="18"/>
  <c r="BY17" i="18"/>
  <c r="BI17" i="18"/>
  <c r="AS17" i="18"/>
  <c r="AC17" i="18"/>
  <c r="M17" i="18"/>
  <c r="DQ17" i="18"/>
  <c r="DA17" i="18"/>
  <c r="CK17" i="18"/>
  <c r="BU17" i="18"/>
  <c r="BE17" i="18"/>
  <c r="AO17" i="18"/>
  <c r="Y17" i="18"/>
  <c r="I17" i="18"/>
  <c r="CW17" i="18"/>
  <c r="AK17" i="18"/>
  <c r="CG17" i="18"/>
  <c r="U17" i="18"/>
  <c r="BQ17" i="18"/>
  <c r="E17" i="18"/>
  <c r="DM17" i="18"/>
  <c r="BA17" i="18"/>
  <c r="Z393" i="17"/>
  <c r="Y393" i="17"/>
  <c r="Z43" i="15"/>
  <c r="Y166" i="17"/>
  <c r="Y112" i="17"/>
  <c r="AC505" i="17"/>
  <c r="AB505" i="17"/>
  <c r="Y211" i="17"/>
  <c r="Z56" i="15"/>
  <c r="Y56" i="15"/>
  <c r="DN47" i="18"/>
  <c r="DJ47" i="18"/>
  <c r="DF47" i="18"/>
  <c r="DB47" i="18"/>
  <c r="CX47" i="18"/>
  <c r="CT47" i="18"/>
  <c r="CP47" i="18"/>
  <c r="CL47" i="18"/>
  <c r="CH47" i="18"/>
  <c r="CD47" i="18"/>
  <c r="BZ47" i="18"/>
  <c r="BV47" i="18"/>
  <c r="BR47" i="18"/>
  <c r="BN47" i="18"/>
  <c r="BJ47" i="18"/>
  <c r="BF47" i="18"/>
  <c r="BB47" i="18"/>
  <c r="AX47" i="18"/>
  <c r="AT47" i="18"/>
  <c r="AP47" i="18"/>
  <c r="AL47" i="18"/>
  <c r="AH47" i="18"/>
  <c r="AD47" i="18"/>
  <c r="Z47" i="18"/>
  <c r="V47" i="18"/>
  <c r="R47" i="18"/>
  <c r="N47" i="18"/>
  <c r="J47" i="18"/>
  <c r="F47" i="18"/>
  <c r="DQ47" i="18"/>
  <c r="DM47" i="18"/>
  <c r="DI47" i="18"/>
  <c r="DE47" i="18"/>
  <c r="DA47" i="18"/>
  <c r="CW47" i="18"/>
  <c r="CS47" i="18"/>
  <c r="CO47" i="18"/>
  <c r="CK47" i="18"/>
  <c r="CG47" i="18"/>
  <c r="CC47" i="18"/>
  <c r="BY47" i="18"/>
  <c r="BU47" i="18"/>
  <c r="BQ47" i="18"/>
  <c r="BM47" i="18"/>
  <c r="BI47" i="18"/>
  <c r="BE47" i="18"/>
  <c r="BA47" i="18"/>
  <c r="AW47" i="18"/>
  <c r="AS47" i="18"/>
  <c r="AO47" i="18"/>
  <c r="AK47" i="18"/>
  <c r="AG47" i="18"/>
  <c r="AC47" i="18"/>
  <c r="Y47" i="18"/>
  <c r="U47" i="18"/>
  <c r="Q47" i="18"/>
  <c r="M47" i="18"/>
  <c r="I47" i="18"/>
  <c r="E47" i="18"/>
  <c r="DP47" i="18"/>
  <c r="DL47" i="18"/>
  <c r="DH47" i="18"/>
  <c r="DD47" i="18"/>
  <c r="CZ47" i="18"/>
  <c r="CV47" i="18"/>
  <c r="CR47" i="18"/>
  <c r="CN47" i="18"/>
  <c r="CJ47" i="18"/>
  <c r="CF47" i="18"/>
  <c r="CB47" i="18"/>
  <c r="BX47" i="18"/>
  <c r="BT47" i="18"/>
  <c r="BP47" i="18"/>
  <c r="BL47" i="18"/>
  <c r="BH47" i="18"/>
  <c r="BD47" i="18"/>
  <c r="AZ47" i="18"/>
  <c r="AV47" i="18"/>
  <c r="AR47" i="18"/>
  <c r="AN47" i="18"/>
  <c r="AJ47" i="18"/>
  <c r="AF47" i="18"/>
  <c r="AB47" i="18"/>
  <c r="X47" i="18"/>
  <c r="T47" i="18"/>
  <c r="P47" i="18"/>
  <c r="L47" i="18"/>
  <c r="H47" i="18"/>
  <c r="DK47" i="18"/>
  <c r="CU47" i="18"/>
  <c r="CE47" i="18"/>
  <c r="BO47" i="18"/>
  <c r="AY47" i="18"/>
  <c r="AI47" i="18"/>
  <c r="S47" i="18"/>
  <c r="DG47" i="18"/>
  <c r="CQ47" i="18"/>
  <c r="CA47" i="18"/>
  <c r="BK47" i="18"/>
  <c r="AU47" i="18"/>
  <c r="AE47" i="18"/>
  <c r="O47" i="18"/>
  <c r="DC47" i="18"/>
  <c r="CM47" i="18"/>
  <c r="BW47" i="18"/>
  <c r="BG47" i="18"/>
  <c r="AQ47" i="18"/>
  <c r="AA47" i="18"/>
  <c r="K47" i="18"/>
  <c r="DO47" i="18"/>
  <c r="BC47" i="18"/>
  <c r="CY47" i="18"/>
  <c r="AM47" i="18"/>
  <c r="CI47" i="18"/>
  <c r="W47" i="18"/>
  <c r="BS47" i="18"/>
  <c r="G47" i="18"/>
  <c r="X24" i="15"/>
  <c r="Z331" i="17"/>
  <c r="Y331" i="17"/>
  <c r="AC462" i="17"/>
  <c r="AB462" i="17"/>
  <c r="Y61" i="15"/>
  <c r="X61" i="15"/>
  <c r="AA61" i="15" s="1"/>
  <c r="Z61" i="15"/>
  <c r="DQ52" i="18"/>
  <c r="DM52" i="18"/>
  <c r="DI52" i="18"/>
  <c r="DE52" i="18"/>
  <c r="DA52" i="18"/>
  <c r="CW52" i="18"/>
  <c r="CS52" i="18"/>
  <c r="CO52" i="18"/>
  <c r="CK52" i="18"/>
  <c r="DL52" i="18"/>
  <c r="DG52" i="18"/>
  <c r="DB52" i="18"/>
  <c r="CV52" i="18"/>
  <c r="CQ52" i="18"/>
  <c r="CL52" i="18"/>
  <c r="CG52" i="18"/>
  <c r="CC52" i="18"/>
  <c r="BY52" i="18"/>
  <c r="BU52" i="18"/>
  <c r="BQ52" i="18"/>
  <c r="BM52" i="18"/>
  <c r="BI52" i="18"/>
  <c r="BE52" i="18"/>
  <c r="BA52" i="18"/>
  <c r="AW52" i="18"/>
  <c r="AS52" i="18"/>
  <c r="AO52" i="18"/>
  <c r="AK52" i="18"/>
  <c r="AG52" i="18"/>
  <c r="AC52" i="18"/>
  <c r="Y52" i="18"/>
  <c r="U52" i="18"/>
  <c r="Q52" i="18"/>
  <c r="M52" i="18"/>
  <c r="I52" i="18"/>
  <c r="E52" i="18"/>
  <c r="DP52" i="18"/>
  <c r="DK52" i="18"/>
  <c r="DF52" i="18"/>
  <c r="CZ52" i="18"/>
  <c r="CU52" i="18"/>
  <c r="CP52" i="18"/>
  <c r="CJ52" i="18"/>
  <c r="CF52" i="18"/>
  <c r="CB52" i="18"/>
  <c r="BX52" i="18"/>
  <c r="BT52" i="18"/>
  <c r="BP52" i="18"/>
  <c r="BL52" i="18"/>
  <c r="BH52" i="18"/>
  <c r="BD52" i="18"/>
  <c r="AZ52" i="18"/>
  <c r="AV52" i="18"/>
  <c r="AR52" i="18"/>
  <c r="AN52" i="18"/>
  <c r="AJ52" i="18"/>
  <c r="AF52" i="18"/>
  <c r="AB52" i="18"/>
  <c r="X52" i="18"/>
  <c r="T52" i="18"/>
  <c r="P52" i="18"/>
  <c r="L52" i="18"/>
  <c r="H52" i="18"/>
  <c r="DO52" i="18"/>
  <c r="DJ52" i="18"/>
  <c r="DD52" i="18"/>
  <c r="CY52" i="18"/>
  <c r="CT52" i="18"/>
  <c r="CN52" i="18"/>
  <c r="CI52" i="18"/>
  <c r="CE52" i="18"/>
  <c r="CA52" i="18"/>
  <c r="BW52" i="18"/>
  <c r="BS52" i="18"/>
  <c r="BO52" i="18"/>
  <c r="BK52" i="18"/>
  <c r="BG52" i="18"/>
  <c r="BC52" i="18"/>
  <c r="AY52" i="18"/>
  <c r="AU52" i="18"/>
  <c r="AQ52" i="18"/>
  <c r="AM52" i="18"/>
  <c r="AI52" i="18"/>
  <c r="AE52" i="18"/>
  <c r="AA52" i="18"/>
  <c r="W52" i="18"/>
  <c r="S52" i="18"/>
  <c r="O52" i="18"/>
  <c r="K52" i="18"/>
  <c r="G52" i="18"/>
  <c r="DC52" i="18"/>
  <c r="CH52" i="18"/>
  <c r="BR52" i="18"/>
  <c r="BB52" i="18"/>
  <c r="AL52" i="18"/>
  <c r="V52" i="18"/>
  <c r="F52" i="18"/>
  <c r="CX52" i="18"/>
  <c r="CD52" i="18"/>
  <c r="BN52" i="18"/>
  <c r="AX52" i="18"/>
  <c r="AH52" i="18"/>
  <c r="R52" i="18"/>
  <c r="DN52" i="18"/>
  <c r="CR52" i="18"/>
  <c r="BZ52" i="18"/>
  <c r="BJ52" i="18"/>
  <c r="AT52" i="18"/>
  <c r="AD52" i="18"/>
  <c r="N52" i="18"/>
  <c r="CM52" i="18"/>
  <c r="Z52" i="18"/>
  <c r="BV52" i="18"/>
  <c r="J52" i="18"/>
  <c r="BF52" i="18"/>
  <c r="AP52" i="18"/>
  <c r="DH52" i="18"/>
  <c r="Y37" i="24"/>
  <c r="Y29" i="24"/>
  <c r="X92" i="15"/>
  <c r="DP83" i="18"/>
  <c r="DL83" i="18"/>
  <c r="DH83" i="18"/>
  <c r="DD83" i="18"/>
  <c r="CZ83" i="18"/>
  <c r="CV83" i="18"/>
  <c r="CR83" i="18"/>
  <c r="CN83" i="18"/>
  <c r="CJ83" i="18"/>
  <c r="CF83" i="18"/>
  <c r="CB83" i="18"/>
  <c r="BX83" i="18"/>
  <c r="BT83" i="18"/>
  <c r="BP83" i="18"/>
  <c r="BL83" i="18"/>
  <c r="BH83" i="18"/>
  <c r="BD83" i="18"/>
  <c r="AZ83" i="18"/>
  <c r="AV83" i="18"/>
  <c r="AR83" i="18"/>
  <c r="AN83" i="18"/>
  <c r="AJ83" i="18"/>
  <c r="AF83" i="18"/>
  <c r="AB83" i="18"/>
  <c r="X83" i="18"/>
  <c r="T83" i="18"/>
  <c r="P83" i="18"/>
  <c r="L83" i="18"/>
  <c r="H83" i="18"/>
  <c r="DO83" i="18"/>
  <c r="DK83" i="18"/>
  <c r="DG83" i="18"/>
  <c r="DC83" i="18"/>
  <c r="CY83" i="18"/>
  <c r="CU83" i="18"/>
  <c r="CQ83" i="18"/>
  <c r="CM83" i="18"/>
  <c r="CI83" i="18"/>
  <c r="CE83" i="18"/>
  <c r="CA83" i="18"/>
  <c r="BW83" i="18"/>
  <c r="BS83" i="18"/>
  <c r="BO83" i="18"/>
  <c r="BK83" i="18"/>
  <c r="BG83" i="18"/>
  <c r="BC83" i="18"/>
  <c r="AY83" i="18"/>
  <c r="AU83" i="18"/>
  <c r="AQ83" i="18"/>
  <c r="AM83" i="18"/>
  <c r="AI83" i="18"/>
  <c r="AE83" i="18"/>
  <c r="AA83" i="18"/>
  <c r="W83" i="18"/>
  <c r="S83" i="18"/>
  <c r="O83" i="18"/>
  <c r="K83" i="18"/>
  <c r="G83" i="18"/>
  <c r="DN83" i="18"/>
  <c r="DJ83" i="18"/>
  <c r="DF83" i="18"/>
  <c r="DB83" i="18"/>
  <c r="CX83" i="18"/>
  <c r="CT83" i="18"/>
  <c r="CP83" i="18"/>
  <c r="CL83" i="18"/>
  <c r="CH83" i="18"/>
  <c r="CD83" i="18"/>
  <c r="BZ83" i="18"/>
  <c r="BV83" i="18"/>
  <c r="BR83" i="18"/>
  <c r="BN83" i="18"/>
  <c r="BJ83" i="18"/>
  <c r="BF83" i="18"/>
  <c r="BB83" i="18"/>
  <c r="AX83" i="18"/>
  <c r="AT83" i="18"/>
  <c r="AP83" i="18"/>
  <c r="AL83" i="18"/>
  <c r="AH83" i="18"/>
  <c r="AD83" i="18"/>
  <c r="Z83" i="18"/>
  <c r="V83" i="18"/>
  <c r="R83" i="18"/>
  <c r="N83" i="18"/>
  <c r="J83" i="18"/>
  <c r="F83" i="18"/>
  <c r="DE83" i="18"/>
  <c r="CO83" i="18"/>
  <c r="BY83" i="18"/>
  <c r="BI83" i="18"/>
  <c r="AS83" i="18"/>
  <c r="AC83" i="18"/>
  <c r="M83" i="18"/>
  <c r="DQ83" i="18"/>
  <c r="DA83" i="18"/>
  <c r="CK83" i="18"/>
  <c r="BU83" i="18"/>
  <c r="BE83" i="18"/>
  <c r="AO83" i="18"/>
  <c r="Y83" i="18"/>
  <c r="I83" i="18"/>
  <c r="DM83" i="18"/>
  <c r="CW83" i="18"/>
  <c r="CG83" i="18"/>
  <c r="BQ83" i="18"/>
  <c r="BA83" i="18"/>
  <c r="AK83" i="18"/>
  <c r="U83" i="18"/>
  <c r="E83" i="18"/>
  <c r="CS83" i="18"/>
  <c r="AG83" i="18"/>
  <c r="CC83" i="18"/>
  <c r="Q83" i="18"/>
  <c r="BM83" i="18"/>
  <c r="AW83" i="18"/>
  <c r="DI83" i="18"/>
  <c r="AB413" i="17"/>
  <c r="C23" i="5"/>
  <c r="C27" i="5"/>
  <c r="C24" i="5"/>
  <c r="C28" i="5"/>
  <c r="C26" i="5"/>
  <c r="C21" i="5"/>
  <c r="C25" i="5"/>
  <c r="C22" i="5"/>
  <c r="Y30" i="24"/>
  <c r="AA30" i="24"/>
  <c r="Y16" i="15"/>
  <c r="Y126" i="15" s="1"/>
  <c r="AB523" i="17"/>
  <c r="Y401" i="17"/>
  <c r="X304" i="17"/>
  <c r="DP41" i="18"/>
  <c r="DL41" i="18"/>
  <c r="DH41" i="18"/>
  <c r="DD41" i="18"/>
  <c r="CZ41" i="18"/>
  <c r="CV41" i="18"/>
  <c r="CR41" i="18"/>
  <c r="CN41" i="18"/>
  <c r="CJ41" i="18"/>
  <c r="CF41" i="18"/>
  <c r="CB41" i="18"/>
  <c r="BX41" i="18"/>
  <c r="BT41" i="18"/>
  <c r="BP41" i="18"/>
  <c r="BL41" i="18"/>
  <c r="BH41" i="18"/>
  <c r="BD41" i="18"/>
  <c r="AZ41" i="18"/>
  <c r="AV41" i="18"/>
  <c r="AR41" i="18"/>
  <c r="AN41" i="18"/>
  <c r="AJ41" i="18"/>
  <c r="AF41" i="18"/>
  <c r="AB41" i="18"/>
  <c r="X41" i="18"/>
  <c r="T41" i="18"/>
  <c r="P41" i="18"/>
  <c r="L41" i="18"/>
  <c r="H41" i="18"/>
  <c r="DO41" i="18"/>
  <c r="DK41" i="18"/>
  <c r="DG41" i="18"/>
  <c r="DC41" i="18"/>
  <c r="CY41" i="18"/>
  <c r="CU41" i="18"/>
  <c r="CQ41" i="18"/>
  <c r="CM41" i="18"/>
  <c r="CI41" i="18"/>
  <c r="CE41" i="18"/>
  <c r="CA41" i="18"/>
  <c r="BW41" i="18"/>
  <c r="BS41" i="18"/>
  <c r="BO41" i="18"/>
  <c r="BK41" i="18"/>
  <c r="BG41" i="18"/>
  <c r="BC41" i="18"/>
  <c r="AY41" i="18"/>
  <c r="AU41" i="18"/>
  <c r="AQ41" i="18"/>
  <c r="AM41" i="18"/>
  <c r="AI41" i="18"/>
  <c r="AE41" i="18"/>
  <c r="AA41" i="18"/>
  <c r="W41" i="18"/>
  <c r="S41" i="18"/>
  <c r="O41" i="18"/>
  <c r="K41" i="18"/>
  <c r="G41" i="18"/>
  <c r="DN41" i="18"/>
  <c r="DJ41" i="18"/>
  <c r="DF41" i="18"/>
  <c r="DB41" i="18"/>
  <c r="CX41" i="18"/>
  <c r="CT41" i="18"/>
  <c r="CP41" i="18"/>
  <c r="CL41" i="18"/>
  <c r="CH41" i="18"/>
  <c r="CD41" i="18"/>
  <c r="BZ41" i="18"/>
  <c r="BV41" i="18"/>
  <c r="BR41" i="18"/>
  <c r="BN41" i="18"/>
  <c r="BJ41" i="18"/>
  <c r="BF41" i="18"/>
  <c r="BB41" i="18"/>
  <c r="AX41" i="18"/>
  <c r="AT41" i="18"/>
  <c r="AP41" i="18"/>
  <c r="AL41" i="18"/>
  <c r="AH41" i="18"/>
  <c r="AD41" i="18"/>
  <c r="Z41" i="18"/>
  <c r="V41" i="18"/>
  <c r="R41" i="18"/>
  <c r="N41" i="18"/>
  <c r="J41" i="18"/>
  <c r="F41" i="18"/>
  <c r="DQ41" i="18"/>
  <c r="DA41" i="18"/>
  <c r="CK41" i="18"/>
  <c r="BU41" i="18"/>
  <c r="BE41" i="18"/>
  <c r="AO41" i="18"/>
  <c r="Y41" i="18"/>
  <c r="I41" i="18"/>
  <c r="DM41" i="18"/>
  <c r="CW41" i="18"/>
  <c r="CG41" i="18"/>
  <c r="BQ41" i="18"/>
  <c r="BA41" i="18"/>
  <c r="AK41" i="18"/>
  <c r="U41" i="18"/>
  <c r="E41" i="18"/>
  <c r="DI41" i="18"/>
  <c r="CS41" i="18"/>
  <c r="CC41" i="18"/>
  <c r="BM41" i="18"/>
  <c r="AW41" i="18"/>
  <c r="AG41" i="18"/>
  <c r="Q41" i="18"/>
  <c r="BY41" i="18"/>
  <c r="M41" i="18"/>
  <c r="BI41" i="18"/>
  <c r="DE41" i="18"/>
  <c r="AS41" i="18"/>
  <c r="CO41" i="18"/>
  <c r="AC41" i="18"/>
  <c r="Z380" i="17"/>
  <c r="Y380" i="17"/>
  <c r="DQ117" i="18"/>
  <c r="DM117" i="18"/>
  <c r="DI117" i="18"/>
  <c r="DE117" i="18"/>
  <c r="DA117" i="18"/>
  <c r="CW117" i="18"/>
  <c r="CS117" i="18"/>
  <c r="CO117" i="18"/>
  <c r="CK117" i="18"/>
  <c r="CG117" i="18"/>
  <c r="CC117" i="18"/>
  <c r="BY117" i="18"/>
  <c r="BU117" i="18"/>
  <c r="BQ117" i="18"/>
  <c r="BM117" i="18"/>
  <c r="BI117" i="18"/>
  <c r="BE117" i="18"/>
  <c r="BA117" i="18"/>
  <c r="AW117" i="18"/>
  <c r="AS117" i="18"/>
  <c r="AO117" i="18"/>
  <c r="AK117" i="18"/>
  <c r="AG117" i="18"/>
  <c r="AC117" i="18"/>
  <c r="Y117" i="18"/>
  <c r="U117" i="18"/>
  <c r="Q117" i="18"/>
  <c r="M117" i="18"/>
  <c r="I117" i="18"/>
  <c r="E117" i="18"/>
  <c r="DP117" i="18"/>
  <c r="DL117" i="18"/>
  <c r="DH117" i="18"/>
  <c r="DD117" i="18"/>
  <c r="CZ117" i="18"/>
  <c r="CV117" i="18"/>
  <c r="CR117" i="18"/>
  <c r="CN117" i="18"/>
  <c r="CJ117" i="18"/>
  <c r="CF117" i="18"/>
  <c r="CB117" i="18"/>
  <c r="BX117" i="18"/>
  <c r="BT117" i="18"/>
  <c r="BP117" i="18"/>
  <c r="BL117" i="18"/>
  <c r="BH117" i="18"/>
  <c r="BD117" i="18"/>
  <c r="AZ117" i="18"/>
  <c r="AV117" i="18"/>
  <c r="AR117" i="18"/>
  <c r="AN117" i="18"/>
  <c r="AJ117" i="18"/>
  <c r="AF117" i="18"/>
  <c r="AB117" i="18"/>
  <c r="X117" i="18"/>
  <c r="T117" i="18"/>
  <c r="P117" i="18"/>
  <c r="L117" i="18"/>
  <c r="H117" i="18"/>
  <c r="DJ117" i="18"/>
  <c r="DB117" i="18"/>
  <c r="CT117" i="18"/>
  <c r="CL117" i="18"/>
  <c r="CD117" i="18"/>
  <c r="BV117" i="18"/>
  <c r="BN117" i="18"/>
  <c r="BF117" i="18"/>
  <c r="AX117" i="18"/>
  <c r="AP117" i="18"/>
  <c r="AH117" i="18"/>
  <c r="Z117" i="18"/>
  <c r="R117" i="18"/>
  <c r="J117" i="18"/>
  <c r="DO117" i="18"/>
  <c r="DG117" i="18"/>
  <c r="CY117" i="18"/>
  <c r="CQ117" i="18"/>
  <c r="CI117" i="18"/>
  <c r="CA117" i="18"/>
  <c r="BS117" i="18"/>
  <c r="BK117" i="18"/>
  <c r="BC117" i="18"/>
  <c r="AU117" i="18"/>
  <c r="AM117" i="18"/>
  <c r="AE117" i="18"/>
  <c r="W117" i="18"/>
  <c r="O117" i="18"/>
  <c r="G117" i="18"/>
  <c r="DN117" i="18"/>
  <c r="DF117" i="18"/>
  <c r="CX117" i="18"/>
  <c r="CP117" i="18"/>
  <c r="CH117" i="18"/>
  <c r="BZ117" i="18"/>
  <c r="BR117" i="18"/>
  <c r="BJ117" i="18"/>
  <c r="BB117" i="18"/>
  <c r="AT117" i="18"/>
  <c r="AL117" i="18"/>
  <c r="AD117" i="18"/>
  <c r="V117" i="18"/>
  <c r="N117" i="18"/>
  <c r="F117" i="18"/>
  <c r="CM117" i="18"/>
  <c r="BG117" i="18"/>
  <c r="AA117" i="18"/>
  <c r="DK117" i="18"/>
  <c r="CE117" i="18"/>
  <c r="AY117" i="18"/>
  <c r="S117" i="18"/>
  <c r="DC117" i="18"/>
  <c r="BW117" i="18"/>
  <c r="AQ117" i="18"/>
  <c r="K117" i="18"/>
  <c r="AI117" i="18"/>
  <c r="CU117" i="18"/>
  <c r="BO117" i="18"/>
  <c r="Y217" i="17"/>
  <c r="X217" i="17"/>
  <c r="Y54" i="17"/>
  <c r="Y30" i="15"/>
  <c r="AB415" i="17"/>
  <c r="AA415" i="17"/>
  <c r="Y77" i="17"/>
  <c r="Z343" i="17"/>
  <c r="AB343" i="17"/>
  <c r="Y60" i="15"/>
  <c r="X60" i="15"/>
  <c r="DN51" i="18"/>
  <c r="DJ51" i="18"/>
  <c r="DF51" i="18"/>
  <c r="DB51" i="18"/>
  <c r="CX51" i="18"/>
  <c r="CT51" i="18"/>
  <c r="CP51" i="18"/>
  <c r="CL51" i="18"/>
  <c r="CH51" i="18"/>
  <c r="CD51" i="18"/>
  <c r="BZ51" i="18"/>
  <c r="BV51" i="18"/>
  <c r="BR51" i="18"/>
  <c r="BN51" i="18"/>
  <c r="BJ51" i="18"/>
  <c r="BF51" i="18"/>
  <c r="BB51" i="18"/>
  <c r="AX51" i="18"/>
  <c r="AT51" i="18"/>
  <c r="AP51" i="18"/>
  <c r="AL51" i="18"/>
  <c r="AH51" i="18"/>
  <c r="AD51" i="18"/>
  <c r="Z51" i="18"/>
  <c r="V51" i="18"/>
  <c r="R51" i="18"/>
  <c r="N51" i="18"/>
  <c r="J51" i="18"/>
  <c r="F51" i="18"/>
  <c r="DQ51" i="18"/>
  <c r="DM51" i="18"/>
  <c r="DI51" i="18"/>
  <c r="DE51" i="18"/>
  <c r="DA51" i="18"/>
  <c r="CW51" i="18"/>
  <c r="CS51" i="18"/>
  <c r="CO51" i="18"/>
  <c r="CK51" i="18"/>
  <c r="CG51" i="18"/>
  <c r="CC51" i="18"/>
  <c r="BY51" i="18"/>
  <c r="BU51" i="18"/>
  <c r="BQ51" i="18"/>
  <c r="BM51" i="18"/>
  <c r="BI51" i="18"/>
  <c r="BE51" i="18"/>
  <c r="BA51" i="18"/>
  <c r="AW51" i="18"/>
  <c r="AS51" i="18"/>
  <c r="AO51" i="18"/>
  <c r="AK51" i="18"/>
  <c r="AG51" i="18"/>
  <c r="AC51" i="18"/>
  <c r="Y51" i="18"/>
  <c r="U51" i="18"/>
  <c r="Q51" i="18"/>
  <c r="M51" i="18"/>
  <c r="I51" i="18"/>
  <c r="E51" i="18"/>
  <c r="DP51" i="18"/>
  <c r="DL51" i="18"/>
  <c r="DH51" i="18"/>
  <c r="DD51" i="18"/>
  <c r="CZ51" i="18"/>
  <c r="CV51" i="18"/>
  <c r="CR51" i="18"/>
  <c r="CN51" i="18"/>
  <c r="CJ51" i="18"/>
  <c r="CF51" i="18"/>
  <c r="CB51" i="18"/>
  <c r="BX51" i="18"/>
  <c r="BT51" i="18"/>
  <c r="BP51" i="18"/>
  <c r="BL51" i="18"/>
  <c r="BH51" i="18"/>
  <c r="BD51" i="18"/>
  <c r="AZ51" i="18"/>
  <c r="AV51" i="18"/>
  <c r="AR51" i="18"/>
  <c r="AN51" i="18"/>
  <c r="AJ51" i="18"/>
  <c r="AF51" i="18"/>
  <c r="AB51" i="18"/>
  <c r="X51" i="18"/>
  <c r="T51" i="18"/>
  <c r="P51" i="18"/>
  <c r="L51" i="18"/>
  <c r="H51" i="18"/>
  <c r="DG51" i="18"/>
  <c r="CQ51" i="18"/>
  <c r="CA51" i="18"/>
  <c r="BK51" i="18"/>
  <c r="AU51" i="18"/>
  <c r="AE51" i="18"/>
  <c r="O51" i="18"/>
  <c r="DC51" i="18"/>
  <c r="CM51" i="18"/>
  <c r="BW51" i="18"/>
  <c r="BG51" i="18"/>
  <c r="AQ51" i="18"/>
  <c r="AA51" i="18"/>
  <c r="K51" i="18"/>
  <c r="DO51" i="18"/>
  <c r="CY51" i="18"/>
  <c r="CI51" i="18"/>
  <c r="BS51" i="18"/>
  <c r="BC51" i="18"/>
  <c r="AM51" i="18"/>
  <c r="W51" i="18"/>
  <c r="G51" i="18"/>
  <c r="CE51" i="18"/>
  <c r="S51" i="18"/>
  <c r="BO51" i="18"/>
  <c r="DK51" i="18"/>
  <c r="AY51" i="18"/>
  <c r="CU51" i="18"/>
  <c r="AI51" i="18"/>
  <c r="X130" i="15"/>
  <c r="AB515" i="17"/>
  <c r="DO90" i="18"/>
  <c r="DK90" i="18"/>
  <c r="DG90" i="18"/>
  <c r="DC90" i="18"/>
  <c r="CY90" i="18"/>
  <c r="CU90" i="18"/>
  <c r="CQ90" i="18"/>
  <c r="CM90" i="18"/>
  <c r="CI90" i="18"/>
  <c r="CE90" i="18"/>
  <c r="CA90" i="18"/>
  <c r="BW90" i="18"/>
  <c r="BS90" i="18"/>
  <c r="BO90" i="18"/>
  <c r="BK90" i="18"/>
  <c r="BG90" i="18"/>
  <c r="BC90" i="18"/>
  <c r="AY90" i="18"/>
  <c r="AU90" i="18"/>
  <c r="AQ90" i="18"/>
  <c r="AM90" i="18"/>
  <c r="AI90" i="18"/>
  <c r="AE90" i="18"/>
  <c r="AA90" i="18"/>
  <c r="W90" i="18"/>
  <c r="S90" i="18"/>
  <c r="O90" i="18"/>
  <c r="K90" i="18"/>
  <c r="G90" i="18"/>
  <c r="DN90" i="18"/>
  <c r="DI90" i="18"/>
  <c r="DD90" i="18"/>
  <c r="CX90" i="18"/>
  <c r="CS90" i="18"/>
  <c r="CN90" i="18"/>
  <c r="CH90" i="18"/>
  <c r="CC90" i="18"/>
  <c r="BX90" i="18"/>
  <c r="BR90" i="18"/>
  <c r="BM90" i="18"/>
  <c r="BH90" i="18"/>
  <c r="BB90" i="18"/>
  <c r="AW90" i="18"/>
  <c r="AR90" i="18"/>
  <c r="AL90" i="18"/>
  <c r="AG90" i="18"/>
  <c r="AB90" i="18"/>
  <c r="V90" i="18"/>
  <c r="Q90" i="18"/>
  <c r="L90" i="18"/>
  <c r="F90" i="18"/>
  <c r="DM90" i="18"/>
  <c r="DH90" i="18"/>
  <c r="DB90" i="18"/>
  <c r="CW90" i="18"/>
  <c r="CR90" i="18"/>
  <c r="CL90" i="18"/>
  <c r="CG90" i="18"/>
  <c r="CB90" i="18"/>
  <c r="BV90" i="18"/>
  <c r="BQ90" i="18"/>
  <c r="BL90" i="18"/>
  <c r="BF90" i="18"/>
  <c r="BA90" i="18"/>
  <c r="AV90" i="18"/>
  <c r="AP90" i="18"/>
  <c r="AK90" i="18"/>
  <c r="AF90" i="18"/>
  <c r="Z90" i="18"/>
  <c r="U90" i="18"/>
  <c r="P90" i="18"/>
  <c r="J90" i="18"/>
  <c r="E90" i="18"/>
  <c r="DQ90" i="18"/>
  <c r="DL90" i="18"/>
  <c r="DF90" i="18"/>
  <c r="DA90" i="18"/>
  <c r="CV90" i="18"/>
  <c r="CP90" i="18"/>
  <c r="CK90" i="18"/>
  <c r="CF90" i="18"/>
  <c r="BZ90" i="18"/>
  <c r="BU90" i="18"/>
  <c r="BP90" i="18"/>
  <c r="BJ90" i="18"/>
  <c r="BE90" i="18"/>
  <c r="AZ90" i="18"/>
  <c r="AT90" i="18"/>
  <c r="AO90" i="18"/>
  <c r="AJ90" i="18"/>
  <c r="AD90" i="18"/>
  <c r="Y90" i="18"/>
  <c r="T90" i="18"/>
  <c r="N90" i="18"/>
  <c r="I90" i="18"/>
  <c r="DE90" i="18"/>
  <c r="CJ90" i="18"/>
  <c r="BN90" i="18"/>
  <c r="AS90" i="18"/>
  <c r="X90" i="18"/>
  <c r="CZ90" i="18"/>
  <c r="CD90" i="18"/>
  <c r="BI90" i="18"/>
  <c r="AN90" i="18"/>
  <c r="R90" i="18"/>
  <c r="DP90" i="18"/>
  <c r="CT90" i="18"/>
  <c r="BY90" i="18"/>
  <c r="BD90" i="18"/>
  <c r="AH90" i="18"/>
  <c r="M90" i="18"/>
  <c r="BT90" i="18"/>
  <c r="AX90" i="18"/>
  <c r="DJ90" i="18"/>
  <c r="AC90" i="18"/>
  <c r="H90" i="18"/>
  <c r="CO90" i="18"/>
  <c r="Y47" i="17"/>
  <c r="Y64" i="15"/>
  <c r="X64" i="15"/>
  <c r="DN55" i="18"/>
  <c r="DJ55" i="18"/>
  <c r="DF55" i="18"/>
  <c r="DB55" i="18"/>
  <c r="CX55" i="18"/>
  <c r="CT55" i="18"/>
  <c r="CP55" i="18"/>
  <c r="CL55" i="18"/>
  <c r="CH55" i="18"/>
  <c r="CD55" i="18"/>
  <c r="BZ55" i="18"/>
  <c r="BV55" i="18"/>
  <c r="BR55" i="18"/>
  <c r="BN55" i="18"/>
  <c r="BJ55" i="18"/>
  <c r="BF55" i="18"/>
  <c r="BB55" i="18"/>
  <c r="AX55" i="18"/>
  <c r="AT55" i="18"/>
  <c r="AP55" i="18"/>
  <c r="AL55" i="18"/>
  <c r="AH55" i="18"/>
  <c r="AD55" i="18"/>
  <c r="Z55" i="18"/>
  <c r="V55" i="18"/>
  <c r="R55" i="18"/>
  <c r="N55" i="18"/>
  <c r="J55" i="18"/>
  <c r="F55" i="18"/>
  <c r="DQ55" i="18"/>
  <c r="DL55" i="18"/>
  <c r="DG55" i="18"/>
  <c r="DA55" i="18"/>
  <c r="CV55" i="18"/>
  <c r="CQ55" i="18"/>
  <c r="CK55" i="18"/>
  <c r="CF55" i="18"/>
  <c r="CA55" i="18"/>
  <c r="BU55" i="18"/>
  <c r="BP55" i="18"/>
  <c r="BK55" i="18"/>
  <c r="BE55" i="18"/>
  <c r="AZ55" i="18"/>
  <c r="AU55" i="18"/>
  <c r="AO55" i="18"/>
  <c r="AJ55" i="18"/>
  <c r="AE55" i="18"/>
  <c r="Y55" i="18"/>
  <c r="T55" i="18"/>
  <c r="O55" i="18"/>
  <c r="I55" i="18"/>
  <c r="DP55" i="18"/>
  <c r="DK55" i="18"/>
  <c r="DE55" i="18"/>
  <c r="CZ55" i="18"/>
  <c r="CU55" i="18"/>
  <c r="CO55" i="18"/>
  <c r="CJ55" i="18"/>
  <c r="CE55" i="18"/>
  <c r="BY55" i="18"/>
  <c r="BT55" i="18"/>
  <c r="BO55" i="18"/>
  <c r="BI55" i="18"/>
  <c r="BD55" i="18"/>
  <c r="AY55" i="18"/>
  <c r="AS55" i="18"/>
  <c r="AN55" i="18"/>
  <c r="AI55" i="18"/>
  <c r="AC55" i="18"/>
  <c r="X55" i="18"/>
  <c r="S55" i="18"/>
  <c r="M55" i="18"/>
  <c r="H55" i="18"/>
  <c r="DO55" i="18"/>
  <c r="DI55" i="18"/>
  <c r="DD55" i="18"/>
  <c r="CY55" i="18"/>
  <c r="CS55" i="18"/>
  <c r="CN55" i="18"/>
  <c r="CI55" i="18"/>
  <c r="CC55" i="18"/>
  <c r="BX55" i="18"/>
  <c r="BS55" i="18"/>
  <c r="BM55" i="18"/>
  <c r="BH55" i="18"/>
  <c r="BC55" i="18"/>
  <c r="AW55" i="18"/>
  <c r="AR55" i="18"/>
  <c r="AM55" i="18"/>
  <c r="AG55" i="18"/>
  <c r="AB55" i="18"/>
  <c r="W55" i="18"/>
  <c r="Q55" i="18"/>
  <c r="L55" i="18"/>
  <c r="G55" i="18"/>
  <c r="DC55" i="18"/>
  <c r="CG55" i="18"/>
  <c r="BL55" i="18"/>
  <c r="AQ55" i="18"/>
  <c r="U55" i="18"/>
  <c r="CW55" i="18"/>
  <c r="CB55" i="18"/>
  <c r="BG55" i="18"/>
  <c r="AK55" i="18"/>
  <c r="P55" i="18"/>
  <c r="DM55" i="18"/>
  <c r="CR55" i="18"/>
  <c r="BW55" i="18"/>
  <c r="BA55" i="18"/>
  <c r="AF55" i="18"/>
  <c r="K55" i="18"/>
  <c r="BQ55" i="18"/>
  <c r="AV55" i="18"/>
  <c r="DH55" i="18"/>
  <c r="AA55" i="18"/>
  <c r="E55" i="18"/>
  <c r="CM55" i="18"/>
  <c r="Y81" i="15"/>
  <c r="AB466" i="17"/>
  <c r="X466" i="17"/>
  <c r="AA341" i="17"/>
  <c r="Z341" i="17"/>
  <c r="DQ78" i="18"/>
  <c r="DM78" i="18"/>
  <c r="DI78" i="18"/>
  <c r="DE78" i="18"/>
  <c r="DA78" i="18"/>
  <c r="CW78" i="18"/>
  <c r="CS78" i="18"/>
  <c r="CO78" i="18"/>
  <c r="CK78" i="18"/>
  <c r="CG78" i="18"/>
  <c r="CC78" i="18"/>
  <c r="BY78" i="18"/>
  <c r="BU78" i="18"/>
  <c r="BQ78" i="18"/>
  <c r="BM78" i="18"/>
  <c r="BI78" i="18"/>
  <c r="BE78" i="18"/>
  <c r="BA78" i="18"/>
  <c r="AW78" i="18"/>
  <c r="AS78" i="18"/>
  <c r="AO78" i="18"/>
  <c r="AK78" i="18"/>
  <c r="AG78" i="18"/>
  <c r="AC78" i="18"/>
  <c r="Y78" i="18"/>
  <c r="U78" i="18"/>
  <c r="Q78" i="18"/>
  <c r="M78" i="18"/>
  <c r="I78" i="18"/>
  <c r="E78" i="18"/>
  <c r="DP78" i="18"/>
  <c r="DL78" i="18"/>
  <c r="DH78" i="18"/>
  <c r="DD78" i="18"/>
  <c r="CZ78" i="18"/>
  <c r="CV78" i="18"/>
  <c r="CR78" i="18"/>
  <c r="CN78" i="18"/>
  <c r="CJ78" i="18"/>
  <c r="CF78" i="18"/>
  <c r="CB78" i="18"/>
  <c r="BX78" i="18"/>
  <c r="BT78" i="18"/>
  <c r="BP78" i="18"/>
  <c r="BL78" i="18"/>
  <c r="BH78" i="18"/>
  <c r="BD78" i="18"/>
  <c r="AZ78" i="18"/>
  <c r="AV78" i="18"/>
  <c r="AR78" i="18"/>
  <c r="AN78" i="18"/>
  <c r="AJ78" i="18"/>
  <c r="AF78" i="18"/>
  <c r="AB78" i="18"/>
  <c r="X78" i="18"/>
  <c r="T78" i="18"/>
  <c r="P78" i="18"/>
  <c r="L78" i="18"/>
  <c r="H78" i="18"/>
  <c r="DO78" i="18"/>
  <c r="DK78" i="18"/>
  <c r="DG78" i="18"/>
  <c r="DC78" i="18"/>
  <c r="CY78" i="18"/>
  <c r="CU78" i="18"/>
  <c r="CQ78" i="18"/>
  <c r="CM78" i="18"/>
  <c r="CI78" i="18"/>
  <c r="CE78" i="18"/>
  <c r="CA78" i="18"/>
  <c r="BW78" i="18"/>
  <c r="BS78" i="18"/>
  <c r="BO78" i="18"/>
  <c r="BK78" i="18"/>
  <c r="BG78" i="18"/>
  <c r="BC78" i="18"/>
  <c r="AY78" i="18"/>
  <c r="AU78" i="18"/>
  <c r="AQ78" i="18"/>
  <c r="AM78" i="18"/>
  <c r="AI78" i="18"/>
  <c r="AE78" i="18"/>
  <c r="AA78" i="18"/>
  <c r="W78" i="18"/>
  <c r="S78" i="18"/>
  <c r="O78" i="18"/>
  <c r="K78" i="18"/>
  <c r="G78" i="18"/>
  <c r="DB78" i="18"/>
  <c r="CL78" i="18"/>
  <c r="BV78" i="18"/>
  <c r="BF78" i="18"/>
  <c r="AP78" i="18"/>
  <c r="Z78" i="18"/>
  <c r="J78" i="18"/>
  <c r="DN78" i="18"/>
  <c r="CX78" i="18"/>
  <c r="CH78" i="18"/>
  <c r="BR78" i="18"/>
  <c r="BB78" i="18"/>
  <c r="AL78" i="18"/>
  <c r="V78" i="18"/>
  <c r="F78" i="18"/>
  <c r="DJ78" i="18"/>
  <c r="CT78" i="18"/>
  <c r="CD78" i="18"/>
  <c r="BN78" i="18"/>
  <c r="AX78" i="18"/>
  <c r="AH78" i="18"/>
  <c r="R78" i="18"/>
  <c r="BJ78" i="18"/>
  <c r="DF78" i="18"/>
  <c r="AT78" i="18"/>
  <c r="CP78" i="18"/>
  <c r="AD78" i="18"/>
  <c r="BZ78" i="18"/>
  <c r="N78" i="18"/>
  <c r="AB290" i="17"/>
  <c r="Z290" i="17"/>
  <c r="Z270" i="17"/>
  <c r="Z297" i="17" s="1"/>
  <c r="Y19" i="17"/>
  <c r="Z225" i="17"/>
  <c r="Y62" i="17"/>
  <c r="Y109" i="15"/>
  <c r="X109" i="15"/>
  <c r="AL28" i="18"/>
  <c r="AP28" i="18"/>
  <c r="BJ28" i="18"/>
  <c r="G28" i="18"/>
  <c r="W28" i="18"/>
  <c r="AM28" i="18"/>
  <c r="CY28" i="18"/>
  <c r="T28" i="18"/>
  <c r="AZ28" i="18"/>
  <c r="CF28" i="18"/>
  <c r="CV28" i="18"/>
  <c r="M28" i="18"/>
  <c r="BY28" i="18"/>
  <c r="Y26" i="24"/>
  <c r="DE123" i="18"/>
  <c r="U123" i="18"/>
  <c r="AC123" i="18"/>
  <c r="AK123" i="18"/>
  <c r="CB123" i="18"/>
  <c r="DH123" i="18"/>
  <c r="BE123" i="18"/>
  <c r="CK123" i="18"/>
  <c r="BP123" i="18"/>
  <c r="J123" i="18"/>
  <c r="BF123" i="18"/>
  <c r="BV123" i="18"/>
  <c r="DB123" i="18"/>
  <c r="BC123" i="18"/>
  <c r="BS123" i="18"/>
  <c r="CI123" i="18"/>
  <c r="DO123" i="18"/>
  <c r="Y100" i="15"/>
  <c r="DN91" i="18"/>
  <c r="DJ91" i="18"/>
  <c r="DF91" i="18"/>
  <c r="DB91" i="18"/>
  <c r="CX91" i="18"/>
  <c r="CT91" i="18"/>
  <c r="CP91" i="18"/>
  <c r="CL91" i="18"/>
  <c r="CH91" i="18"/>
  <c r="CD91" i="18"/>
  <c r="BZ91" i="18"/>
  <c r="BV91" i="18"/>
  <c r="BR91" i="18"/>
  <c r="BN91" i="18"/>
  <c r="BJ91" i="18"/>
  <c r="BF91" i="18"/>
  <c r="BB91" i="18"/>
  <c r="AX91" i="18"/>
  <c r="AT91" i="18"/>
  <c r="AP91" i="18"/>
  <c r="AL91" i="18"/>
  <c r="AH91" i="18"/>
  <c r="AD91" i="18"/>
  <c r="Z91" i="18"/>
  <c r="V91" i="18"/>
  <c r="R91" i="18"/>
  <c r="N91" i="18"/>
  <c r="J91" i="18"/>
  <c r="F91" i="18"/>
  <c r="DP91" i="18"/>
  <c r="DK91" i="18"/>
  <c r="DE91" i="18"/>
  <c r="CZ91" i="18"/>
  <c r="CU91" i="18"/>
  <c r="CO91" i="18"/>
  <c r="CJ91" i="18"/>
  <c r="CE91" i="18"/>
  <c r="BY91" i="18"/>
  <c r="BT91" i="18"/>
  <c r="BO91" i="18"/>
  <c r="BI91" i="18"/>
  <c r="BD91" i="18"/>
  <c r="AY91" i="18"/>
  <c r="AS91" i="18"/>
  <c r="AN91" i="18"/>
  <c r="AI91" i="18"/>
  <c r="AC91" i="18"/>
  <c r="X91" i="18"/>
  <c r="S91" i="18"/>
  <c r="M91" i="18"/>
  <c r="H91" i="18"/>
  <c r="DO91" i="18"/>
  <c r="DI91" i="18"/>
  <c r="DD91" i="18"/>
  <c r="CY91" i="18"/>
  <c r="CS91" i="18"/>
  <c r="CN91" i="18"/>
  <c r="CI91" i="18"/>
  <c r="CC91" i="18"/>
  <c r="BX91" i="18"/>
  <c r="BS91" i="18"/>
  <c r="BM91" i="18"/>
  <c r="BH91" i="18"/>
  <c r="BC91" i="18"/>
  <c r="AW91" i="18"/>
  <c r="AR91" i="18"/>
  <c r="AM91" i="18"/>
  <c r="AG91" i="18"/>
  <c r="AB91" i="18"/>
  <c r="W91" i="18"/>
  <c r="Q91" i="18"/>
  <c r="L91" i="18"/>
  <c r="G91" i="18"/>
  <c r="DM91" i="18"/>
  <c r="DH91" i="18"/>
  <c r="DC91" i="18"/>
  <c r="CW91" i="18"/>
  <c r="CR91" i="18"/>
  <c r="CM91" i="18"/>
  <c r="CG91" i="18"/>
  <c r="CB91" i="18"/>
  <c r="BW91" i="18"/>
  <c r="BQ91" i="18"/>
  <c r="BL91" i="18"/>
  <c r="BG91" i="18"/>
  <c r="BA91" i="18"/>
  <c r="AV91" i="18"/>
  <c r="AQ91" i="18"/>
  <c r="AK91" i="18"/>
  <c r="AF91" i="18"/>
  <c r="AA91" i="18"/>
  <c r="U91" i="18"/>
  <c r="P91" i="18"/>
  <c r="K91" i="18"/>
  <c r="E91" i="18"/>
  <c r="DL91" i="18"/>
  <c r="CQ91" i="18"/>
  <c r="BU91" i="18"/>
  <c r="AZ91" i="18"/>
  <c r="AE91" i="18"/>
  <c r="I91" i="18"/>
  <c r="DG91" i="18"/>
  <c r="CK91" i="18"/>
  <c r="BP91" i="18"/>
  <c r="AU91" i="18"/>
  <c r="Y91" i="18"/>
  <c r="DA91" i="18"/>
  <c r="CF91" i="18"/>
  <c r="BK91" i="18"/>
  <c r="AO91" i="18"/>
  <c r="T91" i="18"/>
  <c r="DQ91" i="18"/>
  <c r="AJ91" i="18"/>
  <c r="CV91" i="18"/>
  <c r="O91" i="18"/>
  <c r="CA91" i="18"/>
  <c r="BE91" i="18"/>
  <c r="X119" i="17"/>
  <c r="Z119" i="17" s="1"/>
  <c r="Y119" i="17"/>
  <c r="AC452" i="17"/>
  <c r="AB452" i="17"/>
  <c r="DP89" i="18"/>
  <c r="DL89" i="18"/>
  <c r="DH89" i="18"/>
  <c r="DD89" i="18"/>
  <c r="CZ89" i="18"/>
  <c r="CV89" i="18"/>
  <c r="CR89" i="18"/>
  <c r="CN89" i="18"/>
  <c r="CJ89" i="18"/>
  <c r="CF89" i="18"/>
  <c r="CB89" i="18"/>
  <c r="BX89" i="18"/>
  <c r="BT89" i="18"/>
  <c r="BP89" i="18"/>
  <c r="BL89" i="18"/>
  <c r="BH89" i="18"/>
  <c r="BD89" i="18"/>
  <c r="AZ89" i="18"/>
  <c r="AV89" i="18"/>
  <c r="AR89" i="18"/>
  <c r="AN89" i="18"/>
  <c r="AJ89" i="18"/>
  <c r="AF89" i="18"/>
  <c r="AB89" i="18"/>
  <c r="X89" i="18"/>
  <c r="T89" i="18"/>
  <c r="P89" i="18"/>
  <c r="L89" i="18"/>
  <c r="H89" i="18"/>
  <c r="DM89" i="18"/>
  <c r="DG89" i="18"/>
  <c r="DB89" i="18"/>
  <c r="CW89" i="18"/>
  <c r="CQ89" i="18"/>
  <c r="CL89" i="18"/>
  <c r="CG89" i="18"/>
  <c r="CA89" i="18"/>
  <c r="BV89" i="18"/>
  <c r="BQ89" i="18"/>
  <c r="BK89" i="18"/>
  <c r="BF89" i="18"/>
  <c r="BA89" i="18"/>
  <c r="AU89" i="18"/>
  <c r="AP89" i="18"/>
  <c r="AK89" i="18"/>
  <c r="AE89" i="18"/>
  <c r="Z89" i="18"/>
  <c r="U89" i="18"/>
  <c r="O89" i="18"/>
  <c r="J89" i="18"/>
  <c r="E89" i="18"/>
  <c r="DQ89" i="18"/>
  <c r="DK89" i="18"/>
  <c r="DF89" i="18"/>
  <c r="DA89" i="18"/>
  <c r="CU89" i="18"/>
  <c r="CP89" i="18"/>
  <c r="CK89" i="18"/>
  <c r="CE89" i="18"/>
  <c r="BZ89" i="18"/>
  <c r="BU89" i="18"/>
  <c r="BO89" i="18"/>
  <c r="BJ89" i="18"/>
  <c r="BE89" i="18"/>
  <c r="AY89" i="18"/>
  <c r="AT89" i="18"/>
  <c r="AO89" i="18"/>
  <c r="AI89" i="18"/>
  <c r="AD89" i="18"/>
  <c r="Y89" i="18"/>
  <c r="S89" i="18"/>
  <c r="N89" i="18"/>
  <c r="I89" i="18"/>
  <c r="DO89" i="18"/>
  <c r="DJ89" i="18"/>
  <c r="DE89" i="18"/>
  <c r="CY89" i="18"/>
  <c r="CT89" i="18"/>
  <c r="CO89" i="18"/>
  <c r="CI89" i="18"/>
  <c r="CD89" i="18"/>
  <c r="BY89" i="18"/>
  <c r="BS89" i="18"/>
  <c r="BN89" i="18"/>
  <c r="BI89" i="18"/>
  <c r="BC89" i="18"/>
  <c r="AX89" i="18"/>
  <c r="AS89" i="18"/>
  <c r="AM89" i="18"/>
  <c r="AH89" i="18"/>
  <c r="AC89" i="18"/>
  <c r="W89" i="18"/>
  <c r="R89" i="18"/>
  <c r="M89" i="18"/>
  <c r="G89" i="18"/>
  <c r="CX89" i="18"/>
  <c r="CC89" i="18"/>
  <c r="BG89" i="18"/>
  <c r="AL89" i="18"/>
  <c r="Q89" i="18"/>
  <c r="DN89" i="18"/>
  <c r="CS89" i="18"/>
  <c r="BW89" i="18"/>
  <c r="BB89" i="18"/>
  <c r="AG89" i="18"/>
  <c r="K89" i="18"/>
  <c r="DI89" i="18"/>
  <c r="CM89" i="18"/>
  <c r="BR89" i="18"/>
  <c r="AW89" i="18"/>
  <c r="AA89" i="18"/>
  <c r="F89" i="18"/>
  <c r="DC89" i="18"/>
  <c r="V89" i="18"/>
  <c r="CH89" i="18"/>
  <c r="BM89" i="18"/>
  <c r="AQ89" i="18"/>
  <c r="Y131" i="15"/>
  <c r="Y41" i="17"/>
  <c r="X41" i="17"/>
  <c r="Z41" i="17" s="1"/>
  <c r="DQ40" i="18"/>
  <c r="DM40" i="18"/>
  <c r="DI40" i="18"/>
  <c r="DE40" i="18"/>
  <c r="DA40" i="18"/>
  <c r="CW40" i="18"/>
  <c r="CS40" i="18"/>
  <c r="CO40" i="18"/>
  <c r="CK40" i="18"/>
  <c r="CG40" i="18"/>
  <c r="CC40" i="18"/>
  <c r="BY40" i="18"/>
  <c r="BU40" i="18"/>
  <c r="BQ40" i="18"/>
  <c r="BM40" i="18"/>
  <c r="BI40" i="18"/>
  <c r="BE40" i="18"/>
  <c r="BA40" i="18"/>
  <c r="AW40" i="18"/>
  <c r="AS40" i="18"/>
  <c r="AO40" i="18"/>
  <c r="AK40" i="18"/>
  <c r="AG40" i="18"/>
  <c r="AC40" i="18"/>
  <c r="Y40" i="18"/>
  <c r="U40" i="18"/>
  <c r="Q40" i="18"/>
  <c r="M40" i="18"/>
  <c r="I40" i="18"/>
  <c r="E40" i="18"/>
  <c r="DP40" i="18"/>
  <c r="DL40" i="18"/>
  <c r="DH40" i="18"/>
  <c r="DD40" i="18"/>
  <c r="CZ40" i="18"/>
  <c r="CV40" i="18"/>
  <c r="CR40" i="18"/>
  <c r="CN40" i="18"/>
  <c r="CJ40" i="18"/>
  <c r="CF40" i="18"/>
  <c r="CB40" i="18"/>
  <c r="BX40" i="18"/>
  <c r="BT40" i="18"/>
  <c r="BP40" i="18"/>
  <c r="BL40" i="18"/>
  <c r="BH40" i="18"/>
  <c r="BD40" i="18"/>
  <c r="AZ40" i="18"/>
  <c r="AV40" i="18"/>
  <c r="AR40" i="18"/>
  <c r="AN40" i="18"/>
  <c r="AJ40" i="18"/>
  <c r="AF40" i="18"/>
  <c r="AB40" i="18"/>
  <c r="X40" i="18"/>
  <c r="T40" i="18"/>
  <c r="P40" i="18"/>
  <c r="L40" i="18"/>
  <c r="H40" i="18"/>
  <c r="DO40" i="18"/>
  <c r="DK40" i="18"/>
  <c r="DG40" i="18"/>
  <c r="DC40" i="18"/>
  <c r="CY40" i="18"/>
  <c r="CU40" i="18"/>
  <c r="CQ40" i="18"/>
  <c r="CM40" i="18"/>
  <c r="CI40" i="18"/>
  <c r="CE40" i="18"/>
  <c r="CA40" i="18"/>
  <c r="BW40" i="18"/>
  <c r="BS40" i="18"/>
  <c r="BO40" i="18"/>
  <c r="BK40" i="18"/>
  <c r="BG40" i="18"/>
  <c r="BC40" i="18"/>
  <c r="AY40" i="18"/>
  <c r="AU40" i="18"/>
  <c r="AQ40" i="18"/>
  <c r="AM40" i="18"/>
  <c r="AI40" i="18"/>
  <c r="AE40" i="18"/>
  <c r="AA40" i="18"/>
  <c r="W40" i="18"/>
  <c r="S40" i="18"/>
  <c r="O40" i="18"/>
  <c r="K40" i="18"/>
  <c r="G40" i="18"/>
  <c r="DJ40" i="18"/>
  <c r="CT40" i="18"/>
  <c r="CD40" i="18"/>
  <c r="BN40" i="18"/>
  <c r="AX40" i="18"/>
  <c r="AH40" i="18"/>
  <c r="R40" i="18"/>
  <c r="DF40" i="18"/>
  <c r="CP40" i="18"/>
  <c r="BZ40" i="18"/>
  <c r="BJ40" i="18"/>
  <c r="AT40" i="18"/>
  <c r="AD40" i="18"/>
  <c r="N40" i="18"/>
  <c r="DB40" i="18"/>
  <c r="CL40" i="18"/>
  <c r="BV40" i="18"/>
  <c r="BF40" i="18"/>
  <c r="AP40" i="18"/>
  <c r="Z40" i="18"/>
  <c r="J40" i="18"/>
  <c r="BR40" i="18"/>
  <c r="F40" i="18"/>
  <c r="DN40" i="18"/>
  <c r="BB40" i="18"/>
  <c r="CX40" i="18"/>
  <c r="AL40" i="18"/>
  <c r="CH40" i="18"/>
  <c r="V40" i="18"/>
  <c r="Z359" i="17"/>
  <c r="Y76" i="15"/>
  <c r="DP67" i="18"/>
  <c r="DL67" i="18"/>
  <c r="DH67" i="18"/>
  <c r="DD67" i="18"/>
  <c r="CZ67" i="18"/>
  <c r="CV67" i="18"/>
  <c r="CR67" i="18"/>
  <c r="CN67" i="18"/>
  <c r="CJ67" i="18"/>
  <c r="CF67" i="18"/>
  <c r="CB67" i="18"/>
  <c r="BX67" i="18"/>
  <c r="BT67" i="18"/>
  <c r="BP67" i="18"/>
  <c r="BL67" i="18"/>
  <c r="BH67" i="18"/>
  <c r="BD67" i="18"/>
  <c r="AZ67" i="18"/>
  <c r="AV67" i="18"/>
  <c r="AR67" i="18"/>
  <c r="AN67" i="18"/>
  <c r="AJ67" i="18"/>
  <c r="AF67" i="18"/>
  <c r="AB67" i="18"/>
  <c r="X67" i="18"/>
  <c r="T67" i="18"/>
  <c r="P67" i="18"/>
  <c r="L67" i="18"/>
  <c r="H67" i="18"/>
  <c r="DO67" i="18"/>
  <c r="DK67" i="18"/>
  <c r="DG67" i="18"/>
  <c r="DC67" i="18"/>
  <c r="CY67" i="18"/>
  <c r="CU67" i="18"/>
  <c r="CQ67" i="18"/>
  <c r="CM67" i="18"/>
  <c r="CI67" i="18"/>
  <c r="CE67" i="18"/>
  <c r="CA67" i="18"/>
  <c r="BW67" i="18"/>
  <c r="BS67" i="18"/>
  <c r="BO67" i="18"/>
  <c r="BK67" i="18"/>
  <c r="BG67" i="18"/>
  <c r="BC67" i="18"/>
  <c r="AY67" i="18"/>
  <c r="AU67" i="18"/>
  <c r="AQ67" i="18"/>
  <c r="AM67" i="18"/>
  <c r="AI67" i="18"/>
  <c r="AE67" i="18"/>
  <c r="AA67" i="18"/>
  <c r="W67" i="18"/>
  <c r="S67" i="18"/>
  <c r="O67" i="18"/>
  <c r="K67" i="18"/>
  <c r="G67" i="18"/>
  <c r="DN67" i="18"/>
  <c r="DJ67" i="18"/>
  <c r="DF67" i="18"/>
  <c r="DB67" i="18"/>
  <c r="CX67" i="18"/>
  <c r="CT67" i="18"/>
  <c r="CP67" i="18"/>
  <c r="CL67" i="18"/>
  <c r="CH67" i="18"/>
  <c r="CD67" i="18"/>
  <c r="BZ67" i="18"/>
  <c r="BV67" i="18"/>
  <c r="BR67" i="18"/>
  <c r="BN67" i="18"/>
  <c r="BJ67" i="18"/>
  <c r="BF67" i="18"/>
  <c r="BB67" i="18"/>
  <c r="AX67" i="18"/>
  <c r="AT67" i="18"/>
  <c r="AP67" i="18"/>
  <c r="AL67" i="18"/>
  <c r="AH67" i="18"/>
  <c r="AD67" i="18"/>
  <c r="Z67" i="18"/>
  <c r="V67" i="18"/>
  <c r="R67" i="18"/>
  <c r="N67" i="18"/>
  <c r="J67" i="18"/>
  <c r="F67" i="18"/>
  <c r="DE67" i="18"/>
  <c r="CO67" i="18"/>
  <c r="BY67" i="18"/>
  <c r="BI67" i="18"/>
  <c r="AS67" i="18"/>
  <c r="AC67" i="18"/>
  <c r="M67" i="18"/>
  <c r="DQ67" i="18"/>
  <c r="DA67" i="18"/>
  <c r="CK67" i="18"/>
  <c r="BU67" i="18"/>
  <c r="BE67" i="18"/>
  <c r="AO67" i="18"/>
  <c r="Y67" i="18"/>
  <c r="I67" i="18"/>
  <c r="DM67" i="18"/>
  <c r="CW67" i="18"/>
  <c r="CG67" i="18"/>
  <c r="BQ67" i="18"/>
  <c r="BA67" i="18"/>
  <c r="AK67" i="18"/>
  <c r="U67" i="18"/>
  <c r="E67" i="18"/>
  <c r="DI67" i="18"/>
  <c r="AW67" i="18"/>
  <c r="CS67" i="18"/>
  <c r="AG67" i="18"/>
  <c r="CC67" i="18"/>
  <c r="Q67" i="18"/>
  <c r="BM67" i="18"/>
  <c r="Z336" i="17"/>
  <c r="DN73" i="18"/>
  <c r="DJ73" i="18"/>
  <c r="DF73" i="18"/>
  <c r="DB73" i="18"/>
  <c r="CX73" i="18"/>
  <c r="CT73" i="18"/>
  <c r="CP73" i="18"/>
  <c r="CL73" i="18"/>
  <c r="CH73" i="18"/>
  <c r="CD73" i="18"/>
  <c r="BZ73" i="18"/>
  <c r="BV73" i="18"/>
  <c r="BR73" i="18"/>
  <c r="BN73" i="18"/>
  <c r="BJ73" i="18"/>
  <c r="BF73" i="18"/>
  <c r="BB73" i="18"/>
  <c r="AX73" i="18"/>
  <c r="AT73" i="18"/>
  <c r="AP73" i="18"/>
  <c r="AL73" i="18"/>
  <c r="AH73" i="18"/>
  <c r="AD73" i="18"/>
  <c r="Z73" i="18"/>
  <c r="V73" i="18"/>
  <c r="R73" i="18"/>
  <c r="N73" i="18"/>
  <c r="J73" i="18"/>
  <c r="F73" i="18"/>
  <c r="DQ73" i="18"/>
  <c r="DM73" i="18"/>
  <c r="DI73" i="18"/>
  <c r="DE73" i="18"/>
  <c r="DA73" i="18"/>
  <c r="CW73" i="18"/>
  <c r="CS73" i="18"/>
  <c r="CO73" i="18"/>
  <c r="CK73" i="18"/>
  <c r="CG73" i="18"/>
  <c r="CC73" i="18"/>
  <c r="BY73" i="18"/>
  <c r="BU73" i="18"/>
  <c r="BQ73" i="18"/>
  <c r="BM73" i="18"/>
  <c r="BI73" i="18"/>
  <c r="BE73" i="18"/>
  <c r="BA73" i="18"/>
  <c r="AW73" i="18"/>
  <c r="AS73" i="18"/>
  <c r="AO73" i="18"/>
  <c r="AK73" i="18"/>
  <c r="AG73" i="18"/>
  <c r="AC73" i="18"/>
  <c r="Y73" i="18"/>
  <c r="U73" i="18"/>
  <c r="Q73" i="18"/>
  <c r="M73" i="18"/>
  <c r="I73" i="18"/>
  <c r="E73" i="18"/>
  <c r="DP73" i="18"/>
  <c r="DL73" i="18"/>
  <c r="DH73" i="18"/>
  <c r="DD73" i="18"/>
  <c r="CZ73" i="18"/>
  <c r="CV73" i="18"/>
  <c r="CR73" i="18"/>
  <c r="CN73" i="18"/>
  <c r="CJ73" i="18"/>
  <c r="CF73" i="18"/>
  <c r="CB73" i="18"/>
  <c r="BX73" i="18"/>
  <c r="BT73" i="18"/>
  <c r="BP73" i="18"/>
  <c r="BL73" i="18"/>
  <c r="BH73" i="18"/>
  <c r="BD73" i="18"/>
  <c r="AZ73" i="18"/>
  <c r="AV73" i="18"/>
  <c r="AR73" i="18"/>
  <c r="AN73" i="18"/>
  <c r="AJ73" i="18"/>
  <c r="AF73" i="18"/>
  <c r="AB73" i="18"/>
  <c r="X73" i="18"/>
  <c r="T73" i="18"/>
  <c r="P73" i="18"/>
  <c r="L73" i="18"/>
  <c r="H73" i="18"/>
  <c r="DO73" i="18"/>
  <c r="CY73" i="18"/>
  <c r="CI73" i="18"/>
  <c r="BS73" i="18"/>
  <c r="BC73" i="18"/>
  <c r="AM73" i="18"/>
  <c r="W73" i="18"/>
  <c r="G73" i="18"/>
  <c r="DK73" i="18"/>
  <c r="CU73" i="18"/>
  <c r="CE73" i="18"/>
  <c r="BO73" i="18"/>
  <c r="AY73" i="18"/>
  <c r="AI73" i="18"/>
  <c r="S73" i="18"/>
  <c r="DG73" i="18"/>
  <c r="CQ73" i="18"/>
  <c r="CA73" i="18"/>
  <c r="BK73" i="18"/>
  <c r="AU73" i="18"/>
  <c r="AE73" i="18"/>
  <c r="O73" i="18"/>
  <c r="CM73" i="18"/>
  <c r="AA73" i="18"/>
  <c r="BW73" i="18"/>
  <c r="K73" i="18"/>
  <c r="BG73" i="18"/>
  <c r="DC73" i="18"/>
  <c r="AQ73" i="18"/>
  <c r="Y112" i="15"/>
  <c r="DO103" i="18"/>
  <c r="DK103" i="18"/>
  <c r="DG103" i="18"/>
  <c r="DC103" i="18"/>
  <c r="CY103" i="18"/>
  <c r="CU103" i="18"/>
  <c r="CQ103" i="18"/>
  <c r="CM103" i="18"/>
  <c r="CI103" i="18"/>
  <c r="CE103" i="18"/>
  <c r="CA103" i="18"/>
  <c r="BW103" i="18"/>
  <c r="BS103" i="18"/>
  <c r="BO103" i="18"/>
  <c r="BK103" i="18"/>
  <c r="BG103" i="18"/>
  <c r="BC103" i="18"/>
  <c r="AY103" i="18"/>
  <c r="AU103" i="18"/>
  <c r="AQ103" i="18"/>
  <c r="AM103" i="18"/>
  <c r="AI103" i="18"/>
  <c r="AE103" i="18"/>
  <c r="AA103" i="18"/>
  <c r="W103" i="18"/>
  <c r="S103" i="18"/>
  <c r="O103" i="18"/>
  <c r="K103" i="18"/>
  <c r="G103" i="18"/>
  <c r="DN103" i="18"/>
  <c r="DJ103" i="18"/>
  <c r="DF103" i="18"/>
  <c r="DB103" i="18"/>
  <c r="CX103" i="18"/>
  <c r="CT103" i="18"/>
  <c r="CP103" i="18"/>
  <c r="CL103" i="18"/>
  <c r="CH103" i="18"/>
  <c r="CD103" i="18"/>
  <c r="BZ103" i="18"/>
  <c r="BV103" i="18"/>
  <c r="BR103" i="18"/>
  <c r="BN103" i="18"/>
  <c r="BJ103" i="18"/>
  <c r="BF103" i="18"/>
  <c r="BB103" i="18"/>
  <c r="AX103" i="18"/>
  <c r="AT103" i="18"/>
  <c r="AP103" i="18"/>
  <c r="AL103" i="18"/>
  <c r="AH103" i="18"/>
  <c r="AD103" i="18"/>
  <c r="Z103" i="18"/>
  <c r="V103" i="18"/>
  <c r="R103" i="18"/>
  <c r="N103" i="18"/>
  <c r="J103" i="18"/>
  <c r="F103" i="18"/>
  <c r="DP103" i="18"/>
  <c r="DH103" i="18"/>
  <c r="CZ103" i="18"/>
  <c r="CR103" i="18"/>
  <c r="CJ103" i="18"/>
  <c r="CB103" i="18"/>
  <c r="BT103" i="18"/>
  <c r="BL103" i="18"/>
  <c r="BD103" i="18"/>
  <c r="AV103" i="18"/>
  <c r="AN103" i="18"/>
  <c r="AF103" i="18"/>
  <c r="X103" i="18"/>
  <c r="P103" i="18"/>
  <c r="H103" i="18"/>
  <c r="DM103" i="18"/>
  <c r="DE103" i="18"/>
  <c r="CW103" i="18"/>
  <c r="CO103" i="18"/>
  <c r="CG103" i="18"/>
  <c r="BY103" i="18"/>
  <c r="BQ103" i="18"/>
  <c r="BI103" i="18"/>
  <c r="BA103" i="18"/>
  <c r="AS103" i="18"/>
  <c r="AK103" i="18"/>
  <c r="AC103" i="18"/>
  <c r="U103" i="18"/>
  <c r="M103" i="18"/>
  <c r="E103" i="18"/>
  <c r="DL103" i="18"/>
  <c r="DD103" i="18"/>
  <c r="CV103" i="18"/>
  <c r="CN103" i="18"/>
  <c r="CF103" i="18"/>
  <c r="BX103" i="18"/>
  <c r="BP103" i="18"/>
  <c r="BH103" i="18"/>
  <c r="AZ103" i="18"/>
  <c r="AR103" i="18"/>
  <c r="AJ103" i="18"/>
  <c r="AB103" i="18"/>
  <c r="T103" i="18"/>
  <c r="L103" i="18"/>
  <c r="DQ103" i="18"/>
  <c r="CK103" i="18"/>
  <c r="BE103" i="18"/>
  <c r="Y103" i="18"/>
  <c r="DI103" i="18"/>
  <c r="CC103" i="18"/>
  <c r="AW103" i="18"/>
  <c r="Q103" i="18"/>
  <c r="DA103" i="18"/>
  <c r="BU103" i="18"/>
  <c r="AO103" i="18"/>
  <c r="I103" i="18"/>
  <c r="BM103" i="18"/>
  <c r="AG103" i="18"/>
  <c r="CS103" i="18"/>
  <c r="AB334" i="17"/>
  <c r="Z334" i="17"/>
  <c r="Y40" i="17"/>
  <c r="AC433" i="17"/>
  <c r="AB433" i="17"/>
  <c r="Z387" i="17"/>
  <c r="Y387" i="17"/>
  <c r="X387" i="17"/>
  <c r="Y99" i="17"/>
  <c r="Y196" i="17"/>
  <c r="Z311" i="17"/>
  <c r="AB311" i="17"/>
  <c r="Y89" i="17"/>
  <c r="X89" i="17"/>
  <c r="Z89" i="17" s="1"/>
  <c r="Y83" i="15"/>
  <c r="X206" i="17"/>
  <c r="Z371" i="17"/>
  <c r="Y371" i="17"/>
  <c r="DN108" i="18"/>
  <c r="DJ108" i="18"/>
  <c r="DF108" i="18"/>
  <c r="DB108" i="18"/>
  <c r="CX108" i="18"/>
  <c r="CT108" i="18"/>
  <c r="CP108" i="18"/>
  <c r="CL108" i="18"/>
  <c r="CH108" i="18"/>
  <c r="CD108" i="18"/>
  <c r="BZ108" i="18"/>
  <c r="BV108" i="18"/>
  <c r="BR108" i="18"/>
  <c r="BN108" i="18"/>
  <c r="BJ108" i="18"/>
  <c r="BF108" i="18"/>
  <c r="BB108" i="18"/>
  <c r="AX108" i="18"/>
  <c r="AT108" i="18"/>
  <c r="AP108" i="18"/>
  <c r="AL108" i="18"/>
  <c r="AH108" i="18"/>
  <c r="AD108" i="18"/>
  <c r="Z108" i="18"/>
  <c r="V108" i="18"/>
  <c r="R108" i="18"/>
  <c r="N108" i="18"/>
  <c r="J108" i="18"/>
  <c r="F108" i="18"/>
  <c r="DQ108" i="18"/>
  <c r="DM108" i="18"/>
  <c r="DI108" i="18"/>
  <c r="DE108" i="18"/>
  <c r="DA108" i="18"/>
  <c r="CW108" i="18"/>
  <c r="CS108" i="18"/>
  <c r="CO108" i="18"/>
  <c r="CK108" i="18"/>
  <c r="CG108" i="18"/>
  <c r="CC108" i="18"/>
  <c r="BY108" i="18"/>
  <c r="BU108" i="18"/>
  <c r="BQ108" i="18"/>
  <c r="BM108" i="18"/>
  <c r="BI108" i="18"/>
  <c r="BE108" i="18"/>
  <c r="BA108" i="18"/>
  <c r="AW108" i="18"/>
  <c r="AS108" i="18"/>
  <c r="AO108" i="18"/>
  <c r="AK108" i="18"/>
  <c r="AG108" i="18"/>
  <c r="AC108" i="18"/>
  <c r="Y108" i="18"/>
  <c r="U108" i="18"/>
  <c r="Q108" i="18"/>
  <c r="M108" i="18"/>
  <c r="I108" i="18"/>
  <c r="E108" i="18"/>
  <c r="DK108" i="18"/>
  <c r="DC108" i="18"/>
  <c r="CU108" i="18"/>
  <c r="CM108" i="18"/>
  <c r="CE108" i="18"/>
  <c r="BW108" i="18"/>
  <c r="BO108" i="18"/>
  <c r="BG108" i="18"/>
  <c r="AY108" i="18"/>
  <c r="AQ108" i="18"/>
  <c r="AI108" i="18"/>
  <c r="AA108" i="18"/>
  <c r="S108" i="18"/>
  <c r="K108" i="18"/>
  <c r="DP108" i="18"/>
  <c r="DH108" i="18"/>
  <c r="CZ108" i="18"/>
  <c r="CR108" i="18"/>
  <c r="CJ108" i="18"/>
  <c r="CB108" i="18"/>
  <c r="BT108" i="18"/>
  <c r="BL108" i="18"/>
  <c r="BD108" i="18"/>
  <c r="AV108" i="18"/>
  <c r="AN108" i="18"/>
  <c r="AF108" i="18"/>
  <c r="X108" i="18"/>
  <c r="P108" i="18"/>
  <c r="H108" i="18"/>
  <c r="DO108" i="18"/>
  <c r="DG108" i="18"/>
  <c r="CY108" i="18"/>
  <c r="CQ108" i="18"/>
  <c r="CI108" i="18"/>
  <c r="CA108" i="18"/>
  <c r="BS108" i="18"/>
  <c r="BK108" i="18"/>
  <c r="BC108" i="18"/>
  <c r="AU108" i="18"/>
  <c r="AM108" i="18"/>
  <c r="AE108" i="18"/>
  <c r="W108" i="18"/>
  <c r="O108" i="18"/>
  <c r="G108" i="18"/>
  <c r="CN108" i="18"/>
  <c r="BH108" i="18"/>
  <c r="AB108" i="18"/>
  <c r="DL108" i="18"/>
  <c r="CF108" i="18"/>
  <c r="AZ108" i="18"/>
  <c r="T108" i="18"/>
  <c r="DD108" i="18"/>
  <c r="BX108" i="18"/>
  <c r="AR108" i="18"/>
  <c r="L108" i="18"/>
  <c r="CV108" i="18"/>
  <c r="BP108" i="18"/>
  <c r="AJ108" i="18"/>
  <c r="Y91" i="15"/>
  <c r="X91" i="15"/>
  <c r="I7" i="2"/>
  <c r="F7" i="21" s="1"/>
  <c r="Y106" i="17"/>
  <c r="Y26" i="17"/>
  <c r="AB419" i="17"/>
  <c r="AA419" i="17"/>
  <c r="Y118" i="15"/>
  <c r="AB503" i="17"/>
  <c r="Z340" i="17"/>
  <c r="Y340" i="17"/>
  <c r="AA340" i="17"/>
  <c r="DN77" i="18"/>
  <c r="DJ77" i="18"/>
  <c r="DF77" i="18"/>
  <c r="DB77" i="18"/>
  <c r="CX77" i="18"/>
  <c r="CT77" i="18"/>
  <c r="CP77" i="18"/>
  <c r="CL77" i="18"/>
  <c r="CH77" i="18"/>
  <c r="CD77" i="18"/>
  <c r="BZ77" i="18"/>
  <c r="BV77" i="18"/>
  <c r="BR77" i="18"/>
  <c r="BN77" i="18"/>
  <c r="BJ77" i="18"/>
  <c r="BF77" i="18"/>
  <c r="BB77" i="18"/>
  <c r="AX77" i="18"/>
  <c r="AT77" i="18"/>
  <c r="AP77" i="18"/>
  <c r="AL77" i="18"/>
  <c r="AH77" i="18"/>
  <c r="AD77" i="18"/>
  <c r="Z77" i="18"/>
  <c r="V77" i="18"/>
  <c r="R77" i="18"/>
  <c r="N77" i="18"/>
  <c r="J77" i="18"/>
  <c r="F77" i="18"/>
  <c r="DQ77" i="18"/>
  <c r="DM77" i="18"/>
  <c r="DI77" i="18"/>
  <c r="DE77" i="18"/>
  <c r="DA77" i="18"/>
  <c r="CW77" i="18"/>
  <c r="CS77" i="18"/>
  <c r="CO77" i="18"/>
  <c r="CK77" i="18"/>
  <c r="CG77" i="18"/>
  <c r="CC77" i="18"/>
  <c r="BY77" i="18"/>
  <c r="BU77" i="18"/>
  <c r="BQ77" i="18"/>
  <c r="BM77" i="18"/>
  <c r="BI77" i="18"/>
  <c r="BE77" i="18"/>
  <c r="BA77" i="18"/>
  <c r="AW77" i="18"/>
  <c r="AS77" i="18"/>
  <c r="AO77" i="18"/>
  <c r="AK77" i="18"/>
  <c r="AG77" i="18"/>
  <c r="AC77" i="18"/>
  <c r="Y77" i="18"/>
  <c r="U77" i="18"/>
  <c r="Q77" i="18"/>
  <c r="M77" i="18"/>
  <c r="I77" i="18"/>
  <c r="E77" i="18"/>
  <c r="DP77" i="18"/>
  <c r="DL77" i="18"/>
  <c r="DH77" i="18"/>
  <c r="DD77" i="18"/>
  <c r="CZ77" i="18"/>
  <c r="CV77" i="18"/>
  <c r="CR77" i="18"/>
  <c r="CN77" i="18"/>
  <c r="CJ77" i="18"/>
  <c r="CF77" i="18"/>
  <c r="CB77" i="18"/>
  <c r="BX77" i="18"/>
  <c r="BT77" i="18"/>
  <c r="BP77" i="18"/>
  <c r="BL77" i="18"/>
  <c r="BH77" i="18"/>
  <c r="BD77" i="18"/>
  <c r="AZ77" i="18"/>
  <c r="AV77" i="18"/>
  <c r="AR77" i="18"/>
  <c r="AN77" i="18"/>
  <c r="AJ77" i="18"/>
  <c r="AF77" i="18"/>
  <c r="AB77" i="18"/>
  <c r="X77" i="18"/>
  <c r="T77" i="18"/>
  <c r="P77" i="18"/>
  <c r="L77" i="18"/>
  <c r="H77" i="18"/>
  <c r="DK77" i="18"/>
  <c r="CU77" i="18"/>
  <c r="CE77" i="18"/>
  <c r="BO77" i="18"/>
  <c r="AY77" i="18"/>
  <c r="AI77" i="18"/>
  <c r="S77" i="18"/>
  <c r="DG77" i="18"/>
  <c r="CQ77" i="18"/>
  <c r="CA77" i="18"/>
  <c r="BK77" i="18"/>
  <c r="AU77" i="18"/>
  <c r="AE77" i="18"/>
  <c r="O77" i="18"/>
  <c r="DC77" i="18"/>
  <c r="CM77" i="18"/>
  <c r="BW77" i="18"/>
  <c r="BG77" i="18"/>
  <c r="AQ77" i="18"/>
  <c r="AA77" i="18"/>
  <c r="K77" i="18"/>
  <c r="DO77" i="18"/>
  <c r="BC77" i="18"/>
  <c r="CY77" i="18"/>
  <c r="AM77" i="18"/>
  <c r="CI77" i="18"/>
  <c r="W77" i="18"/>
  <c r="G77" i="18"/>
  <c r="BS77" i="18"/>
  <c r="Y177" i="17"/>
  <c r="X177" i="17"/>
  <c r="Y23" i="17"/>
  <c r="AA444" i="17"/>
  <c r="AB444" i="17"/>
  <c r="Y33" i="15"/>
  <c r="AC418" i="17"/>
  <c r="AB418" i="17"/>
  <c r="Y329" i="17"/>
  <c r="Z329" i="17"/>
  <c r="Y79" i="15"/>
  <c r="Y202" i="17"/>
  <c r="X219" i="17"/>
  <c r="Z355" i="17"/>
  <c r="AB355" i="17"/>
  <c r="DN92" i="18"/>
  <c r="DJ92" i="18"/>
  <c r="DF92" i="18"/>
  <c r="DB92" i="18"/>
  <c r="CX92" i="18"/>
  <c r="CT92" i="18"/>
  <c r="CP92" i="18"/>
  <c r="CL92" i="18"/>
  <c r="CH92" i="18"/>
  <c r="CD92" i="18"/>
  <c r="BZ92" i="18"/>
  <c r="BV92" i="18"/>
  <c r="BR92" i="18"/>
  <c r="BN92" i="18"/>
  <c r="BJ92" i="18"/>
  <c r="BF92" i="18"/>
  <c r="BB92" i="18"/>
  <c r="AX92" i="18"/>
  <c r="AT92" i="18"/>
  <c r="AP92" i="18"/>
  <c r="AL92" i="18"/>
  <c r="AH92" i="18"/>
  <c r="AD92" i="18"/>
  <c r="Z92" i="18"/>
  <c r="DQ92" i="18"/>
  <c r="DM92" i="18"/>
  <c r="DI92" i="18"/>
  <c r="DE92" i="18"/>
  <c r="DA92" i="18"/>
  <c r="CW92" i="18"/>
  <c r="CS92" i="18"/>
  <c r="CO92" i="18"/>
  <c r="CK92" i="18"/>
  <c r="CG92" i="18"/>
  <c r="CC92" i="18"/>
  <c r="BY92" i="18"/>
  <c r="BU92" i="18"/>
  <c r="BQ92" i="18"/>
  <c r="BM92" i="18"/>
  <c r="BI92" i="18"/>
  <c r="BE92" i="18"/>
  <c r="BA92" i="18"/>
  <c r="AW92" i="18"/>
  <c r="AS92" i="18"/>
  <c r="AO92" i="18"/>
  <c r="AK92" i="18"/>
  <c r="AG92" i="18"/>
  <c r="AC92" i="18"/>
  <c r="Y92" i="18"/>
  <c r="U92" i="18"/>
  <c r="Q92" i="18"/>
  <c r="M92" i="18"/>
  <c r="I92" i="18"/>
  <c r="E92" i="18"/>
  <c r="DK92" i="18"/>
  <c r="DC92" i="18"/>
  <c r="CU92" i="18"/>
  <c r="CM92" i="18"/>
  <c r="CE92" i="18"/>
  <c r="BW92" i="18"/>
  <c r="BO92" i="18"/>
  <c r="BG92" i="18"/>
  <c r="AY92" i="18"/>
  <c r="AQ92" i="18"/>
  <c r="AI92" i="18"/>
  <c r="AA92" i="18"/>
  <c r="T92" i="18"/>
  <c r="O92" i="18"/>
  <c r="J92" i="18"/>
  <c r="DP92" i="18"/>
  <c r="DH92" i="18"/>
  <c r="CZ92" i="18"/>
  <c r="CR92" i="18"/>
  <c r="CJ92" i="18"/>
  <c r="CB92" i="18"/>
  <c r="BT92" i="18"/>
  <c r="BL92" i="18"/>
  <c r="BD92" i="18"/>
  <c r="AV92" i="18"/>
  <c r="AN92" i="18"/>
  <c r="AF92" i="18"/>
  <c r="X92" i="18"/>
  <c r="S92" i="18"/>
  <c r="N92" i="18"/>
  <c r="H92" i="18"/>
  <c r="DO92" i="18"/>
  <c r="DG92" i="18"/>
  <c r="CY92" i="18"/>
  <c r="CQ92" i="18"/>
  <c r="CI92" i="18"/>
  <c r="CA92" i="18"/>
  <c r="BS92" i="18"/>
  <c r="BK92" i="18"/>
  <c r="BC92" i="18"/>
  <c r="AU92" i="18"/>
  <c r="AM92" i="18"/>
  <c r="AE92" i="18"/>
  <c r="W92" i="18"/>
  <c r="R92" i="18"/>
  <c r="L92" i="18"/>
  <c r="G92" i="18"/>
  <c r="DD92" i="18"/>
  <c r="BX92" i="18"/>
  <c r="AR92" i="18"/>
  <c r="P92" i="18"/>
  <c r="CV92" i="18"/>
  <c r="BP92" i="18"/>
  <c r="AJ92" i="18"/>
  <c r="K92" i="18"/>
  <c r="CN92" i="18"/>
  <c r="BH92" i="18"/>
  <c r="AB92" i="18"/>
  <c r="F92" i="18"/>
  <c r="DL92" i="18"/>
  <c r="CF92" i="18"/>
  <c r="AZ92" i="18"/>
  <c r="V92" i="18"/>
  <c r="Y108" i="15"/>
  <c r="DO99" i="18"/>
  <c r="DK99" i="18"/>
  <c r="DG99" i="18"/>
  <c r="DC99" i="18"/>
  <c r="CY99" i="18"/>
  <c r="CU99" i="18"/>
  <c r="CQ99" i="18"/>
  <c r="CM99" i="18"/>
  <c r="CI99" i="18"/>
  <c r="CE99" i="18"/>
  <c r="CA99" i="18"/>
  <c r="BW99" i="18"/>
  <c r="BS99" i="18"/>
  <c r="BO99" i="18"/>
  <c r="BK99" i="18"/>
  <c r="BG99" i="18"/>
  <c r="BC99" i="18"/>
  <c r="AY99" i="18"/>
  <c r="AU99" i="18"/>
  <c r="AQ99" i="18"/>
  <c r="AM99" i="18"/>
  <c r="AI99" i="18"/>
  <c r="AE99" i="18"/>
  <c r="AA99" i="18"/>
  <c r="W99" i="18"/>
  <c r="S99" i="18"/>
  <c r="O99" i="18"/>
  <c r="K99" i="18"/>
  <c r="G99" i="18"/>
  <c r="DN99" i="18"/>
  <c r="DJ99" i="18"/>
  <c r="DF99" i="18"/>
  <c r="DB99" i="18"/>
  <c r="CX99" i="18"/>
  <c r="CT99" i="18"/>
  <c r="CP99" i="18"/>
  <c r="CL99" i="18"/>
  <c r="CH99" i="18"/>
  <c r="CD99" i="18"/>
  <c r="BZ99" i="18"/>
  <c r="BV99" i="18"/>
  <c r="BR99" i="18"/>
  <c r="BN99" i="18"/>
  <c r="BJ99" i="18"/>
  <c r="BF99" i="18"/>
  <c r="BB99" i="18"/>
  <c r="AX99" i="18"/>
  <c r="AT99" i="18"/>
  <c r="AP99" i="18"/>
  <c r="AL99" i="18"/>
  <c r="AH99" i="18"/>
  <c r="AD99" i="18"/>
  <c r="Z99" i="18"/>
  <c r="V99" i="18"/>
  <c r="R99" i="18"/>
  <c r="N99" i="18"/>
  <c r="J99" i="18"/>
  <c r="F99" i="18"/>
  <c r="DL99" i="18"/>
  <c r="DD99" i="18"/>
  <c r="CV99" i="18"/>
  <c r="CN99" i="18"/>
  <c r="CF99" i="18"/>
  <c r="BX99" i="18"/>
  <c r="BP99" i="18"/>
  <c r="BH99" i="18"/>
  <c r="AZ99" i="18"/>
  <c r="AR99" i="18"/>
  <c r="AJ99" i="18"/>
  <c r="AB99" i="18"/>
  <c r="T99" i="18"/>
  <c r="L99" i="18"/>
  <c r="DQ99" i="18"/>
  <c r="DI99" i="18"/>
  <c r="DA99" i="18"/>
  <c r="CS99" i="18"/>
  <c r="CK99" i="18"/>
  <c r="CC99" i="18"/>
  <c r="BU99" i="18"/>
  <c r="BM99" i="18"/>
  <c r="BE99" i="18"/>
  <c r="AW99" i="18"/>
  <c r="AO99" i="18"/>
  <c r="AG99" i="18"/>
  <c r="Y99" i="18"/>
  <c r="Q99" i="18"/>
  <c r="I99" i="18"/>
  <c r="DP99" i="18"/>
  <c r="DH99" i="18"/>
  <c r="CZ99" i="18"/>
  <c r="CR99" i="18"/>
  <c r="CJ99" i="18"/>
  <c r="CB99" i="18"/>
  <c r="BT99" i="18"/>
  <c r="BL99" i="18"/>
  <c r="BD99" i="18"/>
  <c r="AV99" i="18"/>
  <c r="AN99" i="18"/>
  <c r="AF99" i="18"/>
  <c r="X99" i="18"/>
  <c r="P99" i="18"/>
  <c r="H99" i="18"/>
  <c r="CO99" i="18"/>
  <c r="BI99" i="18"/>
  <c r="AC99" i="18"/>
  <c r="DM99" i="18"/>
  <c r="CG99" i="18"/>
  <c r="BA99" i="18"/>
  <c r="U99" i="18"/>
  <c r="DE99" i="18"/>
  <c r="BY99" i="18"/>
  <c r="AS99" i="18"/>
  <c r="M99" i="18"/>
  <c r="AK99" i="18"/>
  <c r="E99" i="18"/>
  <c r="CW99" i="18"/>
  <c r="BQ99" i="18"/>
  <c r="Y126" i="17"/>
  <c r="X126" i="17"/>
  <c r="Z126" i="17" s="1"/>
  <c r="Y38" i="15"/>
  <c r="AB423" i="17"/>
  <c r="AA423" i="17"/>
  <c r="Y105" i="17"/>
  <c r="Y34" i="24"/>
  <c r="X338" i="17"/>
  <c r="Z338" i="17"/>
  <c r="Z283" i="17"/>
  <c r="AB414" i="17"/>
  <c r="Y66" i="15"/>
  <c r="DP57" i="18"/>
  <c r="DL57" i="18"/>
  <c r="DH57" i="18"/>
  <c r="DD57" i="18"/>
  <c r="CZ57" i="18"/>
  <c r="CV57" i="18"/>
  <c r="CR57" i="18"/>
  <c r="CN57" i="18"/>
  <c r="CJ57" i="18"/>
  <c r="CF57" i="18"/>
  <c r="CB57" i="18"/>
  <c r="BX57" i="18"/>
  <c r="BT57" i="18"/>
  <c r="BP57" i="18"/>
  <c r="BL57" i="18"/>
  <c r="BH57" i="18"/>
  <c r="BD57" i="18"/>
  <c r="AZ57" i="18"/>
  <c r="AV57" i="18"/>
  <c r="AR57" i="18"/>
  <c r="AN57" i="18"/>
  <c r="AJ57" i="18"/>
  <c r="AF57" i="18"/>
  <c r="AB57" i="18"/>
  <c r="X57" i="18"/>
  <c r="T57" i="18"/>
  <c r="P57" i="18"/>
  <c r="L57" i="18"/>
  <c r="H57" i="18"/>
  <c r="DO57" i="18"/>
  <c r="DJ57" i="18"/>
  <c r="DE57" i="18"/>
  <c r="CY57" i="18"/>
  <c r="CT57" i="18"/>
  <c r="CO57" i="18"/>
  <c r="CI57" i="18"/>
  <c r="CD57" i="18"/>
  <c r="BY57" i="18"/>
  <c r="BS57" i="18"/>
  <c r="BN57" i="18"/>
  <c r="BI57" i="18"/>
  <c r="BC57" i="18"/>
  <c r="AX57" i="18"/>
  <c r="AS57" i="18"/>
  <c r="AM57" i="18"/>
  <c r="AH57" i="18"/>
  <c r="AC57" i="18"/>
  <c r="W57" i="18"/>
  <c r="R57" i="18"/>
  <c r="M57" i="18"/>
  <c r="G57" i="18"/>
  <c r="DN57" i="18"/>
  <c r="DI57" i="18"/>
  <c r="DC57" i="18"/>
  <c r="CX57" i="18"/>
  <c r="CS57" i="18"/>
  <c r="CM57" i="18"/>
  <c r="CH57" i="18"/>
  <c r="CC57" i="18"/>
  <c r="BW57" i="18"/>
  <c r="BR57" i="18"/>
  <c r="BM57" i="18"/>
  <c r="BG57" i="18"/>
  <c r="BB57" i="18"/>
  <c r="AW57" i="18"/>
  <c r="AQ57" i="18"/>
  <c r="AL57" i="18"/>
  <c r="AG57" i="18"/>
  <c r="AA57" i="18"/>
  <c r="V57" i="18"/>
  <c r="Q57" i="18"/>
  <c r="K57" i="18"/>
  <c r="F57" i="18"/>
  <c r="DM57" i="18"/>
  <c r="DG57" i="18"/>
  <c r="DB57" i="18"/>
  <c r="CW57" i="18"/>
  <c r="CQ57" i="18"/>
  <c r="CL57" i="18"/>
  <c r="CG57" i="18"/>
  <c r="CA57" i="18"/>
  <c r="BV57" i="18"/>
  <c r="BQ57" i="18"/>
  <c r="BK57" i="18"/>
  <c r="BF57" i="18"/>
  <c r="BA57" i="18"/>
  <c r="AU57" i="18"/>
  <c r="AP57" i="18"/>
  <c r="AK57" i="18"/>
  <c r="AE57" i="18"/>
  <c r="Z57" i="18"/>
  <c r="U57" i="18"/>
  <c r="O57" i="18"/>
  <c r="J57" i="18"/>
  <c r="E57" i="18"/>
  <c r="DQ57" i="18"/>
  <c r="CU57" i="18"/>
  <c r="BZ57" i="18"/>
  <c r="BE57" i="18"/>
  <c r="AI57" i="18"/>
  <c r="N57" i="18"/>
  <c r="DK57" i="18"/>
  <c r="CP57" i="18"/>
  <c r="BU57" i="18"/>
  <c r="AY57" i="18"/>
  <c r="AD57" i="18"/>
  <c r="I57" i="18"/>
  <c r="DF57" i="18"/>
  <c r="CK57" i="18"/>
  <c r="BO57" i="18"/>
  <c r="AT57" i="18"/>
  <c r="Y57" i="18"/>
  <c r="CE57" i="18"/>
  <c r="BJ57" i="18"/>
  <c r="AO57" i="18"/>
  <c r="DA57" i="18"/>
  <c r="S57" i="18"/>
  <c r="Y95" i="15"/>
  <c r="X218" i="17"/>
  <c r="Y218" i="17"/>
  <c r="Y129" i="17"/>
  <c r="X27" i="17"/>
  <c r="Z27" i="17" s="1"/>
  <c r="Y27" i="17"/>
  <c r="Y34" i="17"/>
  <c r="Y165" i="17"/>
  <c r="X165" i="17"/>
  <c r="Y104" i="15"/>
  <c r="DO95" i="18"/>
  <c r="DK95" i="18"/>
  <c r="DG95" i="18"/>
  <c r="DC95" i="18"/>
  <c r="CY95" i="18"/>
  <c r="CU95" i="18"/>
  <c r="CQ95" i="18"/>
  <c r="CM95" i="18"/>
  <c r="CI95" i="18"/>
  <c r="CE95" i="18"/>
  <c r="CA95" i="18"/>
  <c r="BW95" i="18"/>
  <c r="BS95" i="18"/>
  <c r="BO95" i="18"/>
  <c r="BK95" i="18"/>
  <c r="BG95" i="18"/>
  <c r="BC95" i="18"/>
  <c r="AY95" i="18"/>
  <c r="AU95" i="18"/>
  <c r="AQ95" i="18"/>
  <c r="AM95" i="18"/>
  <c r="AI95" i="18"/>
  <c r="AE95" i="18"/>
  <c r="AA95" i="18"/>
  <c r="W95" i="18"/>
  <c r="S95" i="18"/>
  <c r="O95" i="18"/>
  <c r="K95" i="18"/>
  <c r="G95" i="18"/>
  <c r="DN95" i="18"/>
  <c r="DJ95" i="18"/>
  <c r="DF95" i="18"/>
  <c r="DB95" i="18"/>
  <c r="CX95" i="18"/>
  <c r="CT95" i="18"/>
  <c r="CP95" i="18"/>
  <c r="CL95" i="18"/>
  <c r="CH95" i="18"/>
  <c r="CD95" i="18"/>
  <c r="BZ95" i="18"/>
  <c r="BV95" i="18"/>
  <c r="BR95" i="18"/>
  <c r="BN95" i="18"/>
  <c r="BJ95" i="18"/>
  <c r="BF95" i="18"/>
  <c r="BB95" i="18"/>
  <c r="AX95" i="18"/>
  <c r="AT95" i="18"/>
  <c r="AP95" i="18"/>
  <c r="AL95" i="18"/>
  <c r="AH95" i="18"/>
  <c r="AD95" i="18"/>
  <c r="Z95" i="18"/>
  <c r="V95" i="18"/>
  <c r="R95" i="18"/>
  <c r="N95" i="18"/>
  <c r="J95" i="18"/>
  <c r="F95" i="18"/>
  <c r="DP95" i="18"/>
  <c r="DH95" i="18"/>
  <c r="CZ95" i="18"/>
  <c r="CR95" i="18"/>
  <c r="CJ95" i="18"/>
  <c r="CB95" i="18"/>
  <c r="BT95" i="18"/>
  <c r="BL95" i="18"/>
  <c r="BD95" i="18"/>
  <c r="AV95" i="18"/>
  <c r="AN95" i="18"/>
  <c r="AF95" i="18"/>
  <c r="X95" i="18"/>
  <c r="P95" i="18"/>
  <c r="H95" i="18"/>
  <c r="DM95" i="18"/>
  <c r="DE95" i="18"/>
  <c r="CW95" i="18"/>
  <c r="CO95" i="18"/>
  <c r="CG95" i="18"/>
  <c r="BY95" i="18"/>
  <c r="BQ95" i="18"/>
  <c r="BI95" i="18"/>
  <c r="BA95" i="18"/>
  <c r="AS95" i="18"/>
  <c r="AK95" i="18"/>
  <c r="AC95" i="18"/>
  <c r="U95" i="18"/>
  <c r="M95" i="18"/>
  <c r="E95" i="18"/>
  <c r="DL95" i="18"/>
  <c r="DD95" i="18"/>
  <c r="CV95" i="18"/>
  <c r="CN95" i="18"/>
  <c r="CF95" i="18"/>
  <c r="BX95" i="18"/>
  <c r="BP95" i="18"/>
  <c r="BH95" i="18"/>
  <c r="AZ95" i="18"/>
  <c r="AR95" i="18"/>
  <c r="AJ95" i="18"/>
  <c r="AB95" i="18"/>
  <c r="T95" i="18"/>
  <c r="L95" i="18"/>
  <c r="CS95" i="18"/>
  <c r="BM95" i="18"/>
  <c r="AG95" i="18"/>
  <c r="DQ95" i="18"/>
  <c r="CK95" i="18"/>
  <c r="BE95" i="18"/>
  <c r="Y95" i="18"/>
  <c r="DI95" i="18"/>
  <c r="CC95" i="18"/>
  <c r="AW95" i="18"/>
  <c r="Q95" i="18"/>
  <c r="I95" i="18"/>
  <c r="DA95" i="18"/>
  <c r="BU95" i="18"/>
  <c r="AO95" i="18"/>
  <c r="Z326" i="17"/>
  <c r="Y32" i="17"/>
  <c r="X32" i="17"/>
  <c r="Z32" i="17" s="1"/>
  <c r="AB425" i="17"/>
  <c r="X425" i="17"/>
  <c r="Z323" i="17"/>
  <c r="DQ60" i="18"/>
  <c r="DM60" i="18"/>
  <c r="DI60" i="18"/>
  <c r="DE60" i="18"/>
  <c r="DA60" i="18"/>
  <c r="CW60" i="18"/>
  <c r="CS60" i="18"/>
  <c r="CO60" i="18"/>
  <c r="CK60" i="18"/>
  <c r="CG60" i="18"/>
  <c r="CC60" i="18"/>
  <c r="BY60" i="18"/>
  <c r="BU60" i="18"/>
  <c r="BQ60" i="18"/>
  <c r="BM60" i="18"/>
  <c r="BI60" i="18"/>
  <c r="BE60" i="18"/>
  <c r="BA60" i="18"/>
  <c r="AW60" i="18"/>
  <c r="AS60" i="18"/>
  <c r="AO60" i="18"/>
  <c r="AK60" i="18"/>
  <c r="AG60" i="18"/>
  <c r="AC60" i="18"/>
  <c r="Y60" i="18"/>
  <c r="U60" i="18"/>
  <c r="Q60" i="18"/>
  <c r="M60" i="18"/>
  <c r="I60" i="18"/>
  <c r="E60" i="18"/>
  <c r="DO60" i="18"/>
  <c r="DJ60" i="18"/>
  <c r="DD60" i="18"/>
  <c r="CY60" i="18"/>
  <c r="CT60" i="18"/>
  <c r="CN60" i="18"/>
  <c r="CI60" i="18"/>
  <c r="CD60" i="18"/>
  <c r="BX60" i="18"/>
  <c r="BS60" i="18"/>
  <c r="BN60" i="18"/>
  <c r="BH60" i="18"/>
  <c r="BC60" i="18"/>
  <c r="AX60" i="18"/>
  <c r="AR60" i="18"/>
  <c r="AM60" i="18"/>
  <c r="AH60" i="18"/>
  <c r="AB60" i="18"/>
  <c r="W60" i="18"/>
  <c r="R60" i="18"/>
  <c r="L60" i="18"/>
  <c r="G60" i="18"/>
  <c r="DN60" i="18"/>
  <c r="DH60" i="18"/>
  <c r="DC60" i="18"/>
  <c r="CX60" i="18"/>
  <c r="CR60" i="18"/>
  <c r="CM60" i="18"/>
  <c r="CH60" i="18"/>
  <c r="CB60" i="18"/>
  <c r="BW60" i="18"/>
  <c r="BR60" i="18"/>
  <c r="BL60" i="18"/>
  <c r="BG60" i="18"/>
  <c r="BB60" i="18"/>
  <c r="AV60" i="18"/>
  <c r="AQ60" i="18"/>
  <c r="AL60" i="18"/>
  <c r="AF60" i="18"/>
  <c r="AA60" i="18"/>
  <c r="V60" i="18"/>
  <c r="P60" i="18"/>
  <c r="K60" i="18"/>
  <c r="F60" i="18"/>
  <c r="DL60" i="18"/>
  <c r="DG60" i="18"/>
  <c r="DB60" i="18"/>
  <c r="CV60" i="18"/>
  <c r="CQ60" i="18"/>
  <c r="CL60" i="18"/>
  <c r="CF60" i="18"/>
  <c r="CA60" i="18"/>
  <c r="BV60" i="18"/>
  <c r="BP60" i="18"/>
  <c r="BK60" i="18"/>
  <c r="BF60" i="18"/>
  <c r="AZ60" i="18"/>
  <c r="AU60" i="18"/>
  <c r="AP60" i="18"/>
  <c r="AJ60" i="18"/>
  <c r="AE60" i="18"/>
  <c r="Z60" i="18"/>
  <c r="T60" i="18"/>
  <c r="O60" i="18"/>
  <c r="J60" i="18"/>
  <c r="DP60" i="18"/>
  <c r="CU60" i="18"/>
  <c r="BZ60" i="18"/>
  <c r="BD60" i="18"/>
  <c r="AI60" i="18"/>
  <c r="N60" i="18"/>
  <c r="DK60" i="18"/>
  <c r="CP60" i="18"/>
  <c r="BT60" i="18"/>
  <c r="AY60" i="18"/>
  <c r="AD60" i="18"/>
  <c r="H60" i="18"/>
  <c r="DF60" i="18"/>
  <c r="CJ60" i="18"/>
  <c r="BO60" i="18"/>
  <c r="AT60" i="18"/>
  <c r="X60" i="18"/>
  <c r="BJ60" i="18"/>
  <c r="AN60" i="18"/>
  <c r="CZ60" i="18"/>
  <c r="S60" i="18"/>
  <c r="CE60" i="18"/>
  <c r="X176" i="17"/>
  <c r="Z305" i="17"/>
  <c r="DO42" i="18"/>
  <c r="DK42" i="18"/>
  <c r="DG42" i="18"/>
  <c r="DC42" i="18"/>
  <c r="CY42" i="18"/>
  <c r="CU42" i="18"/>
  <c r="CQ42" i="18"/>
  <c r="CM42" i="18"/>
  <c r="CI42" i="18"/>
  <c r="CE42" i="18"/>
  <c r="CA42" i="18"/>
  <c r="BW42" i="18"/>
  <c r="BS42" i="18"/>
  <c r="BO42" i="18"/>
  <c r="BK42" i="18"/>
  <c r="BG42" i="18"/>
  <c r="BC42" i="18"/>
  <c r="AY42" i="18"/>
  <c r="AU42" i="18"/>
  <c r="AQ42" i="18"/>
  <c r="AM42" i="18"/>
  <c r="AI42" i="18"/>
  <c r="AE42" i="18"/>
  <c r="AA42" i="18"/>
  <c r="W42" i="18"/>
  <c r="S42" i="18"/>
  <c r="O42" i="18"/>
  <c r="K42" i="18"/>
  <c r="G42" i="18"/>
  <c r="DN42" i="18"/>
  <c r="DJ42" i="18"/>
  <c r="DF42" i="18"/>
  <c r="DB42" i="18"/>
  <c r="CX42" i="18"/>
  <c r="CT42" i="18"/>
  <c r="CP42" i="18"/>
  <c r="CL42" i="18"/>
  <c r="CH42" i="18"/>
  <c r="CD42" i="18"/>
  <c r="BZ42" i="18"/>
  <c r="BV42" i="18"/>
  <c r="BR42" i="18"/>
  <c r="BN42" i="18"/>
  <c r="BJ42" i="18"/>
  <c r="BF42" i="18"/>
  <c r="BB42" i="18"/>
  <c r="AX42" i="18"/>
  <c r="AT42" i="18"/>
  <c r="AP42" i="18"/>
  <c r="AL42" i="18"/>
  <c r="AH42" i="18"/>
  <c r="AD42" i="18"/>
  <c r="Z42" i="18"/>
  <c r="V42" i="18"/>
  <c r="R42" i="18"/>
  <c r="N42" i="18"/>
  <c r="J42" i="18"/>
  <c r="F42" i="18"/>
  <c r="DQ42" i="18"/>
  <c r="DM42" i="18"/>
  <c r="DI42" i="18"/>
  <c r="DE42" i="18"/>
  <c r="DA42" i="18"/>
  <c r="CW42" i="18"/>
  <c r="CS42" i="18"/>
  <c r="CO42" i="18"/>
  <c r="CK42" i="18"/>
  <c r="CG42" i="18"/>
  <c r="CC42" i="18"/>
  <c r="BY42" i="18"/>
  <c r="BU42" i="18"/>
  <c r="BQ42" i="18"/>
  <c r="BM42" i="18"/>
  <c r="BI42" i="18"/>
  <c r="BE42" i="18"/>
  <c r="BA42" i="18"/>
  <c r="AW42" i="18"/>
  <c r="AS42" i="18"/>
  <c r="AO42" i="18"/>
  <c r="AK42" i="18"/>
  <c r="AG42" i="18"/>
  <c r="AC42" i="18"/>
  <c r="Y42" i="18"/>
  <c r="U42" i="18"/>
  <c r="Q42" i="18"/>
  <c r="M42" i="18"/>
  <c r="I42" i="18"/>
  <c r="E42" i="18"/>
  <c r="DH42" i="18"/>
  <c r="CR42" i="18"/>
  <c r="CB42" i="18"/>
  <c r="BL42" i="18"/>
  <c r="AV42" i="18"/>
  <c r="AF42" i="18"/>
  <c r="P42" i="18"/>
  <c r="DD42" i="18"/>
  <c r="CN42" i="18"/>
  <c r="BX42" i="18"/>
  <c r="BH42" i="18"/>
  <c r="AR42" i="18"/>
  <c r="AB42" i="18"/>
  <c r="L42" i="18"/>
  <c r="DP42" i="18"/>
  <c r="CZ42" i="18"/>
  <c r="CJ42" i="18"/>
  <c r="BT42" i="18"/>
  <c r="BD42" i="18"/>
  <c r="AN42" i="18"/>
  <c r="X42" i="18"/>
  <c r="H42" i="18"/>
  <c r="CF42" i="18"/>
  <c r="T42" i="18"/>
  <c r="BP42" i="18"/>
  <c r="DL42" i="18"/>
  <c r="AZ42" i="18"/>
  <c r="CV42" i="18"/>
  <c r="AJ42" i="18"/>
  <c r="Y317" i="17"/>
  <c r="Z317" i="17"/>
  <c r="AA373" i="17"/>
  <c r="Z373" i="17"/>
  <c r="Z378" i="17"/>
  <c r="Y44" i="17"/>
  <c r="AB437" i="17"/>
  <c r="X37" i="24"/>
  <c r="X29" i="24"/>
  <c r="Z344" i="17"/>
  <c r="Y344" i="17"/>
  <c r="DN81" i="18"/>
  <c r="DJ81" i="18"/>
  <c r="DF81" i="18"/>
  <c r="DB81" i="18"/>
  <c r="CX81" i="18"/>
  <c r="CT81" i="18"/>
  <c r="CP81" i="18"/>
  <c r="CL81" i="18"/>
  <c r="CH81" i="18"/>
  <c r="CD81" i="18"/>
  <c r="BZ81" i="18"/>
  <c r="BV81" i="18"/>
  <c r="BR81" i="18"/>
  <c r="BN81" i="18"/>
  <c r="BJ81" i="18"/>
  <c r="BF81" i="18"/>
  <c r="BB81" i="18"/>
  <c r="AX81" i="18"/>
  <c r="AT81" i="18"/>
  <c r="AP81" i="18"/>
  <c r="AL81" i="18"/>
  <c r="AH81" i="18"/>
  <c r="AD81" i="18"/>
  <c r="Z81" i="18"/>
  <c r="V81" i="18"/>
  <c r="R81" i="18"/>
  <c r="N81" i="18"/>
  <c r="J81" i="18"/>
  <c r="F81" i="18"/>
  <c r="DQ81" i="18"/>
  <c r="DM81" i="18"/>
  <c r="DI81" i="18"/>
  <c r="DE81" i="18"/>
  <c r="DA81" i="18"/>
  <c r="CW81" i="18"/>
  <c r="CS81" i="18"/>
  <c r="CO81" i="18"/>
  <c r="CK81" i="18"/>
  <c r="CG81" i="18"/>
  <c r="CC81" i="18"/>
  <c r="BY81" i="18"/>
  <c r="BU81" i="18"/>
  <c r="BQ81" i="18"/>
  <c r="BM81" i="18"/>
  <c r="BI81" i="18"/>
  <c r="BE81" i="18"/>
  <c r="BA81" i="18"/>
  <c r="AW81" i="18"/>
  <c r="AS81" i="18"/>
  <c r="AO81" i="18"/>
  <c r="AK81" i="18"/>
  <c r="AG81" i="18"/>
  <c r="AC81" i="18"/>
  <c r="Y81" i="18"/>
  <c r="U81" i="18"/>
  <c r="Q81" i="18"/>
  <c r="M81" i="18"/>
  <c r="I81" i="18"/>
  <c r="E81" i="18"/>
  <c r="DP81" i="18"/>
  <c r="DL81" i="18"/>
  <c r="DH81" i="18"/>
  <c r="DD81" i="18"/>
  <c r="CZ81" i="18"/>
  <c r="CV81" i="18"/>
  <c r="CR81" i="18"/>
  <c r="CN81" i="18"/>
  <c r="CJ81" i="18"/>
  <c r="CF81" i="18"/>
  <c r="CB81" i="18"/>
  <c r="BX81" i="18"/>
  <c r="BT81" i="18"/>
  <c r="BP81" i="18"/>
  <c r="BL81" i="18"/>
  <c r="BH81" i="18"/>
  <c r="BD81" i="18"/>
  <c r="AZ81" i="18"/>
  <c r="AV81" i="18"/>
  <c r="AR81" i="18"/>
  <c r="AN81" i="18"/>
  <c r="AJ81" i="18"/>
  <c r="AF81" i="18"/>
  <c r="AB81" i="18"/>
  <c r="X81" i="18"/>
  <c r="T81" i="18"/>
  <c r="P81" i="18"/>
  <c r="L81" i="18"/>
  <c r="H81" i="18"/>
  <c r="DG81" i="18"/>
  <c r="CQ81" i="18"/>
  <c r="CA81" i="18"/>
  <c r="BK81" i="18"/>
  <c r="AU81" i="18"/>
  <c r="AE81" i="18"/>
  <c r="O81" i="18"/>
  <c r="DC81" i="18"/>
  <c r="CM81" i="18"/>
  <c r="BW81" i="18"/>
  <c r="BG81" i="18"/>
  <c r="AQ81" i="18"/>
  <c r="AA81" i="18"/>
  <c r="K81" i="18"/>
  <c r="DO81" i="18"/>
  <c r="CY81" i="18"/>
  <c r="CI81" i="18"/>
  <c r="BS81" i="18"/>
  <c r="BC81" i="18"/>
  <c r="AM81" i="18"/>
  <c r="W81" i="18"/>
  <c r="G81" i="18"/>
  <c r="CE81" i="18"/>
  <c r="S81" i="18"/>
  <c r="BO81" i="18"/>
  <c r="DK81" i="18"/>
  <c r="AY81" i="18"/>
  <c r="AI81" i="18"/>
  <c r="CU81" i="18"/>
  <c r="Y248" i="17"/>
  <c r="Z35" i="24"/>
  <c r="Y102" i="17"/>
  <c r="Z78" i="15"/>
  <c r="Y78" i="15"/>
  <c r="AB463" i="17"/>
  <c r="Z300" i="17"/>
  <c r="AB300" i="17"/>
  <c r="DP37" i="18"/>
  <c r="DL37" i="18"/>
  <c r="DH37" i="18"/>
  <c r="DD37" i="18"/>
  <c r="CZ37" i="18"/>
  <c r="CV37" i="18"/>
  <c r="CR37" i="18"/>
  <c r="CN37" i="18"/>
  <c r="CJ37" i="18"/>
  <c r="CF37" i="18"/>
  <c r="CB37" i="18"/>
  <c r="BX37" i="18"/>
  <c r="BT37" i="18"/>
  <c r="BP37" i="18"/>
  <c r="BL37" i="18"/>
  <c r="BH37" i="18"/>
  <c r="BD37" i="18"/>
  <c r="AZ37" i="18"/>
  <c r="AV37" i="18"/>
  <c r="AR37" i="18"/>
  <c r="AN37" i="18"/>
  <c r="AJ37" i="18"/>
  <c r="AF37" i="18"/>
  <c r="AB37" i="18"/>
  <c r="X37" i="18"/>
  <c r="T37" i="18"/>
  <c r="P37" i="18"/>
  <c r="L37" i="18"/>
  <c r="H37" i="18"/>
  <c r="DO37" i="18"/>
  <c r="DK37" i="18"/>
  <c r="DG37" i="18"/>
  <c r="DC37" i="18"/>
  <c r="CY37" i="18"/>
  <c r="CU37" i="18"/>
  <c r="CQ37" i="18"/>
  <c r="CM37" i="18"/>
  <c r="CI37" i="18"/>
  <c r="CE37" i="18"/>
  <c r="CA37" i="18"/>
  <c r="BW37" i="18"/>
  <c r="BS37" i="18"/>
  <c r="BO37" i="18"/>
  <c r="BK37" i="18"/>
  <c r="BG37" i="18"/>
  <c r="BC37" i="18"/>
  <c r="AY37" i="18"/>
  <c r="AU37" i="18"/>
  <c r="AQ37" i="18"/>
  <c r="AM37" i="18"/>
  <c r="AI37" i="18"/>
  <c r="AE37" i="18"/>
  <c r="AA37" i="18"/>
  <c r="W37" i="18"/>
  <c r="S37" i="18"/>
  <c r="O37" i="18"/>
  <c r="K37" i="18"/>
  <c r="G37" i="18"/>
  <c r="DN37" i="18"/>
  <c r="DJ37" i="18"/>
  <c r="DF37" i="18"/>
  <c r="DB37" i="18"/>
  <c r="CX37" i="18"/>
  <c r="CT37" i="18"/>
  <c r="CP37" i="18"/>
  <c r="CL37" i="18"/>
  <c r="CH37" i="18"/>
  <c r="CD37" i="18"/>
  <c r="BZ37" i="18"/>
  <c r="BV37" i="18"/>
  <c r="BR37" i="18"/>
  <c r="BN37" i="18"/>
  <c r="BJ37" i="18"/>
  <c r="BF37" i="18"/>
  <c r="BB37" i="18"/>
  <c r="AX37" i="18"/>
  <c r="AT37" i="18"/>
  <c r="AP37" i="18"/>
  <c r="AL37" i="18"/>
  <c r="AH37" i="18"/>
  <c r="AD37" i="18"/>
  <c r="Z37" i="18"/>
  <c r="V37" i="18"/>
  <c r="R37" i="18"/>
  <c r="N37" i="18"/>
  <c r="J37" i="18"/>
  <c r="F37" i="18"/>
  <c r="DE37" i="18"/>
  <c r="CO37" i="18"/>
  <c r="BY37" i="18"/>
  <c r="BI37" i="18"/>
  <c r="AS37" i="18"/>
  <c r="AC37" i="18"/>
  <c r="M37" i="18"/>
  <c r="DQ37" i="18"/>
  <c r="DA37" i="18"/>
  <c r="CK37" i="18"/>
  <c r="BU37" i="18"/>
  <c r="BE37" i="18"/>
  <c r="AO37" i="18"/>
  <c r="Y37" i="18"/>
  <c r="I37" i="18"/>
  <c r="DM37" i="18"/>
  <c r="CW37" i="18"/>
  <c r="CG37" i="18"/>
  <c r="BQ37" i="18"/>
  <c r="BA37" i="18"/>
  <c r="AK37" i="18"/>
  <c r="U37" i="18"/>
  <c r="E37" i="18"/>
  <c r="DI37" i="18"/>
  <c r="AW37" i="18"/>
  <c r="CS37" i="18"/>
  <c r="AG37" i="18"/>
  <c r="CC37" i="18"/>
  <c r="Q37" i="18"/>
  <c r="BM37" i="18"/>
  <c r="AB369" i="17"/>
  <c r="Z369" i="17"/>
  <c r="DP106" i="18"/>
  <c r="DL106" i="18"/>
  <c r="DH106" i="18"/>
  <c r="DD106" i="18"/>
  <c r="CZ106" i="18"/>
  <c r="CV106" i="18"/>
  <c r="CR106" i="18"/>
  <c r="CN106" i="18"/>
  <c r="CJ106" i="18"/>
  <c r="CF106" i="18"/>
  <c r="CB106" i="18"/>
  <c r="BX106" i="18"/>
  <c r="BT106" i="18"/>
  <c r="BP106" i="18"/>
  <c r="BL106" i="18"/>
  <c r="BH106" i="18"/>
  <c r="BD106" i="18"/>
  <c r="AZ106" i="18"/>
  <c r="AV106" i="18"/>
  <c r="AR106" i="18"/>
  <c r="AN106" i="18"/>
  <c r="AJ106" i="18"/>
  <c r="AF106" i="18"/>
  <c r="AB106" i="18"/>
  <c r="X106" i="18"/>
  <c r="T106" i="18"/>
  <c r="P106" i="18"/>
  <c r="L106" i="18"/>
  <c r="H106" i="18"/>
  <c r="DO106" i="18"/>
  <c r="DK106" i="18"/>
  <c r="DG106" i="18"/>
  <c r="DC106" i="18"/>
  <c r="CY106" i="18"/>
  <c r="CU106" i="18"/>
  <c r="CQ106" i="18"/>
  <c r="CM106" i="18"/>
  <c r="CI106" i="18"/>
  <c r="CE106" i="18"/>
  <c r="CA106" i="18"/>
  <c r="BW106" i="18"/>
  <c r="BS106" i="18"/>
  <c r="BO106" i="18"/>
  <c r="BK106" i="18"/>
  <c r="BG106" i="18"/>
  <c r="BC106" i="18"/>
  <c r="AY106" i="18"/>
  <c r="AU106" i="18"/>
  <c r="AQ106" i="18"/>
  <c r="AM106" i="18"/>
  <c r="AI106" i="18"/>
  <c r="AE106" i="18"/>
  <c r="AA106" i="18"/>
  <c r="W106" i="18"/>
  <c r="S106" i="18"/>
  <c r="O106" i="18"/>
  <c r="K106" i="18"/>
  <c r="G106" i="18"/>
  <c r="DM106" i="18"/>
  <c r="DE106" i="18"/>
  <c r="CW106" i="18"/>
  <c r="CO106" i="18"/>
  <c r="CG106" i="18"/>
  <c r="BY106" i="18"/>
  <c r="BQ106" i="18"/>
  <c r="BI106" i="18"/>
  <c r="BA106" i="18"/>
  <c r="AS106" i="18"/>
  <c r="AK106" i="18"/>
  <c r="AC106" i="18"/>
  <c r="U106" i="18"/>
  <c r="M106" i="18"/>
  <c r="E106" i="18"/>
  <c r="DJ106" i="18"/>
  <c r="DB106" i="18"/>
  <c r="CT106" i="18"/>
  <c r="CL106" i="18"/>
  <c r="CD106" i="18"/>
  <c r="BV106" i="18"/>
  <c r="BN106" i="18"/>
  <c r="BF106" i="18"/>
  <c r="AX106" i="18"/>
  <c r="AP106" i="18"/>
  <c r="AH106" i="18"/>
  <c r="Z106" i="18"/>
  <c r="R106" i="18"/>
  <c r="J106" i="18"/>
  <c r="DQ106" i="18"/>
  <c r="DI106" i="18"/>
  <c r="DA106" i="18"/>
  <c r="CS106" i="18"/>
  <c r="CK106" i="18"/>
  <c r="CC106" i="18"/>
  <c r="BU106" i="18"/>
  <c r="BM106" i="18"/>
  <c r="BE106" i="18"/>
  <c r="AW106" i="18"/>
  <c r="AO106" i="18"/>
  <c r="AG106" i="18"/>
  <c r="Y106" i="18"/>
  <c r="Q106" i="18"/>
  <c r="I106" i="18"/>
  <c r="DF106" i="18"/>
  <c r="BZ106" i="18"/>
  <c r="AT106" i="18"/>
  <c r="N106" i="18"/>
  <c r="CX106" i="18"/>
  <c r="BR106" i="18"/>
  <c r="AL106" i="18"/>
  <c r="F106" i="18"/>
  <c r="CP106" i="18"/>
  <c r="BJ106" i="18"/>
  <c r="AD106" i="18"/>
  <c r="CH106" i="18"/>
  <c r="BB106" i="18"/>
  <c r="V106" i="18"/>
  <c r="DN106" i="18"/>
  <c r="Z295" i="17"/>
  <c r="AB295" i="17"/>
  <c r="Z301" i="17"/>
  <c r="X28" i="24"/>
  <c r="Y45" i="15"/>
  <c r="X45" i="15"/>
  <c r="AA45" i="15" s="1"/>
  <c r="Z45" i="15"/>
  <c r="DQ36" i="18"/>
  <c r="DM36" i="18"/>
  <c r="DI36" i="18"/>
  <c r="DE36" i="18"/>
  <c r="DA36" i="18"/>
  <c r="CW36" i="18"/>
  <c r="CS36" i="18"/>
  <c r="CO36" i="18"/>
  <c r="CK36" i="18"/>
  <c r="CG36" i="18"/>
  <c r="CC36" i="18"/>
  <c r="BY36" i="18"/>
  <c r="BU36" i="18"/>
  <c r="BQ36" i="18"/>
  <c r="BM36" i="18"/>
  <c r="BI36" i="18"/>
  <c r="BE36" i="18"/>
  <c r="BA36" i="18"/>
  <c r="AW36" i="18"/>
  <c r="AS36" i="18"/>
  <c r="AO36" i="18"/>
  <c r="AK36" i="18"/>
  <c r="AG36" i="18"/>
  <c r="AC36" i="18"/>
  <c r="Y36" i="18"/>
  <c r="U36" i="18"/>
  <c r="Q36" i="18"/>
  <c r="M36" i="18"/>
  <c r="I36" i="18"/>
  <c r="E36" i="18"/>
  <c r="DP36" i="18"/>
  <c r="DL36" i="18"/>
  <c r="DH36" i="18"/>
  <c r="DD36" i="18"/>
  <c r="CZ36" i="18"/>
  <c r="CV36" i="18"/>
  <c r="CR36" i="18"/>
  <c r="CN36" i="18"/>
  <c r="CJ36" i="18"/>
  <c r="CF36" i="18"/>
  <c r="CB36" i="18"/>
  <c r="BX36" i="18"/>
  <c r="BT36" i="18"/>
  <c r="BP36" i="18"/>
  <c r="BL36" i="18"/>
  <c r="BH36" i="18"/>
  <c r="BD36" i="18"/>
  <c r="AZ36" i="18"/>
  <c r="AV36" i="18"/>
  <c r="AR36" i="18"/>
  <c r="AN36" i="18"/>
  <c r="AJ36" i="18"/>
  <c r="AF36" i="18"/>
  <c r="AB36" i="18"/>
  <c r="X36" i="18"/>
  <c r="T36" i="18"/>
  <c r="P36" i="18"/>
  <c r="L36" i="18"/>
  <c r="H36" i="18"/>
  <c r="DO36" i="18"/>
  <c r="DK36" i="18"/>
  <c r="DG36" i="18"/>
  <c r="DC36" i="18"/>
  <c r="CY36" i="18"/>
  <c r="CU36" i="18"/>
  <c r="CQ36" i="18"/>
  <c r="CM36" i="18"/>
  <c r="CI36" i="18"/>
  <c r="CE36" i="18"/>
  <c r="CA36" i="18"/>
  <c r="BW36" i="18"/>
  <c r="BS36" i="18"/>
  <c r="BO36" i="18"/>
  <c r="BK36" i="18"/>
  <c r="BG36" i="18"/>
  <c r="BC36" i="18"/>
  <c r="AY36" i="18"/>
  <c r="AU36" i="18"/>
  <c r="AQ36" i="18"/>
  <c r="AM36" i="18"/>
  <c r="AI36" i="18"/>
  <c r="AE36" i="18"/>
  <c r="AA36" i="18"/>
  <c r="W36" i="18"/>
  <c r="S36" i="18"/>
  <c r="O36" i="18"/>
  <c r="K36" i="18"/>
  <c r="G36" i="18"/>
  <c r="DN36" i="18"/>
  <c r="CX36" i="18"/>
  <c r="CH36" i="18"/>
  <c r="BR36" i="18"/>
  <c r="BB36" i="18"/>
  <c r="AL36" i="18"/>
  <c r="V36" i="18"/>
  <c r="F36" i="18"/>
  <c r="DJ36" i="18"/>
  <c r="CT36" i="18"/>
  <c r="CD36" i="18"/>
  <c r="BN36" i="18"/>
  <c r="AX36" i="18"/>
  <c r="AH36" i="18"/>
  <c r="R36" i="18"/>
  <c r="DF36" i="18"/>
  <c r="CP36" i="18"/>
  <c r="BZ36" i="18"/>
  <c r="BJ36" i="18"/>
  <c r="AT36" i="18"/>
  <c r="AD36" i="18"/>
  <c r="N36" i="18"/>
  <c r="DB36" i="18"/>
  <c r="AP36" i="18"/>
  <c r="CL36" i="18"/>
  <c r="Z36" i="18"/>
  <c r="BV36" i="18"/>
  <c r="J36" i="18"/>
  <c r="BF36" i="18"/>
  <c r="Z312" i="17"/>
  <c r="Y312" i="17"/>
  <c r="DP49" i="18"/>
  <c r="DL49" i="18"/>
  <c r="DH49" i="18"/>
  <c r="DD49" i="18"/>
  <c r="CZ49" i="18"/>
  <c r="CV49" i="18"/>
  <c r="CR49" i="18"/>
  <c r="CN49" i="18"/>
  <c r="CJ49" i="18"/>
  <c r="CF49" i="18"/>
  <c r="CB49" i="18"/>
  <c r="BX49" i="18"/>
  <c r="BT49" i="18"/>
  <c r="BP49" i="18"/>
  <c r="BL49" i="18"/>
  <c r="BH49" i="18"/>
  <c r="BD49" i="18"/>
  <c r="AZ49" i="18"/>
  <c r="AV49" i="18"/>
  <c r="AR49" i="18"/>
  <c r="AN49" i="18"/>
  <c r="AJ49" i="18"/>
  <c r="AF49" i="18"/>
  <c r="AB49" i="18"/>
  <c r="X49" i="18"/>
  <c r="T49" i="18"/>
  <c r="P49" i="18"/>
  <c r="L49" i="18"/>
  <c r="H49" i="18"/>
  <c r="DO49" i="18"/>
  <c r="DK49" i="18"/>
  <c r="DG49" i="18"/>
  <c r="DC49" i="18"/>
  <c r="CY49" i="18"/>
  <c r="CU49" i="18"/>
  <c r="CQ49" i="18"/>
  <c r="CM49" i="18"/>
  <c r="CI49" i="18"/>
  <c r="CE49" i="18"/>
  <c r="CA49" i="18"/>
  <c r="BW49" i="18"/>
  <c r="BS49" i="18"/>
  <c r="BO49" i="18"/>
  <c r="BK49" i="18"/>
  <c r="BG49" i="18"/>
  <c r="BC49" i="18"/>
  <c r="AY49" i="18"/>
  <c r="AU49" i="18"/>
  <c r="AQ49" i="18"/>
  <c r="AM49" i="18"/>
  <c r="AI49" i="18"/>
  <c r="AE49" i="18"/>
  <c r="AA49" i="18"/>
  <c r="W49" i="18"/>
  <c r="S49" i="18"/>
  <c r="O49" i="18"/>
  <c r="K49" i="18"/>
  <c r="G49" i="18"/>
  <c r="DN49" i="18"/>
  <c r="DJ49" i="18"/>
  <c r="DF49" i="18"/>
  <c r="DB49" i="18"/>
  <c r="CX49" i="18"/>
  <c r="CT49" i="18"/>
  <c r="CP49" i="18"/>
  <c r="CL49" i="18"/>
  <c r="CH49" i="18"/>
  <c r="CD49" i="18"/>
  <c r="BZ49" i="18"/>
  <c r="BV49" i="18"/>
  <c r="BR49" i="18"/>
  <c r="BN49" i="18"/>
  <c r="BJ49" i="18"/>
  <c r="BF49" i="18"/>
  <c r="BB49" i="18"/>
  <c r="AX49" i="18"/>
  <c r="AT49" i="18"/>
  <c r="AP49" i="18"/>
  <c r="AL49" i="18"/>
  <c r="AH49" i="18"/>
  <c r="AD49" i="18"/>
  <c r="Z49" i="18"/>
  <c r="V49" i="18"/>
  <c r="R49" i="18"/>
  <c r="N49" i="18"/>
  <c r="J49" i="18"/>
  <c r="F49" i="18"/>
  <c r="DI49" i="18"/>
  <c r="CS49" i="18"/>
  <c r="CC49" i="18"/>
  <c r="BM49" i="18"/>
  <c r="AW49" i="18"/>
  <c r="AG49" i="18"/>
  <c r="Q49" i="18"/>
  <c r="DE49" i="18"/>
  <c r="CO49" i="18"/>
  <c r="BY49" i="18"/>
  <c r="BI49" i="18"/>
  <c r="AS49" i="18"/>
  <c r="AC49" i="18"/>
  <c r="M49" i="18"/>
  <c r="DQ49" i="18"/>
  <c r="DA49" i="18"/>
  <c r="CK49" i="18"/>
  <c r="BU49" i="18"/>
  <c r="BE49" i="18"/>
  <c r="AO49" i="18"/>
  <c r="Y49" i="18"/>
  <c r="I49" i="18"/>
  <c r="BQ49" i="18"/>
  <c r="E49" i="18"/>
  <c r="DM49" i="18"/>
  <c r="BA49" i="18"/>
  <c r="CW49" i="18"/>
  <c r="AK49" i="18"/>
  <c r="CG49" i="18"/>
  <c r="U49" i="18"/>
  <c r="Y121" i="17"/>
  <c r="Z325" i="17"/>
  <c r="DO62" i="18"/>
  <c r="DK62" i="18"/>
  <c r="DG62" i="18"/>
  <c r="DC62" i="18"/>
  <c r="CY62" i="18"/>
  <c r="CU62" i="18"/>
  <c r="CQ62" i="18"/>
  <c r="CM62" i="18"/>
  <c r="CI62" i="18"/>
  <c r="CE62" i="18"/>
  <c r="CA62" i="18"/>
  <c r="BW62" i="18"/>
  <c r="BS62" i="18"/>
  <c r="BO62" i="18"/>
  <c r="BK62" i="18"/>
  <c r="BG62" i="18"/>
  <c r="BC62" i="18"/>
  <c r="AY62" i="18"/>
  <c r="AU62" i="18"/>
  <c r="AQ62" i="18"/>
  <c r="AM62" i="18"/>
  <c r="AI62" i="18"/>
  <c r="AE62" i="18"/>
  <c r="AA62" i="18"/>
  <c r="W62" i="18"/>
  <c r="S62" i="18"/>
  <c r="O62" i="18"/>
  <c r="K62" i="18"/>
  <c r="G62" i="18"/>
  <c r="DM62" i="18"/>
  <c r="DH62" i="18"/>
  <c r="DB62" i="18"/>
  <c r="CW62" i="18"/>
  <c r="CR62" i="18"/>
  <c r="CL62" i="18"/>
  <c r="CG62" i="18"/>
  <c r="CB62" i="18"/>
  <c r="BV62" i="18"/>
  <c r="BQ62" i="18"/>
  <c r="BL62" i="18"/>
  <c r="BF62" i="18"/>
  <c r="BA62" i="18"/>
  <c r="AV62" i="18"/>
  <c r="AP62" i="18"/>
  <c r="AK62" i="18"/>
  <c r="AF62" i="18"/>
  <c r="Z62" i="18"/>
  <c r="U62" i="18"/>
  <c r="P62" i="18"/>
  <c r="J62" i="18"/>
  <c r="E62" i="18"/>
  <c r="DQ62" i="18"/>
  <c r="DL62" i="18"/>
  <c r="DF62" i="18"/>
  <c r="DA62" i="18"/>
  <c r="CV62" i="18"/>
  <c r="CP62" i="18"/>
  <c r="CK62" i="18"/>
  <c r="CF62" i="18"/>
  <c r="BZ62" i="18"/>
  <c r="BU62" i="18"/>
  <c r="BP62" i="18"/>
  <c r="BJ62" i="18"/>
  <c r="BE62" i="18"/>
  <c r="AZ62" i="18"/>
  <c r="AT62" i="18"/>
  <c r="AO62" i="18"/>
  <c r="AJ62" i="18"/>
  <c r="AD62" i="18"/>
  <c r="Y62" i="18"/>
  <c r="T62" i="18"/>
  <c r="N62" i="18"/>
  <c r="I62" i="18"/>
  <c r="DP62" i="18"/>
  <c r="DJ62" i="18"/>
  <c r="DE62" i="18"/>
  <c r="CZ62" i="18"/>
  <c r="CT62" i="18"/>
  <c r="CO62" i="18"/>
  <c r="CJ62" i="18"/>
  <c r="CD62" i="18"/>
  <c r="BY62" i="18"/>
  <c r="BT62" i="18"/>
  <c r="BN62" i="18"/>
  <c r="BI62" i="18"/>
  <c r="BD62" i="18"/>
  <c r="AX62" i="18"/>
  <c r="AS62" i="18"/>
  <c r="AN62" i="18"/>
  <c r="AH62" i="18"/>
  <c r="AC62" i="18"/>
  <c r="X62" i="18"/>
  <c r="R62" i="18"/>
  <c r="M62" i="18"/>
  <c r="H62" i="18"/>
  <c r="DI62" i="18"/>
  <c r="CN62" i="18"/>
  <c r="BR62" i="18"/>
  <c r="AW62" i="18"/>
  <c r="AB62" i="18"/>
  <c r="F62" i="18"/>
  <c r="DD62" i="18"/>
  <c r="CH62" i="18"/>
  <c r="BM62" i="18"/>
  <c r="AR62" i="18"/>
  <c r="V62" i="18"/>
  <c r="CX62" i="18"/>
  <c r="CC62" i="18"/>
  <c r="BH62" i="18"/>
  <c r="AL62" i="18"/>
  <c r="Q62" i="18"/>
  <c r="BX62" i="18"/>
  <c r="BB62" i="18"/>
  <c r="DN62" i="18"/>
  <c r="AG62" i="18"/>
  <c r="CS62" i="18"/>
  <c r="L62" i="18"/>
  <c r="DN112" i="18"/>
  <c r="DJ112" i="18"/>
  <c r="DF112" i="18"/>
  <c r="DB112" i="18"/>
  <c r="CX112" i="18"/>
  <c r="CT112" i="18"/>
  <c r="CP112" i="18"/>
  <c r="CL112" i="18"/>
  <c r="CH112" i="18"/>
  <c r="CD112" i="18"/>
  <c r="BZ112" i="18"/>
  <c r="BV112" i="18"/>
  <c r="BR112" i="18"/>
  <c r="BN112" i="18"/>
  <c r="BJ112" i="18"/>
  <c r="BF112" i="18"/>
  <c r="BB112" i="18"/>
  <c r="AX112" i="18"/>
  <c r="AT112" i="18"/>
  <c r="AP112" i="18"/>
  <c r="AL112" i="18"/>
  <c r="AH112" i="18"/>
  <c r="AD112" i="18"/>
  <c r="Z112" i="18"/>
  <c r="V112" i="18"/>
  <c r="R112" i="18"/>
  <c r="N112" i="18"/>
  <c r="J112" i="18"/>
  <c r="F112" i="18"/>
  <c r="DQ112" i="18"/>
  <c r="DM112" i="18"/>
  <c r="DI112" i="18"/>
  <c r="DE112" i="18"/>
  <c r="DA112" i="18"/>
  <c r="CW112" i="18"/>
  <c r="CS112" i="18"/>
  <c r="CO112" i="18"/>
  <c r="CK112" i="18"/>
  <c r="CG112" i="18"/>
  <c r="CC112" i="18"/>
  <c r="BY112" i="18"/>
  <c r="BU112" i="18"/>
  <c r="BQ112" i="18"/>
  <c r="BM112" i="18"/>
  <c r="BI112" i="18"/>
  <c r="BE112" i="18"/>
  <c r="BA112" i="18"/>
  <c r="AW112" i="18"/>
  <c r="AS112" i="18"/>
  <c r="AO112" i="18"/>
  <c r="AK112" i="18"/>
  <c r="AG112" i="18"/>
  <c r="AC112" i="18"/>
  <c r="Y112" i="18"/>
  <c r="U112" i="18"/>
  <c r="Q112" i="18"/>
  <c r="M112" i="18"/>
  <c r="I112" i="18"/>
  <c r="E112" i="18"/>
  <c r="DO112" i="18"/>
  <c r="DG112" i="18"/>
  <c r="CY112" i="18"/>
  <c r="CQ112" i="18"/>
  <c r="CI112" i="18"/>
  <c r="CA112" i="18"/>
  <c r="BS112" i="18"/>
  <c r="BK112" i="18"/>
  <c r="BC112" i="18"/>
  <c r="AU112" i="18"/>
  <c r="AM112" i="18"/>
  <c r="AE112" i="18"/>
  <c r="W112" i="18"/>
  <c r="O112" i="18"/>
  <c r="G112" i="18"/>
  <c r="DL112" i="18"/>
  <c r="DD112" i="18"/>
  <c r="CV112" i="18"/>
  <c r="CN112" i="18"/>
  <c r="CF112" i="18"/>
  <c r="BX112" i="18"/>
  <c r="BP112" i="18"/>
  <c r="BH112" i="18"/>
  <c r="AZ112" i="18"/>
  <c r="AR112" i="18"/>
  <c r="AJ112" i="18"/>
  <c r="AB112" i="18"/>
  <c r="T112" i="18"/>
  <c r="L112" i="18"/>
  <c r="DK112" i="18"/>
  <c r="DC112" i="18"/>
  <c r="CU112" i="18"/>
  <c r="CM112" i="18"/>
  <c r="CE112" i="18"/>
  <c r="BW112" i="18"/>
  <c r="BO112" i="18"/>
  <c r="BG112" i="18"/>
  <c r="AY112" i="18"/>
  <c r="AQ112" i="18"/>
  <c r="AI112" i="18"/>
  <c r="AA112" i="18"/>
  <c r="S112" i="18"/>
  <c r="K112" i="18"/>
  <c r="DP112" i="18"/>
  <c r="CJ112" i="18"/>
  <c r="BD112" i="18"/>
  <c r="X112" i="18"/>
  <c r="DH112" i="18"/>
  <c r="CB112" i="18"/>
  <c r="AV112" i="18"/>
  <c r="P112" i="18"/>
  <c r="CZ112" i="18"/>
  <c r="BT112" i="18"/>
  <c r="AN112" i="18"/>
  <c r="H112" i="18"/>
  <c r="CR112" i="18"/>
  <c r="BL112" i="18"/>
  <c r="AF112" i="18"/>
  <c r="Z347" i="17"/>
  <c r="AB347" i="17"/>
  <c r="Y478" i="17"/>
  <c r="AB478" i="17"/>
  <c r="X251" i="17"/>
  <c r="Y32" i="15"/>
  <c r="DN23" i="18"/>
  <c r="DJ23" i="18"/>
  <c r="DF23" i="18"/>
  <c r="DB23" i="18"/>
  <c r="CX23" i="18"/>
  <c r="CT23" i="18"/>
  <c r="CP23" i="18"/>
  <c r="CL23" i="18"/>
  <c r="CH23" i="18"/>
  <c r="CD23" i="18"/>
  <c r="BZ23" i="18"/>
  <c r="BV23" i="18"/>
  <c r="BR23" i="18"/>
  <c r="BN23" i="18"/>
  <c r="BJ23" i="18"/>
  <c r="BF23" i="18"/>
  <c r="BB23" i="18"/>
  <c r="AX23" i="18"/>
  <c r="AT23" i="18"/>
  <c r="AP23" i="18"/>
  <c r="AL23" i="18"/>
  <c r="AH23" i="18"/>
  <c r="AD23" i="18"/>
  <c r="Z23" i="18"/>
  <c r="V23" i="18"/>
  <c r="R23" i="18"/>
  <c r="N23" i="18"/>
  <c r="J23" i="18"/>
  <c r="F23" i="18"/>
  <c r="DQ23" i="18"/>
  <c r="DM23" i="18"/>
  <c r="DI23" i="18"/>
  <c r="DE23" i="18"/>
  <c r="DA23" i="18"/>
  <c r="CW23" i="18"/>
  <c r="CS23" i="18"/>
  <c r="CO23" i="18"/>
  <c r="CK23" i="18"/>
  <c r="CG23" i="18"/>
  <c r="CC23" i="18"/>
  <c r="BY23" i="18"/>
  <c r="BU23" i="18"/>
  <c r="BQ23" i="18"/>
  <c r="BM23" i="18"/>
  <c r="BI23" i="18"/>
  <c r="BE23" i="18"/>
  <c r="BA23" i="18"/>
  <c r="AW23" i="18"/>
  <c r="AS23" i="18"/>
  <c r="AO23" i="18"/>
  <c r="AK23" i="18"/>
  <c r="AG23" i="18"/>
  <c r="AC23" i="18"/>
  <c r="Y23" i="18"/>
  <c r="U23" i="18"/>
  <c r="Q23" i="18"/>
  <c r="M23" i="18"/>
  <c r="I23" i="18"/>
  <c r="E23" i="18"/>
  <c r="DP23" i="18"/>
  <c r="DL23" i="18"/>
  <c r="DH23" i="18"/>
  <c r="DD23" i="18"/>
  <c r="CZ23" i="18"/>
  <c r="CV23" i="18"/>
  <c r="CR23" i="18"/>
  <c r="CN23" i="18"/>
  <c r="CJ23" i="18"/>
  <c r="CF23" i="18"/>
  <c r="CB23" i="18"/>
  <c r="BX23" i="18"/>
  <c r="BT23" i="18"/>
  <c r="BP23" i="18"/>
  <c r="BL23" i="18"/>
  <c r="BH23" i="18"/>
  <c r="BD23" i="18"/>
  <c r="AZ23" i="18"/>
  <c r="AV23" i="18"/>
  <c r="AR23" i="18"/>
  <c r="AN23" i="18"/>
  <c r="AJ23" i="18"/>
  <c r="AF23" i="18"/>
  <c r="AB23" i="18"/>
  <c r="X23" i="18"/>
  <c r="T23" i="18"/>
  <c r="P23" i="18"/>
  <c r="L23" i="18"/>
  <c r="H23" i="18"/>
  <c r="DC23" i="18"/>
  <c r="CM23" i="18"/>
  <c r="BW23" i="18"/>
  <c r="BG23" i="18"/>
  <c r="AQ23" i="18"/>
  <c r="AA23" i="18"/>
  <c r="K23" i="18"/>
  <c r="DO23" i="18"/>
  <c r="CY23" i="18"/>
  <c r="CI23" i="18"/>
  <c r="BS23" i="18"/>
  <c r="BC23" i="18"/>
  <c r="AM23" i="18"/>
  <c r="W23" i="18"/>
  <c r="G23" i="18"/>
  <c r="DK23" i="18"/>
  <c r="CU23" i="18"/>
  <c r="CE23" i="18"/>
  <c r="BO23" i="18"/>
  <c r="AY23" i="18"/>
  <c r="AI23" i="18"/>
  <c r="S23" i="18"/>
  <c r="CA23" i="18"/>
  <c r="O23" i="18"/>
  <c r="BK23" i="18"/>
  <c r="DG23" i="18"/>
  <c r="AU23" i="18"/>
  <c r="CQ23" i="18"/>
  <c r="AE23" i="18"/>
  <c r="Y65" i="15"/>
  <c r="AC450" i="17"/>
  <c r="AB450" i="17"/>
  <c r="Y15" i="17"/>
  <c r="X8" i="17"/>
  <c r="X109" i="17" s="1"/>
  <c r="Z109" i="17" s="1"/>
  <c r="X389" i="17"/>
  <c r="Z389" i="17"/>
  <c r="DP126" i="18"/>
  <c r="DL126" i="18"/>
  <c r="DH126" i="18"/>
  <c r="DD126" i="18"/>
  <c r="CZ126" i="18"/>
  <c r="CV126" i="18"/>
  <c r="CR126" i="18"/>
  <c r="CN126" i="18"/>
  <c r="CJ126" i="18"/>
  <c r="CF126" i="18"/>
  <c r="CB126" i="18"/>
  <c r="BX126" i="18"/>
  <c r="BT126" i="18"/>
  <c r="BP126" i="18"/>
  <c r="BL126" i="18"/>
  <c r="BH126" i="18"/>
  <c r="BD126" i="18"/>
  <c r="AZ126" i="18"/>
  <c r="AV126" i="18"/>
  <c r="AR126" i="18"/>
  <c r="AN126" i="18"/>
  <c r="AJ126" i="18"/>
  <c r="AF126" i="18"/>
  <c r="AB126" i="18"/>
  <c r="X126" i="18"/>
  <c r="T126" i="18"/>
  <c r="P126" i="18"/>
  <c r="L126" i="18"/>
  <c r="H126" i="18"/>
  <c r="DN126" i="18"/>
  <c r="DI126" i="18"/>
  <c r="DC126" i="18"/>
  <c r="CX126" i="18"/>
  <c r="CS126" i="18"/>
  <c r="CM126" i="18"/>
  <c r="CH126" i="18"/>
  <c r="CC126" i="18"/>
  <c r="BW126" i="18"/>
  <c r="BR126" i="18"/>
  <c r="BM126" i="18"/>
  <c r="BG126" i="18"/>
  <c r="BB126" i="18"/>
  <c r="AW126" i="18"/>
  <c r="AQ126" i="18"/>
  <c r="AL126" i="18"/>
  <c r="AG126" i="18"/>
  <c r="AA126" i="18"/>
  <c r="V126" i="18"/>
  <c r="Q126" i="18"/>
  <c r="K126" i="18"/>
  <c r="F126" i="18"/>
  <c r="DM126" i="18"/>
  <c r="DG126" i="18"/>
  <c r="DB126" i="18"/>
  <c r="CW126" i="18"/>
  <c r="CQ126" i="18"/>
  <c r="CL126" i="18"/>
  <c r="CG126" i="18"/>
  <c r="CA126" i="18"/>
  <c r="BV126" i="18"/>
  <c r="BQ126" i="18"/>
  <c r="BK126" i="18"/>
  <c r="BF126" i="18"/>
  <c r="BA126" i="18"/>
  <c r="AU126" i="18"/>
  <c r="AP126" i="18"/>
  <c r="AK126" i="18"/>
  <c r="AE126" i="18"/>
  <c r="Z126" i="18"/>
  <c r="U126" i="18"/>
  <c r="O126" i="18"/>
  <c r="J126" i="18"/>
  <c r="E126" i="18"/>
  <c r="DO126" i="18"/>
  <c r="DE126" i="18"/>
  <c r="CT126" i="18"/>
  <c r="CI126" i="18"/>
  <c r="BY126" i="18"/>
  <c r="BN126" i="18"/>
  <c r="BC126" i="18"/>
  <c r="AS126" i="18"/>
  <c r="AH126" i="18"/>
  <c r="W126" i="18"/>
  <c r="M126" i="18"/>
  <c r="DK126" i="18"/>
  <c r="DA126" i="18"/>
  <c r="CP126" i="18"/>
  <c r="CE126" i="18"/>
  <c r="BU126" i="18"/>
  <c r="BJ126" i="18"/>
  <c r="AY126" i="18"/>
  <c r="AO126" i="18"/>
  <c r="AD126" i="18"/>
  <c r="S126" i="18"/>
  <c r="I126" i="18"/>
  <c r="DJ126" i="18"/>
  <c r="CY126" i="18"/>
  <c r="CO126" i="18"/>
  <c r="CD126" i="18"/>
  <c r="BS126" i="18"/>
  <c r="BI126" i="18"/>
  <c r="AX126" i="18"/>
  <c r="AM126" i="18"/>
  <c r="AC126" i="18"/>
  <c r="R126" i="18"/>
  <c r="G126" i="18"/>
  <c r="CK126" i="18"/>
  <c r="AT126" i="18"/>
  <c r="DQ126" i="18"/>
  <c r="BZ126" i="18"/>
  <c r="AI126" i="18"/>
  <c r="DF126" i="18"/>
  <c r="BO126" i="18"/>
  <c r="Y126" i="18"/>
  <c r="CU126" i="18"/>
  <c r="BE126" i="18"/>
  <c r="N126" i="18"/>
  <c r="Z370" i="17"/>
  <c r="AB357" i="17"/>
  <c r="Z357" i="17"/>
  <c r="Y98" i="17"/>
  <c r="X98" i="17"/>
  <c r="Z98" i="17" s="1"/>
  <c r="Y262" i="17"/>
  <c r="DQ113" i="18"/>
  <c r="DM113" i="18"/>
  <c r="DI113" i="18"/>
  <c r="DE113" i="18"/>
  <c r="DA113" i="18"/>
  <c r="CW113" i="18"/>
  <c r="CS113" i="18"/>
  <c r="CO113" i="18"/>
  <c r="CK113" i="18"/>
  <c r="CG113" i="18"/>
  <c r="CC113" i="18"/>
  <c r="BY113" i="18"/>
  <c r="BU113" i="18"/>
  <c r="BQ113" i="18"/>
  <c r="BM113" i="18"/>
  <c r="BI113" i="18"/>
  <c r="BE113" i="18"/>
  <c r="BA113" i="18"/>
  <c r="AW113" i="18"/>
  <c r="AS113" i="18"/>
  <c r="AO113" i="18"/>
  <c r="AK113" i="18"/>
  <c r="AG113" i="18"/>
  <c r="AC113" i="18"/>
  <c r="Y113" i="18"/>
  <c r="U113" i="18"/>
  <c r="Q113" i="18"/>
  <c r="M113" i="18"/>
  <c r="I113" i="18"/>
  <c r="E113" i="18"/>
  <c r="DP113" i="18"/>
  <c r="DL113" i="18"/>
  <c r="DH113" i="18"/>
  <c r="DD113" i="18"/>
  <c r="CZ113" i="18"/>
  <c r="CV113" i="18"/>
  <c r="CR113" i="18"/>
  <c r="CN113" i="18"/>
  <c r="CJ113" i="18"/>
  <c r="CF113" i="18"/>
  <c r="CB113" i="18"/>
  <c r="BX113" i="18"/>
  <c r="BT113" i="18"/>
  <c r="BP113" i="18"/>
  <c r="BL113" i="18"/>
  <c r="BH113" i="18"/>
  <c r="BD113" i="18"/>
  <c r="AZ113" i="18"/>
  <c r="AV113" i="18"/>
  <c r="AR113" i="18"/>
  <c r="AN113" i="18"/>
  <c r="AJ113" i="18"/>
  <c r="AF113" i="18"/>
  <c r="AB113" i="18"/>
  <c r="X113" i="18"/>
  <c r="T113" i="18"/>
  <c r="P113" i="18"/>
  <c r="L113" i="18"/>
  <c r="H113" i="18"/>
  <c r="DN113" i="18"/>
  <c r="DF113" i="18"/>
  <c r="CX113" i="18"/>
  <c r="CP113" i="18"/>
  <c r="CH113" i="18"/>
  <c r="BZ113" i="18"/>
  <c r="BR113" i="18"/>
  <c r="BJ113" i="18"/>
  <c r="BB113" i="18"/>
  <c r="AT113" i="18"/>
  <c r="AL113" i="18"/>
  <c r="AD113" i="18"/>
  <c r="V113" i="18"/>
  <c r="N113" i="18"/>
  <c r="F113" i="18"/>
  <c r="DK113" i="18"/>
  <c r="DC113" i="18"/>
  <c r="CU113" i="18"/>
  <c r="CM113" i="18"/>
  <c r="CE113" i="18"/>
  <c r="BW113" i="18"/>
  <c r="BO113" i="18"/>
  <c r="BG113" i="18"/>
  <c r="AY113" i="18"/>
  <c r="AQ113" i="18"/>
  <c r="AI113" i="18"/>
  <c r="AA113" i="18"/>
  <c r="S113" i="18"/>
  <c r="K113" i="18"/>
  <c r="DJ113" i="18"/>
  <c r="DB113" i="18"/>
  <c r="CT113" i="18"/>
  <c r="CL113" i="18"/>
  <c r="CD113" i="18"/>
  <c r="BV113" i="18"/>
  <c r="BN113" i="18"/>
  <c r="BF113" i="18"/>
  <c r="AX113" i="18"/>
  <c r="AP113" i="18"/>
  <c r="AH113" i="18"/>
  <c r="Z113" i="18"/>
  <c r="R113" i="18"/>
  <c r="J113" i="18"/>
  <c r="CQ113" i="18"/>
  <c r="BK113" i="18"/>
  <c r="AE113" i="18"/>
  <c r="DO113" i="18"/>
  <c r="CI113" i="18"/>
  <c r="BC113" i="18"/>
  <c r="W113" i="18"/>
  <c r="DG113" i="18"/>
  <c r="CA113" i="18"/>
  <c r="AU113" i="18"/>
  <c r="O113" i="18"/>
  <c r="G113" i="18"/>
  <c r="CY113" i="18"/>
  <c r="BS113" i="18"/>
  <c r="AM113" i="18"/>
  <c r="AB446" i="17"/>
  <c r="AA446" i="17"/>
  <c r="AA496" i="17"/>
  <c r="Y496" i="17"/>
  <c r="AB496" i="17"/>
  <c r="Z50" i="15"/>
  <c r="Y50" i="15"/>
  <c r="DN85" i="18"/>
  <c r="DJ85" i="18"/>
  <c r="DF85" i="18"/>
  <c r="DB85" i="18"/>
  <c r="CX85" i="18"/>
  <c r="CT85" i="18"/>
  <c r="CP85" i="18"/>
  <c r="CL85" i="18"/>
  <c r="CH85" i="18"/>
  <c r="CD85" i="18"/>
  <c r="BZ85" i="18"/>
  <c r="BV85" i="18"/>
  <c r="BR85" i="18"/>
  <c r="BN85" i="18"/>
  <c r="BJ85" i="18"/>
  <c r="BF85" i="18"/>
  <c r="BB85" i="18"/>
  <c r="AX85" i="18"/>
  <c r="AT85" i="18"/>
  <c r="AP85" i="18"/>
  <c r="AL85" i="18"/>
  <c r="AH85" i="18"/>
  <c r="AD85" i="18"/>
  <c r="Z85" i="18"/>
  <c r="V85" i="18"/>
  <c r="R85" i="18"/>
  <c r="N85" i="18"/>
  <c r="J85" i="18"/>
  <c r="F85" i="18"/>
  <c r="DQ85" i="18"/>
  <c r="DM85" i="18"/>
  <c r="DI85" i="18"/>
  <c r="DE85" i="18"/>
  <c r="DA85" i="18"/>
  <c r="CW85" i="18"/>
  <c r="CS85" i="18"/>
  <c r="CO85" i="18"/>
  <c r="CK85" i="18"/>
  <c r="CG85" i="18"/>
  <c r="CC85" i="18"/>
  <c r="BY85" i="18"/>
  <c r="BU85" i="18"/>
  <c r="BQ85" i="18"/>
  <c r="BM85" i="18"/>
  <c r="BI85" i="18"/>
  <c r="BE85" i="18"/>
  <c r="BA85" i="18"/>
  <c r="AW85" i="18"/>
  <c r="AS85" i="18"/>
  <c r="AO85" i="18"/>
  <c r="AK85" i="18"/>
  <c r="AG85" i="18"/>
  <c r="AC85" i="18"/>
  <c r="Y85" i="18"/>
  <c r="U85" i="18"/>
  <c r="Q85" i="18"/>
  <c r="M85" i="18"/>
  <c r="I85" i="18"/>
  <c r="E85" i="18"/>
  <c r="DP85" i="18"/>
  <c r="DL85" i="18"/>
  <c r="DH85" i="18"/>
  <c r="DD85" i="18"/>
  <c r="CZ85" i="18"/>
  <c r="CV85" i="18"/>
  <c r="CR85" i="18"/>
  <c r="CN85" i="18"/>
  <c r="CJ85" i="18"/>
  <c r="CF85" i="18"/>
  <c r="CB85" i="18"/>
  <c r="BX85" i="18"/>
  <c r="BT85" i="18"/>
  <c r="BP85" i="18"/>
  <c r="BL85" i="18"/>
  <c r="BH85" i="18"/>
  <c r="BD85" i="18"/>
  <c r="AZ85" i="18"/>
  <c r="AV85" i="18"/>
  <c r="AR85" i="18"/>
  <c r="AN85" i="18"/>
  <c r="AJ85" i="18"/>
  <c r="AF85" i="18"/>
  <c r="AB85" i="18"/>
  <c r="X85" i="18"/>
  <c r="T85" i="18"/>
  <c r="P85" i="18"/>
  <c r="L85" i="18"/>
  <c r="H85" i="18"/>
  <c r="DC85" i="18"/>
  <c r="CM85" i="18"/>
  <c r="BW85" i="18"/>
  <c r="BG85" i="18"/>
  <c r="AQ85" i="18"/>
  <c r="AA85" i="18"/>
  <c r="K85" i="18"/>
  <c r="DO85" i="18"/>
  <c r="CY85" i="18"/>
  <c r="CI85" i="18"/>
  <c r="BS85" i="18"/>
  <c r="BC85" i="18"/>
  <c r="AM85" i="18"/>
  <c r="W85" i="18"/>
  <c r="G85" i="18"/>
  <c r="DK85" i="18"/>
  <c r="CU85" i="18"/>
  <c r="CE85" i="18"/>
  <c r="BO85" i="18"/>
  <c r="AY85" i="18"/>
  <c r="AI85" i="18"/>
  <c r="S85" i="18"/>
  <c r="DG85" i="18"/>
  <c r="AU85" i="18"/>
  <c r="CQ85" i="18"/>
  <c r="AE85" i="18"/>
  <c r="CA85" i="18"/>
  <c r="O85" i="18"/>
  <c r="BK85" i="18"/>
  <c r="X212" i="17"/>
  <c r="AA440" i="17"/>
  <c r="AB440" i="17"/>
  <c r="Z36" i="15"/>
  <c r="Y36" i="15"/>
  <c r="Z16" i="15"/>
  <c r="Z98" i="15" s="1"/>
  <c r="DN65" i="18"/>
  <c r="DP65" i="18"/>
  <c r="DL65" i="18"/>
  <c r="DH65" i="18"/>
  <c r="DD65" i="18"/>
  <c r="CZ65" i="18"/>
  <c r="CV65" i="18"/>
  <c r="CR65" i="18"/>
  <c r="CN65" i="18"/>
  <c r="CJ65" i="18"/>
  <c r="CF65" i="18"/>
  <c r="CB65" i="18"/>
  <c r="BX65" i="18"/>
  <c r="BT65" i="18"/>
  <c r="BP65" i="18"/>
  <c r="BL65" i="18"/>
  <c r="BH65" i="18"/>
  <c r="BD65" i="18"/>
  <c r="AZ65" i="18"/>
  <c r="AV65" i="18"/>
  <c r="AR65" i="18"/>
  <c r="AN65" i="18"/>
  <c r="AJ65" i="18"/>
  <c r="AF65" i="18"/>
  <c r="AB65" i="18"/>
  <c r="X65" i="18"/>
  <c r="T65" i="18"/>
  <c r="P65" i="18"/>
  <c r="L65" i="18"/>
  <c r="H65" i="18"/>
  <c r="DM65" i="18"/>
  <c r="DG65" i="18"/>
  <c r="DB65" i="18"/>
  <c r="CW65" i="18"/>
  <c r="CQ65" i="18"/>
  <c r="CL65" i="18"/>
  <c r="CG65" i="18"/>
  <c r="CA65" i="18"/>
  <c r="BV65" i="18"/>
  <c r="BQ65" i="18"/>
  <c r="BK65" i="18"/>
  <c r="BF65" i="18"/>
  <c r="BA65" i="18"/>
  <c r="AU65" i="18"/>
  <c r="AP65" i="18"/>
  <c r="AK65" i="18"/>
  <c r="AE65" i="18"/>
  <c r="Z65" i="18"/>
  <c r="U65" i="18"/>
  <c r="O65" i="18"/>
  <c r="J65" i="18"/>
  <c r="E65" i="18"/>
  <c r="DK65" i="18"/>
  <c r="DF65" i="18"/>
  <c r="DA65" i="18"/>
  <c r="CU65" i="18"/>
  <c r="CP65" i="18"/>
  <c r="CK65" i="18"/>
  <c r="CE65" i="18"/>
  <c r="BZ65" i="18"/>
  <c r="BU65" i="18"/>
  <c r="BO65" i="18"/>
  <c r="BJ65" i="18"/>
  <c r="BE65" i="18"/>
  <c r="AY65" i="18"/>
  <c r="AT65" i="18"/>
  <c r="AO65" i="18"/>
  <c r="AI65" i="18"/>
  <c r="AD65" i="18"/>
  <c r="Y65" i="18"/>
  <c r="S65" i="18"/>
  <c r="N65" i="18"/>
  <c r="I65" i="18"/>
  <c r="DQ65" i="18"/>
  <c r="DJ65" i="18"/>
  <c r="DE65" i="18"/>
  <c r="CY65" i="18"/>
  <c r="CT65" i="18"/>
  <c r="CO65" i="18"/>
  <c r="CI65" i="18"/>
  <c r="CD65" i="18"/>
  <c r="BY65" i="18"/>
  <c r="BS65" i="18"/>
  <c r="BN65" i="18"/>
  <c r="BI65" i="18"/>
  <c r="BC65" i="18"/>
  <c r="AX65" i="18"/>
  <c r="AS65" i="18"/>
  <c r="AM65" i="18"/>
  <c r="AH65" i="18"/>
  <c r="AC65" i="18"/>
  <c r="W65" i="18"/>
  <c r="R65" i="18"/>
  <c r="M65" i="18"/>
  <c r="G65" i="18"/>
  <c r="DI65" i="18"/>
  <c r="CM65" i="18"/>
  <c r="BR65" i="18"/>
  <c r="AW65" i="18"/>
  <c r="AA65" i="18"/>
  <c r="F65" i="18"/>
  <c r="DC65" i="18"/>
  <c r="CH65" i="18"/>
  <c r="BM65" i="18"/>
  <c r="AQ65" i="18"/>
  <c r="V65" i="18"/>
  <c r="CX65" i="18"/>
  <c r="CC65" i="18"/>
  <c r="BG65" i="18"/>
  <c r="AL65" i="18"/>
  <c r="Q65" i="18"/>
  <c r="BB65" i="18"/>
  <c r="DO65" i="18"/>
  <c r="AG65" i="18"/>
  <c r="CS65" i="18"/>
  <c r="K65" i="18"/>
  <c r="BW65" i="18"/>
  <c r="Z356" i="17"/>
  <c r="Y356" i="17"/>
  <c r="AT28" i="18"/>
  <c r="BB123" i="18"/>
  <c r="Y127" i="15"/>
  <c r="Z127" i="15"/>
  <c r="Y321" i="17"/>
  <c r="Z321" i="17"/>
  <c r="AB483" i="17"/>
  <c r="AC483" i="17"/>
  <c r="Y254" i="17"/>
  <c r="Z82" i="15"/>
  <c r="Y82" i="15"/>
  <c r="X82" i="15"/>
  <c r="AA82" i="15" s="1"/>
  <c r="Z80" i="15"/>
  <c r="Y80" i="15"/>
  <c r="Y133" i="15"/>
  <c r="Z133" i="15"/>
  <c r="Y107" i="15"/>
  <c r="X107" i="15"/>
  <c r="Z107" i="15"/>
  <c r="Y97" i="15"/>
  <c r="Z97" i="15"/>
  <c r="AB468" i="17"/>
  <c r="Y60" i="17"/>
  <c r="Z345" i="17"/>
  <c r="Y110" i="17"/>
  <c r="X110" i="17"/>
  <c r="Z110" i="17" s="1"/>
  <c r="AB471" i="17"/>
  <c r="AC471" i="17"/>
  <c r="DP45" i="18"/>
  <c r="DL45" i="18"/>
  <c r="DH45" i="18"/>
  <c r="DD45" i="18"/>
  <c r="CZ45" i="18"/>
  <c r="CV45" i="18"/>
  <c r="CR45" i="18"/>
  <c r="CN45" i="18"/>
  <c r="CJ45" i="18"/>
  <c r="CF45" i="18"/>
  <c r="CB45" i="18"/>
  <c r="BX45" i="18"/>
  <c r="BT45" i="18"/>
  <c r="BP45" i="18"/>
  <c r="BL45" i="18"/>
  <c r="BH45" i="18"/>
  <c r="BD45" i="18"/>
  <c r="AZ45" i="18"/>
  <c r="AV45" i="18"/>
  <c r="AR45" i="18"/>
  <c r="AN45" i="18"/>
  <c r="AJ45" i="18"/>
  <c r="AF45" i="18"/>
  <c r="AB45" i="18"/>
  <c r="X45" i="18"/>
  <c r="T45" i="18"/>
  <c r="P45" i="18"/>
  <c r="L45" i="18"/>
  <c r="H45" i="18"/>
  <c r="DO45" i="18"/>
  <c r="DK45" i="18"/>
  <c r="DG45" i="18"/>
  <c r="DC45" i="18"/>
  <c r="CY45" i="18"/>
  <c r="CU45" i="18"/>
  <c r="CQ45" i="18"/>
  <c r="CM45" i="18"/>
  <c r="CI45" i="18"/>
  <c r="CE45" i="18"/>
  <c r="CA45" i="18"/>
  <c r="BW45" i="18"/>
  <c r="BS45" i="18"/>
  <c r="BO45" i="18"/>
  <c r="BK45" i="18"/>
  <c r="BG45" i="18"/>
  <c r="BC45" i="18"/>
  <c r="AY45" i="18"/>
  <c r="AU45" i="18"/>
  <c r="AQ45" i="18"/>
  <c r="AM45" i="18"/>
  <c r="AI45" i="18"/>
  <c r="AE45" i="18"/>
  <c r="AA45" i="18"/>
  <c r="W45" i="18"/>
  <c r="S45" i="18"/>
  <c r="O45" i="18"/>
  <c r="K45" i="18"/>
  <c r="G45" i="18"/>
  <c r="DN45" i="18"/>
  <c r="DJ45" i="18"/>
  <c r="DF45" i="18"/>
  <c r="DB45" i="18"/>
  <c r="CX45" i="18"/>
  <c r="CT45" i="18"/>
  <c r="CP45" i="18"/>
  <c r="CL45" i="18"/>
  <c r="CH45" i="18"/>
  <c r="CD45" i="18"/>
  <c r="BZ45" i="18"/>
  <c r="BV45" i="18"/>
  <c r="BR45" i="18"/>
  <c r="BN45" i="18"/>
  <c r="BJ45" i="18"/>
  <c r="BF45" i="18"/>
  <c r="BB45" i="18"/>
  <c r="AX45" i="18"/>
  <c r="AT45" i="18"/>
  <c r="AP45" i="18"/>
  <c r="AL45" i="18"/>
  <c r="AH45" i="18"/>
  <c r="AD45" i="18"/>
  <c r="Z45" i="18"/>
  <c r="V45" i="18"/>
  <c r="R45" i="18"/>
  <c r="N45" i="18"/>
  <c r="J45" i="18"/>
  <c r="F45" i="18"/>
  <c r="DM45" i="18"/>
  <c r="CW45" i="18"/>
  <c r="CG45" i="18"/>
  <c r="BQ45" i="18"/>
  <c r="BA45" i="18"/>
  <c r="AK45" i="18"/>
  <c r="U45" i="18"/>
  <c r="E45" i="18"/>
  <c r="DI45" i="18"/>
  <c r="CS45" i="18"/>
  <c r="CC45" i="18"/>
  <c r="BM45" i="18"/>
  <c r="AW45" i="18"/>
  <c r="AG45" i="18"/>
  <c r="Q45" i="18"/>
  <c r="DE45" i="18"/>
  <c r="CO45" i="18"/>
  <c r="BY45" i="18"/>
  <c r="BI45" i="18"/>
  <c r="AS45" i="18"/>
  <c r="AC45" i="18"/>
  <c r="M45" i="18"/>
  <c r="DA45" i="18"/>
  <c r="AO45" i="18"/>
  <c r="CK45" i="18"/>
  <c r="Y45" i="18"/>
  <c r="BU45" i="18"/>
  <c r="I45" i="18"/>
  <c r="DQ45" i="18"/>
  <c r="BE45" i="18"/>
  <c r="Y154" i="17"/>
  <c r="DQ66" i="18"/>
  <c r="DM66" i="18"/>
  <c r="DI66" i="18"/>
  <c r="DE66" i="18"/>
  <c r="DA66" i="18"/>
  <c r="CW66" i="18"/>
  <c r="CS66" i="18"/>
  <c r="CO66" i="18"/>
  <c r="CK66" i="18"/>
  <c r="CG66" i="18"/>
  <c r="CC66" i="18"/>
  <c r="BY66" i="18"/>
  <c r="BU66" i="18"/>
  <c r="BQ66" i="18"/>
  <c r="BM66" i="18"/>
  <c r="BI66" i="18"/>
  <c r="BE66" i="18"/>
  <c r="BA66" i="18"/>
  <c r="AW66" i="18"/>
  <c r="AS66" i="18"/>
  <c r="AO66" i="18"/>
  <c r="AK66" i="18"/>
  <c r="AG66" i="18"/>
  <c r="AC66" i="18"/>
  <c r="Y66" i="18"/>
  <c r="U66" i="18"/>
  <c r="Q66" i="18"/>
  <c r="M66" i="18"/>
  <c r="I66" i="18"/>
  <c r="E66" i="18"/>
  <c r="DP66" i="18"/>
  <c r="DL66" i="18"/>
  <c r="DH66" i="18"/>
  <c r="DD66" i="18"/>
  <c r="CZ66" i="18"/>
  <c r="CV66" i="18"/>
  <c r="CR66" i="18"/>
  <c r="CN66" i="18"/>
  <c r="CJ66" i="18"/>
  <c r="CF66" i="18"/>
  <c r="CB66" i="18"/>
  <c r="BX66" i="18"/>
  <c r="BT66" i="18"/>
  <c r="BP66" i="18"/>
  <c r="BL66" i="18"/>
  <c r="BH66" i="18"/>
  <c r="BD66" i="18"/>
  <c r="AZ66" i="18"/>
  <c r="AV66" i="18"/>
  <c r="AR66" i="18"/>
  <c r="AN66" i="18"/>
  <c r="AJ66" i="18"/>
  <c r="AF66" i="18"/>
  <c r="AB66" i="18"/>
  <c r="X66" i="18"/>
  <c r="T66" i="18"/>
  <c r="P66" i="18"/>
  <c r="L66" i="18"/>
  <c r="H66" i="18"/>
  <c r="DO66" i="18"/>
  <c r="DK66" i="18"/>
  <c r="DG66" i="18"/>
  <c r="DC66" i="18"/>
  <c r="CY66" i="18"/>
  <c r="CU66" i="18"/>
  <c r="CQ66" i="18"/>
  <c r="CM66" i="18"/>
  <c r="CI66" i="18"/>
  <c r="CE66" i="18"/>
  <c r="CA66" i="18"/>
  <c r="BW66" i="18"/>
  <c r="BS66" i="18"/>
  <c r="BO66" i="18"/>
  <c r="BK66" i="18"/>
  <c r="BG66" i="18"/>
  <c r="BC66" i="18"/>
  <c r="AY66" i="18"/>
  <c r="AU66" i="18"/>
  <c r="AQ66" i="18"/>
  <c r="AM66" i="18"/>
  <c r="AI66" i="18"/>
  <c r="AE66" i="18"/>
  <c r="AA66" i="18"/>
  <c r="W66" i="18"/>
  <c r="S66" i="18"/>
  <c r="O66" i="18"/>
  <c r="K66" i="18"/>
  <c r="G66" i="18"/>
  <c r="DN66" i="18"/>
  <c r="CX66" i="18"/>
  <c r="CH66" i="18"/>
  <c r="BR66" i="18"/>
  <c r="BB66" i="18"/>
  <c r="AL66" i="18"/>
  <c r="V66" i="18"/>
  <c r="F66" i="18"/>
  <c r="DJ66" i="18"/>
  <c r="CT66" i="18"/>
  <c r="CD66" i="18"/>
  <c r="BN66" i="18"/>
  <c r="AX66" i="18"/>
  <c r="AH66" i="18"/>
  <c r="R66" i="18"/>
  <c r="DF66" i="18"/>
  <c r="CP66" i="18"/>
  <c r="BZ66" i="18"/>
  <c r="BJ66" i="18"/>
  <c r="AT66" i="18"/>
  <c r="AD66" i="18"/>
  <c r="N66" i="18"/>
  <c r="DB66" i="18"/>
  <c r="AP66" i="18"/>
  <c r="CL66" i="18"/>
  <c r="Z66" i="18"/>
  <c r="BV66" i="18"/>
  <c r="J66" i="18"/>
  <c r="BF66" i="18"/>
  <c r="AC481" i="17"/>
  <c r="AB481" i="17"/>
  <c r="Y30" i="17"/>
  <c r="X30" i="17"/>
  <c r="Y113" i="15"/>
  <c r="Z113" i="15"/>
  <c r="AB498" i="17"/>
  <c r="X498" i="17"/>
  <c r="Z84" i="15"/>
  <c r="Y84" i="15"/>
  <c r="DP75" i="18"/>
  <c r="DL75" i="18"/>
  <c r="DH75" i="18"/>
  <c r="DD75" i="18"/>
  <c r="CZ75" i="18"/>
  <c r="CV75" i="18"/>
  <c r="CR75" i="18"/>
  <c r="CN75" i="18"/>
  <c r="CJ75" i="18"/>
  <c r="CF75" i="18"/>
  <c r="CB75" i="18"/>
  <c r="BX75" i="18"/>
  <c r="BT75" i="18"/>
  <c r="BP75" i="18"/>
  <c r="BL75" i="18"/>
  <c r="BH75" i="18"/>
  <c r="BD75" i="18"/>
  <c r="AZ75" i="18"/>
  <c r="AV75" i="18"/>
  <c r="AR75" i="18"/>
  <c r="AN75" i="18"/>
  <c r="AJ75" i="18"/>
  <c r="AF75" i="18"/>
  <c r="AB75" i="18"/>
  <c r="X75" i="18"/>
  <c r="T75" i="18"/>
  <c r="P75" i="18"/>
  <c r="L75" i="18"/>
  <c r="H75" i="18"/>
  <c r="DO75" i="18"/>
  <c r="DK75" i="18"/>
  <c r="DG75" i="18"/>
  <c r="DC75" i="18"/>
  <c r="CY75" i="18"/>
  <c r="CU75" i="18"/>
  <c r="CQ75" i="18"/>
  <c r="CM75" i="18"/>
  <c r="CI75" i="18"/>
  <c r="CE75" i="18"/>
  <c r="CA75" i="18"/>
  <c r="BW75" i="18"/>
  <c r="BS75" i="18"/>
  <c r="BO75" i="18"/>
  <c r="BK75" i="18"/>
  <c r="BG75" i="18"/>
  <c r="BC75" i="18"/>
  <c r="AY75" i="18"/>
  <c r="AU75" i="18"/>
  <c r="AQ75" i="18"/>
  <c r="AM75" i="18"/>
  <c r="AI75" i="18"/>
  <c r="AE75" i="18"/>
  <c r="AA75" i="18"/>
  <c r="W75" i="18"/>
  <c r="S75" i="18"/>
  <c r="O75" i="18"/>
  <c r="K75" i="18"/>
  <c r="G75" i="18"/>
  <c r="DN75" i="18"/>
  <c r="DJ75" i="18"/>
  <c r="DF75" i="18"/>
  <c r="DB75" i="18"/>
  <c r="CX75" i="18"/>
  <c r="CT75" i="18"/>
  <c r="CP75" i="18"/>
  <c r="CL75" i="18"/>
  <c r="CH75" i="18"/>
  <c r="CD75" i="18"/>
  <c r="BZ75" i="18"/>
  <c r="BV75" i="18"/>
  <c r="BR75" i="18"/>
  <c r="BN75" i="18"/>
  <c r="BJ75" i="18"/>
  <c r="BF75" i="18"/>
  <c r="BB75" i="18"/>
  <c r="AX75" i="18"/>
  <c r="AT75" i="18"/>
  <c r="AP75" i="18"/>
  <c r="AL75" i="18"/>
  <c r="AH75" i="18"/>
  <c r="AD75" i="18"/>
  <c r="Z75" i="18"/>
  <c r="V75" i="18"/>
  <c r="R75" i="18"/>
  <c r="N75" i="18"/>
  <c r="J75" i="18"/>
  <c r="F75" i="18"/>
  <c r="DM75" i="18"/>
  <c r="CW75" i="18"/>
  <c r="CG75" i="18"/>
  <c r="BQ75" i="18"/>
  <c r="BA75" i="18"/>
  <c r="AK75" i="18"/>
  <c r="U75" i="18"/>
  <c r="E75" i="18"/>
  <c r="DI75" i="18"/>
  <c r="CS75" i="18"/>
  <c r="CC75" i="18"/>
  <c r="BM75" i="18"/>
  <c r="AW75" i="18"/>
  <c r="AG75" i="18"/>
  <c r="Q75" i="18"/>
  <c r="DE75" i="18"/>
  <c r="CO75" i="18"/>
  <c r="BY75" i="18"/>
  <c r="BI75" i="18"/>
  <c r="AS75" i="18"/>
  <c r="AC75" i="18"/>
  <c r="M75" i="18"/>
  <c r="DA75" i="18"/>
  <c r="AO75" i="18"/>
  <c r="CK75" i="18"/>
  <c r="Y75" i="18"/>
  <c r="BU75" i="18"/>
  <c r="I75" i="18"/>
  <c r="DQ75" i="18"/>
  <c r="BE75" i="18"/>
  <c r="Z227" i="17"/>
  <c r="DN63" i="18"/>
  <c r="DJ63" i="18"/>
  <c r="DF63" i="18"/>
  <c r="DB63" i="18"/>
  <c r="CX63" i="18"/>
  <c r="CT63" i="18"/>
  <c r="CP63" i="18"/>
  <c r="CL63" i="18"/>
  <c r="CH63" i="18"/>
  <c r="CD63" i="18"/>
  <c r="BZ63" i="18"/>
  <c r="BV63" i="18"/>
  <c r="BR63" i="18"/>
  <c r="BN63" i="18"/>
  <c r="BJ63" i="18"/>
  <c r="BF63" i="18"/>
  <c r="BB63" i="18"/>
  <c r="AX63" i="18"/>
  <c r="AT63" i="18"/>
  <c r="AP63" i="18"/>
  <c r="AL63" i="18"/>
  <c r="AH63" i="18"/>
  <c r="AD63" i="18"/>
  <c r="Z63" i="18"/>
  <c r="V63" i="18"/>
  <c r="R63" i="18"/>
  <c r="N63" i="18"/>
  <c r="J63" i="18"/>
  <c r="F63" i="18"/>
  <c r="DO63" i="18"/>
  <c r="DI63" i="18"/>
  <c r="DD63" i="18"/>
  <c r="CY63" i="18"/>
  <c r="CS63" i="18"/>
  <c r="CN63" i="18"/>
  <c r="CI63" i="18"/>
  <c r="CC63" i="18"/>
  <c r="BX63" i="18"/>
  <c r="BS63" i="18"/>
  <c r="BM63" i="18"/>
  <c r="BH63" i="18"/>
  <c r="BC63" i="18"/>
  <c r="AW63" i="18"/>
  <c r="AR63" i="18"/>
  <c r="AM63" i="18"/>
  <c r="AG63" i="18"/>
  <c r="AB63" i="18"/>
  <c r="W63" i="18"/>
  <c r="Q63" i="18"/>
  <c r="L63" i="18"/>
  <c r="G63" i="18"/>
  <c r="DM63" i="18"/>
  <c r="DH63" i="18"/>
  <c r="DC63" i="18"/>
  <c r="CW63" i="18"/>
  <c r="CR63" i="18"/>
  <c r="CM63" i="18"/>
  <c r="CG63" i="18"/>
  <c r="CB63" i="18"/>
  <c r="BW63" i="18"/>
  <c r="BQ63" i="18"/>
  <c r="BL63" i="18"/>
  <c r="BG63" i="18"/>
  <c r="BA63" i="18"/>
  <c r="AV63" i="18"/>
  <c r="AQ63" i="18"/>
  <c r="AK63" i="18"/>
  <c r="AF63" i="18"/>
  <c r="AA63" i="18"/>
  <c r="U63" i="18"/>
  <c r="P63" i="18"/>
  <c r="K63" i="18"/>
  <c r="E63" i="18"/>
  <c r="DQ63" i="18"/>
  <c r="DL63" i="18"/>
  <c r="DG63" i="18"/>
  <c r="DA63" i="18"/>
  <c r="CV63" i="18"/>
  <c r="CQ63" i="18"/>
  <c r="CK63" i="18"/>
  <c r="CF63" i="18"/>
  <c r="CA63" i="18"/>
  <c r="BU63" i="18"/>
  <c r="BP63" i="18"/>
  <c r="BK63" i="18"/>
  <c r="BE63" i="18"/>
  <c r="AZ63" i="18"/>
  <c r="AU63" i="18"/>
  <c r="AO63" i="18"/>
  <c r="AJ63" i="18"/>
  <c r="AE63" i="18"/>
  <c r="Y63" i="18"/>
  <c r="T63" i="18"/>
  <c r="O63" i="18"/>
  <c r="I63" i="18"/>
  <c r="DP63" i="18"/>
  <c r="CU63" i="18"/>
  <c r="BY63" i="18"/>
  <c r="BD63" i="18"/>
  <c r="AI63" i="18"/>
  <c r="M63" i="18"/>
  <c r="DK63" i="18"/>
  <c r="CO63" i="18"/>
  <c r="BT63" i="18"/>
  <c r="AY63" i="18"/>
  <c r="AC63" i="18"/>
  <c r="H63" i="18"/>
  <c r="DE63" i="18"/>
  <c r="CJ63" i="18"/>
  <c r="BO63" i="18"/>
  <c r="AS63" i="18"/>
  <c r="X63" i="18"/>
  <c r="AN63" i="18"/>
  <c r="CZ63" i="18"/>
  <c r="S63" i="18"/>
  <c r="CE63" i="18"/>
  <c r="BI63" i="18"/>
  <c r="Z124" i="15"/>
  <c r="Y124" i="15"/>
  <c r="Z90" i="15"/>
  <c r="Y90" i="15"/>
  <c r="X90" i="15"/>
  <c r="AA90" i="15" s="1"/>
  <c r="Y117" i="17"/>
  <c r="X117" i="17"/>
  <c r="Z117" i="17" s="1"/>
  <c r="AB431" i="17"/>
  <c r="X431" i="17"/>
  <c r="AB500" i="17"/>
  <c r="AB432" i="17"/>
  <c r="DO38" i="18"/>
  <c r="DK38" i="18"/>
  <c r="DG38" i="18"/>
  <c r="DC38" i="18"/>
  <c r="CY38" i="18"/>
  <c r="CU38" i="18"/>
  <c r="CQ38" i="18"/>
  <c r="CM38" i="18"/>
  <c r="CI38" i="18"/>
  <c r="CE38" i="18"/>
  <c r="CA38" i="18"/>
  <c r="BW38" i="18"/>
  <c r="BS38" i="18"/>
  <c r="BO38" i="18"/>
  <c r="BK38" i="18"/>
  <c r="BG38" i="18"/>
  <c r="BC38" i="18"/>
  <c r="AY38" i="18"/>
  <c r="AU38" i="18"/>
  <c r="AQ38" i="18"/>
  <c r="AM38" i="18"/>
  <c r="AI38" i="18"/>
  <c r="AE38" i="18"/>
  <c r="AA38" i="18"/>
  <c r="W38" i="18"/>
  <c r="S38" i="18"/>
  <c r="O38" i="18"/>
  <c r="K38" i="18"/>
  <c r="G38" i="18"/>
  <c r="DN38" i="18"/>
  <c r="DJ38" i="18"/>
  <c r="DF38" i="18"/>
  <c r="DB38" i="18"/>
  <c r="CX38" i="18"/>
  <c r="CT38" i="18"/>
  <c r="CP38" i="18"/>
  <c r="CL38" i="18"/>
  <c r="CH38" i="18"/>
  <c r="CD38" i="18"/>
  <c r="BZ38" i="18"/>
  <c r="BV38" i="18"/>
  <c r="BR38" i="18"/>
  <c r="BN38" i="18"/>
  <c r="BJ38" i="18"/>
  <c r="BF38" i="18"/>
  <c r="BB38" i="18"/>
  <c r="AX38" i="18"/>
  <c r="AT38" i="18"/>
  <c r="AP38" i="18"/>
  <c r="AL38" i="18"/>
  <c r="AH38" i="18"/>
  <c r="AD38" i="18"/>
  <c r="Z38" i="18"/>
  <c r="V38" i="18"/>
  <c r="R38" i="18"/>
  <c r="N38" i="18"/>
  <c r="J38" i="18"/>
  <c r="F38" i="18"/>
  <c r="DQ38" i="18"/>
  <c r="DM38" i="18"/>
  <c r="DI38" i="18"/>
  <c r="DE38" i="18"/>
  <c r="DA38" i="18"/>
  <c r="CW38" i="18"/>
  <c r="CS38" i="18"/>
  <c r="CO38" i="18"/>
  <c r="CK38" i="18"/>
  <c r="CG38" i="18"/>
  <c r="CC38" i="18"/>
  <c r="BY38" i="18"/>
  <c r="BU38" i="18"/>
  <c r="BQ38" i="18"/>
  <c r="BM38" i="18"/>
  <c r="BI38" i="18"/>
  <c r="BE38" i="18"/>
  <c r="BA38" i="18"/>
  <c r="AW38" i="18"/>
  <c r="AS38" i="18"/>
  <c r="AO38" i="18"/>
  <c r="AK38" i="18"/>
  <c r="AG38" i="18"/>
  <c r="AC38" i="18"/>
  <c r="Y38" i="18"/>
  <c r="U38" i="18"/>
  <c r="Q38" i="18"/>
  <c r="M38" i="18"/>
  <c r="I38" i="18"/>
  <c r="E38" i="18"/>
  <c r="DL38" i="18"/>
  <c r="CV38" i="18"/>
  <c r="CF38" i="18"/>
  <c r="BP38" i="18"/>
  <c r="AZ38" i="18"/>
  <c r="AJ38" i="18"/>
  <c r="T38" i="18"/>
  <c r="DH38" i="18"/>
  <c r="CR38" i="18"/>
  <c r="CB38" i="18"/>
  <c r="BL38" i="18"/>
  <c r="AV38" i="18"/>
  <c r="AF38" i="18"/>
  <c r="P38" i="18"/>
  <c r="DD38" i="18"/>
  <c r="CN38" i="18"/>
  <c r="BX38" i="18"/>
  <c r="BH38" i="18"/>
  <c r="AR38" i="18"/>
  <c r="AB38" i="18"/>
  <c r="L38" i="18"/>
  <c r="DP38" i="18"/>
  <c r="BD38" i="18"/>
  <c r="CZ38" i="18"/>
  <c r="AN38" i="18"/>
  <c r="CJ38" i="18"/>
  <c r="X38" i="18"/>
  <c r="BT38" i="18"/>
  <c r="H38" i="18"/>
  <c r="Z58" i="15"/>
  <c r="Y58" i="15"/>
  <c r="Y129" i="15"/>
  <c r="Z129" i="15"/>
  <c r="AB514" i="17"/>
  <c r="Y113" i="17"/>
  <c r="X113" i="17"/>
  <c r="Z113" i="17" s="1"/>
  <c r="AB513" i="17"/>
  <c r="Y239" i="17"/>
  <c r="Z44" i="15"/>
  <c r="Y44" i="15"/>
  <c r="Z148" i="17"/>
  <c r="Y148" i="17"/>
  <c r="Y103" i="15"/>
  <c r="Z103" i="15"/>
  <c r="DQ97" i="18"/>
  <c r="DM97" i="18"/>
  <c r="DI97" i="18"/>
  <c r="DE97" i="18"/>
  <c r="DA97" i="18"/>
  <c r="CW97" i="18"/>
  <c r="CS97" i="18"/>
  <c r="CO97" i="18"/>
  <c r="CK97" i="18"/>
  <c r="CG97" i="18"/>
  <c r="CC97" i="18"/>
  <c r="BY97" i="18"/>
  <c r="BU97" i="18"/>
  <c r="BQ97" i="18"/>
  <c r="BM97" i="18"/>
  <c r="BI97" i="18"/>
  <c r="BE97" i="18"/>
  <c r="BA97" i="18"/>
  <c r="AW97" i="18"/>
  <c r="AS97" i="18"/>
  <c r="AO97" i="18"/>
  <c r="AK97" i="18"/>
  <c r="AG97" i="18"/>
  <c r="AC97" i="18"/>
  <c r="Y97" i="18"/>
  <c r="U97" i="18"/>
  <c r="Q97" i="18"/>
  <c r="M97" i="18"/>
  <c r="I97" i="18"/>
  <c r="E97" i="18"/>
  <c r="DP97" i="18"/>
  <c r="DL97" i="18"/>
  <c r="DH97" i="18"/>
  <c r="DD97" i="18"/>
  <c r="CZ97" i="18"/>
  <c r="CV97" i="18"/>
  <c r="CR97" i="18"/>
  <c r="CN97" i="18"/>
  <c r="CJ97" i="18"/>
  <c r="CF97" i="18"/>
  <c r="CB97" i="18"/>
  <c r="BX97" i="18"/>
  <c r="BT97" i="18"/>
  <c r="BP97" i="18"/>
  <c r="BL97" i="18"/>
  <c r="BH97" i="18"/>
  <c r="BD97" i="18"/>
  <c r="AZ97" i="18"/>
  <c r="AV97" i="18"/>
  <c r="AR97" i="18"/>
  <c r="AN97" i="18"/>
  <c r="AJ97" i="18"/>
  <c r="AF97" i="18"/>
  <c r="AB97" i="18"/>
  <c r="X97" i="18"/>
  <c r="T97" i="18"/>
  <c r="P97" i="18"/>
  <c r="L97" i="18"/>
  <c r="H97" i="18"/>
  <c r="DN97" i="18"/>
  <c r="DF97" i="18"/>
  <c r="CX97" i="18"/>
  <c r="CP97" i="18"/>
  <c r="CH97" i="18"/>
  <c r="BZ97" i="18"/>
  <c r="BR97" i="18"/>
  <c r="BJ97" i="18"/>
  <c r="BB97" i="18"/>
  <c r="AT97" i="18"/>
  <c r="AL97" i="18"/>
  <c r="AD97" i="18"/>
  <c r="V97" i="18"/>
  <c r="N97" i="18"/>
  <c r="F97" i="18"/>
  <c r="DK97" i="18"/>
  <c r="DC97" i="18"/>
  <c r="CU97" i="18"/>
  <c r="CM97" i="18"/>
  <c r="CE97" i="18"/>
  <c r="BW97" i="18"/>
  <c r="BO97" i="18"/>
  <c r="BG97" i="18"/>
  <c r="AY97" i="18"/>
  <c r="AQ97" i="18"/>
  <c r="AI97" i="18"/>
  <c r="AA97" i="18"/>
  <c r="S97" i="18"/>
  <c r="K97" i="18"/>
  <c r="DJ97" i="18"/>
  <c r="DB97" i="18"/>
  <c r="CT97" i="18"/>
  <c r="CL97" i="18"/>
  <c r="CD97" i="18"/>
  <c r="BV97" i="18"/>
  <c r="BN97" i="18"/>
  <c r="BF97" i="18"/>
  <c r="AX97" i="18"/>
  <c r="AP97" i="18"/>
  <c r="AH97" i="18"/>
  <c r="Z97" i="18"/>
  <c r="R97" i="18"/>
  <c r="J97" i="18"/>
  <c r="DG97" i="18"/>
  <c r="CA97" i="18"/>
  <c r="AU97" i="18"/>
  <c r="O97" i="18"/>
  <c r="CY97" i="18"/>
  <c r="BS97" i="18"/>
  <c r="AM97" i="18"/>
  <c r="G97" i="18"/>
  <c r="CQ97" i="18"/>
  <c r="BK97" i="18"/>
  <c r="AE97" i="18"/>
  <c r="W97" i="18"/>
  <c r="DO97" i="18"/>
  <c r="CI97" i="18"/>
  <c r="BC97" i="18"/>
  <c r="Y139" i="15"/>
  <c r="Z139" i="15"/>
  <c r="Y114" i="17"/>
  <c r="X114" i="17"/>
  <c r="Z114" i="17" s="1"/>
  <c r="DP79" i="18"/>
  <c r="DL79" i="18"/>
  <c r="DH79" i="18"/>
  <c r="DD79" i="18"/>
  <c r="CZ79" i="18"/>
  <c r="CV79" i="18"/>
  <c r="CR79" i="18"/>
  <c r="CN79" i="18"/>
  <c r="CJ79" i="18"/>
  <c r="CF79" i="18"/>
  <c r="CB79" i="18"/>
  <c r="BX79" i="18"/>
  <c r="BT79" i="18"/>
  <c r="BP79" i="18"/>
  <c r="BL79" i="18"/>
  <c r="BH79" i="18"/>
  <c r="BD79" i="18"/>
  <c r="AZ79" i="18"/>
  <c r="AV79" i="18"/>
  <c r="AR79" i="18"/>
  <c r="AN79" i="18"/>
  <c r="AJ79" i="18"/>
  <c r="AF79" i="18"/>
  <c r="AB79" i="18"/>
  <c r="X79" i="18"/>
  <c r="T79" i="18"/>
  <c r="P79" i="18"/>
  <c r="L79" i="18"/>
  <c r="H79" i="18"/>
  <c r="DO79" i="18"/>
  <c r="DK79" i="18"/>
  <c r="DG79" i="18"/>
  <c r="DC79" i="18"/>
  <c r="CY79" i="18"/>
  <c r="CU79" i="18"/>
  <c r="CQ79" i="18"/>
  <c r="CM79" i="18"/>
  <c r="CI79" i="18"/>
  <c r="CE79" i="18"/>
  <c r="CA79" i="18"/>
  <c r="BW79" i="18"/>
  <c r="BS79" i="18"/>
  <c r="BO79" i="18"/>
  <c r="BK79" i="18"/>
  <c r="BG79" i="18"/>
  <c r="BC79" i="18"/>
  <c r="AY79" i="18"/>
  <c r="AU79" i="18"/>
  <c r="AQ79" i="18"/>
  <c r="AM79" i="18"/>
  <c r="AI79" i="18"/>
  <c r="AE79" i="18"/>
  <c r="AA79" i="18"/>
  <c r="W79" i="18"/>
  <c r="S79" i="18"/>
  <c r="O79" i="18"/>
  <c r="K79" i="18"/>
  <c r="G79" i="18"/>
  <c r="DN79" i="18"/>
  <c r="DJ79" i="18"/>
  <c r="DF79" i="18"/>
  <c r="DB79" i="18"/>
  <c r="CX79" i="18"/>
  <c r="CT79" i="18"/>
  <c r="CP79" i="18"/>
  <c r="CL79" i="18"/>
  <c r="CH79" i="18"/>
  <c r="CD79" i="18"/>
  <c r="BZ79" i="18"/>
  <c r="BV79" i="18"/>
  <c r="BR79" i="18"/>
  <c r="BN79" i="18"/>
  <c r="BJ79" i="18"/>
  <c r="BF79" i="18"/>
  <c r="BB79" i="18"/>
  <c r="AX79" i="18"/>
  <c r="AT79" i="18"/>
  <c r="AP79" i="18"/>
  <c r="AL79" i="18"/>
  <c r="AH79" i="18"/>
  <c r="AD79" i="18"/>
  <c r="Z79" i="18"/>
  <c r="V79" i="18"/>
  <c r="R79" i="18"/>
  <c r="N79" i="18"/>
  <c r="J79" i="18"/>
  <c r="F79" i="18"/>
  <c r="DI79" i="18"/>
  <c r="CS79" i="18"/>
  <c r="CC79" i="18"/>
  <c r="BM79" i="18"/>
  <c r="AW79" i="18"/>
  <c r="AG79" i="18"/>
  <c r="Q79" i="18"/>
  <c r="DE79" i="18"/>
  <c r="CO79" i="18"/>
  <c r="BY79" i="18"/>
  <c r="BI79" i="18"/>
  <c r="AS79" i="18"/>
  <c r="AC79" i="18"/>
  <c r="M79" i="18"/>
  <c r="DQ79" i="18"/>
  <c r="DA79" i="18"/>
  <c r="CK79" i="18"/>
  <c r="BU79" i="18"/>
  <c r="BE79" i="18"/>
  <c r="AO79" i="18"/>
  <c r="Y79" i="18"/>
  <c r="I79" i="18"/>
  <c r="BQ79" i="18"/>
  <c r="E79" i="18"/>
  <c r="DM79" i="18"/>
  <c r="BA79" i="18"/>
  <c r="CW79" i="18"/>
  <c r="AK79" i="18"/>
  <c r="U79" i="18"/>
  <c r="CG79" i="18"/>
  <c r="Y16" i="17"/>
  <c r="X16" i="17"/>
  <c r="Z16" i="17" s="1"/>
  <c r="Z278" i="17"/>
  <c r="Y77" i="15"/>
  <c r="Z77" i="15"/>
  <c r="Y111" i="15"/>
  <c r="Z111" i="15"/>
  <c r="AA234" i="17"/>
  <c r="AB424" i="17"/>
  <c r="DQ129" i="18"/>
  <c r="DM129" i="18"/>
  <c r="DI129" i="18"/>
  <c r="DE129" i="18"/>
  <c r="DA129" i="18"/>
  <c r="CW129" i="18"/>
  <c r="CS129" i="18"/>
  <c r="CO129" i="18"/>
  <c r="CK129" i="18"/>
  <c r="CG129" i="18"/>
  <c r="CC129" i="18"/>
  <c r="BY129" i="18"/>
  <c r="BU129" i="18"/>
  <c r="BQ129" i="18"/>
  <c r="BM129" i="18"/>
  <c r="BI129" i="18"/>
  <c r="BE129" i="18"/>
  <c r="BA129" i="18"/>
  <c r="AW129" i="18"/>
  <c r="AS129" i="18"/>
  <c r="AO129" i="18"/>
  <c r="AK129" i="18"/>
  <c r="AG129" i="18"/>
  <c r="AC129" i="18"/>
  <c r="Y129" i="18"/>
  <c r="U129" i="18"/>
  <c r="Q129" i="18"/>
  <c r="M129" i="18"/>
  <c r="I129" i="18"/>
  <c r="E129" i="18"/>
  <c r="DN129" i="18"/>
  <c r="DH129" i="18"/>
  <c r="DC129" i="18"/>
  <c r="CX129" i="18"/>
  <c r="CR129" i="18"/>
  <c r="CM129" i="18"/>
  <c r="CH129" i="18"/>
  <c r="CB129" i="18"/>
  <c r="BW129" i="18"/>
  <c r="BR129" i="18"/>
  <c r="BL129" i="18"/>
  <c r="BG129" i="18"/>
  <c r="BB129" i="18"/>
  <c r="AV129" i="18"/>
  <c r="AQ129" i="18"/>
  <c r="AL129" i="18"/>
  <c r="AF129" i="18"/>
  <c r="AA129" i="18"/>
  <c r="V129" i="18"/>
  <c r="P129" i="18"/>
  <c r="K129" i="18"/>
  <c r="F129" i="18"/>
  <c r="DL129" i="18"/>
  <c r="DG129" i="18"/>
  <c r="DB129" i="18"/>
  <c r="CV129" i="18"/>
  <c r="CQ129" i="18"/>
  <c r="CL129" i="18"/>
  <c r="CF129" i="18"/>
  <c r="CA129" i="18"/>
  <c r="BV129" i="18"/>
  <c r="BP129" i="18"/>
  <c r="BK129" i="18"/>
  <c r="BF129" i="18"/>
  <c r="AZ129" i="18"/>
  <c r="AU129" i="18"/>
  <c r="AP129" i="18"/>
  <c r="AJ129" i="18"/>
  <c r="AE129" i="18"/>
  <c r="Z129" i="18"/>
  <c r="T129" i="18"/>
  <c r="O129" i="18"/>
  <c r="J129" i="18"/>
  <c r="DO129" i="18"/>
  <c r="DD129" i="18"/>
  <c r="CT129" i="18"/>
  <c r="CI129" i="18"/>
  <c r="BX129" i="18"/>
  <c r="BN129" i="18"/>
  <c r="BC129" i="18"/>
  <c r="AR129" i="18"/>
  <c r="AH129" i="18"/>
  <c r="W129" i="18"/>
  <c r="L129" i="18"/>
  <c r="DK129" i="18"/>
  <c r="CZ129" i="18"/>
  <c r="CP129" i="18"/>
  <c r="CE129" i="18"/>
  <c r="BT129" i="18"/>
  <c r="BJ129" i="18"/>
  <c r="AY129" i="18"/>
  <c r="AN129" i="18"/>
  <c r="AD129" i="18"/>
  <c r="S129" i="18"/>
  <c r="H129" i="18"/>
  <c r="DJ129" i="18"/>
  <c r="CY129" i="18"/>
  <c r="CN129" i="18"/>
  <c r="CD129" i="18"/>
  <c r="BS129" i="18"/>
  <c r="BH129" i="18"/>
  <c r="AX129" i="18"/>
  <c r="AM129" i="18"/>
  <c r="AB129" i="18"/>
  <c r="R129" i="18"/>
  <c r="G129" i="18"/>
  <c r="DF129" i="18"/>
  <c r="BO129" i="18"/>
  <c r="X129" i="18"/>
  <c r="CU129" i="18"/>
  <c r="BD129" i="18"/>
  <c r="N129" i="18"/>
  <c r="CJ129" i="18"/>
  <c r="AT129" i="18"/>
  <c r="DP129" i="18"/>
  <c r="BZ129" i="18"/>
  <c r="AI129" i="18"/>
  <c r="Z62" i="15"/>
  <c r="Y62" i="15"/>
  <c r="DP21" i="18"/>
  <c r="DL21" i="18"/>
  <c r="DH21" i="18"/>
  <c r="DD21" i="18"/>
  <c r="CZ21" i="18"/>
  <c r="CV21" i="18"/>
  <c r="CR21" i="18"/>
  <c r="CN21" i="18"/>
  <c r="CJ21" i="18"/>
  <c r="CF21" i="18"/>
  <c r="CB21" i="18"/>
  <c r="BX21" i="18"/>
  <c r="BT21" i="18"/>
  <c r="BP21" i="18"/>
  <c r="BL21" i="18"/>
  <c r="BH21" i="18"/>
  <c r="BD21" i="18"/>
  <c r="AZ21" i="18"/>
  <c r="AV21" i="18"/>
  <c r="AR21" i="18"/>
  <c r="AN21" i="18"/>
  <c r="AJ21" i="18"/>
  <c r="AF21" i="18"/>
  <c r="AB21" i="18"/>
  <c r="X21" i="18"/>
  <c r="T21" i="18"/>
  <c r="P21" i="18"/>
  <c r="L21" i="18"/>
  <c r="H21" i="18"/>
  <c r="DO21" i="18"/>
  <c r="DK21" i="18"/>
  <c r="DG21" i="18"/>
  <c r="DC21" i="18"/>
  <c r="CY21" i="18"/>
  <c r="CU21" i="18"/>
  <c r="CQ21" i="18"/>
  <c r="CM21" i="18"/>
  <c r="CI21" i="18"/>
  <c r="CE21" i="18"/>
  <c r="CA21" i="18"/>
  <c r="BW21" i="18"/>
  <c r="BS21" i="18"/>
  <c r="BO21" i="18"/>
  <c r="BK21" i="18"/>
  <c r="BG21" i="18"/>
  <c r="BC21" i="18"/>
  <c r="AY21" i="18"/>
  <c r="AU21" i="18"/>
  <c r="AQ21" i="18"/>
  <c r="AM21" i="18"/>
  <c r="AI21" i="18"/>
  <c r="AE21" i="18"/>
  <c r="AA21" i="18"/>
  <c r="W21" i="18"/>
  <c r="S21" i="18"/>
  <c r="O21" i="18"/>
  <c r="K21" i="18"/>
  <c r="G21" i="18"/>
  <c r="DN21" i="18"/>
  <c r="DJ21" i="18"/>
  <c r="DF21" i="18"/>
  <c r="DB21" i="18"/>
  <c r="CX21" i="18"/>
  <c r="CT21" i="18"/>
  <c r="CP21" i="18"/>
  <c r="CL21" i="18"/>
  <c r="CH21" i="18"/>
  <c r="CD21" i="18"/>
  <c r="BZ21" i="18"/>
  <c r="BV21" i="18"/>
  <c r="BR21" i="18"/>
  <c r="BN21" i="18"/>
  <c r="BJ21" i="18"/>
  <c r="BF21" i="18"/>
  <c r="BB21" i="18"/>
  <c r="AX21" i="18"/>
  <c r="AT21" i="18"/>
  <c r="AP21" i="18"/>
  <c r="AL21" i="18"/>
  <c r="AH21" i="18"/>
  <c r="AD21" i="18"/>
  <c r="Z21" i="18"/>
  <c r="V21" i="18"/>
  <c r="R21" i="18"/>
  <c r="N21" i="18"/>
  <c r="J21" i="18"/>
  <c r="F21" i="18"/>
  <c r="DE21" i="18"/>
  <c r="CO21" i="18"/>
  <c r="BY21" i="18"/>
  <c r="BI21" i="18"/>
  <c r="AS21" i="18"/>
  <c r="AC21" i="18"/>
  <c r="M21" i="18"/>
  <c r="DQ21" i="18"/>
  <c r="DA21" i="18"/>
  <c r="CK21" i="18"/>
  <c r="BU21" i="18"/>
  <c r="BE21" i="18"/>
  <c r="AO21" i="18"/>
  <c r="Y21" i="18"/>
  <c r="I21" i="18"/>
  <c r="DM21" i="18"/>
  <c r="CW21" i="18"/>
  <c r="CG21" i="18"/>
  <c r="BQ21" i="18"/>
  <c r="BA21" i="18"/>
  <c r="AK21" i="18"/>
  <c r="U21" i="18"/>
  <c r="E21" i="18"/>
  <c r="BM21" i="18"/>
  <c r="DI21" i="18"/>
  <c r="AW21" i="18"/>
  <c r="CS21" i="18"/>
  <c r="AG21" i="18"/>
  <c r="CC21" i="18"/>
  <c r="Q21" i="18"/>
  <c r="Z339" i="17"/>
  <c r="Y89" i="15"/>
  <c r="Z89" i="15"/>
  <c r="DQ121" i="18"/>
  <c r="DM121" i="18"/>
  <c r="DI121" i="18"/>
  <c r="DE121" i="18"/>
  <c r="DA121" i="18"/>
  <c r="CW121" i="18"/>
  <c r="CS121" i="18"/>
  <c r="CO121" i="18"/>
  <c r="CK121" i="18"/>
  <c r="CG121" i="18"/>
  <c r="CC121" i="18"/>
  <c r="BY121" i="18"/>
  <c r="BU121" i="18"/>
  <c r="BQ121" i="18"/>
  <c r="BM121" i="18"/>
  <c r="BI121" i="18"/>
  <c r="BE121" i="18"/>
  <c r="BA121" i="18"/>
  <c r="AW121" i="18"/>
  <c r="AS121" i="18"/>
  <c r="AO121" i="18"/>
  <c r="AK121" i="18"/>
  <c r="AG121" i="18"/>
  <c r="AC121" i="18"/>
  <c r="Y121" i="18"/>
  <c r="U121" i="18"/>
  <c r="Q121" i="18"/>
  <c r="M121" i="18"/>
  <c r="I121" i="18"/>
  <c r="E121" i="18"/>
  <c r="DP121" i="18"/>
  <c r="DL121" i="18"/>
  <c r="DH121" i="18"/>
  <c r="DD121" i="18"/>
  <c r="CZ121" i="18"/>
  <c r="CV121" i="18"/>
  <c r="CR121" i="18"/>
  <c r="CN121" i="18"/>
  <c r="CJ121" i="18"/>
  <c r="CF121" i="18"/>
  <c r="CB121" i="18"/>
  <c r="BX121" i="18"/>
  <c r="BT121" i="18"/>
  <c r="BP121" i="18"/>
  <c r="BL121" i="18"/>
  <c r="BH121" i="18"/>
  <c r="BD121" i="18"/>
  <c r="AZ121" i="18"/>
  <c r="AV121" i="18"/>
  <c r="AR121" i="18"/>
  <c r="AN121" i="18"/>
  <c r="AJ121" i="18"/>
  <c r="AF121" i="18"/>
  <c r="AB121" i="18"/>
  <c r="X121" i="18"/>
  <c r="T121" i="18"/>
  <c r="P121" i="18"/>
  <c r="L121" i="18"/>
  <c r="H121" i="18"/>
  <c r="DN121" i="18"/>
  <c r="DF121" i="18"/>
  <c r="CX121" i="18"/>
  <c r="CP121" i="18"/>
  <c r="CH121" i="18"/>
  <c r="BZ121" i="18"/>
  <c r="BR121" i="18"/>
  <c r="BJ121" i="18"/>
  <c r="BB121" i="18"/>
  <c r="AT121" i="18"/>
  <c r="AL121" i="18"/>
  <c r="AD121" i="18"/>
  <c r="V121" i="18"/>
  <c r="N121" i="18"/>
  <c r="F121" i="18"/>
  <c r="DK121" i="18"/>
  <c r="DC121" i="18"/>
  <c r="CU121" i="18"/>
  <c r="CM121" i="18"/>
  <c r="CE121" i="18"/>
  <c r="BW121" i="18"/>
  <c r="BO121" i="18"/>
  <c r="BG121" i="18"/>
  <c r="AY121" i="18"/>
  <c r="AQ121" i="18"/>
  <c r="AI121" i="18"/>
  <c r="AA121" i="18"/>
  <c r="S121" i="18"/>
  <c r="K121" i="18"/>
  <c r="DJ121" i="18"/>
  <c r="DB121" i="18"/>
  <c r="CT121" i="18"/>
  <c r="CL121" i="18"/>
  <c r="CD121" i="18"/>
  <c r="BV121" i="18"/>
  <c r="BN121" i="18"/>
  <c r="BF121" i="18"/>
  <c r="AX121" i="18"/>
  <c r="AP121" i="18"/>
  <c r="AH121" i="18"/>
  <c r="Z121" i="18"/>
  <c r="R121" i="18"/>
  <c r="J121" i="18"/>
  <c r="DO121" i="18"/>
  <c r="CI121" i="18"/>
  <c r="BC121" i="18"/>
  <c r="W121" i="18"/>
  <c r="DG121" i="18"/>
  <c r="CA121" i="18"/>
  <c r="AU121" i="18"/>
  <c r="O121" i="18"/>
  <c r="CY121" i="18"/>
  <c r="BS121" i="18"/>
  <c r="AM121" i="18"/>
  <c r="G121" i="18"/>
  <c r="BK121" i="18"/>
  <c r="AE121" i="18"/>
  <c r="CQ121" i="18"/>
  <c r="AB484" i="17"/>
  <c r="Z309" i="17"/>
  <c r="Y73" i="17"/>
  <c r="X73" i="17"/>
  <c r="Z73" i="17" s="1"/>
  <c r="AA210" i="17"/>
  <c r="Y210" i="17"/>
  <c r="BA123" i="18"/>
  <c r="BQ123" i="18"/>
  <c r="BD123" i="18"/>
  <c r="CJ123" i="18"/>
  <c r="L123" i="18"/>
  <c r="BZ123" i="18"/>
  <c r="BG123" i="18"/>
  <c r="CM123" i="18"/>
  <c r="X190" i="17"/>
  <c r="AB516" i="17"/>
  <c r="AA139" i="17"/>
  <c r="AA250" i="17" s="1"/>
  <c r="AB490" i="17"/>
  <c r="X490" i="17"/>
  <c r="Y72" i="17"/>
  <c r="X72" i="17"/>
  <c r="X171" i="17"/>
  <c r="DN124" i="18"/>
  <c r="DJ124" i="18"/>
  <c r="DF124" i="18"/>
  <c r="DB124" i="18"/>
  <c r="CX124" i="18"/>
  <c r="CT124" i="18"/>
  <c r="CP124" i="18"/>
  <c r="CL124" i="18"/>
  <c r="CH124" i="18"/>
  <c r="CD124" i="18"/>
  <c r="BZ124" i="18"/>
  <c r="BV124" i="18"/>
  <c r="BR124" i="18"/>
  <c r="BN124" i="18"/>
  <c r="BJ124" i="18"/>
  <c r="BF124" i="18"/>
  <c r="BB124" i="18"/>
  <c r="AX124" i="18"/>
  <c r="AT124" i="18"/>
  <c r="AP124" i="18"/>
  <c r="AL124" i="18"/>
  <c r="AH124" i="18"/>
  <c r="AD124" i="18"/>
  <c r="Z124" i="18"/>
  <c r="V124" i="18"/>
  <c r="R124" i="18"/>
  <c r="N124" i="18"/>
  <c r="J124" i="18"/>
  <c r="F124" i="18"/>
  <c r="DQ124" i="18"/>
  <c r="DM124" i="18"/>
  <c r="DI124" i="18"/>
  <c r="DE124" i="18"/>
  <c r="DA124" i="18"/>
  <c r="CW124" i="18"/>
  <c r="CS124" i="18"/>
  <c r="CO124" i="18"/>
  <c r="CK124" i="18"/>
  <c r="CG124" i="18"/>
  <c r="CC124" i="18"/>
  <c r="BY124" i="18"/>
  <c r="BU124" i="18"/>
  <c r="BQ124" i="18"/>
  <c r="BM124" i="18"/>
  <c r="BI124" i="18"/>
  <c r="BE124" i="18"/>
  <c r="BA124" i="18"/>
  <c r="AW124" i="18"/>
  <c r="AS124" i="18"/>
  <c r="AO124" i="18"/>
  <c r="AK124" i="18"/>
  <c r="AG124" i="18"/>
  <c r="AC124" i="18"/>
  <c r="Y124" i="18"/>
  <c r="U124" i="18"/>
  <c r="Q124" i="18"/>
  <c r="M124" i="18"/>
  <c r="I124" i="18"/>
  <c r="E124" i="18"/>
  <c r="DK124" i="18"/>
  <c r="DC124" i="18"/>
  <c r="CU124" i="18"/>
  <c r="CM124" i="18"/>
  <c r="CE124" i="18"/>
  <c r="BW124" i="18"/>
  <c r="BO124" i="18"/>
  <c r="BG124" i="18"/>
  <c r="AY124" i="18"/>
  <c r="AQ124" i="18"/>
  <c r="AI124" i="18"/>
  <c r="AA124" i="18"/>
  <c r="S124" i="18"/>
  <c r="K124" i="18"/>
  <c r="DP124" i="18"/>
  <c r="DH124" i="18"/>
  <c r="CZ124" i="18"/>
  <c r="CR124" i="18"/>
  <c r="CJ124" i="18"/>
  <c r="CB124" i="18"/>
  <c r="BT124" i="18"/>
  <c r="BL124" i="18"/>
  <c r="BD124" i="18"/>
  <c r="AV124" i="18"/>
  <c r="AN124" i="18"/>
  <c r="AF124" i="18"/>
  <c r="X124" i="18"/>
  <c r="P124" i="18"/>
  <c r="H124" i="18"/>
  <c r="DO124" i="18"/>
  <c r="DG124" i="18"/>
  <c r="CY124" i="18"/>
  <c r="CQ124" i="18"/>
  <c r="CI124" i="18"/>
  <c r="CA124" i="18"/>
  <c r="BS124" i="18"/>
  <c r="BK124" i="18"/>
  <c r="BC124" i="18"/>
  <c r="AU124" i="18"/>
  <c r="AM124" i="18"/>
  <c r="AE124" i="18"/>
  <c r="W124" i="18"/>
  <c r="O124" i="18"/>
  <c r="G124" i="18"/>
  <c r="DD124" i="18"/>
  <c r="BX124" i="18"/>
  <c r="AR124" i="18"/>
  <c r="L124" i="18"/>
  <c r="CV124" i="18"/>
  <c r="BP124" i="18"/>
  <c r="AJ124" i="18"/>
  <c r="CN124" i="18"/>
  <c r="BH124" i="18"/>
  <c r="AB124" i="18"/>
  <c r="CF124" i="18"/>
  <c r="AZ124" i="18"/>
  <c r="T124" i="18"/>
  <c r="DL124" i="18"/>
  <c r="Z327" i="17"/>
  <c r="AB327" i="17"/>
  <c r="DQ48" i="18"/>
  <c r="DM48" i="18"/>
  <c r="DI48" i="18"/>
  <c r="DE48" i="18"/>
  <c r="DA48" i="18"/>
  <c r="CW48" i="18"/>
  <c r="CS48" i="18"/>
  <c r="CO48" i="18"/>
  <c r="CK48" i="18"/>
  <c r="CG48" i="18"/>
  <c r="CC48" i="18"/>
  <c r="BY48" i="18"/>
  <c r="BU48" i="18"/>
  <c r="BQ48" i="18"/>
  <c r="BM48" i="18"/>
  <c r="BI48" i="18"/>
  <c r="BE48" i="18"/>
  <c r="BA48" i="18"/>
  <c r="AW48" i="18"/>
  <c r="AS48" i="18"/>
  <c r="AO48" i="18"/>
  <c r="AK48" i="18"/>
  <c r="AG48" i="18"/>
  <c r="AC48" i="18"/>
  <c r="Y48" i="18"/>
  <c r="U48" i="18"/>
  <c r="Q48" i="18"/>
  <c r="M48" i="18"/>
  <c r="I48" i="18"/>
  <c r="E48" i="18"/>
  <c r="DP48" i="18"/>
  <c r="DL48" i="18"/>
  <c r="DH48" i="18"/>
  <c r="DD48" i="18"/>
  <c r="CZ48" i="18"/>
  <c r="CV48" i="18"/>
  <c r="CR48" i="18"/>
  <c r="CN48" i="18"/>
  <c r="CJ48" i="18"/>
  <c r="CF48" i="18"/>
  <c r="CB48" i="18"/>
  <c r="BX48" i="18"/>
  <c r="BT48" i="18"/>
  <c r="BP48" i="18"/>
  <c r="BL48" i="18"/>
  <c r="BH48" i="18"/>
  <c r="BD48" i="18"/>
  <c r="AZ48" i="18"/>
  <c r="AV48" i="18"/>
  <c r="AR48" i="18"/>
  <c r="AN48" i="18"/>
  <c r="AJ48" i="18"/>
  <c r="AF48" i="18"/>
  <c r="AB48" i="18"/>
  <c r="X48" i="18"/>
  <c r="T48" i="18"/>
  <c r="P48" i="18"/>
  <c r="L48" i="18"/>
  <c r="H48" i="18"/>
  <c r="DO48" i="18"/>
  <c r="DK48" i="18"/>
  <c r="DG48" i="18"/>
  <c r="DC48" i="18"/>
  <c r="CY48" i="18"/>
  <c r="CU48" i="18"/>
  <c r="CQ48" i="18"/>
  <c r="CM48" i="18"/>
  <c r="CI48" i="18"/>
  <c r="CE48" i="18"/>
  <c r="CA48" i="18"/>
  <c r="BW48" i="18"/>
  <c r="BS48" i="18"/>
  <c r="BO48" i="18"/>
  <c r="BK48" i="18"/>
  <c r="BG48" i="18"/>
  <c r="BC48" i="18"/>
  <c r="AY48" i="18"/>
  <c r="AU48" i="18"/>
  <c r="AQ48" i="18"/>
  <c r="AM48" i="18"/>
  <c r="AI48" i="18"/>
  <c r="AE48" i="18"/>
  <c r="AA48" i="18"/>
  <c r="W48" i="18"/>
  <c r="S48" i="18"/>
  <c r="O48" i="18"/>
  <c r="K48" i="18"/>
  <c r="G48" i="18"/>
  <c r="DB48" i="18"/>
  <c r="CL48" i="18"/>
  <c r="BV48" i="18"/>
  <c r="BF48" i="18"/>
  <c r="AP48" i="18"/>
  <c r="Z48" i="18"/>
  <c r="J48" i="18"/>
  <c r="DN48" i="18"/>
  <c r="CX48" i="18"/>
  <c r="CH48" i="18"/>
  <c r="BR48" i="18"/>
  <c r="BB48" i="18"/>
  <c r="AL48" i="18"/>
  <c r="V48" i="18"/>
  <c r="F48" i="18"/>
  <c r="DJ48" i="18"/>
  <c r="CT48" i="18"/>
  <c r="CD48" i="18"/>
  <c r="BN48" i="18"/>
  <c r="AX48" i="18"/>
  <c r="AH48" i="18"/>
  <c r="R48" i="18"/>
  <c r="BJ48" i="18"/>
  <c r="DF48" i="18"/>
  <c r="AT48" i="18"/>
  <c r="CP48" i="18"/>
  <c r="AD48" i="18"/>
  <c r="N48" i="18"/>
  <c r="BZ48" i="18"/>
  <c r="DN59" i="18"/>
  <c r="DJ59" i="18"/>
  <c r="DF59" i="18"/>
  <c r="DB59" i="18"/>
  <c r="CX59" i="18"/>
  <c r="CT59" i="18"/>
  <c r="CP59" i="18"/>
  <c r="CL59" i="18"/>
  <c r="CH59" i="18"/>
  <c r="CD59" i="18"/>
  <c r="BZ59" i="18"/>
  <c r="BV59" i="18"/>
  <c r="BR59" i="18"/>
  <c r="BN59" i="18"/>
  <c r="BJ59" i="18"/>
  <c r="BF59" i="18"/>
  <c r="BB59" i="18"/>
  <c r="AX59" i="18"/>
  <c r="AT59" i="18"/>
  <c r="AP59" i="18"/>
  <c r="AL59" i="18"/>
  <c r="AH59" i="18"/>
  <c r="AD59" i="18"/>
  <c r="Z59" i="18"/>
  <c r="V59" i="18"/>
  <c r="R59" i="18"/>
  <c r="N59" i="18"/>
  <c r="J59" i="18"/>
  <c r="F59" i="18"/>
  <c r="DM59" i="18"/>
  <c r="DH59" i="18"/>
  <c r="DC59" i="18"/>
  <c r="CW59" i="18"/>
  <c r="CR59" i="18"/>
  <c r="CM59" i="18"/>
  <c r="CG59" i="18"/>
  <c r="CB59" i="18"/>
  <c r="BW59" i="18"/>
  <c r="BQ59" i="18"/>
  <c r="BL59" i="18"/>
  <c r="BG59" i="18"/>
  <c r="BA59" i="18"/>
  <c r="AV59" i="18"/>
  <c r="AQ59" i="18"/>
  <c r="AK59" i="18"/>
  <c r="AF59" i="18"/>
  <c r="AA59" i="18"/>
  <c r="U59" i="18"/>
  <c r="P59" i="18"/>
  <c r="K59" i="18"/>
  <c r="E59" i="18"/>
  <c r="DQ59" i="18"/>
  <c r="DL59" i="18"/>
  <c r="DG59" i="18"/>
  <c r="DA59" i="18"/>
  <c r="CV59" i="18"/>
  <c r="CQ59" i="18"/>
  <c r="CK59" i="18"/>
  <c r="CF59" i="18"/>
  <c r="CA59" i="18"/>
  <c r="BU59" i="18"/>
  <c r="BP59" i="18"/>
  <c r="BK59" i="18"/>
  <c r="BE59" i="18"/>
  <c r="AZ59" i="18"/>
  <c r="AU59" i="18"/>
  <c r="AO59" i="18"/>
  <c r="AJ59" i="18"/>
  <c r="AE59" i="18"/>
  <c r="Y59" i="18"/>
  <c r="T59" i="18"/>
  <c r="O59" i="18"/>
  <c r="I59" i="18"/>
  <c r="DP59" i="18"/>
  <c r="DK59" i="18"/>
  <c r="DE59" i="18"/>
  <c r="CZ59" i="18"/>
  <c r="CU59" i="18"/>
  <c r="CO59" i="18"/>
  <c r="CJ59" i="18"/>
  <c r="CE59" i="18"/>
  <c r="BY59" i="18"/>
  <c r="BT59" i="18"/>
  <c r="BO59" i="18"/>
  <c r="BI59" i="18"/>
  <c r="BD59" i="18"/>
  <c r="AY59" i="18"/>
  <c r="AS59" i="18"/>
  <c r="AN59" i="18"/>
  <c r="AI59" i="18"/>
  <c r="AC59" i="18"/>
  <c r="X59" i="18"/>
  <c r="S59" i="18"/>
  <c r="M59" i="18"/>
  <c r="H59" i="18"/>
  <c r="DI59" i="18"/>
  <c r="CN59" i="18"/>
  <c r="BS59" i="18"/>
  <c r="AW59" i="18"/>
  <c r="AB59" i="18"/>
  <c r="G59" i="18"/>
  <c r="DD59" i="18"/>
  <c r="CI59" i="18"/>
  <c r="BM59" i="18"/>
  <c r="AR59" i="18"/>
  <c r="W59" i="18"/>
  <c r="CY59" i="18"/>
  <c r="CC59" i="18"/>
  <c r="BH59" i="18"/>
  <c r="AM59" i="18"/>
  <c r="Q59" i="18"/>
  <c r="CS59" i="18"/>
  <c r="L59" i="18"/>
  <c r="BX59" i="18"/>
  <c r="BC59" i="18"/>
  <c r="DO59" i="18"/>
  <c r="AG59" i="18"/>
  <c r="L6" i="2"/>
  <c r="I6" i="2"/>
  <c r="F6" i="21" s="1"/>
  <c r="G14" i="11"/>
  <c r="AB499" i="17"/>
  <c r="DP25" i="18"/>
  <c r="DL25" i="18"/>
  <c r="DH25" i="18"/>
  <c r="DD25" i="18"/>
  <c r="CZ25" i="18"/>
  <c r="CV25" i="18"/>
  <c r="CR25" i="18"/>
  <c r="CN25" i="18"/>
  <c r="CJ25" i="18"/>
  <c r="CF25" i="18"/>
  <c r="CB25" i="18"/>
  <c r="BX25" i="18"/>
  <c r="BT25" i="18"/>
  <c r="BP25" i="18"/>
  <c r="BL25" i="18"/>
  <c r="BH25" i="18"/>
  <c r="BD25" i="18"/>
  <c r="AZ25" i="18"/>
  <c r="AV25" i="18"/>
  <c r="AR25" i="18"/>
  <c r="AN25" i="18"/>
  <c r="AJ25" i="18"/>
  <c r="AF25" i="18"/>
  <c r="AB25" i="18"/>
  <c r="X25" i="18"/>
  <c r="T25" i="18"/>
  <c r="P25" i="18"/>
  <c r="L25" i="18"/>
  <c r="H25" i="18"/>
  <c r="DO25" i="18"/>
  <c r="DK25" i="18"/>
  <c r="DG25" i="18"/>
  <c r="DC25" i="18"/>
  <c r="CY25" i="18"/>
  <c r="CU25" i="18"/>
  <c r="CQ25" i="18"/>
  <c r="CM25" i="18"/>
  <c r="CI25" i="18"/>
  <c r="CE25" i="18"/>
  <c r="CA25" i="18"/>
  <c r="BW25" i="18"/>
  <c r="BS25" i="18"/>
  <c r="BO25" i="18"/>
  <c r="BK25" i="18"/>
  <c r="BG25" i="18"/>
  <c r="BC25" i="18"/>
  <c r="AY25" i="18"/>
  <c r="AU25" i="18"/>
  <c r="AQ25" i="18"/>
  <c r="AM25" i="18"/>
  <c r="AI25" i="18"/>
  <c r="AE25" i="18"/>
  <c r="AA25" i="18"/>
  <c r="W25" i="18"/>
  <c r="S25" i="18"/>
  <c r="O25" i="18"/>
  <c r="K25" i="18"/>
  <c r="G25" i="18"/>
  <c r="DN25" i="18"/>
  <c r="DJ25" i="18"/>
  <c r="DF25" i="18"/>
  <c r="DB25" i="18"/>
  <c r="CX25" i="18"/>
  <c r="CT25" i="18"/>
  <c r="CP25" i="18"/>
  <c r="CL25" i="18"/>
  <c r="CH25" i="18"/>
  <c r="CD25" i="18"/>
  <c r="BZ25" i="18"/>
  <c r="BV25" i="18"/>
  <c r="BR25" i="18"/>
  <c r="BN25" i="18"/>
  <c r="BJ25" i="18"/>
  <c r="BF25" i="18"/>
  <c r="BB25" i="18"/>
  <c r="AX25" i="18"/>
  <c r="AT25" i="18"/>
  <c r="AP25" i="18"/>
  <c r="AL25" i="18"/>
  <c r="AH25" i="18"/>
  <c r="AD25" i="18"/>
  <c r="Z25" i="18"/>
  <c r="V25" i="18"/>
  <c r="R25" i="18"/>
  <c r="N25" i="18"/>
  <c r="J25" i="18"/>
  <c r="F25" i="18"/>
  <c r="DQ25" i="18"/>
  <c r="DA25" i="18"/>
  <c r="CK25" i="18"/>
  <c r="BU25" i="18"/>
  <c r="BE25" i="18"/>
  <c r="AO25" i="18"/>
  <c r="Y25" i="18"/>
  <c r="I25" i="18"/>
  <c r="DM25" i="18"/>
  <c r="CW25" i="18"/>
  <c r="CG25" i="18"/>
  <c r="BQ25" i="18"/>
  <c r="BA25" i="18"/>
  <c r="AK25" i="18"/>
  <c r="U25" i="18"/>
  <c r="E25" i="18"/>
  <c r="DI25" i="18"/>
  <c r="CS25" i="18"/>
  <c r="CC25" i="18"/>
  <c r="BM25" i="18"/>
  <c r="AW25" i="18"/>
  <c r="AG25" i="18"/>
  <c r="Q25" i="18"/>
  <c r="CO25" i="18"/>
  <c r="AC25" i="18"/>
  <c r="BY25" i="18"/>
  <c r="M25" i="18"/>
  <c r="BI25" i="18"/>
  <c r="DE25" i="18"/>
  <c r="AS25" i="18"/>
  <c r="Z372" i="17"/>
  <c r="Y209" i="17"/>
  <c r="X209" i="17"/>
  <c r="AB416" i="17"/>
  <c r="Y59" i="15"/>
  <c r="Z59" i="15"/>
  <c r="Y25" i="17"/>
  <c r="X25" i="17"/>
  <c r="DQ24" i="18"/>
  <c r="DM24" i="18"/>
  <c r="DI24" i="18"/>
  <c r="DE24" i="18"/>
  <c r="DA24" i="18"/>
  <c r="CW24" i="18"/>
  <c r="CS24" i="18"/>
  <c r="CO24" i="18"/>
  <c r="CK24" i="18"/>
  <c r="CG24" i="18"/>
  <c r="CC24" i="18"/>
  <c r="BY24" i="18"/>
  <c r="BU24" i="18"/>
  <c r="BQ24" i="18"/>
  <c r="BM24" i="18"/>
  <c r="BI24" i="18"/>
  <c r="BE24" i="18"/>
  <c r="BA24" i="18"/>
  <c r="AW24" i="18"/>
  <c r="AS24" i="18"/>
  <c r="AO24" i="18"/>
  <c r="AK24" i="18"/>
  <c r="AG24" i="18"/>
  <c r="AC24" i="18"/>
  <c r="Y24" i="18"/>
  <c r="U24" i="18"/>
  <c r="Q24" i="18"/>
  <c r="M24" i="18"/>
  <c r="I24" i="18"/>
  <c r="E24" i="18"/>
  <c r="DP24" i="18"/>
  <c r="DL24" i="18"/>
  <c r="DH24" i="18"/>
  <c r="DD24" i="18"/>
  <c r="CZ24" i="18"/>
  <c r="CV24" i="18"/>
  <c r="CR24" i="18"/>
  <c r="CN24" i="18"/>
  <c r="CJ24" i="18"/>
  <c r="CF24" i="18"/>
  <c r="CB24" i="18"/>
  <c r="BX24" i="18"/>
  <c r="BT24" i="18"/>
  <c r="BP24" i="18"/>
  <c r="BL24" i="18"/>
  <c r="BH24" i="18"/>
  <c r="BD24" i="18"/>
  <c r="AZ24" i="18"/>
  <c r="AV24" i="18"/>
  <c r="AR24" i="18"/>
  <c r="AN24" i="18"/>
  <c r="AJ24" i="18"/>
  <c r="AF24" i="18"/>
  <c r="AB24" i="18"/>
  <c r="X24" i="18"/>
  <c r="T24" i="18"/>
  <c r="P24" i="18"/>
  <c r="L24" i="18"/>
  <c r="H24" i="18"/>
  <c r="DO24" i="18"/>
  <c r="DK24" i="18"/>
  <c r="DG24" i="18"/>
  <c r="DC24" i="18"/>
  <c r="CY24" i="18"/>
  <c r="CU24" i="18"/>
  <c r="CQ24" i="18"/>
  <c r="CM24" i="18"/>
  <c r="CI24" i="18"/>
  <c r="CE24" i="18"/>
  <c r="CA24" i="18"/>
  <c r="BW24" i="18"/>
  <c r="BS24" i="18"/>
  <c r="BO24" i="18"/>
  <c r="BK24" i="18"/>
  <c r="BG24" i="18"/>
  <c r="BC24" i="18"/>
  <c r="AY24" i="18"/>
  <c r="AU24" i="18"/>
  <c r="AQ24" i="18"/>
  <c r="AM24" i="18"/>
  <c r="AI24" i="18"/>
  <c r="AE24" i="18"/>
  <c r="AA24" i="18"/>
  <c r="W24" i="18"/>
  <c r="S24" i="18"/>
  <c r="O24" i="18"/>
  <c r="K24" i="18"/>
  <c r="G24" i="18"/>
  <c r="DJ24" i="18"/>
  <c r="CT24" i="18"/>
  <c r="CD24" i="18"/>
  <c r="BN24" i="18"/>
  <c r="AX24" i="18"/>
  <c r="AH24" i="18"/>
  <c r="R24" i="18"/>
  <c r="DF24" i="18"/>
  <c r="CP24" i="18"/>
  <c r="BZ24" i="18"/>
  <c r="BJ24" i="18"/>
  <c r="AT24" i="18"/>
  <c r="AD24" i="18"/>
  <c r="N24" i="18"/>
  <c r="DB24" i="18"/>
  <c r="CL24" i="18"/>
  <c r="BV24" i="18"/>
  <c r="BF24" i="18"/>
  <c r="AP24" i="18"/>
  <c r="Z24" i="18"/>
  <c r="J24" i="18"/>
  <c r="CH24" i="18"/>
  <c r="V24" i="18"/>
  <c r="BR24" i="18"/>
  <c r="F24" i="18"/>
  <c r="DN24" i="18"/>
  <c r="BB24" i="18"/>
  <c r="CX24" i="18"/>
  <c r="AL24" i="18"/>
  <c r="Y75" i="15"/>
  <c r="Z75" i="15"/>
  <c r="AA198" i="17"/>
  <c r="Z96" i="15"/>
  <c r="Y96" i="15"/>
  <c r="DP87" i="18"/>
  <c r="DL87" i="18"/>
  <c r="DH87" i="18"/>
  <c r="DD87" i="18"/>
  <c r="CZ87" i="18"/>
  <c r="CV87" i="18"/>
  <c r="CR87" i="18"/>
  <c r="CN87" i="18"/>
  <c r="CJ87" i="18"/>
  <c r="CF87" i="18"/>
  <c r="CB87" i="18"/>
  <c r="BX87" i="18"/>
  <c r="BT87" i="18"/>
  <c r="BP87" i="18"/>
  <c r="BL87" i="18"/>
  <c r="BH87" i="18"/>
  <c r="BD87" i="18"/>
  <c r="AZ87" i="18"/>
  <c r="AV87" i="18"/>
  <c r="AR87" i="18"/>
  <c r="AN87" i="18"/>
  <c r="AJ87" i="18"/>
  <c r="AF87" i="18"/>
  <c r="AB87" i="18"/>
  <c r="X87" i="18"/>
  <c r="T87" i="18"/>
  <c r="P87" i="18"/>
  <c r="L87" i="18"/>
  <c r="H87" i="18"/>
  <c r="DO87" i="18"/>
  <c r="DK87" i="18"/>
  <c r="DG87" i="18"/>
  <c r="DC87" i="18"/>
  <c r="CY87" i="18"/>
  <c r="CU87" i="18"/>
  <c r="CQ87" i="18"/>
  <c r="CM87" i="18"/>
  <c r="CI87" i="18"/>
  <c r="CE87" i="18"/>
  <c r="CA87" i="18"/>
  <c r="BW87" i="18"/>
  <c r="BS87" i="18"/>
  <c r="BO87" i="18"/>
  <c r="BK87" i="18"/>
  <c r="BG87" i="18"/>
  <c r="BC87" i="18"/>
  <c r="AY87" i="18"/>
  <c r="AU87" i="18"/>
  <c r="AQ87" i="18"/>
  <c r="AM87" i="18"/>
  <c r="AI87" i="18"/>
  <c r="AE87" i="18"/>
  <c r="AA87" i="18"/>
  <c r="W87" i="18"/>
  <c r="S87" i="18"/>
  <c r="O87" i="18"/>
  <c r="K87" i="18"/>
  <c r="G87" i="18"/>
  <c r="DN87" i="18"/>
  <c r="DJ87" i="18"/>
  <c r="DF87" i="18"/>
  <c r="DB87" i="18"/>
  <c r="CX87" i="18"/>
  <c r="CT87" i="18"/>
  <c r="CP87" i="18"/>
  <c r="CL87" i="18"/>
  <c r="CH87" i="18"/>
  <c r="CD87" i="18"/>
  <c r="BZ87" i="18"/>
  <c r="BV87" i="18"/>
  <c r="BR87" i="18"/>
  <c r="BN87" i="18"/>
  <c r="BJ87" i="18"/>
  <c r="BF87" i="18"/>
  <c r="BB87" i="18"/>
  <c r="AX87" i="18"/>
  <c r="AT87" i="18"/>
  <c r="AP87" i="18"/>
  <c r="AL87" i="18"/>
  <c r="AH87" i="18"/>
  <c r="AD87" i="18"/>
  <c r="Z87" i="18"/>
  <c r="V87" i="18"/>
  <c r="R87" i="18"/>
  <c r="N87" i="18"/>
  <c r="J87" i="18"/>
  <c r="F87" i="18"/>
  <c r="DQ87" i="18"/>
  <c r="DA87" i="18"/>
  <c r="CK87" i="18"/>
  <c r="BU87" i="18"/>
  <c r="BE87" i="18"/>
  <c r="AO87" i="18"/>
  <c r="Y87" i="18"/>
  <c r="I87" i="18"/>
  <c r="DM87" i="18"/>
  <c r="CW87" i="18"/>
  <c r="CG87" i="18"/>
  <c r="BQ87" i="18"/>
  <c r="BA87" i="18"/>
  <c r="AK87" i="18"/>
  <c r="U87" i="18"/>
  <c r="E87" i="18"/>
  <c r="DI87" i="18"/>
  <c r="CS87" i="18"/>
  <c r="CC87" i="18"/>
  <c r="BM87" i="18"/>
  <c r="AW87" i="18"/>
  <c r="AG87" i="18"/>
  <c r="Q87" i="18"/>
  <c r="BI87" i="18"/>
  <c r="DE87" i="18"/>
  <c r="AS87" i="18"/>
  <c r="CO87" i="18"/>
  <c r="AC87" i="18"/>
  <c r="BY87" i="18"/>
  <c r="M87" i="18"/>
  <c r="AB362" i="17"/>
  <c r="Z362" i="17"/>
  <c r="X24" i="20"/>
  <c r="AA24" i="20" s="1"/>
  <c r="Z134" i="15"/>
  <c r="Y134" i="15"/>
  <c r="X134" i="15"/>
  <c r="AA134" i="15" s="1"/>
  <c r="AB519" i="17"/>
  <c r="Z292" i="17"/>
  <c r="DP29" i="18"/>
  <c r="DL29" i="18"/>
  <c r="DH29" i="18"/>
  <c r="DD29" i="18"/>
  <c r="CZ29" i="18"/>
  <c r="CV29" i="18"/>
  <c r="CR29" i="18"/>
  <c r="CN29" i="18"/>
  <c r="CJ29" i="18"/>
  <c r="CF29" i="18"/>
  <c r="CB29" i="18"/>
  <c r="BX29" i="18"/>
  <c r="BT29" i="18"/>
  <c r="BP29" i="18"/>
  <c r="BL29" i="18"/>
  <c r="BH29" i="18"/>
  <c r="BD29" i="18"/>
  <c r="AZ29" i="18"/>
  <c r="AV29" i="18"/>
  <c r="AR29" i="18"/>
  <c r="AN29" i="18"/>
  <c r="AJ29" i="18"/>
  <c r="AF29" i="18"/>
  <c r="AB29" i="18"/>
  <c r="X29" i="18"/>
  <c r="T29" i="18"/>
  <c r="P29" i="18"/>
  <c r="L29" i="18"/>
  <c r="H29" i="18"/>
  <c r="DO29" i="18"/>
  <c r="DK29" i="18"/>
  <c r="DG29" i="18"/>
  <c r="DC29" i="18"/>
  <c r="CY29" i="18"/>
  <c r="CU29" i="18"/>
  <c r="CQ29" i="18"/>
  <c r="CM29" i="18"/>
  <c r="CI29" i="18"/>
  <c r="CE29" i="18"/>
  <c r="CA29" i="18"/>
  <c r="BW29" i="18"/>
  <c r="BS29" i="18"/>
  <c r="BO29" i="18"/>
  <c r="BK29" i="18"/>
  <c r="BG29" i="18"/>
  <c r="BC29" i="18"/>
  <c r="AY29" i="18"/>
  <c r="AU29" i="18"/>
  <c r="AQ29" i="18"/>
  <c r="AM29" i="18"/>
  <c r="AI29" i="18"/>
  <c r="AE29" i="18"/>
  <c r="AA29" i="18"/>
  <c r="W29" i="18"/>
  <c r="S29" i="18"/>
  <c r="O29" i="18"/>
  <c r="K29" i="18"/>
  <c r="G29" i="18"/>
  <c r="DN29" i="18"/>
  <c r="DJ29" i="18"/>
  <c r="DF29" i="18"/>
  <c r="DB29" i="18"/>
  <c r="CX29" i="18"/>
  <c r="CT29" i="18"/>
  <c r="CP29" i="18"/>
  <c r="CL29" i="18"/>
  <c r="CH29" i="18"/>
  <c r="CD29" i="18"/>
  <c r="BZ29" i="18"/>
  <c r="BV29" i="18"/>
  <c r="BR29" i="18"/>
  <c r="BN29" i="18"/>
  <c r="BJ29" i="18"/>
  <c r="BF29" i="18"/>
  <c r="BB29" i="18"/>
  <c r="AX29" i="18"/>
  <c r="AT29" i="18"/>
  <c r="AP29" i="18"/>
  <c r="AL29" i="18"/>
  <c r="AH29" i="18"/>
  <c r="AD29" i="18"/>
  <c r="Z29" i="18"/>
  <c r="V29" i="18"/>
  <c r="R29" i="18"/>
  <c r="N29" i="18"/>
  <c r="J29" i="18"/>
  <c r="F29" i="18"/>
  <c r="DM29" i="18"/>
  <c r="CW29" i="18"/>
  <c r="CG29" i="18"/>
  <c r="BQ29" i="18"/>
  <c r="BA29" i="18"/>
  <c r="AK29" i="18"/>
  <c r="U29" i="18"/>
  <c r="E29" i="18"/>
  <c r="DI29" i="18"/>
  <c r="CS29" i="18"/>
  <c r="CC29" i="18"/>
  <c r="BM29" i="18"/>
  <c r="AW29" i="18"/>
  <c r="AG29" i="18"/>
  <c r="Q29" i="18"/>
  <c r="DE29" i="18"/>
  <c r="CO29" i="18"/>
  <c r="BY29" i="18"/>
  <c r="BI29" i="18"/>
  <c r="AS29" i="18"/>
  <c r="AC29" i="18"/>
  <c r="M29" i="18"/>
  <c r="DQ29" i="18"/>
  <c r="BE29" i="18"/>
  <c r="DA29" i="18"/>
  <c r="AO29" i="18"/>
  <c r="CK29" i="18"/>
  <c r="Y29" i="18"/>
  <c r="I29" i="18"/>
  <c r="BU29" i="18"/>
  <c r="X236" i="17"/>
  <c r="DN104" i="18"/>
  <c r="DJ104" i="18"/>
  <c r="DF104" i="18"/>
  <c r="DB104" i="18"/>
  <c r="CX104" i="18"/>
  <c r="CT104" i="18"/>
  <c r="CP104" i="18"/>
  <c r="CL104" i="18"/>
  <c r="CH104" i="18"/>
  <c r="CD104" i="18"/>
  <c r="BZ104" i="18"/>
  <c r="BV104" i="18"/>
  <c r="BR104" i="18"/>
  <c r="BN104" i="18"/>
  <c r="BJ104" i="18"/>
  <c r="BF104" i="18"/>
  <c r="BB104" i="18"/>
  <c r="AX104" i="18"/>
  <c r="AT104" i="18"/>
  <c r="AP104" i="18"/>
  <c r="AL104" i="18"/>
  <c r="AH104" i="18"/>
  <c r="AD104" i="18"/>
  <c r="Z104" i="18"/>
  <c r="V104" i="18"/>
  <c r="R104" i="18"/>
  <c r="N104" i="18"/>
  <c r="J104" i="18"/>
  <c r="F104" i="18"/>
  <c r="DQ104" i="18"/>
  <c r="DM104" i="18"/>
  <c r="DI104" i="18"/>
  <c r="DE104" i="18"/>
  <c r="DA104" i="18"/>
  <c r="CW104" i="18"/>
  <c r="CS104" i="18"/>
  <c r="CO104" i="18"/>
  <c r="CK104" i="18"/>
  <c r="CG104" i="18"/>
  <c r="CC104" i="18"/>
  <c r="BY104" i="18"/>
  <c r="BU104" i="18"/>
  <c r="BQ104" i="18"/>
  <c r="BM104" i="18"/>
  <c r="BI104" i="18"/>
  <c r="BE104" i="18"/>
  <c r="BA104" i="18"/>
  <c r="AW104" i="18"/>
  <c r="AS104" i="18"/>
  <c r="AO104" i="18"/>
  <c r="AK104" i="18"/>
  <c r="AG104" i="18"/>
  <c r="AC104" i="18"/>
  <c r="Y104" i="18"/>
  <c r="U104" i="18"/>
  <c r="Q104" i="18"/>
  <c r="M104" i="18"/>
  <c r="I104" i="18"/>
  <c r="E104" i="18"/>
  <c r="DO104" i="18"/>
  <c r="DG104" i="18"/>
  <c r="CY104" i="18"/>
  <c r="CQ104" i="18"/>
  <c r="CI104" i="18"/>
  <c r="CA104" i="18"/>
  <c r="BS104" i="18"/>
  <c r="BK104" i="18"/>
  <c r="BC104" i="18"/>
  <c r="AU104" i="18"/>
  <c r="AM104" i="18"/>
  <c r="AE104" i="18"/>
  <c r="W104" i="18"/>
  <c r="O104" i="18"/>
  <c r="G104" i="18"/>
  <c r="DL104" i="18"/>
  <c r="DD104" i="18"/>
  <c r="CV104" i="18"/>
  <c r="CN104" i="18"/>
  <c r="CF104" i="18"/>
  <c r="BX104" i="18"/>
  <c r="BP104" i="18"/>
  <c r="BH104" i="18"/>
  <c r="AZ104" i="18"/>
  <c r="AR104" i="18"/>
  <c r="AJ104" i="18"/>
  <c r="AB104" i="18"/>
  <c r="T104" i="18"/>
  <c r="L104" i="18"/>
  <c r="DK104" i="18"/>
  <c r="DC104" i="18"/>
  <c r="CU104" i="18"/>
  <c r="CM104" i="18"/>
  <c r="CE104" i="18"/>
  <c r="BW104" i="18"/>
  <c r="BO104" i="18"/>
  <c r="BG104" i="18"/>
  <c r="AY104" i="18"/>
  <c r="AQ104" i="18"/>
  <c r="AI104" i="18"/>
  <c r="AA104" i="18"/>
  <c r="S104" i="18"/>
  <c r="K104" i="18"/>
  <c r="CR104" i="18"/>
  <c r="BL104" i="18"/>
  <c r="AF104" i="18"/>
  <c r="DP104" i="18"/>
  <c r="CJ104" i="18"/>
  <c r="BD104" i="18"/>
  <c r="X104" i="18"/>
  <c r="DH104" i="18"/>
  <c r="CB104" i="18"/>
  <c r="AV104" i="18"/>
  <c r="P104" i="18"/>
  <c r="BT104" i="18"/>
  <c r="AN104" i="18"/>
  <c r="H104" i="18"/>
  <c r="CZ104" i="18"/>
  <c r="Y76" i="17"/>
  <c r="X76" i="17"/>
  <c r="Z76" i="17" s="1"/>
  <c r="AC469" i="17"/>
  <c r="AB469" i="17"/>
  <c r="Y29" i="15"/>
  <c r="Z29" i="15"/>
  <c r="DQ20" i="18"/>
  <c r="DM20" i="18"/>
  <c r="DI20" i="18"/>
  <c r="DE20" i="18"/>
  <c r="DA20" i="18"/>
  <c r="CW20" i="18"/>
  <c r="CS20" i="18"/>
  <c r="CO20" i="18"/>
  <c r="CK20" i="18"/>
  <c r="CG20" i="18"/>
  <c r="CC20" i="18"/>
  <c r="BY20" i="18"/>
  <c r="BU20" i="18"/>
  <c r="BQ20" i="18"/>
  <c r="BM20" i="18"/>
  <c r="BI20" i="18"/>
  <c r="BE20" i="18"/>
  <c r="BA20" i="18"/>
  <c r="AW20" i="18"/>
  <c r="AS20" i="18"/>
  <c r="AO20" i="18"/>
  <c r="AK20" i="18"/>
  <c r="AG20" i="18"/>
  <c r="AC20" i="18"/>
  <c r="Y20" i="18"/>
  <c r="U20" i="18"/>
  <c r="Q20" i="18"/>
  <c r="M20" i="18"/>
  <c r="I20" i="18"/>
  <c r="E20" i="18"/>
  <c r="DP20" i="18"/>
  <c r="DL20" i="18"/>
  <c r="DH20" i="18"/>
  <c r="DD20" i="18"/>
  <c r="CZ20" i="18"/>
  <c r="CV20" i="18"/>
  <c r="CR20" i="18"/>
  <c r="CN20" i="18"/>
  <c r="CJ20" i="18"/>
  <c r="CF20" i="18"/>
  <c r="CB20" i="18"/>
  <c r="BX20" i="18"/>
  <c r="BT20" i="18"/>
  <c r="BP20" i="18"/>
  <c r="BL20" i="18"/>
  <c r="BH20" i="18"/>
  <c r="BD20" i="18"/>
  <c r="AZ20" i="18"/>
  <c r="AV20" i="18"/>
  <c r="AR20" i="18"/>
  <c r="AN20" i="18"/>
  <c r="AJ20" i="18"/>
  <c r="AF20" i="18"/>
  <c r="AB20" i="18"/>
  <c r="X20" i="18"/>
  <c r="T20" i="18"/>
  <c r="P20" i="18"/>
  <c r="L20" i="18"/>
  <c r="H20" i="18"/>
  <c r="DO20" i="18"/>
  <c r="DK20" i="18"/>
  <c r="DG20" i="18"/>
  <c r="DC20" i="18"/>
  <c r="CY20" i="18"/>
  <c r="CU20" i="18"/>
  <c r="CQ20" i="18"/>
  <c r="CM20" i="18"/>
  <c r="CI20" i="18"/>
  <c r="CE20" i="18"/>
  <c r="CA20" i="18"/>
  <c r="BW20" i="18"/>
  <c r="BS20" i="18"/>
  <c r="BO20" i="18"/>
  <c r="BK20" i="18"/>
  <c r="BG20" i="18"/>
  <c r="BC20" i="18"/>
  <c r="AY20" i="18"/>
  <c r="AU20" i="18"/>
  <c r="AQ20" i="18"/>
  <c r="AM20" i="18"/>
  <c r="AI20" i="18"/>
  <c r="AE20" i="18"/>
  <c r="AA20" i="18"/>
  <c r="W20" i="18"/>
  <c r="S20" i="18"/>
  <c r="O20" i="18"/>
  <c r="K20" i="18"/>
  <c r="G20" i="18"/>
  <c r="DN20" i="18"/>
  <c r="CX20" i="18"/>
  <c r="CH20" i="18"/>
  <c r="BR20" i="18"/>
  <c r="BB20" i="18"/>
  <c r="AL20" i="18"/>
  <c r="V20" i="18"/>
  <c r="F20" i="18"/>
  <c r="DJ20" i="18"/>
  <c r="CT20" i="18"/>
  <c r="CD20" i="18"/>
  <c r="BN20" i="18"/>
  <c r="AX20" i="18"/>
  <c r="AH20" i="18"/>
  <c r="R20" i="18"/>
  <c r="DF20" i="18"/>
  <c r="CP20" i="18"/>
  <c r="BZ20" i="18"/>
  <c r="BJ20" i="18"/>
  <c r="AT20" i="18"/>
  <c r="AD20" i="18"/>
  <c r="N20" i="18"/>
  <c r="BF20" i="18"/>
  <c r="DB20" i="18"/>
  <c r="AP20" i="18"/>
  <c r="CL20" i="18"/>
  <c r="Z20" i="18"/>
  <c r="BV20" i="18"/>
  <c r="J20" i="18"/>
  <c r="X29" i="20"/>
  <c r="AA29" i="20" s="1"/>
  <c r="Z320" i="17"/>
  <c r="X87" i="17"/>
  <c r="Z87" i="17" s="1"/>
  <c r="Y87" i="17"/>
  <c r="Y137" i="15"/>
  <c r="Z137" i="15"/>
  <c r="AC522" i="17"/>
  <c r="AB522" i="17"/>
  <c r="Y289" i="17"/>
  <c r="Z289" i="17"/>
  <c r="DO26" i="18"/>
  <c r="DK26" i="18"/>
  <c r="DG26" i="18"/>
  <c r="DC26" i="18"/>
  <c r="CY26" i="18"/>
  <c r="CU26" i="18"/>
  <c r="CQ26" i="18"/>
  <c r="CM26" i="18"/>
  <c r="CI26" i="18"/>
  <c r="CE26" i="18"/>
  <c r="CA26" i="18"/>
  <c r="BW26" i="18"/>
  <c r="BS26" i="18"/>
  <c r="BO26" i="18"/>
  <c r="BK26" i="18"/>
  <c r="BG26" i="18"/>
  <c r="BC26" i="18"/>
  <c r="AY26" i="18"/>
  <c r="AU26" i="18"/>
  <c r="AQ26" i="18"/>
  <c r="AM26" i="18"/>
  <c r="AI26" i="18"/>
  <c r="AE26" i="18"/>
  <c r="AA26" i="18"/>
  <c r="W26" i="18"/>
  <c r="S26" i="18"/>
  <c r="O26" i="18"/>
  <c r="K26" i="18"/>
  <c r="G26" i="18"/>
  <c r="DN26" i="18"/>
  <c r="DJ26" i="18"/>
  <c r="DF26" i="18"/>
  <c r="DB26" i="18"/>
  <c r="CX26" i="18"/>
  <c r="CT26" i="18"/>
  <c r="CP26" i="18"/>
  <c r="CL26" i="18"/>
  <c r="CH26" i="18"/>
  <c r="CD26" i="18"/>
  <c r="BZ26" i="18"/>
  <c r="BV26" i="18"/>
  <c r="BR26" i="18"/>
  <c r="BN26" i="18"/>
  <c r="BJ26" i="18"/>
  <c r="BF26" i="18"/>
  <c r="BB26" i="18"/>
  <c r="AX26" i="18"/>
  <c r="AT26" i="18"/>
  <c r="AP26" i="18"/>
  <c r="AL26" i="18"/>
  <c r="AH26" i="18"/>
  <c r="AD26" i="18"/>
  <c r="Z26" i="18"/>
  <c r="V26" i="18"/>
  <c r="R26" i="18"/>
  <c r="N26" i="18"/>
  <c r="J26" i="18"/>
  <c r="F26" i="18"/>
  <c r="DQ26" i="18"/>
  <c r="DM26" i="18"/>
  <c r="DI26" i="18"/>
  <c r="DE26" i="18"/>
  <c r="DA26" i="18"/>
  <c r="CW26" i="18"/>
  <c r="CS26" i="18"/>
  <c r="CO26" i="18"/>
  <c r="CK26" i="18"/>
  <c r="CG26" i="18"/>
  <c r="CC26" i="18"/>
  <c r="BY26" i="18"/>
  <c r="BU26" i="18"/>
  <c r="BQ26" i="18"/>
  <c r="BM26" i="18"/>
  <c r="BI26" i="18"/>
  <c r="BE26" i="18"/>
  <c r="BA26" i="18"/>
  <c r="AW26" i="18"/>
  <c r="AS26" i="18"/>
  <c r="AO26" i="18"/>
  <c r="AK26" i="18"/>
  <c r="AG26" i="18"/>
  <c r="AC26" i="18"/>
  <c r="Y26" i="18"/>
  <c r="U26" i="18"/>
  <c r="Q26" i="18"/>
  <c r="M26" i="18"/>
  <c r="I26" i="18"/>
  <c r="E26" i="18"/>
  <c r="DH26" i="18"/>
  <c r="CR26" i="18"/>
  <c r="CB26" i="18"/>
  <c r="BL26" i="18"/>
  <c r="AV26" i="18"/>
  <c r="AF26" i="18"/>
  <c r="P26" i="18"/>
  <c r="DD26" i="18"/>
  <c r="CN26" i="18"/>
  <c r="BX26" i="18"/>
  <c r="BH26" i="18"/>
  <c r="AR26" i="18"/>
  <c r="AB26" i="18"/>
  <c r="L26" i="18"/>
  <c r="DP26" i="18"/>
  <c r="CZ26" i="18"/>
  <c r="CJ26" i="18"/>
  <c r="BT26" i="18"/>
  <c r="BD26" i="18"/>
  <c r="AN26" i="18"/>
  <c r="X26" i="18"/>
  <c r="H26" i="18"/>
  <c r="CV26" i="18"/>
  <c r="AJ26" i="18"/>
  <c r="CF26" i="18"/>
  <c r="T26" i="18"/>
  <c r="BP26" i="18"/>
  <c r="DL26" i="18"/>
  <c r="AZ26" i="18"/>
  <c r="Z42" i="15"/>
  <c r="Y42" i="15"/>
  <c r="AB427" i="17"/>
  <c r="AA427" i="17"/>
  <c r="Y427" i="17"/>
  <c r="AC427" i="17"/>
  <c r="Z136" i="15"/>
  <c r="Y136" i="15"/>
  <c r="X136" i="15"/>
  <c r="AA136" i="15" s="1"/>
  <c r="DO127" i="18"/>
  <c r="DK127" i="18"/>
  <c r="DG127" i="18"/>
  <c r="DC127" i="18"/>
  <c r="CY127" i="18"/>
  <c r="CU127" i="18"/>
  <c r="CQ127" i="18"/>
  <c r="CM127" i="18"/>
  <c r="CI127" i="18"/>
  <c r="CE127" i="18"/>
  <c r="CA127" i="18"/>
  <c r="BW127" i="18"/>
  <c r="BS127" i="18"/>
  <c r="BO127" i="18"/>
  <c r="BK127" i="18"/>
  <c r="BG127" i="18"/>
  <c r="BC127" i="18"/>
  <c r="AY127" i="18"/>
  <c r="AU127" i="18"/>
  <c r="AQ127" i="18"/>
  <c r="AM127" i="18"/>
  <c r="AI127" i="18"/>
  <c r="AE127" i="18"/>
  <c r="AA127" i="18"/>
  <c r="W127" i="18"/>
  <c r="S127" i="18"/>
  <c r="O127" i="18"/>
  <c r="K127" i="18"/>
  <c r="G127" i="18"/>
  <c r="DP127" i="18"/>
  <c r="DJ127" i="18"/>
  <c r="DE127" i="18"/>
  <c r="CZ127" i="18"/>
  <c r="CT127" i="18"/>
  <c r="CO127" i="18"/>
  <c r="CJ127" i="18"/>
  <c r="CD127" i="18"/>
  <c r="BY127" i="18"/>
  <c r="BT127" i="18"/>
  <c r="BN127" i="18"/>
  <c r="BI127" i="18"/>
  <c r="BD127" i="18"/>
  <c r="AX127" i="18"/>
  <c r="AS127" i="18"/>
  <c r="AN127" i="18"/>
  <c r="AH127" i="18"/>
  <c r="AC127" i="18"/>
  <c r="X127" i="18"/>
  <c r="R127" i="18"/>
  <c r="M127" i="18"/>
  <c r="H127" i="18"/>
  <c r="DN127" i="18"/>
  <c r="DI127" i="18"/>
  <c r="DD127" i="18"/>
  <c r="CX127" i="18"/>
  <c r="CS127" i="18"/>
  <c r="CN127" i="18"/>
  <c r="CH127" i="18"/>
  <c r="CC127" i="18"/>
  <c r="BX127" i="18"/>
  <c r="BR127" i="18"/>
  <c r="BM127" i="18"/>
  <c r="BH127" i="18"/>
  <c r="BB127" i="18"/>
  <c r="AW127" i="18"/>
  <c r="AR127" i="18"/>
  <c r="AL127" i="18"/>
  <c r="AG127" i="18"/>
  <c r="AB127" i="18"/>
  <c r="V127" i="18"/>
  <c r="Q127" i="18"/>
  <c r="L127" i="18"/>
  <c r="F127" i="18"/>
  <c r="DL127" i="18"/>
  <c r="DA127" i="18"/>
  <c r="CP127" i="18"/>
  <c r="CF127" i="18"/>
  <c r="BU127" i="18"/>
  <c r="BJ127" i="18"/>
  <c r="AZ127" i="18"/>
  <c r="AO127" i="18"/>
  <c r="AD127" i="18"/>
  <c r="T127" i="18"/>
  <c r="I127" i="18"/>
  <c r="DH127" i="18"/>
  <c r="CW127" i="18"/>
  <c r="CL127" i="18"/>
  <c r="CB127" i="18"/>
  <c r="BQ127" i="18"/>
  <c r="BF127" i="18"/>
  <c r="AV127" i="18"/>
  <c r="AK127" i="18"/>
  <c r="Z127" i="18"/>
  <c r="P127" i="18"/>
  <c r="E127" i="18"/>
  <c r="DQ127" i="18"/>
  <c r="DF127" i="18"/>
  <c r="CV127" i="18"/>
  <c r="CK127" i="18"/>
  <c r="BZ127" i="18"/>
  <c r="BP127" i="18"/>
  <c r="BE127" i="18"/>
  <c r="AT127" i="18"/>
  <c r="AJ127" i="18"/>
  <c r="Y127" i="18"/>
  <c r="N127" i="18"/>
  <c r="CR127" i="18"/>
  <c r="BA127" i="18"/>
  <c r="J127" i="18"/>
  <c r="CG127" i="18"/>
  <c r="AP127" i="18"/>
  <c r="DM127" i="18"/>
  <c r="BV127" i="18"/>
  <c r="AF127" i="18"/>
  <c r="U127" i="18"/>
  <c r="DB127" i="18"/>
  <c r="BL127" i="18"/>
  <c r="Z358" i="17"/>
  <c r="Y358" i="17"/>
  <c r="Y64" i="17"/>
  <c r="X64" i="17"/>
  <c r="Z64" i="17" s="1"/>
  <c r="AC457" i="17"/>
  <c r="AB457" i="17"/>
  <c r="AA457" i="17"/>
  <c r="Y53" i="15"/>
  <c r="Z53" i="15"/>
  <c r="DQ44" i="18"/>
  <c r="DM44" i="18"/>
  <c r="DI44" i="18"/>
  <c r="DE44" i="18"/>
  <c r="DA44" i="18"/>
  <c r="CW44" i="18"/>
  <c r="CS44" i="18"/>
  <c r="CO44" i="18"/>
  <c r="CK44" i="18"/>
  <c r="CG44" i="18"/>
  <c r="CC44" i="18"/>
  <c r="BY44" i="18"/>
  <c r="BU44" i="18"/>
  <c r="BQ44" i="18"/>
  <c r="BM44" i="18"/>
  <c r="BI44" i="18"/>
  <c r="BE44" i="18"/>
  <c r="BA44" i="18"/>
  <c r="AW44" i="18"/>
  <c r="AS44" i="18"/>
  <c r="AO44" i="18"/>
  <c r="AK44" i="18"/>
  <c r="AG44" i="18"/>
  <c r="AC44" i="18"/>
  <c r="Y44" i="18"/>
  <c r="U44" i="18"/>
  <c r="Q44" i="18"/>
  <c r="M44" i="18"/>
  <c r="I44" i="18"/>
  <c r="E44" i="18"/>
  <c r="DP44" i="18"/>
  <c r="DL44" i="18"/>
  <c r="DH44" i="18"/>
  <c r="DD44" i="18"/>
  <c r="CZ44" i="18"/>
  <c r="CV44" i="18"/>
  <c r="CR44" i="18"/>
  <c r="CN44" i="18"/>
  <c r="CJ44" i="18"/>
  <c r="CF44" i="18"/>
  <c r="CB44" i="18"/>
  <c r="BX44" i="18"/>
  <c r="BT44" i="18"/>
  <c r="BP44" i="18"/>
  <c r="BL44" i="18"/>
  <c r="BH44" i="18"/>
  <c r="BD44" i="18"/>
  <c r="AZ44" i="18"/>
  <c r="AV44" i="18"/>
  <c r="AR44" i="18"/>
  <c r="AN44" i="18"/>
  <c r="AJ44" i="18"/>
  <c r="AF44" i="18"/>
  <c r="AB44" i="18"/>
  <c r="X44" i="18"/>
  <c r="T44" i="18"/>
  <c r="P44" i="18"/>
  <c r="L44" i="18"/>
  <c r="H44" i="18"/>
  <c r="DO44" i="18"/>
  <c r="DK44" i="18"/>
  <c r="DG44" i="18"/>
  <c r="DC44" i="18"/>
  <c r="CY44" i="18"/>
  <c r="CU44" i="18"/>
  <c r="CQ44" i="18"/>
  <c r="CM44" i="18"/>
  <c r="CI44" i="18"/>
  <c r="CE44" i="18"/>
  <c r="CA44" i="18"/>
  <c r="BW44" i="18"/>
  <c r="BS44" i="18"/>
  <c r="BO44" i="18"/>
  <c r="BK44" i="18"/>
  <c r="BG44" i="18"/>
  <c r="BC44" i="18"/>
  <c r="AY44" i="18"/>
  <c r="AU44" i="18"/>
  <c r="AQ44" i="18"/>
  <c r="AM44" i="18"/>
  <c r="AI44" i="18"/>
  <c r="AE44" i="18"/>
  <c r="AA44" i="18"/>
  <c r="W44" i="18"/>
  <c r="S44" i="18"/>
  <c r="O44" i="18"/>
  <c r="K44" i="18"/>
  <c r="G44" i="18"/>
  <c r="DF44" i="18"/>
  <c r="CP44" i="18"/>
  <c r="BZ44" i="18"/>
  <c r="BJ44" i="18"/>
  <c r="AT44" i="18"/>
  <c r="AD44" i="18"/>
  <c r="N44" i="18"/>
  <c r="DB44" i="18"/>
  <c r="CL44" i="18"/>
  <c r="BV44" i="18"/>
  <c r="BF44" i="18"/>
  <c r="AP44" i="18"/>
  <c r="Z44" i="18"/>
  <c r="J44" i="18"/>
  <c r="DN44" i="18"/>
  <c r="CX44" i="18"/>
  <c r="CH44" i="18"/>
  <c r="BR44" i="18"/>
  <c r="BB44" i="18"/>
  <c r="AL44" i="18"/>
  <c r="V44" i="18"/>
  <c r="F44" i="18"/>
  <c r="CT44" i="18"/>
  <c r="AH44" i="18"/>
  <c r="CD44" i="18"/>
  <c r="R44" i="18"/>
  <c r="BN44" i="18"/>
  <c r="DJ44" i="18"/>
  <c r="AX44" i="18"/>
  <c r="AC436" i="17"/>
  <c r="AB436" i="17"/>
  <c r="Y63" i="15"/>
  <c r="Z63" i="15"/>
  <c r="AA186" i="17"/>
  <c r="AC504" i="17"/>
  <c r="AB504" i="17"/>
  <c r="Y247" i="17"/>
  <c r="X247" i="17"/>
  <c r="AC509" i="17"/>
  <c r="AB509" i="17"/>
  <c r="AA175" i="17"/>
  <c r="B29" i="5"/>
  <c r="Y213" i="17"/>
  <c r="X213" i="17"/>
  <c r="Z379" i="17"/>
  <c r="AB379" i="17"/>
  <c r="AC510" i="17"/>
  <c r="AB510" i="17"/>
  <c r="AA24" i="24"/>
  <c r="Y24" i="24"/>
  <c r="X30" i="20"/>
  <c r="AA30" i="20" s="1"/>
  <c r="Z110" i="15"/>
  <c r="Y110" i="15"/>
  <c r="AB495" i="17"/>
  <c r="AA495" i="17"/>
  <c r="AC495" i="17"/>
  <c r="AC401" i="17"/>
  <c r="AC470" i="17" s="1"/>
  <c r="Z332" i="17"/>
  <c r="AB332" i="17"/>
  <c r="DN69" i="18"/>
  <c r="DJ69" i="18"/>
  <c r="DF69" i="18"/>
  <c r="DB69" i="18"/>
  <c r="CX69" i="18"/>
  <c r="CT69" i="18"/>
  <c r="CP69" i="18"/>
  <c r="CL69" i="18"/>
  <c r="CH69" i="18"/>
  <c r="CD69" i="18"/>
  <c r="BZ69" i="18"/>
  <c r="BV69" i="18"/>
  <c r="BR69" i="18"/>
  <c r="BN69" i="18"/>
  <c r="BJ69" i="18"/>
  <c r="BF69" i="18"/>
  <c r="BB69" i="18"/>
  <c r="AX69" i="18"/>
  <c r="AT69" i="18"/>
  <c r="AP69" i="18"/>
  <c r="AL69" i="18"/>
  <c r="AH69" i="18"/>
  <c r="AD69" i="18"/>
  <c r="Z69" i="18"/>
  <c r="V69" i="18"/>
  <c r="R69" i="18"/>
  <c r="N69" i="18"/>
  <c r="J69" i="18"/>
  <c r="F69" i="18"/>
  <c r="DQ69" i="18"/>
  <c r="DM69" i="18"/>
  <c r="DI69" i="18"/>
  <c r="DE69" i="18"/>
  <c r="DA69" i="18"/>
  <c r="CW69" i="18"/>
  <c r="CS69" i="18"/>
  <c r="CO69" i="18"/>
  <c r="CK69" i="18"/>
  <c r="CG69" i="18"/>
  <c r="CC69" i="18"/>
  <c r="BY69" i="18"/>
  <c r="BU69" i="18"/>
  <c r="BQ69" i="18"/>
  <c r="BM69" i="18"/>
  <c r="BI69" i="18"/>
  <c r="BE69" i="18"/>
  <c r="BA69" i="18"/>
  <c r="AW69" i="18"/>
  <c r="AS69" i="18"/>
  <c r="AO69" i="18"/>
  <c r="AK69" i="18"/>
  <c r="AG69" i="18"/>
  <c r="AC69" i="18"/>
  <c r="Y69" i="18"/>
  <c r="U69" i="18"/>
  <c r="Q69" i="18"/>
  <c r="M69" i="18"/>
  <c r="I69" i="18"/>
  <c r="E69" i="18"/>
  <c r="DP69" i="18"/>
  <c r="DL69" i="18"/>
  <c r="DH69" i="18"/>
  <c r="DD69" i="18"/>
  <c r="CZ69" i="18"/>
  <c r="CV69" i="18"/>
  <c r="CR69" i="18"/>
  <c r="CN69" i="18"/>
  <c r="CJ69" i="18"/>
  <c r="CF69" i="18"/>
  <c r="CB69" i="18"/>
  <c r="BX69" i="18"/>
  <c r="BT69" i="18"/>
  <c r="BP69" i="18"/>
  <c r="BL69" i="18"/>
  <c r="BH69" i="18"/>
  <c r="BD69" i="18"/>
  <c r="AZ69" i="18"/>
  <c r="AV69" i="18"/>
  <c r="AR69" i="18"/>
  <c r="AN69" i="18"/>
  <c r="AJ69" i="18"/>
  <c r="AF69" i="18"/>
  <c r="AB69" i="18"/>
  <c r="X69" i="18"/>
  <c r="T69" i="18"/>
  <c r="P69" i="18"/>
  <c r="L69" i="18"/>
  <c r="H69" i="18"/>
  <c r="DC69" i="18"/>
  <c r="CM69" i="18"/>
  <c r="BW69" i="18"/>
  <c r="BG69" i="18"/>
  <c r="AQ69" i="18"/>
  <c r="AA69" i="18"/>
  <c r="K69" i="18"/>
  <c r="DO69" i="18"/>
  <c r="CY69" i="18"/>
  <c r="CI69" i="18"/>
  <c r="BS69" i="18"/>
  <c r="BC69" i="18"/>
  <c r="AM69" i="18"/>
  <c r="W69" i="18"/>
  <c r="G69" i="18"/>
  <c r="DK69" i="18"/>
  <c r="CU69" i="18"/>
  <c r="CE69" i="18"/>
  <c r="BO69" i="18"/>
  <c r="AY69" i="18"/>
  <c r="AI69" i="18"/>
  <c r="S69" i="18"/>
  <c r="BK69" i="18"/>
  <c r="DG69" i="18"/>
  <c r="AU69" i="18"/>
  <c r="CQ69" i="18"/>
  <c r="AE69" i="18"/>
  <c r="CA69" i="18"/>
  <c r="O69" i="18"/>
  <c r="X238" i="17"/>
  <c r="Y41" i="15"/>
  <c r="Z41" i="15"/>
  <c r="DQ32" i="18"/>
  <c r="DM32" i="18"/>
  <c r="DI32" i="18"/>
  <c r="DE32" i="18"/>
  <c r="DA32" i="18"/>
  <c r="CW32" i="18"/>
  <c r="CS32" i="18"/>
  <c r="CO32" i="18"/>
  <c r="CK32" i="18"/>
  <c r="CG32" i="18"/>
  <c r="CC32" i="18"/>
  <c r="BY32" i="18"/>
  <c r="BU32" i="18"/>
  <c r="BQ32" i="18"/>
  <c r="BM32" i="18"/>
  <c r="BI32" i="18"/>
  <c r="BE32" i="18"/>
  <c r="BA32" i="18"/>
  <c r="AW32" i="18"/>
  <c r="AS32" i="18"/>
  <c r="AO32" i="18"/>
  <c r="AK32" i="18"/>
  <c r="AG32" i="18"/>
  <c r="AC32" i="18"/>
  <c r="Y32" i="18"/>
  <c r="U32" i="18"/>
  <c r="Q32" i="18"/>
  <c r="M32" i="18"/>
  <c r="I32" i="18"/>
  <c r="E32" i="18"/>
  <c r="DP32" i="18"/>
  <c r="DL32" i="18"/>
  <c r="DH32" i="18"/>
  <c r="DD32" i="18"/>
  <c r="CZ32" i="18"/>
  <c r="CV32" i="18"/>
  <c r="CR32" i="18"/>
  <c r="CN32" i="18"/>
  <c r="CJ32" i="18"/>
  <c r="CF32" i="18"/>
  <c r="CB32" i="18"/>
  <c r="BX32" i="18"/>
  <c r="BT32" i="18"/>
  <c r="BP32" i="18"/>
  <c r="BL32" i="18"/>
  <c r="BH32" i="18"/>
  <c r="BD32" i="18"/>
  <c r="AZ32" i="18"/>
  <c r="AV32" i="18"/>
  <c r="AR32" i="18"/>
  <c r="AN32" i="18"/>
  <c r="AJ32" i="18"/>
  <c r="AF32" i="18"/>
  <c r="AB32" i="18"/>
  <c r="X32" i="18"/>
  <c r="T32" i="18"/>
  <c r="P32" i="18"/>
  <c r="L32" i="18"/>
  <c r="H32" i="18"/>
  <c r="DO32" i="18"/>
  <c r="DK32" i="18"/>
  <c r="DG32" i="18"/>
  <c r="DC32" i="18"/>
  <c r="CY32" i="18"/>
  <c r="CU32" i="18"/>
  <c r="CQ32" i="18"/>
  <c r="CM32" i="18"/>
  <c r="CI32" i="18"/>
  <c r="CE32" i="18"/>
  <c r="CA32" i="18"/>
  <c r="BW32" i="18"/>
  <c r="BS32" i="18"/>
  <c r="BO32" i="18"/>
  <c r="BK32" i="18"/>
  <c r="BG32" i="18"/>
  <c r="BC32" i="18"/>
  <c r="AY32" i="18"/>
  <c r="AU32" i="18"/>
  <c r="AQ32" i="18"/>
  <c r="AM32" i="18"/>
  <c r="AI32" i="18"/>
  <c r="AE32" i="18"/>
  <c r="AA32" i="18"/>
  <c r="W32" i="18"/>
  <c r="S32" i="18"/>
  <c r="O32" i="18"/>
  <c r="K32" i="18"/>
  <c r="G32" i="18"/>
  <c r="DB32" i="18"/>
  <c r="CL32" i="18"/>
  <c r="BV32" i="18"/>
  <c r="BF32" i="18"/>
  <c r="AP32" i="18"/>
  <c r="Z32" i="18"/>
  <c r="J32" i="18"/>
  <c r="DN32" i="18"/>
  <c r="CX32" i="18"/>
  <c r="CH32" i="18"/>
  <c r="BR32" i="18"/>
  <c r="BB32" i="18"/>
  <c r="AL32" i="18"/>
  <c r="V32" i="18"/>
  <c r="F32" i="18"/>
  <c r="DJ32" i="18"/>
  <c r="CT32" i="18"/>
  <c r="CD32" i="18"/>
  <c r="BN32" i="18"/>
  <c r="AX32" i="18"/>
  <c r="AH32" i="18"/>
  <c r="R32" i="18"/>
  <c r="BZ32" i="18"/>
  <c r="N32" i="18"/>
  <c r="BJ32" i="18"/>
  <c r="DF32" i="18"/>
  <c r="AT32" i="18"/>
  <c r="CP32" i="18"/>
  <c r="AD32" i="18"/>
  <c r="Y47" i="15"/>
  <c r="Z47" i="15"/>
  <c r="X170" i="17"/>
  <c r="Y37" i="17"/>
  <c r="X37" i="17"/>
  <c r="Z37" i="17" s="1"/>
  <c r="X25" i="20"/>
  <c r="AA25" i="20" s="1"/>
  <c r="Y252" i="17"/>
  <c r="AA252" i="17"/>
  <c r="DN120" i="18"/>
  <c r="DJ120" i="18"/>
  <c r="DF120" i="18"/>
  <c r="DB120" i="18"/>
  <c r="CX120" i="18"/>
  <c r="CT120" i="18"/>
  <c r="CP120" i="18"/>
  <c r="CL120" i="18"/>
  <c r="CH120" i="18"/>
  <c r="CD120" i="18"/>
  <c r="BZ120" i="18"/>
  <c r="BV120" i="18"/>
  <c r="BR120" i="18"/>
  <c r="BN120" i="18"/>
  <c r="BJ120" i="18"/>
  <c r="BF120" i="18"/>
  <c r="BB120" i="18"/>
  <c r="AX120" i="18"/>
  <c r="AT120" i="18"/>
  <c r="AP120" i="18"/>
  <c r="AL120" i="18"/>
  <c r="AH120" i="18"/>
  <c r="AD120" i="18"/>
  <c r="Z120" i="18"/>
  <c r="V120" i="18"/>
  <c r="R120" i="18"/>
  <c r="N120" i="18"/>
  <c r="J120" i="18"/>
  <c r="F120" i="18"/>
  <c r="DQ120" i="18"/>
  <c r="DM120" i="18"/>
  <c r="DI120" i="18"/>
  <c r="DE120" i="18"/>
  <c r="DA120" i="18"/>
  <c r="CW120" i="18"/>
  <c r="CS120" i="18"/>
  <c r="CO120" i="18"/>
  <c r="CK120" i="18"/>
  <c r="CG120" i="18"/>
  <c r="CC120" i="18"/>
  <c r="BY120" i="18"/>
  <c r="BU120" i="18"/>
  <c r="BQ120" i="18"/>
  <c r="BM120" i="18"/>
  <c r="BI120" i="18"/>
  <c r="BE120" i="18"/>
  <c r="BA120" i="18"/>
  <c r="AW120" i="18"/>
  <c r="AS120" i="18"/>
  <c r="AO120" i="18"/>
  <c r="AK120" i="18"/>
  <c r="AG120" i="18"/>
  <c r="AC120" i="18"/>
  <c r="Y120" i="18"/>
  <c r="U120" i="18"/>
  <c r="Q120" i="18"/>
  <c r="M120" i="18"/>
  <c r="I120" i="18"/>
  <c r="E120" i="18"/>
  <c r="DO120" i="18"/>
  <c r="DG120" i="18"/>
  <c r="CY120" i="18"/>
  <c r="CQ120" i="18"/>
  <c r="CI120" i="18"/>
  <c r="CA120" i="18"/>
  <c r="BS120" i="18"/>
  <c r="BK120" i="18"/>
  <c r="BC120" i="18"/>
  <c r="AU120" i="18"/>
  <c r="AM120" i="18"/>
  <c r="AE120" i="18"/>
  <c r="W120" i="18"/>
  <c r="O120" i="18"/>
  <c r="G120" i="18"/>
  <c r="DL120" i="18"/>
  <c r="DD120" i="18"/>
  <c r="CV120" i="18"/>
  <c r="CN120" i="18"/>
  <c r="CF120" i="18"/>
  <c r="BX120" i="18"/>
  <c r="BP120" i="18"/>
  <c r="BH120" i="18"/>
  <c r="AZ120" i="18"/>
  <c r="AR120" i="18"/>
  <c r="AJ120" i="18"/>
  <c r="AB120" i="18"/>
  <c r="T120" i="18"/>
  <c r="L120" i="18"/>
  <c r="DK120" i="18"/>
  <c r="DC120" i="18"/>
  <c r="CU120" i="18"/>
  <c r="CM120" i="18"/>
  <c r="CE120" i="18"/>
  <c r="BW120" i="18"/>
  <c r="BO120" i="18"/>
  <c r="BG120" i="18"/>
  <c r="AY120" i="18"/>
  <c r="AQ120" i="18"/>
  <c r="AI120" i="18"/>
  <c r="AA120" i="18"/>
  <c r="S120" i="18"/>
  <c r="K120" i="18"/>
  <c r="DH120" i="18"/>
  <c r="CB120" i="18"/>
  <c r="AV120" i="18"/>
  <c r="P120" i="18"/>
  <c r="CZ120" i="18"/>
  <c r="BT120" i="18"/>
  <c r="AN120" i="18"/>
  <c r="H120" i="18"/>
  <c r="CR120" i="18"/>
  <c r="BL120" i="18"/>
  <c r="AF120" i="18"/>
  <c r="BD120" i="18"/>
  <c r="X120" i="18"/>
  <c r="DP120" i="18"/>
  <c r="CJ120" i="18"/>
  <c r="Z375" i="17"/>
  <c r="Y93" i="15"/>
  <c r="X93" i="15"/>
  <c r="Z93" i="15"/>
  <c r="Z128" i="15"/>
  <c r="Y128" i="15"/>
  <c r="DO119" i="18"/>
  <c r="DK119" i="18"/>
  <c r="DG119" i="18"/>
  <c r="DC119" i="18"/>
  <c r="CY119" i="18"/>
  <c r="CU119" i="18"/>
  <c r="CQ119" i="18"/>
  <c r="CM119" i="18"/>
  <c r="CI119" i="18"/>
  <c r="CE119" i="18"/>
  <c r="CA119" i="18"/>
  <c r="BW119" i="18"/>
  <c r="BS119" i="18"/>
  <c r="BO119" i="18"/>
  <c r="BK119" i="18"/>
  <c r="BG119" i="18"/>
  <c r="BC119" i="18"/>
  <c r="AY119" i="18"/>
  <c r="AU119" i="18"/>
  <c r="AQ119" i="18"/>
  <c r="AM119" i="18"/>
  <c r="AI119" i="18"/>
  <c r="AE119" i="18"/>
  <c r="AA119" i="18"/>
  <c r="W119" i="18"/>
  <c r="S119" i="18"/>
  <c r="O119" i="18"/>
  <c r="K119" i="18"/>
  <c r="G119" i="18"/>
  <c r="DN119" i="18"/>
  <c r="DJ119" i="18"/>
  <c r="DF119" i="18"/>
  <c r="DB119" i="18"/>
  <c r="CX119" i="18"/>
  <c r="CT119" i="18"/>
  <c r="CP119" i="18"/>
  <c r="CL119" i="18"/>
  <c r="CH119" i="18"/>
  <c r="CD119" i="18"/>
  <c r="BZ119" i="18"/>
  <c r="BV119" i="18"/>
  <c r="BR119" i="18"/>
  <c r="BN119" i="18"/>
  <c r="BJ119" i="18"/>
  <c r="BF119" i="18"/>
  <c r="BB119" i="18"/>
  <c r="AX119" i="18"/>
  <c r="AT119" i="18"/>
  <c r="AP119" i="18"/>
  <c r="AL119" i="18"/>
  <c r="AH119" i="18"/>
  <c r="AD119" i="18"/>
  <c r="Z119" i="18"/>
  <c r="V119" i="18"/>
  <c r="R119" i="18"/>
  <c r="N119" i="18"/>
  <c r="J119" i="18"/>
  <c r="F119" i="18"/>
  <c r="DP119" i="18"/>
  <c r="DH119" i="18"/>
  <c r="CZ119" i="18"/>
  <c r="CR119" i="18"/>
  <c r="CJ119" i="18"/>
  <c r="CB119" i="18"/>
  <c r="BT119" i="18"/>
  <c r="BL119" i="18"/>
  <c r="BD119" i="18"/>
  <c r="AV119" i="18"/>
  <c r="AN119" i="18"/>
  <c r="AF119" i="18"/>
  <c r="X119" i="18"/>
  <c r="P119" i="18"/>
  <c r="H119" i="18"/>
  <c r="DM119" i="18"/>
  <c r="DE119" i="18"/>
  <c r="CW119" i="18"/>
  <c r="CO119" i="18"/>
  <c r="CG119" i="18"/>
  <c r="BY119" i="18"/>
  <c r="BQ119" i="18"/>
  <c r="BI119" i="18"/>
  <c r="BA119" i="18"/>
  <c r="AS119" i="18"/>
  <c r="AK119" i="18"/>
  <c r="AC119" i="18"/>
  <c r="U119" i="18"/>
  <c r="M119" i="18"/>
  <c r="E119" i="18"/>
  <c r="DL119" i="18"/>
  <c r="DD119" i="18"/>
  <c r="CV119" i="18"/>
  <c r="CN119" i="18"/>
  <c r="CF119" i="18"/>
  <c r="BX119" i="18"/>
  <c r="BP119" i="18"/>
  <c r="BH119" i="18"/>
  <c r="AZ119" i="18"/>
  <c r="AR119" i="18"/>
  <c r="AJ119" i="18"/>
  <c r="AB119" i="18"/>
  <c r="T119" i="18"/>
  <c r="L119" i="18"/>
  <c r="DA119" i="18"/>
  <c r="BU119" i="18"/>
  <c r="AO119" i="18"/>
  <c r="I119" i="18"/>
  <c r="CS119" i="18"/>
  <c r="BM119" i="18"/>
  <c r="AG119" i="18"/>
  <c r="DQ119" i="18"/>
  <c r="CK119" i="18"/>
  <c r="BE119" i="18"/>
  <c r="Y119" i="18"/>
  <c r="AW119" i="18"/>
  <c r="Q119" i="18"/>
  <c r="DI119" i="18"/>
  <c r="CC119" i="18"/>
  <c r="AB286" i="17"/>
  <c r="Z286" i="17"/>
  <c r="Y57" i="17"/>
  <c r="X57" i="17"/>
  <c r="DQ56" i="18"/>
  <c r="DM56" i="18"/>
  <c r="DI56" i="18"/>
  <c r="DE56" i="18"/>
  <c r="DA56" i="18"/>
  <c r="CW56" i="18"/>
  <c r="CS56" i="18"/>
  <c r="CO56" i="18"/>
  <c r="CK56" i="18"/>
  <c r="CG56" i="18"/>
  <c r="CC56" i="18"/>
  <c r="BY56" i="18"/>
  <c r="BU56" i="18"/>
  <c r="BQ56" i="18"/>
  <c r="BM56" i="18"/>
  <c r="BI56" i="18"/>
  <c r="BE56" i="18"/>
  <c r="BA56" i="18"/>
  <c r="AW56" i="18"/>
  <c r="AS56" i="18"/>
  <c r="AO56" i="18"/>
  <c r="AK56" i="18"/>
  <c r="AG56" i="18"/>
  <c r="AC56" i="18"/>
  <c r="Y56" i="18"/>
  <c r="U56" i="18"/>
  <c r="Q56" i="18"/>
  <c r="M56" i="18"/>
  <c r="I56" i="18"/>
  <c r="E56" i="18"/>
  <c r="DN56" i="18"/>
  <c r="DH56" i="18"/>
  <c r="DC56" i="18"/>
  <c r="CX56" i="18"/>
  <c r="CR56" i="18"/>
  <c r="CM56" i="18"/>
  <c r="CH56" i="18"/>
  <c r="CB56" i="18"/>
  <c r="BW56" i="18"/>
  <c r="BR56" i="18"/>
  <c r="BL56" i="18"/>
  <c r="BG56" i="18"/>
  <c r="BB56" i="18"/>
  <c r="AV56" i="18"/>
  <c r="AQ56" i="18"/>
  <c r="AL56" i="18"/>
  <c r="AF56" i="18"/>
  <c r="AA56" i="18"/>
  <c r="V56" i="18"/>
  <c r="P56" i="18"/>
  <c r="K56" i="18"/>
  <c r="F56" i="18"/>
  <c r="DL56" i="18"/>
  <c r="DG56" i="18"/>
  <c r="DB56" i="18"/>
  <c r="CV56" i="18"/>
  <c r="CQ56" i="18"/>
  <c r="CL56" i="18"/>
  <c r="CF56" i="18"/>
  <c r="CA56" i="18"/>
  <c r="BV56" i="18"/>
  <c r="BP56" i="18"/>
  <c r="BK56" i="18"/>
  <c r="BF56" i="18"/>
  <c r="AZ56" i="18"/>
  <c r="AU56" i="18"/>
  <c r="AP56" i="18"/>
  <c r="AJ56" i="18"/>
  <c r="AE56" i="18"/>
  <c r="Z56" i="18"/>
  <c r="T56" i="18"/>
  <c r="O56" i="18"/>
  <c r="J56" i="18"/>
  <c r="DP56" i="18"/>
  <c r="DK56" i="18"/>
  <c r="DF56" i="18"/>
  <c r="CZ56" i="18"/>
  <c r="CU56" i="18"/>
  <c r="CP56" i="18"/>
  <c r="CJ56" i="18"/>
  <c r="CE56" i="18"/>
  <c r="BZ56" i="18"/>
  <c r="BT56" i="18"/>
  <c r="BO56" i="18"/>
  <c r="BJ56" i="18"/>
  <c r="BD56" i="18"/>
  <c r="AY56" i="18"/>
  <c r="AT56" i="18"/>
  <c r="AN56" i="18"/>
  <c r="AI56" i="18"/>
  <c r="AD56" i="18"/>
  <c r="X56" i="18"/>
  <c r="S56" i="18"/>
  <c r="N56" i="18"/>
  <c r="H56" i="18"/>
  <c r="DJ56" i="18"/>
  <c r="CN56" i="18"/>
  <c r="BS56" i="18"/>
  <c r="AX56" i="18"/>
  <c r="AB56" i="18"/>
  <c r="G56" i="18"/>
  <c r="DD56" i="18"/>
  <c r="CI56" i="18"/>
  <c r="BN56" i="18"/>
  <c r="AR56" i="18"/>
  <c r="W56" i="18"/>
  <c r="CY56" i="18"/>
  <c r="CD56" i="18"/>
  <c r="BH56" i="18"/>
  <c r="AM56" i="18"/>
  <c r="R56" i="18"/>
  <c r="DO56" i="18"/>
  <c r="AH56" i="18"/>
  <c r="CT56" i="18"/>
  <c r="L56" i="18"/>
  <c r="BX56" i="18"/>
  <c r="BC56" i="18"/>
  <c r="AA408" i="17"/>
  <c r="AB408" i="17"/>
  <c r="AC408" i="17"/>
  <c r="X401" i="17"/>
  <c r="DO14" i="18"/>
  <c r="DK14" i="18"/>
  <c r="DG14" i="18"/>
  <c r="DC14" i="18"/>
  <c r="CY14" i="18"/>
  <c r="CU14" i="18"/>
  <c r="CQ14" i="18"/>
  <c r="CM14" i="18"/>
  <c r="CI14" i="18"/>
  <c r="CE14" i="18"/>
  <c r="CA14" i="18"/>
  <c r="BW14" i="18"/>
  <c r="BS14" i="18"/>
  <c r="BO14" i="18"/>
  <c r="BK14" i="18"/>
  <c r="BG14" i="18"/>
  <c r="BC14" i="18"/>
  <c r="AY14" i="18"/>
  <c r="AU14" i="18"/>
  <c r="AQ14" i="18"/>
  <c r="AM14" i="18"/>
  <c r="AI14" i="18"/>
  <c r="AE14" i="18"/>
  <c r="AA14" i="18"/>
  <c r="W14" i="18"/>
  <c r="S14" i="18"/>
  <c r="O14" i="18"/>
  <c r="K14" i="18"/>
  <c r="G14" i="18"/>
  <c r="DN14" i="18"/>
  <c r="DJ14" i="18"/>
  <c r="DF14" i="18"/>
  <c r="DB14" i="18"/>
  <c r="CX14" i="18"/>
  <c r="CT14" i="18"/>
  <c r="CP14" i="18"/>
  <c r="CL14" i="18"/>
  <c r="CH14" i="18"/>
  <c r="CD14" i="18"/>
  <c r="BZ14" i="18"/>
  <c r="BV14" i="18"/>
  <c r="BR14" i="18"/>
  <c r="BN14" i="18"/>
  <c r="BJ14" i="18"/>
  <c r="BF14" i="18"/>
  <c r="BB14" i="18"/>
  <c r="AX14" i="18"/>
  <c r="AT14" i="18"/>
  <c r="AP14" i="18"/>
  <c r="AL14" i="18"/>
  <c r="AH14" i="18"/>
  <c r="AD14" i="18"/>
  <c r="Z14" i="18"/>
  <c r="V14" i="18"/>
  <c r="R14" i="18"/>
  <c r="N14" i="18"/>
  <c r="J14" i="18"/>
  <c r="F14" i="18"/>
  <c r="DQ14" i="18"/>
  <c r="DM14" i="18"/>
  <c r="DI14" i="18"/>
  <c r="DE14" i="18"/>
  <c r="DA14" i="18"/>
  <c r="CW14" i="18"/>
  <c r="CS14" i="18"/>
  <c r="CO14" i="18"/>
  <c r="CK14" i="18"/>
  <c r="CG14" i="18"/>
  <c r="CC14" i="18"/>
  <c r="BY14" i="18"/>
  <c r="BU14" i="18"/>
  <c r="BQ14" i="18"/>
  <c r="BM14" i="18"/>
  <c r="BI14" i="18"/>
  <c r="BE14" i="18"/>
  <c r="BA14" i="18"/>
  <c r="AW14" i="18"/>
  <c r="AS14" i="18"/>
  <c r="AO14" i="18"/>
  <c r="AK14" i="18"/>
  <c r="AG14" i="18"/>
  <c r="AC14" i="18"/>
  <c r="Y14" i="18"/>
  <c r="U14" i="18"/>
  <c r="Q14" i="18"/>
  <c r="M14" i="18"/>
  <c r="I14" i="18"/>
  <c r="E14" i="18"/>
  <c r="DD14" i="18"/>
  <c r="CN14" i="18"/>
  <c r="BX14" i="18"/>
  <c r="BH14" i="18"/>
  <c r="AR14" i="18"/>
  <c r="AB14" i="18"/>
  <c r="L14" i="18"/>
  <c r="DP14" i="18"/>
  <c r="CZ14" i="18"/>
  <c r="CJ14" i="18"/>
  <c r="BT14" i="18"/>
  <c r="BD14" i="18"/>
  <c r="AN14" i="18"/>
  <c r="X14" i="18"/>
  <c r="H14" i="18"/>
  <c r="DL14" i="18"/>
  <c r="CV14" i="18"/>
  <c r="CF14" i="18"/>
  <c r="BP14" i="18"/>
  <c r="AZ14" i="18"/>
  <c r="AJ14" i="18"/>
  <c r="T14" i="18"/>
  <c r="CB14" i="18"/>
  <c r="P14" i="18"/>
  <c r="BL14" i="18"/>
  <c r="DH14" i="18"/>
  <c r="AV14" i="18"/>
  <c r="AF14" i="18"/>
  <c r="CR14" i="18"/>
  <c r="AC520" i="17"/>
  <c r="AB520" i="17"/>
  <c r="C7" i="21"/>
  <c r="B55" i="9"/>
  <c r="C15" i="11" s="1"/>
  <c r="E7" i="21"/>
  <c r="J7" i="21" s="1"/>
  <c r="D55" i="9"/>
  <c r="A25" i="22"/>
  <c r="B7" i="21"/>
  <c r="G7" i="2"/>
  <c r="L7" i="2" s="1"/>
  <c r="Y36" i="17"/>
  <c r="X36" i="17"/>
  <c r="Z36" i="17" s="1"/>
  <c r="Y25" i="15"/>
  <c r="Z25" i="15"/>
  <c r="DQ16" i="18"/>
  <c r="DM16" i="18"/>
  <c r="DI16" i="18"/>
  <c r="DE16" i="18"/>
  <c r="DA16" i="18"/>
  <c r="CW16" i="18"/>
  <c r="CS16" i="18"/>
  <c r="CO16" i="18"/>
  <c r="CK16" i="18"/>
  <c r="CG16" i="18"/>
  <c r="CC16" i="18"/>
  <c r="BY16" i="18"/>
  <c r="BU16" i="18"/>
  <c r="BQ16" i="18"/>
  <c r="BM16" i="18"/>
  <c r="BI16" i="18"/>
  <c r="BE16" i="18"/>
  <c r="BA16" i="18"/>
  <c r="AW16" i="18"/>
  <c r="AS16" i="18"/>
  <c r="AO16" i="18"/>
  <c r="AK16" i="18"/>
  <c r="AG16" i="18"/>
  <c r="AC16" i="18"/>
  <c r="Y16" i="18"/>
  <c r="U16" i="18"/>
  <c r="Q16" i="18"/>
  <c r="M16" i="18"/>
  <c r="I16" i="18"/>
  <c r="E16" i="18"/>
  <c r="DP16" i="18"/>
  <c r="DL16" i="18"/>
  <c r="DH16" i="18"/>
  <c r="DD16" i="18"/>
  <c r="CZ16" i="18"/>
  <c r="CV16" i="18"/>
  <c r="CR16" i="18"/>
  <c r="CN16" i="18"/>
  <c r="CJ16" i="18"/>
  <c r="CF16" i="18"/>
  <c r="CB16" i="18"/>
  <c r="BX16" i="18"/>
  <c r="BT16" i="18"/>
  <c r="BP16" i="18"/>
  <c r="BL16" i="18"/>
  <c r="BH16" i="18"/>
  <c r="BD16" i="18"/>
  <c r="AZ16" i="18"/>
  <c r="AV16" i="18"/>
  <c r="AR16" i="18"/>
  <c r="AN16" i="18"/>
  <c r="AJ16" i="18"/>
  <c r="AF16" i="18"/>
  <c r="AB16" i="18"/>
  <c r="X16" i="18"/>
  <c r="T16" i="18"/>
  <c r="P16" i="18"/>
  <c r="L16" i="18"/>
  <c r="H16" i="18"/>
  <c r="DO16" i="18"/>
  <c r="DK16" i="18"/>
  <c r="DG16" i="18"/>
  <c r="DC16" i="18"/>
  <c r="CY16" i="18"/>
  <c r="CU16" i="18"/>
  <c r="CQ16" i="18"/>
  <c r="CM16" i="18"/>
  <c r="CI16" i="18"/>
  <c r="CE16" i="18"/>
  <c r="CA16" i="18"/>
  <c r="BW16" i="18"/>
  <c r="BS16" i="18"/>
  <c r="BO16" i="18"/>
  <c r="BK16" i="18"/>
  <c r="BG16" i="18"/>
  <c r="BC16" i="18"/>
  <c r="AY16" i="18"/>
  <c r="AU16" i="18"/>
  <c r="AQ16" i="18"/>
  <c r="AM16" i="18"/>
  <c r="AI16" i="18"/>
  <c r="AE16" i="18"/>
  <c r="AA16" i="18"/>
  <c r="W16" i="18"/>
  <c r="S16" i="18"/>
  <c r="O16" i="18"/>
  <c r="K16" i="18"/>
  <c r="G16" i="18"/>
  <c r="DB16" i="18"/>
  <c r="CL16" i="18"/>
  <c r="BV16" i="18"/>
  <c r="BF16" i="18"/>
  <c r="AP16" i="18"/>
  <c r="Z16" i="18"/>
  <c r="J16" i="18"/>
  <c r="DN16" i="18"/>
  <c r="CX16" i="18"/>
  <c r="CH16" i="18"/>
  <c r="BR16" i="18"/>
  <c r="BB16" i="18"/>
  <c r="AL16" i="18"/>
  <c r="V16" i="18"/>
  <c r="F16" i="18"/>
  <c r="DJ16" i="18"/>
  <c r="CT16" i="18"/>
  <c r="CD16" i="18"/>
  <c r="BN16" i="18"/>
  <c r="AX16" i="18"/>
  <c r="AH16" i="18"/>
  <c r="R16" i="18"/>
  <c r="CP16" i="18"/>
  <c r="AD16" i="18"/>
  <c r="BZ16" i="18"/>
  <c r="N16" i="18"/>
  <c r="BJ16" i="18"/>
  <c r="AT16" i="18"/>
  <c r="DF16" i="18"/>
  <c r="DP94" i="18"/>
  <c r="DL94" i="18"/>
  <c r="DH94" i="18"/>
  <c r="DD94" i="18"/>
  <c r="CZ94" i="18"/>
  <c r="CV94" i="18"/>
  <c r="CR94" i="18"/>
  <c r="CN94" i="18"/>
  <c r="CJ94" i="18"/>
  <c r="CF94" i="18"/>
  <c r="CB94" i="18"/>
  <c r="BX94" i="18"/>
  <c r="BT94" i="18"/>
  <c r="BP94" i="18"/>
  <c r="BL94" i="18"/>
  <c r="BH94" i="18"/>
  <c r="BD94" i="18"/>
  <c r="AZ94" i="18"/>
  <c r="AV94" i="18"/>
  <c r="AR94" i="18"/>
  <c r="AN94" i="18"/>
  <c r="AJ94" i="18"/>
  <c r="AF94" i="18"/>
  <c r="AB94" i="18"/>
  <c r="X94" i="18"/>
  <c r="T94" i="18"/>
  <c r="P94" i="18"/>
  <c r="L94" i="18"/>
  <c r="H94" i="18"/>
  <c r="DO94" i="18"/>
  <c r="DK94" i="18"/>
  <c r="DG94" i="18"/>
  <c r="DC94" i="18"/>
  <c r="CY94" i="18"/>
  <c r="CU94" i="18"/>
  <c r="CQ94" i="18"/>
  <c r="CM94" i="18"/>
  <c r="CI94" i="18"/>
  <c r="CE94" i="18"/>
  <c r="CA94" i="18"/>
  <c r="BW94" i="18"/>
  <c r="BS94" i="18"/>
  <c r="BO94" i="18"/>
  <c r="BK94" i="18"/>
  <c r="BG94" i="18"/>
  <c r="BC94" i="18"/>
  <c r="AY94" i="18"/>
  <c r="AU94" i="18"/>
  <c r="AQ94" i="18"/>
  <c r="AM94" i="18"/>
  <c r="AI94" i="18"/>
  <c r="AE94" i="18"/>
  <c r="AA94" i="18"/>
  <c r="W94" i="18"/>
  <c r="S94" i="18"/>
  <c r="O94" i="18"/>
  <c r="K94" i="18"/>
  <c r="G94" i="18"/>
  <c r="DQ94" i="18"/>
  <c r="DI94" i="18"/>
  <c r="DA94" i="18"/>
  <c r="CS94" i="18"/>
  <c r="CK94" i="18"/>
  <c r="CC94" i="18"/>
  <c r="BU94" i="18"/>
  <c r="BM94" i="18"/>
  <c r="BE94" i="18"/>
  <c r="AW94" i="18"/>
  <c r="AO94" i="18"/>
  <c r="AG94" i="18"/>
  <c r="Y94" i="18"/>
  <c r="Q94" i="18"/>
  <c r="I94" i="18"/>
  <c r="DN94" i="18"/>
  <c r="DF94" i="18"/>
  <c r="CX94" i="18"/>
  <c r="CP94" i="18"/>
  <c r="CH94" i="18"/>
  <c r="BZ94" i="18"/>
  <c r="BR94" i="18"/>
  <c r="BJ94" i="18"/>
  <c r="BB94" i="18"/>
  <c r="AT94" i="18"/>
  <c r="AL94" i="18"/>
  <c r="AD94" i="18"/>
  <c r="V94" i="18"/>
  <c r="N94" i="18"/>
  <c r="F94" i="18"/>
  <c r="DM94" i="18"/>
  <c r="DE94" i="18"/>
  <c r="CW94" i="18"/>
  <c r="CO94" i="18"/>
  <c r="CG94" i="18"/>
  <c r="BY94" i="18"/>
  <c r="BQ94" i="18"/>
  <c r="BI94" i="18"/>
  <c r="BA94" i="18"/>
  <c r="AS94" i="18"/>
  <c r="AK94" i="18"/>
  <c r="AC94" i="18"/>
  <c r="U94" i="18"/>
  <c r="M94" i="18"/>
  <c r="E94" i="18"/>
  <c r="CL94" i="18"/>
  <c r="BF94" i="18"/>
  <c r="Z94" i="18"/>
  <c r="DJ94" i="18"/>
  <c r="CD94" i="18"/>
  <c r="AX94" i="18"/>
  <c r="R94" i="18"/>
  <c r="DB94" i="18"/>
  <c r="BV94" i="18"/>
  <c r="AP94" i="18"/>
  <c r="J94" i="18"/>
  <c r="CT94" i="18"/>
  <c r="BN94" i="18"/>
  <c r="AH94" i="18"/>
  <c r="Z26" i="15"/>
  <c r="Y26" i="15"/>
  <c r="X26" i="15"/>
  <c r="AA26" i="15" s="1"/>
  <c r="Z376" i="17"/>
  <c r="AB376" i="17"/>
  <c r="Z374" i="17"/>
  <c r="Y374" i="17"/>
  <c r="AC473" i="17"/>
  <c r="AB473" i="17"/>
  <c r="AA473" i="17"/>
  <c r="AA179" i="17"/>
  <c r="Z179" i="17"/>
  <c r="Z315" i="17"/>
  <c r="AB315" i="17"/>
  <c r="DP102" i="18"/>
  <c r="DL102" i="18"/>
  <c r="DH102" i="18"/>
  <c r="DD102" i="18"/>
  <c r="CZ102" i="18"/>
  <c r="CV102" i="18"/>
  <c r="CR102" i="18"/>
  <c r="CN102" i="18"/>
  <c r="CJ102" i="18"/>
  <c r="CF102" i="18"/>
  <c r="CB102" i="18"/>
  <c r="BX102" i="18"/>
  <c r="BT102" i="18"/>
  <c r="BP102" i="18"/>
  <c r="BL102" i="18"/>
  <c r="BH102" i="18"/>
  <c r="BD102" i="18"/>
  <c r="AZ102" i="18"/>
  <c r="AV102" i="18"/>
  <c r="AR102" i="18"/>
  <c r="AN102" i="18"/>
  <c r="AJ102" i="18"/>
  <c r="AF102" i="18"/>
  <c r="AB102" i="18"/>
  <c r="X102" i="18"/>
  <c r="T102" i="18"/>
  <c r="P102" i="18"/>
  <c r="L102" i="18"/>
  <c r="H102" i="18"/>
  <c r="DO102" i="18"/>
  <c r="DK102" i="18"/>
  <c r="DG102" i="18"/>
  <c r="DC102" i="18"/>
  <c r="CY102" i="18"/>
  <c r="CU102" i="18"/>
  <c r="CQ102" i="18"/>
  <c r="CM102" i="18"/>
  <c r="CI102" i="18"/>
  <c r="CE102" i="18"/>
  <c r="CA102" i="18"/>
  <c r="BW102" i="18"/>
  <c r="BS102" i="18"/>
  <c r="BO102" i="18"/>
  <c r="BK102" i="18"/>
  <c r="BG102" i="18"/>
  <c r="BC102" i="18"/>
  <c r="AY102" i="18"/>
  <c r="AU102" i="18"/>
  <c r="AQ102" i="18"/>
  <c r="AM102" i="18"/>
  <c r="AI102" i="18"/>
  <c r="AE102" i="18"/>
  <c r="AA102" i="18"/>
  <c r="W102" i="18"/>
  <c r="S102" i="18"/>
  <c r="O102" i="18"/>
  <c r="K102" i="18"/>
  <c r="G102" i="18"/>
  <c r="DQ102" i="18"/>
  <c r="DI102" i="18"/>
  <c r="DA102" i="18"/>
  <c r="CS102" i="18"/>
  <c r="CK102" i="18"/>
  <c r="CC102" i="18"/>
  <c r="BU102" i="18"/>
  <c r="BM102" i="18"/>
  <c r="BE102" i="18"/>
  <c r="AW102" i="18"/>
  <c r="AO102" i="18"/>
  <c r="AG102" i="18"/>
  <c r="Y102" i="18"/>
  <c r="Q102" i="18"/>
  <c r="I102" i="18"/>
  <c r="DN102" i="18"/>
  <c r="DF102" i="18"/>
  <c r="CX102" i="18"/>
  <c r="CP102" i="18"/>
  <c r="CH102" i="18"/>
  <c r="BZ102" i="18"/>
  <c r="BR102" i="18"/>
  <c r="BJ102" i="18"/>
  <c r="BB102" i="18"/>
  <c r="AT102" i="18"/>
  <c r="AL102" i="18"/>
  <c r="AD102" i="18"/>
  <c r="V102" i="18"/>
  <c r="N102" i="18"/>
  <c r="F102" i="18"/>
  <c r="DM102" i="18"/>
  <c r="DE102" i="18"/>
  <c r="CW102" i="18"/>
  <c r="CO102" i="18"/>
  <c r="CG102" i="18"/>
  <c r="BY102" i="18"/>
  <c r="BQ102" i="18"/>
  <c r="BI102" i="18"/>
  <c r="BA102" i="18"/>
  <c r="AS102" i="18"/>
  <c r="AK102" i="18"/>
  <c r="AC102" i="18"/>
  <c r="U102" i="18"/>
  <c r="M102" i="18"/>
  <c r="E102" i="18"/>
  <c r="DJ102" i="18"/>
  <c r="CD102" i="18"/>
  <c r="AX102" i="18"/>
  <c r="R102" i="18"/>
  <c r="DB102" i="18"/>
  <c r="BV102" i="18"/>
  <c r="AP102" i="18"/>
  <c r="J102" i="18"/>
  <c r="CT102" i="18"/>
  <c r="BN102" i="18"/>
  <c r="AH102" i="18"/>
  <c r="BF102" i="18"/>
  <c r="Z102" i="18"/>
  <c r="CL102" i="18"/>
  <c r="AB293" i="17"/>
  <c r="Z293" i="17"/>
  <c r="DO30" i="18"/>
  <c r="DK30" i="18"/>
  <c r="DG30" i="18"/>
  <c r="DC30" i="18"/>
  <c r="CY30" i="18"/>
  <c r="CU30" i="18"/>
  <c r="CQ30" i="18"/>
  <c r="CM30" i="18"/>
  <c r="CI30" i="18"/>
  <c r="CE30" i="18"/>
  <c r="CA30" i="18"/>
  <c r="BW30" i="18"/>
  <c r="BS30" i="18"/>
  <c r="BO30" i="18"/>
  <c r="BK30" i="18"/>
  <c r="BG30" i="18"/>
  <c r="BC30" i="18"/>
  <c r="AY30" i="18"/>
  <c r="AU30" i="18"/>
  <c r="AQ30" i="18"/>
  <c r="AM30" i="18"/>
  <c r="AI30" i="18"/>
  <c r="AE30" i="18"/>
  <c r="AA30" i="18"/>
  <c r="W30" i="18"/>
  <c r="S30" i="18"/>
  <c r="O30" i="18"/>
  <c r="K30" i="18"/>
  <c r="G30" i="18"/>
  <c r="DN30" i="18"/>
  <c r="DJ30" i="18"/>
  <c r="DF30" i="18"/>
  <c r="DB30" i="18"/>
  <c r="CX30" i="18"/>
  <c r="CT30" i="18"/>
  <c r="CP30" i="18"/>
  <c r="CL30" i="18"/>
  <c r="CH30" i="18"/>
  <c r="CD30" i="18"/>
  <c r="BZ30" i="18"/>
  <c r="BV30" i="18"/>
  <c r="BR30" i="18"/>
  <c r="BN30" i="18"/>
  <c r="BJ30" i="18"/>
  <c r="BF30" i="18"/>
  <c r="BB30" i="18"/>
  <c r="AX30" i="18"/>
  <c r="AT30" i="18"/>
  <c r="AP30" i="18"/>
  <c r="AL30" i="18"/>
  <c r="AH30" i="18"/>
  <c r="AD30" i="18"/>
  <c r="Z30" i="18"/>
  <c r="V30" i="18"/>
  <c r="R30" i="18"/>
  <c r="N30" i="18"/>
  <c r="J30" i="18"/>
  <c r="F30" i="18"/>
  <c r="DQ30" i="18"/>
  <c r="DM30" i="18"/>
  <c r="DI30" i="18"/>
  <c r="DE30" i="18"/>
  <c r="DA30" i="18"/>
  <c r="CW30" i="18"/>
  <c r="CS30" i="18"/>
  <c r="CO30" i="18"/>
  <c r="CK30" i="18"/>
  <c r="CG30" i="18"/>
  <c r="CC30" i="18"/>
  <c r="BY30" i="18"/>
  <c r="BU30" i="18"/>
  <c r="BQ30" i="18"/>
  <c r="BM30" i="18"/>
  <c r="BI30" i="18"/>
  <c r="BE30" i="18"/>
  <c r="BA30" i="18"/>
  <c r="AW30" i="18"/>
  <c r="AS30" i="18"/>
  <c r="AO30" i="18"/>
  <c r="AK30" i="18"/>
  <c r="AG30" i="18"/>
  <c r="AC30" i="18"/>
  <c r="Y30" i="18"/>
  <c r="U30" i="18"/>
  <c r="Q30" i="18"/>
  <c r="M30" i="18"/>
  <c r="I30" i="18"/>
  <c r="E30" i="18"/>
  <c r="DD30" i="18"/>
  <c r="CN30" i="18"/>
  <c r="BX30" i="18"/>
  <c r="BH30" i="18"/>
  <c r="AR30" i="18"/>
  <c r="AB30" i="18"/>
  <c r="L30" i="18"/>
  <c r="DP30" i="18"/>
  <c r="CZ30" i="18"/>
  <c r="CJ30" i="18"/>
  <c r="BT30" i="18"/>
  <c r="BD30" i="18"/>
  <c r="AN30" i="18"/>
  <c r="X30" i="18"/>
  <c r="H30" i="18"/>
  <c r="DL30" i="18"/>
  <c r="CV30" i="18"/>
  <c r="CF30" i="18"/>
  <c r="BP30" i="18"/>
  <c r="AZ30" i="18"/>
  <c r="AJ30" i="18"/>
  <c r="T30" i="18"/>
  <c r="BL30" i="18"/>
  <c r="DH30" i="18"/>
  <c r="AV30" i="18"/>
  <c r="CR30" i="18"/>
  <c r="AF30" i="18"/>
  <c r="CB30" i="18"/>
  <c r="P30" i="18"/>
  <c r="Y84" i="17"/>
  <c r="X84" i="17"/>
  <c r="Z84" i="17" s="1"/>
  <c r="Z28" i="15"/>
  <c r="Y28" i="15"/>
  <c r="X28" i="15"/>
  <c r="AA28" i="15" s="1"/>
  <c r="AA246" i="17"/>
  <c r="Y261" i="17"/>
  <c r="X261" i="17"/>
  <c r="Y139" i="17"/>
  <c r="Y250" i="17" s="1"/>
  <c r="AB511" i="17"/>
  <c r="X511" i="17"/>
  <c r="AA511" i="17"/>
  <c r="AC511" i="17"/>
  <c r="Y22" i="17"/>
  <c r="X22" i="17"/>
  <c r="Z22" i="17" s="1"/>
  <c r="Y85" i="15"/>
  <c r="X85" i="15"/>
  <c r="Z85" i="15"/>
  <c r="Y52" i="17"/>
  <c r="X52" i="17"/>
  <c r="Z52" i="17" s="1"/>
  <c r="Y253" i="17"/>
  <c r="AA253" i="17"/>
  <c r="Y55" i="15"/>
  <c r="Z55" i="15"/>
  <c r="AA187" i="17"/>
  <c r="Y187" i="17"/>
  <c r="X79" i="17"/>
  <c r="Z79" i="17" s="1"/>
  <c r="Y79" i="17"/>
  <c r="DN27" i="18"/>
  <c r="DJ27" i="18"/>
  <c r="DF27" i="18"/>
  <c r="DB27" i="18"/>
  <c r="CX27" i="18"/>
  <c r="CT27" i="18"/>
  <c r="CP27" i="18"/>
  <c r="CL27" i="18"/>
  <c r="CH27" i="18"/>
  <c r="CD27" i="18"/>
  <c r="BZ27" i="18"/>
  <c r="BV27" i="18"/>
  <c r="BR27" i="18"/>
  <c r="BN27" i="18"/>
  <c r="BJ27" i="18"/>
  <c r="BF27" i="18"/>
  <c r="BB27" i="18"/>
  <c r="AX27" i="18"/>
  <c r="AT27" i="18"/>
  <c r="AP27" i="18"/>
  <c r="AL27" i="18"/>
  <c r="AH27" i="18"/>
  <c r="AD27" i="18"/>
  <c r="Z27" i="18"/>
  <c r="V27" i="18"/>
  <c r="R27" i="18"/>
  <c r="N27" i="18"/>
  <c r="J27" i="18"/>
  <c r="F27" i="18"/>
  <c r="DQ27" i="18"/>
  <c r="DM27" i="18"/>
  <c r="DI27" i="18"/>
  <c r="DE27" i="18"/>
  <c r="DA27" i="18"/>
  <c r="CW27" i="18"/>
  <c r="CS27" i="18"/>
  <c r="CO27" i="18"/>
  <c r="CK27" i="18"/>
  <c r="CG27" i="18"/>
  <c r="CC27" i="18"/>
  <c r="BY27" i="18"/>
  <c r="BU27" i="18"/>
  <c r="BQ27" i="18"/>
  <c r="BM27" i="18"/>
  <c r="BI27" i="18"/>
  <c r="BE27" i="18"/>
  <c r="BA27" i="18"/>
  <c r="AW27" i="18"/>
  <c r="AS27" i="18"/>
  <c r="AO27" i="18"/>
  <c r="AK27" i="18"/>
  <c r="AG27" i="18"/>
  <c r="AC27" i="18"/>
  <c r="Y27" i="18"/>
  <c r="U27" i="18"/>
  <c r="Q27" i="18"/>
  <c r="M27" i="18"/>
  <c r="I27" i="18"/>
  <c r="E27" i="18"/>
  <c r="DP27" i="18"/>
  <c r="DL27" i="18"/>
  <c r="DH27" i="18"/>
  <c r="DD27" i="18"/>
  <c r="CZ27" i="18"/>
  <c r="CV27" i="18"/>
  <c r="CR27" i="18"/>
  <c r="CN27" i="18"/>
  <c r="CJ27" i="18"/>
  <c r="CF27" i="18"/>
  <c r="CB27" i="18"/>
  <c r="BX27" i="18"/>
  <c r="BT27" i="18"/>
  <c r="BP27" i="18"/>
  <c r="BL27" i="18"/>
  <c r="BH27" i="18"/>
  <c r="BD27" i="18"/>
  <c r="AZ27" i="18"/>
  <c r="AV27" i="18"/>
  <c r="AR27" i="18"/>
  <c r="AN27" i="18"/>
  <c r="AJ27" i="18"/>
  <c r="AF27" i="18"/>
  <c r="AB27" i="18"/>
  <c r="X27" i="18"/>
  <c r="T27" i="18"/>
  <c r="P27" i="18"/>
  <c r="L27" i="18"/>
  <c r="H27" i="18"/>
  <c r="DO27" i="18"/>
  <c r="CY27" i="18"/>
  <c r="CI27" i="18"/>
  <c r="BS27" i="18"/>
  <c r="BC27" i="18"/>
  <c r="AM27" i="18"/>
  <c r="W27" i="18"/>
  <c r="G27" i="18"/>
  <c r="DK27" i="18"/>
  <c r="CU27" i="18"/>
  <c r="CE27" i="18"/>
  <c r="BO27" i="18"/>
  <c r="AY27" i="18"/>
  <c r="AI27" i="18"/>
  <c r="S27" i="18"/>
  <c r="DG27" i="18"/>
  <c r="CQ27" i="18"/>
  <c r="CA27" i="18"/>
  <c r="BK27" i="18"/>
  <c r="AU27" i="18"/>
  <c r="AE27" i="18"/>
  <c r="O27" i="18"/>
  <c r="DC27" i="18"/>
  <c r="AQ27" i="18"/>
  <c r="CM27" i="18"/>
  <c r="AA27" i="18"/>
  <c r="BW27" i="18"/>
  <c r="K27" i="18"/>
  <c r="BG27" i="18"/>
  <c r="AC412" i="17"/>
  <c r="AB412" i="17"/>
  <c r="AC494" i="17"/>
  <c r="AB494" i="17"/>
  <c r="X494" i="17"/>
  <c r="AA494" i="17"/>
  <c r="CC123" i="18"/>
  <c r="Y223" i="17"/>
  <c r="AC434" i="17"/>
  <c r="AB434" i="17"/>
  <c r="AA434" i="17"/>
  <c r="AA401" i="17"/>
  <c r="AA429" i="17" s="1"/>
  <c r="X228" i="17"/>
  <c r="DP71" i="18"/>
  <c r="DL71" i="18"/>
  <c r="DH71" i="18"/>
  <c r="DD71" i="18"/>
  <c r="CZ71" i="18"/>
  <c r="CV71" i="18"/>
  <c r="CR71" i="18"/>
  <c r="CN71" i="18"/>
  <c r="CJ71" i="18"/>
  <c r="CF71" i="18"/>
  <c r="CB71" i="18"/>
  <c r="BX71" i="18"/>
  <c r="BT71" i="18"/>
  <c r="BP71" i="18"/>
  <c r="BL71" i="18"/>
  <c r="BH71" i="18"/>
  <c r="BD71" i="18"/>
  <c r="AZ71" i="18"/>
  <c r="AV71" i="18"/>
  <c r="AR71" i="18"/>
  <c r="AN71" i="18"/>
  <c r="AJ71" i="18"/>
  <c r="AF71" i="18"/>
  <c r="AB71" i="18"/>
  <c r="X71" i="18"/>
  <c r="T71" i="18"/>
  <c r="P71" i="18"/>
  <c r="L71" i="18"/>
  <c r="H71" i="18"/>
  <c r="DO71" i="18"/>
  <c r="DK71" i="18"/>
  <c r="DG71" i="18"/>
  <c r="DC71" i="18"/>
  <c r="CY71" i="18"/>
  <c r="CU71" i="18"/>
  <c r="CQ71" i="18"/>
  <c r="CM71" i="18"/>
  <c r="CI71" i="18"/>
  <c r="CE71" i="18"/>
  <c r="CA71" i="18"/>
  <c r="BW71" i="18"/>
  <c r="BS71" i="18"/>
  <c r="BO71" i="18"/>
  <c r="BK71" i="18"/>
  <c r="BG71" i="18"/>
  <c r="BC71" i="18"/>
  <c r="AY71" i="18"/>
  <c r="AU71" i="18"/>
  <c r="AQ71" i="18"/>
  <c r="AM71" i="18"/>
  <c r="AI71" i="18"/>
  <c r="AE71" i="18"/>
  <c r="AA71" i="18"/>
  <c r="W71" i="18"/>
  <c r="S71" i="18"/>
  <c r="O71" i="18"/>
  <c r="K71" i="18"/>
  <c r="G71" i="18"/>
  <c r="DN71" i="18"/>
  <c r="DJ71" i="18"/>
  <c r="DF71" i="18"/>
  <c r="DB71" i="18"/>
  <c r="CX71" i="18"/>
  <c r="CT71" i="18"/>
  <c r="CP71" i="18"/>
  <c r="CL71" i="18"/>
  <c r="CH71" i="18"/>
  <c r="CD71" i="18"/>
  <c r="BZ71" i="18"/>
  <c r="BV71" i="18"/>
  <c r="BR71" i="18"/>
  <c r="BN71" i="18"/>
  <c r="BJ71" i="18"/>
  <c r="BF71" i="18"/>
  <c r="BB71" i="18"/>
  <c r="AX71" i="18"/>
  <c r="AT71" i="18"/>
  <c r="AP71" i="18"/>
  <c r="AL71" i="18"/>
  <c r="AH71" i="18"/>
  <c r="AD71" i="18"/>
  <c r="Z71" i="18"/>
  <c r="V71" i="18"/>
  <c r="R71" i="18"/>
  <c r="N71" i="18"/>
  <c r="J71" i="18"/>
  <c r="F71" i="18"/>
  <c r="DQ71" i="18"/>
  <c r="DA71" i="18"/>
  <c r="CK71" i="18"/>
  <c r="BU71" i="18"/>
  <c r="BE71" i="18"/>
  <c r="AO71" i="18"/>
  <c r="Y71" i="18"/>
  <c r="I71" i="18"/>
  <c r="DM71" i="18"/>
  <c r="CW71" i="18"/>
  <c r="CG71" i="18"/>
  <c r="BQ71" i="18"/>
  <c r="BA71" i="18"/>
  <c r="AK71" i="18"/>
  <c r="U71" i="18"/>
  <c r="E71" i="18"/>
  <c r="DI71" i="18"/>
  <c r="CS71" i="18"/>
  <c r="CC71" i="18"/>
  <c r="BM71" i="18"/>
  <c r="AW71" i="18"/>
  <c r="AG71" i="18"/>
  <c r="Q71" i="18"/>
  <c r="BY71" i="18"/>
  <c r="M71" i="18"/>
  <c r="BI71" i="18"/>
  <c r="DE71" i="18"/>
  <c r="AS71" i="18"/>
  <c r="CO71" i="18"/>
  <c r="AC71" i="18"/>
  <c r="Y65" i="17"/>
  <c r="X65" i="17"/>
  <c r="AC482" i="17"/>
  <c r="AB482" i="17"/>
  <c r="AA482" i="17"/>
  <c r="Z308" i="17"/>
  <c r="Y308" i="17"/>
  <c r="Y31" i="15"/>
  <c r="Z31" i="15"/>
  <c r="Z287" i="17"/>
  <c r="X67" i="17"/>
  <c r="Y67" i="17"/>
  <c r="Y88" i="17"/>
  <c r="X88" i="17"/>
  <c r="Y93" i="17"/>
  <c r="X93" i="17"/>
  <c r="AA231" i="17"/>
  <c r="Z231" i="17"/>
  <c r="Y231" i="17"/>
  <c r="AA257" i="17"/>
  <c r="AB451" i="17"/>
  <c r="AA451" i="17"/>
  <c r="AC451" i="17"/>
  <c r="AB349" i="17"/>
  <c r="Z349" i="17"/>
  <c r="AA391" i="17"/>
  <c r="Z391" i="17"/>
  <c r="X391" i="17"/>
  <c r="DN128" i="18"/>
  <c r="DJ128" i="18"/>
  <c r="DF128" i="18"/>
  <c r="DB128" i="18"/>
  <c r="CX128" i="18"/>
  <c r="CT128" i="18"/>
  <c r="CP128" i="18"/>
  <c r="CL128" i="18"/>
  <c r="CH128" i="18"/>
  <c r="CD128" i="18"/>
  <c r="BZ128" i="18"/>
  <c r="BV128" i="18"/>
  <c r="BR128" i="18"/>
  <c r="BN128" i="18"/>
  <c r="BJ128" i="18"/>
  <c r="BF128" i="18"/>
  <c r="BB128" i="18"/>
  <c r="AX128" i="18"/>
  <c r="AT128" i="18"/>
  <c r="AP128" i="18"/>
  <c r="AL128" i="18"/>
  <c r="AH128" i="18"/>
  <c r="AD128" i="18"/>
  <c r="Z128" i="18"/>
  <c r="V128" i="18"/>
  <c r="R128" i="18"/>
  <c r="N128" i="18"/>
  <c r="J128" i="18"/>
  <c r="F128" i="18"/>
  <c r="DQ128" i="18"/>
  <c r="DL128" i="18"/>
  <c r="DG128" i="18"/>
  <c r="DA128" i="18"/>
  <c r="CV128" i="18"/>
  <c r="CQ128" i="18"/>
  <c r="CK128" i="18"/>
  <c r="CF128" i="18"/>
  <c r="CA128" i="18"/>
  <c r="BU128" i="18"/>
  <c r="BP128" i="18"/>
  <c r="BK128" i="18"/>
  <c r="BE128" i="18"/>
  <c r="AZ128" i="18"/>
  <c r="AU128" i="18"/>
  <c r="AO128" i="18"/>
  <c r="AJ128" i="18"/>
  <c r="AE128" i="18"/>
  <c r="Y128" i="18"/>
  <c r="T128" i="18"/>
  <c r="O128" i="18"/>
  <c r="I128" i="18"/>
  <c r="DP128" i="18"/>
  <c r="DK128" i="18"/>
  <c r="DE128" i="18"/>
  <c r="CZ128" i="18"/>
  <c r="CU128" i="18"/>
  <c r="CO128" i="18"/>
  <c r="CJ128" i="18"/>
  <c r="CE128" i="18"/>
  <c r="BY128" i="18"/>
  <c r="BT128" i="18"/>
  <c r="BO128" i="18"/>
  <c r="BI128" i="18"/>
  <c r="BD128" i="18"/>
  <c r="AY128" i="18"/>
  <c r="AS128" i="18"/>
  <c r="AN128" i="18"/>
  <c r="AI128" i="18"/>
  <c r="AC128" i="18"/>
  <c r="X128" i="18"/>
  <c r="S128" i="18"/>
  <c r="M128" i="18"/>
  <c r="H128" i="18"/>
  <c r="DH128" i="18"/>
  <c r="CW128" i="18"/>
  <c r="CM128" i="18"/>
  <c r="CB128" i="18"/>
  <c r="BQ128" i="18"/>
  <c r="BG128" i="18"/>
  <c r="AV128" i="18"/>
  <c r="AK128" i="18"/>
  <c r="AA128" i="18"/>
  <c r="P128" i="18"/>
  <c r="E128" i="18"/>
  <c r="DO128" i="18"/>
  <c r="DD128" i="18"/>
  <c r="CS128" i="18"/>
  <c r="CI128" i="18"/>
  <c r="BX128" i="18"/>
  <c r="BM128" i="18"/>
  <c r="BC128" i="18"/>
  <c r="AR128" i="18"/>
  <c r="AG128" i="18"/>
  <c r="W128" i="18"/>
  <c r="L128" i="18"/>
  <c r="DM128" i="18"/>
  <c r="DC128" i="18"/>
  <c r="CR128" i="18"/>
  <c r="CG128" i="18"/>
  <c r="BW128" i="18"/>
  <c r="BL128" i="18"/>
  <c r="BA128" i="18"/>
  <c r="AQ128" i="18"/>
  <c r="AF128" i="18"/>
  <c r="U128" i="18"/>
  <c r="K128" i="18"/>
  <c r="CY128" i="18"/>
  <c r="BH128" i="18"/>
  <c r="Q128" i="18"/>
  <c r="CN128" i="18"/>
  <c r="AW128" i="18"/>
  <c r="G128" i="18"/>
  <c r="CC128" i="18"/>
  <c r="AM128" i="18"/>
  <c r="BS128" i="18"/>
  <c r="AB128" i="18"/>
  <c r="DI128" i="18"/>
  <c r="Y35" i="15"/>
  <c r="Z35" i="15"/>
  <c r="AA158" i="17"/>
  <c r="Y128" i="17"/>
  <c r="X128" i="17"/>
  <c r="AC521" i="17"/>
  <c r="AB521" i="17"/>
  <c r="AA521" i="17"/>
  <c r="Z72" i="15"/>
  <c r="Y72" i="15"/>
  <c r="AB294" i="17"/>
  <c r="Z294" i="17"/>
  <c r="Y61" i="17"/>
  <c r="X61" i="17"/>
  <c r="Z307" i="17"/>
  <c r="X43" i="17"/>
  <c r="Z43" i="17" s="1"/>
  <c r="Y43" i="17"/>
  <c r="AA448" i="17"/>
  <c r="AC448" i="17"/>
  <c r="AB448" i="17"/>
  <c r="DO54" i="18"/>
  <c r="DK54" i="18"/>
  <c r="DG54" i="18"/>
  <c r="DC54" i="18"/>
  <c r="CY54" i="18"/>
  <c r="CU54" i="18"/>
  <c r="CQ54" i="18"/>
  <c r="CM54" i="18"/>
  <c r="CI54" i="18"/>
  <c r="CE54" i="18"/>
  <c r="CA54" i="18"/>
  <c r="BW54" i="18"/>
  <c r="BS54" i="18"/>
  <c r="BO54" i="18"/>
  <c r="BK54" i="18"/>
  <c r="BG54" i="18"/>
  <c r="BC54" i="18"/>
  <c r="AY54" i="18"/>
  <c r="AU54" i="18"/>
  <c r="AQ54" i="18"/>
  <c r="AM54" i="18"/>
  <c r="AI54" i="18"/>
  <c r="AE54" i="18"/>
  <c r="AA54" i="18"/>
  <c r="W54" i="18"/>
  <c r="S54" i="18"/>
  <c r="O54" i="18"/>
  <c r="K54" i="18"/>
  <c r="G54" i="18"/>
  <c r="DP54" i="18"/>
  <c r="DJ54" i="18"/>
  <c r="DE54" i="18"/>
  <c r="CZ54" i="18"/>
  <c r="CT54" i="18"/>
  <c r="CO54" i="18"/>
  <c r="CJ54" i="18"/>
  <c r="CD54" i="18"/>
  <c r="BY54" i="18"/>
  <c r="BT54" i="18"/>
  <c r="BN54" i="18"/>
  <c r="BI54" i="18"/>
  <c r="BD54" i="18"/>
  <c r="AX54" i="18"/>
  <c r="AS54" i="18"/>
  <c r="AN54" i="18"/>
  <c r="AH54" i="18"/>
  <c r="AC54" i="18"/>
  <c r="X54" i="18"/>
  <c r="R54" i="18"/>
  <c r="M54" i="18"/>
  <c r="H54" i="18"/>
  <c r="DN54" i="18"/>
  <c r="DI54" i="18"/>
  <c r="DD54" i="18"/>
  <c r="CX54" i="18"/>
  <c r="CS54" i="18"/>
  <c r="CN54" i="18"/>
  <c r="CH54" i="18"/>
  <c r="CC54" i="18"/>
  <c r="BX54" i="18"/>
  <c r="BR54" i="18"/>
  <c r="BM54" i="18"/>
  <c r="BH54" i="18"/>
  <c r="BB54" i="18"/>
  <c r="AW54" i="18"/>
  <c r="AR54" i="18"/>
  <c r="AL54" i="18"/>
  <c r="AG54" i="18"/>
  <c r="AB54" i="18"/>
  <c r="V54" i="18"/>
  <c r="Q54" i="18"/>
  <c r="L54" i="18"/>
  <c r="F54" i="18"/>
  <c r="DM54" i="18"/>
  <c r="DH54" i="18"/>
  <c r="DB54" i="18"/>
  <c r="CW54" i="18"/>
  <c r="CR54" i="18"/>
  <c r="CL54" i="18"/>
  <c r="CG54" i="18"/>
  <c r="CB54" i="18"/>
  <c r="BV54" i="18"/>
  <c r="BQ54" i="18"/>
  <c r="BL54" i="18"/>
  <c r="BF54" i="18"/>
  <c r="BA54" i="18"/>
  <c r="AV54" i="18"/>
  <c r="AP54" i="18"/>
  <c r="AK54" i="18"/>
  <c r="AF54" i="18"/>
  <c r="Z54" i="18"/>
  <c r="U54" i="18"/>
  <c r="P54" i="18"/>
  <c r="J54" i="18"/>
  <c r="E54" i="18"/>
  <c r="DQ54" i="18"/>
  <c r="CV54" i="18"/>
  <c r="BZ54" i="18"/>
  <c r="BE54" i="18"/>
  <c r="AJ54" i="18"/>
  <c r="N54" i="18"/>
  <c r="DL54" i="18"/>
  <c r="CP54" i="18"/>
  <c r="BU54" i="18"/>
  <c r="AZ54" i="18"/>
  <c r="AD54" i="18"/>
  <c r="I54" i="18"/>
  <c r="DF54" i="18"/>
  <c r="CK54" i="18"/>
  <c r="BP54" i="18"/>
  <c r="AT54" i="18"/>
  <c r="Y54" i="18"/>
  <c r="DA54" i="18"/>
  <c r="T54" i="18"/>
  <c r="CF54" i="18"/>
  <c r="BJ54" i="18"/>
  <c r="AO54" i="18"/>
  <c r="X111" i="17"/>
  <c r="Z111" i="17" s="1"/>
  <c r="Y111" i="17"/>
  <c r="DP110" i="18"/>
  <c r="DL110" i="18"/>
  <c r="DH110" i="18"/>
  <c r="DD110" i="18"/>
  <c r="CZ110" i="18"/>
  <c r="CV110" i="18"/>
  <c r="CR110" i="18"/>
  <c r="CN110" i="18"/>
  <c r="CJ110" i="18"/>
  <c r="CF110" i="18"/>
  <c r="CB110" i="18"/>
  <c r="BX110" i="18"/>
  <c r="BT110" i="18"/>
  <c r="BP110" i="18"/>
  <c r="BL110" i="18"/>
  <c r="BH110" i="18"/>
  <c r="BD110" i="18"/>
  <c r="AZ110" i="18"/>
  <c r="AV110" i="18"/>
  <c r="AR110" i="18"/>
  <c r="AN110" i="18"/>
  <c r="AJ110" i="18"/>
  <c r="AF110" i="18"/>
  <c r="AB110" i="18"/>
  <c r="X110" i="18"/>
  <c r="T110" i="18"/>
  <c r="P110" i="18"/>
  <c r="L110" i="18"/>
  <c r="H110" i="18"/>
  <c r="DO110" i="18"/>
  <c r="DK110" i="18"/>
  <c r="DG110" i="18"/>
  <c r="DC110" i="18"/>
  <c r="CY110" i="18"/>
  <c r="CU110" i="18"/>
  <c r="CQ110" i="18"/>
  <c r="CM110" i="18"/>
  <c r="CI110" i="18"/>
  <c r="CE110" i="18"/>
  <c r="CA110" i="18"/>
  <c r="BW110" i="18"/>
  <c r="BS110" i="18"/>
  <c r="BO110" i="18"/>
  <c r="BK110" i="18"/>
  <c r="BG110" i="18"/>
  <c r="BC110" i="18"/>
  <c r="AY110" i="18"/>
  <c r="AU110" i="18"/>
  <c r="AQ110" i="18"/>
  <c r="AM110" i="18"/>
  <c r="AI110" i="18"/>
  <c r="AE110" i="18"/>
  <c r="AA110" i="18"/>
  <c r="W110" i="18"/>
  <c r="S110" i="18"/>
  <c r="O110" i="18"/>
  <c r="K110" i="18"/>
  <c r="G110" i="18"/>
  <c r="DQ110" i="18"/>
  <c r="DI110" i="18"/>
  <c r="DA110" i="18"/>
  <c r="CS110" i="18"/>
  <c r="CK110" i="18"/>
  <c r="CC110" i="18"/>
  <c r="BU110" i="18"/>
  <c r="BM110" i="18"/>
  <c r="BE110" i="18"/>
  <c r="AW110" i="18"/>
  <c r="AO110" i="18"/>
  <c r="AG110" i="18"/>
  <c r="Y110" i="18"/>
  <c r="Q110" i="18"/>
  <c r="I110" i="18"/>
  <c r="DN110" i="18"/>
  <c r="DF110" i="18"/>
  <c r="CX110" i="18"/>
  <c r="CP110" i="18"/>
  <c r="CH110" i="18"/>
  <c r="BZ110" i="18"/>
  <c r="BR110" i="18"/>
  <c r="BJ110" i="18"/>
  <c r="BB110" i="18"/>
  <c r="AT110" i="18"/>
  <c r="AL110" i="18"/>
  <c r="AD110" i="18"/>
  <c r="V110" i="18"/>
  <c r="N110" i="18"/>
  <c r="F110" i="18"/>
  <c r="DM110" i="18"/>
  <c r="DE110" i="18"/>
  <c r="CW110" i="18"/>
  <c r="CO110" i="18"/>
  <c r="CG110" i="18"/>
  <c r="BY110" i="18"/>
  <c r="BQ110" i="18"/>
  <c r="BI110" i="18"/>
  <c r="BA110" i="18"/>
  <c r="AS110" i="18"/>
  <c r="AK110" i="18"/>
  <c r="AC110" i="18"/>
  <c r="U110" i="18"/>
  <c r="M110" i="18"/>
  <c r="E110" i="18"/>
  <c r="DB110" i="18"/>
  <c r="BV110" i="18"/>
  <c r="AP110" i="18"/>
  <c r="J110" i="18"/>
  <c r="CT110" i="18"/>
  <c r="BN110" i="18"/>
  <c r="AH110" i="18"/>
  <c r="CL110" i="18"/>
  <c r="BF110" i="18"/>
  <c r="Z110" i="18"/>
  <c r="DJ110" i="18"/>
  <c r="CD110" i="18"/>
  <c r="AX110" i="18"/>
  <c r="R110" i="18"/>
  <c r="DO115" i="18"/>
  <c r="DK115" i="18"/>
  <c r="DG115" i="18"/>
  <c r="DC115" i="18"/>
  <c r="CY115" i="18"/>
  <c r="CU115" i="18"/>
  <c r="CQ115" i="18"/>
  <c r="CM115" i="18"/>
  <c r="CI115" i="18"/>
  <c r="CE115" i="18"/>
  <c r="CA115" i="18"/>
  <c r="BW115" i="18"/>
  <c r="BS115" i="18"/>
  <c r="BO115" i="18"/>
  <c r="BK115" i="18"/>
  <c r="BG115" i="18"/>
  <c r="BC115" i="18"/>
  <c r="AY115" i="18"/>
  <c r="AU115" i="18"/>
  <c r="AQ115" i="18"/>
  <c r="AM115" i="18"/>
  <c r="AI115" i="18"/>
  <c r="AE115" i="18"/>
  <c r="AA115" i="18"/>
  <c r="W115" i="18"/>
  <c r="S115" i="18"/>
  <c r="O115" i="18"/>
  <c r="K115" i="18"/>
  <c r="G115" i="18"/>
  <c r="DN115" i="18"/>
  <c r="DJ115" i="18"/>
  <c r="DF115" i="18"/>
  <c r="DB115" i="18"/>
  <c r="CX115" i="18"/>
  <c r="CT115" i="18"/>
  <c r="CP115" i="18"/>
  <c r="CL115" i="18"/>
  <c r="CH115" i="18"/>
  <c r="CD115" i="18"/>
  <c r="BZ115" i="18"/>
  <c r="BV115" i="18"/>
  <c r="BR115" i="18"/>
  <c r="BN115" i="18"/>
  <c r="BJ115" i="18"/>
  <c r="BF115" i="18"/>
  <c r="BB115" i="18"/>
  <c r="AX115" i="18"/>
  <c r="AT115" i="18"/>
  <c r="AP115" i="18"/>
  <c r="AL115" i="18"/>
  <c r="AH115" i="18"/>
  <c r="AD115" i="18"/>
  <c r="Z115" i="18"/>
  <c r="V115" i="18"/>
  <c r="R115" i="18"/>
  <c r="N115" i="18"/>
  <c r="J115" i="18"/>
  <c r="F115" i="18"/>
  <c r="DL115" i="18"/>
  <c r="DD115" i="18"/>
  <c r="CV115" i="18"/>
  <c r="CN115" i="18"/>
  <c r="CF115" i="18"/>
  <c r="BX115" i="18"/>
  <c r="BP115" i="18"/>
  <c r="BH115" i="18"/>
  <c r="AZ115" i="18"/>
  <c r="AR115" i="18"/>
  <c r="AJ115" i="18"/>
  <c r="AB115" i="18"/>
  <c r="T115" i="18"/>
  <c r="L115" i="18"/>
  <c r="DQ115" i="18"/>
  <c r="DI115" i="18"/>
  <c r="DA115" i="18"/>
  <c r="CS115" i="18"/>
  <c r="CK115" i="18"/>
  <c r="CC115" i="18"/>
  <c r="BU115" i="18"/>
  <c r="BM115" i="18"/>
  <c r="BE115" i="18"/>
  <c r="AW115" i="18"/>
  <c r="AO115" i="18"/>
  <c r="AG115" i="18"/>
  <c r="Y115" i="18"/>
  <c r="Q115" i="18"/>
  <c r="I115" i="18"/>
  <c r="DP115" i="18"/>
  <c r="DH115" i="18"/>
  <c r="CZ115" i="18"/>
  <c r="CR115" i="18"/>
  <c r="CJ115" i="18"/>
  <c r="CB115" i="18"/>
  <c r="BT115" i="18"/>
  <c r="BL115" i="18"/>
  <c r="BD115" i="18"/>
  <c r="AV115" i="18"/>
  <c r="AN115" i="18"/>
  <c r="AF115" i="18"/>
  <c r="X115" i="18"/>
  <c r="P115" i="18"/>
  <c r="H115" i="18"/>
  <c r="DE115" i="18"/>
  <c r="BY115" i="18"/>
  <c r="AS115" i="18"/>
  <c r="M115" i="18"/>
  <c r="CW115" i="18"/>
  <c r="BQ115" i="18"/>
  <c r="AK115" i="18"/>
  <c r="E115" i="18"/>
  <c r="CO115" i="18"/>
  <c r="BI115" i="18"/>
  <c r="AC115" i="18"/>
  <c r="U115" i="18"/>
  <c r="DM115" i="18"/>
  <c r="CG115" i="18"/>
  <c r="BA115" i="18"/>
  <c r="Z306" i="17"/>
  <c r="Y306" i="17"/>
  <c r="AB475" i="17"/>
  <c r="X475" i="17"/>
  <c r="AA475" i="17"/>
  <c r="AC475" i="17"/>
  <c r="DN116" i="18"/>
  <c r="DJ116" i="18"/>
  <c r="DF116" i="18"/>
  <c r="DB116" i="18"/>
  <c r="CX116" i="18"/>
  <c r="CT116" i="18"/>
  <c r="CP116" i="18"/>
  <c r="CL116" i="18"/>
  <c r="CH116" i="18"/>
  <c r="CD116" i="18"/>
  <c r="BZ116" i="18"/>
  <c r="BV116" i="18"/>
  <c r="BR116" i="18"/>
  <c r="BN116" i="18"/>
  <c r="BJ116" i="18"/>
  <c r="BF116" i="18"/>
  <c r="BB116" i="18"/>
  <c r="AX116" i="18"/>
  <c r="AT116" i="18"/>
  <c r="AP116" i="18"/>
  <c r="AL116" i="18"/>
  <c r="AH116" i="18"/>
  <c r="AD116" i="18"/>
  <c r="Z116" i="18"/>
  <c r="V116" i="18"/>
  <c r="R116" i="18"/>
  <c r="N116" i="18"/>
  <c r="J116" i="18"/>
  <c r="F116" i="18"/>
  <c r="DQ116" i="18"/>
  <c r="DM116" i="18"/>
  <c r="DI116" i="18"/>
  <c r="DE116" i="18"/>
  <c r="DA116" i="18"/>
  <c r="CW116" i="18"/>
  <c r="CS116" i="18"/>
  <c r="CO116" i="18"/>
  <c r="CK116" i="18"/>
  <c r="CG116" i="18"/>
  <c r="CC116" i="18"/>
  <c r="BY116" i="18"/>
  <c r="BU116" i="18"/>
  <c r="BQ116" i="18"/>
  <c r="BM116" i="18"/>
  <c r="BI116" i="18"/>
  <c r="BE116" i="18"/>
  <c r="BA116" i="18"/>
  <c r="AW116" i="18"/>
  <c r="AS116" i="18"/>
  <c r="AO116" i="18"/>
  <c r="AK116" i="18"/>
  <c r="AG116" i="18"/>
  <c r="AC116" i="18"/>
  <c r="Y116" i="18"/>
  <c r="U116" i="18"/>
  <c r="Q116" i="18"/>
  <c r="M116" i="18"/>
  <c r="I116" i="18"/>
  <c r="E116" i="18"/>
  <c r="DK116" i="18"/>
  <c r="DC116" i="18"/>
  <c r="CU116" i="18"/>
  <c r="CM116" i="18"/>
  <c r="CE116" i="18"/>
  <c r="BW116" i="18"/>
  <c r="BO116" i="18"/>
  <c r="BG116" i="18"/>
  <c r="AY116" i="18"/>
  <c r="AQ116" i="18"/>
  <c r="AI116" i="18"/>
  <c r="AA116" i="18"/>
  <c r="S116" i="18"/>
  <c r="K116" i="18"/>
  <c r="DP116" i="18"/>
  <c r="DH116" i="18"/>
  <c r="CZ116" i="18"/>
  <c r="CR116" i="18"/>
  <c r="CJ116" i="18"/>
  <c r="CB116" i="18"/>
  <c r="BT116" i="18"/>
  <c r="BL116" i="18"/>
  <c r="BD116" i="18"/>
  <c r="AV116" i="18"/>
  <c r="AN116" i="18"/>
  <c r="AF116" i="18"/>
  <c r="X116" i="18"/>
  <c r="P116" i="18"/>
  <c r="H116" i="18"/>
  <c r="DO116" i="18"/>
  <c r="DG116" i="18"/>
  <c r="CY116" i="18"/>
  <c r="CQ116" i="18"/>
  <c r="CI116" i="18"/>
  <c r="CA116" i="18"/>
  <c r="BS116" i="18"/>
  <c r="BK116" i="18"/>
  <c r="BC116" i="18"/>
  <c r="AU116" i="18"/>
  <c r="AM116" i="18"/>
  <c r="AE116" i="18"/>
  <c r="W116" i="18"/>
  <c r="O116" i="18"/>
  <c r="G116" i="18"/>
  <c r="DL116" i="18"/>
  <c r="CF116" i="18"/>
  <c r="AZ116" i="18"/>
  <c r="T116" i="18"/>
  <c r="DD116" i="18"/>
  <c r="BX116" i="18"/>
  <c r="AR116" i="18"/>
  <c r="L116" i="18"/>
  <c r="CV116" i="18"/>
  <c r="BP116" i="18"/>
  <c r="AJ116" i="18"/>
  <c r="AB116" i="18"/>
  <c r="CN116" i="18"/>
  <c r="BH116" i="18"/>
  <c r="Y233" i="17"/>
  <c r="X233" i="17"/>
  <c r="Y70" i="17"/>
  <c r="X70" i="17"/>
  <c r="Z46" i="15"/>
  <c r="Y46" i="15"/>
  <c r="X107" i="17"/>
  <c r="Y107" i="17"/>
  <c r="Y164" i="17"/>
  <c r="AA164" i="17"/>
  <c r="Z299" i="17"/>
  <c r="AB299" i="17"/>
  <c r="AC430" i="17"/>
  <c r="Y430" i="17"/>
  <c r="AB430" i="17"/>
  <c r="AA430" i="17"/>
  <c r="AB443" i="17"/>
  <c r="AA443" i="17"/>
  <c r="AC443" i="17"/>
  <c r="X63" i="17"/>
  <c r="Z63" i="17" s="1"/>
  <c r="Y63" i="17"/>
  <c r="Y120" i="17"/>
  <c r="X120" i="17"/>
  <c r="Z120" i="17" s="1"/>
  <c r="Z319" i="17"/>
  <c r="Y319" i="17"/>
  <c r="Y23" i="15"/>
  <c r="X23" i="15"/>
  <c r="AA23" i="15" s="1"/>
  <c r="Z23" i="15"/>
  <c r="X16" i="15"/>
  <c r="X49" i="15" s="1"/>
  <c r="Y146" i="17"/>
  <c r="X139" i="17"/>
  <c r="Y135" i="15"/>
  <c r="X135" i="15"/>
  <c r="Z135" i="15"/>
  <c r="DN35" i="18"/>
  <c r="DJ35" i="18"/>
  <c r="DF35" i="18"/>
  <c r="DB35" i="18"/>
  <c r="CX35" i="18"/>
  <c r="CT35" i="18"/>
  <c r="CP35" i="18"/>
  <c r="CL35" i="18"/>
  <c r="CH35" i="18"/>
  <c r="CD35" i="18"/>
  <c r="BZ35" i="18"/>
  <c r="BV35" i="18"/>
  <c r="BR35" i="18"/>
  <c r="BN35" i="18"/>
  <c r="BJ35" i="18"/>
  <c r="BF35" i="18"/>
  <c r="BB35" i="18"/>
  <c r="AX35" i="18"/>
  <c r="AT35" i="18"/>
  <c r="AP35" i="18"/>
  <c r="AL35" i="18"/>
  <c r="AH35" i="18"/>
  <c r="AD35" i="18"/>
  <c r="Z35" i="18"/>
  <c r="V35" i="18"/>
  <c r="R35" i="18"/>
  <c r="N35" i="18"/>
  <c r="J35" i="18"/>
  <c r="F35" i="18"/>
  <c r="DQ35" i="18"/>
  <c r="DM35" i="18"/>
  <c r="DI35" i="18"/>
  <c r="DE35" i="18"/>
  <c r="DA35" i="18"/>
  <c r="CW35" i="18"/>
  <c r="CS35" i="18"/>
  <c r="CO35" i="18"/>
  <c r="CK35" i="18"/>
  <c r="CG35" i="18"/>
  <c r="CC35" i="18"/>
  <c r="BY35" i="18"/>
  <c r="BU35" i="18"/>
  <c r="BQ35" i="18"/>
  <c r="BM35" i="18"/>
  <c r="BI35" i="18"/>
  <c r="BE35" i="18"/>
  <c r="BA35" i="18"/>
  <c r="AW35" i="18"/>
  <c r="AS35" i="18"/>
  <c r="AO35" i="18"/>
  <c r="AK35" i="18"/>
  <c r="AG35" i="18"/>
  <c r="AC35" i="18"/>
  <c r="Y35" i="18"/>
  <c r="U35" i="18"/>
  <c r="Q35" i="18"/>
  <c r="M35" i="18"/>
  <c r="I35" i="18"/>
  <c r="E35" i="18"/>
  <c r="DP35" i="18"/>
  <c r="DL35" i="18"/>
  <c r="DH35" i="18"/>
  <c r="DD35" i="18"/>
  <c r="CZ35" i="18"/>
  <c r="CV35" i="18"/>
  <c r="CR35" i="18"/>
  <c r="CN35" i="18"/>
  <c r="CJ35" i="18"/>
  <c r="CF35" i="18"/>
  <c r="CB35" i="18"/>
  <c r="BX35" i="18"/>
  <c r="BT35" i="18"/>
  <c r="BP35" i="18"/>
  <c r="BL35" i="18"/>
  <c r="BH35" i="18"/>
  <c r="BD35" i="18"/>
  <c r="AZ35" i="18"/>
  <c r="AV35" i="18"/>
  <c r="AR35" i="18"/>
  <c r="AN35" i="18"/>
  <c r="AJ35" i="18"/>
  <c r="AF35" i="18"/>
  <c r="AB35" i="18"/>
  <c r="X35" i="18"/>
  <c r="T35" i="18"/>
  <c r="P35" i="18"/>
  <c r="L35" i="18"/>
  <c r="H35" i="18"/>
  <c r="DG35" i="18"/>
  <c r="CQ35" i="18"/>
  <c r="CA35" i="18"/>
  <c r="BK35" i="18"/>
  <c r="AU35" i="18"/>
  <c r="AE35" i="18"/>
  <c r="O35" i="18"/>
  <c r="DC35" i="18"/>
  <c r="CM35" i="18"/>
  <c r="BW35" i="18"/>
  <c r="BG35" i="18"/>
  <c r="AQ35" i="18"/>
  <c r="AA35" i="18"/>
  <c r="K35" i="18"/>
  <c r="DO35" i="18"/>
  <c r="CY35" i="18"/>
  <c r="CI35" i="18"/>
  <c r="BS35" i="18"/>
  <c r="BC35" i="18"/>
  <c r="AM35" i="18"/>
  <c r="W35" i="18"/>
  <c r="G35" i="18"/>
  <c r="CU35" i="18"/>
  <c r="AI35" i="18"/>
  <c r="CE35" i="18"/>
  <c r="S35" i="18"/>
  <c r="BO35" i="18"/>
  <c r="AY35" i="18"/>
  <c r="DK35" i="18"/>
  <c r="AA488" i="17"/>
  <c r="AC488" i="17"/>
  <c r="AB488" i="17"/>
  <c r="X488" i="17"/>
  <c r="Z360" i="17"/>
  <c r="AB360" i="17"/>
  <c r="Y149" i="17"/>
  <c r="X149" i="17"/>
  <c r="AA149" i="17"/>
  <c r="X35" i="17"/>
  <c r="Y35" i="17"/>
  <c r="Z88" i="15"/>
  <c r="Y88" i="15"/>
  <c r="X88" i="15"/>
  <c r="AA88" i="15" s="1"/>
  <c r="AA310" i="17"/>
  <c r="Z310" i="17"/>
  <c r="Y53" i="17"/>
  <c r="X53" i="17"/>
  <c r="Z53" i="17" s="1"/>
  <c r="Y39" i="15"/>
  <c r="X39" i="15"/>
  <c r="AA39" i="15" s="1"/>
  <c r="Z39" i="15"/>
  <c r="Z346" i="17"/>
  <c r="Y151" i="17"/>
  <c r="X151" i="17"/>
  <c r="Z282" i="17"/>
  <c r="X115" i="17"/>
  <c r="Y115" i="17"/>
  <c r="AA508" i="17"/>
  <c r="X508" i="17"/>
  <c r="AC508" i="17"/>
  <c r="AB508" i="17"/>
  <c r="Z392" i="17"/>
  <c r="Y270" i="17"/>
  <c r="Y173" i="17"/>
  <c r="X173" i="17"/>
  <c r="Y86" i="17"/>
  <c r="X86" i="17"/>
  <c r="Z86" i="17" s="1"/>
  <c r="DP53" i="18"/>
  <c r="DL53" i="18"/>
  <c r="DH53" i="18"/>
  <c r="DD53" i="18"/>
  <c r="CZ53" i="18"/>
  <c r="CV53" i="18"/>
  <c r="CR53" i="18"/>
  <c r="CN53" i="18"/>
  <c r="CJ53" i="18"/>
  <c r="CF53" i="18"/>
  <c r="CB53" i="18"/>
  <c r="BX53" i="18"/>
  <c r="BT53" i="18"/>
  <c r="BP53" i="18"/>
  <c r="BL53" i="18"/>
  <c r="BH53" i="18"/>
  <c r="BD53" i="18"/>
  <c r="AZ53" i="18"/>
  <c r="AV53" i="18"/>
  <c r="AR53" i="18"/>
  <c r="AN53" i="18"/>
  <c r="AJ53" i="18"/>
  <c r="AF53" i="18"/>
  <c r="AB53" i="18"/>
  <c r="X53" i="18"/>
  <c r="T53" i="18"/>
  <c r="P53" i="18"/>
  <c r="L53" i="18"/>
  <c r="H53" i="18"/>
  <c r="DN53" i="18"/>
  <c r="DI53" i="18"/>
  <c r="DC53" i="18"/>
  <c r="CX53" i="18"/>
  <c r="CS53" i="18"/>
  <c r="CM53" i="18"/>
  <c r="CH53" i="18"/>
  <c r="CC53" i="18"/>
  <c r="BW53" i="18"/>
  <c r="BR53" i="18"/>
  <c r="BM53" i="18"/>
  <c r="BG53" i="18"/>
  <c r="BB53" i="18"/>
  <c r="AW53" i="18"/>
  <c r="AQ53" i="18"/>
  <c r="AL53" i="18"/>
  <c r="AG53" i="18"/>
  <c r="AA53" i="18"/>
  <c r="V53" i="18"/>
  <c r="Q53" i="18"/>
  <c r="K53" i="18"/>
  <c r="F53" i="18"/>
  <c r="DM53" i="18"/>
  <c r="DG53" i="18"/>
  <c r="DB53" i="18"/>
  <c r="CW53" i="18"/>
  <c r="CQ53" i="18"/>
  <c r="CL53" i="18"/>
  <c r="CG53" i="18"/>
  <c r="CA53" i="18"/>
  <c r="BV53" i="18"/>
  <c r="BQ53" i="18"/>
  <c r="BK53" i="18"/>
  <c r="BF53" i="18"/>
  <c r="BA53" i="18"/>
  <c r="AU53" i="18"/>
  <c r="AP53" i="18"/>
  <c r="AK53" i="18"/>
  <c r="AE53" i="18"/>
  <c r="Z53" i="18"/>
  <c r="U53" i="18"/>
  <c r="O53" i="18"/>
  <c r="J53" i="18"/>
  <c r="E53" i="18"/>
  <c r="DQ53" i="18"/>
  <c r="DK53" i="18"/>
  <c r="DF53" i="18"/>
  <c r="DA53" i="18"/>
  <c r="CU53" i="18"/>
  <c r="CP53" i="18"/>
  <c r="CK53" i="18"/>
  <c r="CE53" i="18"/>
  <c r="BZ53" i="18"/>
  <c r="BU53" i="18"/>
  <c r="BO53" i="18"/>
  <c r="BJ53" i="18"/>
  <c r="BE53" i="18"/>
  <c r="AY53" i="18"/>
  <c r="AT53" i="18"/>
  <c r="AO53" i="18"/>
  <c r="AI53" i="18"/>
  <c r="AD53" i="18"/>
  <c r="Y53" i="18"/>
  <c r="S53" i="18"/>
  <c r="N53" i="18"/>
  <c r="I53" i="18"/>
  <c r="DJ53" i="18"/>
  <c r="CO53" i="18"/>
  <c r="BS53" i="18"/>
  <c r="AX53" i="18"/>
  <c r="AC53" i="18"/>
  <c r="G53" i="18"/>
  <c r="DE53" i="18"/>
  <c r="CI53" i="18"/>
  <c r="BN53" i="18"/>
  <c r="AS53" i="18"/>
  <c r="W53" i="18"/>
  <c r="CY53" i="18"/>
  <c r="CD53" i="18"/>
  <c r="BI53" i="18"/>
  <c r="AM53" i="18"/>
  <c r="R53" i="18"/>
  <c r="BC53" i="18"/>
  <c r="DO53" i="18"/>
  <c r="AH53" i="18"/>
  <c r="CT53" i="18"/>
  <c r="M53" i="18"/>
  <c r="BY53" i="18"/>
  <c r="Z284" i="17"/>
  <c r="Y284" i="17"/>
  <c r="DO76" i="18"/>
  <c r="DK76" i="18"/>
  <c r="DG76" i="18"/>
  <c r="DC76" i="18"/>
  <c r="CY76" i="18"/>
  <c r="CU76" i="18"/>
  <c r="CQ76" i="18"/>
  <c r="CM76" i="18"/>
  <c r="CI76" i="18"/>
  <c r="CE76" i="18"/>
  <c r="CA76" i="18"/>
  <c r="BW76" i="18"/>
  <c r="BS76" i="18"/>
  <c r="BO76" i="18"/>
  <c r="BK76" i="18"/>
  <c r="BG76" i="18"/>
  <c r="BC76" i="18"/>
  <c r="AY76" i="18"/>
  <c r="AU76" i="18"/>
  <c r="AQ76" i="18"/>
  <c r="AM76" i="18"/>
  <c r="AI76" i="18"/>
  <c r="AE76" i="18"/>
  <c r="AA76" i="18"/>
  <c r="W76" i="18"/>
  <c r="S76" i="18"/>
  <c r="O76" i="18"/>
  <c r="K76" i="18"/>
  <c r="G76" i="18"/>
  <c r="DN76" i="18"/>
  <c r="DJ76" i="18"/>
  <c r="DF76" i="18"/>
  <c r="DB76" i="18"/>
  <c r="CX76" i="18"/>
  <c r="CT76" i="18"/>
  <c r="CP76" i="18"/>
  <c r="CL76" i="18"/>
  <c r="CH76" i="18"/>
  <c r="CD76" i="18"/>
  <c r="BZ76" i="18"/>
  <c r="BV76" i="18"/>
  <c r="BR76" i="18"/>
  <c r="BN76" i="18"/>
  <c r="BJ76" i="18"/>
  <c r="BF76" i="18"/>
  <c r="BB76" i="18"/>
  <c r="AX76" i="18"/>
  <c r="AT76" i="18"/>
  <c r="AP76" i="18"/>
  <c r="AL76" i="18"/>
  <c r="AH76" i="18"/>
  <c r="AD76" i="18"/>
  <c r="Z76" i="18"/>
  <c r="V76" i="18"/>
  <c r="R76" i="18"/>
  <c r="N76" i="18"/>
  <c r="J76" i="18"/>
  <c r="F76" i="18"/>
  <c r="DQ76" i="18"/>
  <c r="DM76" i="18"/>
  <c r="DI76" i="18"/>
  <c r="DE76" i="18"/>
  <c r="DA76" i="18"/>
  <c r="CW76" i="18"/>
  <c r="CS76" i="18"/>
  <c r="CO76" i="18"/>
  <c r="CK76" i="18"/>
  <c r="CG76" i="18"/>
  <c r="CC76" i="18"/>
  <c r="BY76" i="18"/>
  <c r="BU76" i="18"/>
  <c r="BQ76" i="18"/>
  <c r="BM76" i="18"/>
  <c r="BI76" i="18"/>
  <c r="BE76" i="18"/>
  <c r="BA76" i="18"/>
  <c r="AW76" i="18"/>
  <c r="AS76" i="18"/>
  <c r="AO76" i="18"/>
  <c r="AK76" i="18"/>
  <c r="AG76" i="18"/>
  <c r="AC76" i="18"/>
  <c r="Y76" i="18"/>
  <c r="U76" i="18"/>
  <c r="Q76" i="18"/>
  <c r="M76" i="18"/>
  <c r="I76" i="18"/>
  <c r="E76" i="18"/>
  <c r="DD76" i="18"/>
  <c r="CN76" i="18"/>
  <c r="BX76" i="18"/>
  <c r="BH76" i="18"/>
  <c r="AR76" i="18"/>
  <c r="AB76" i="18"/>
  <c r="L76" i="18"/>
  <c r="DP76" i="18"/>
  <c r="CZ76" i="18"/>
  <c r="CJ76" i="18"/>
  <c r="BT76" i="18"/>
  <c r="BD76" i="18"/>
  <c r="AN76" i="18"/>
  <c r="X76" i="18"/>
  <c r="H76" i="18"/>
  <c r="DL76" i="18"/>
  <c r="CV76" i="18"/>
  <c r="CF76" i="18"/>
  <c r="BP76" i="18"/>
  <c r="AZ76" i="18"/>
  <c r="AJ76" i="18"/>
  <c r="T76" i="18"/>
  <c r="DH76" i="18"/>
  <c r="AV76" i="18"/>
  <c r="CR76" i="18"/>
  <c r="AF76" i="18"/>
  <c r="CB76" i="18"/>
  <c r="P76" i="18"/>
  <c r="BL76" i="18"/>
  <c r="AC474" i="17"/>
  <c r="AB474" i="17"/>
  <c r="X474" i="17"/>
  <c r="AA474" i="17"/>
  <c r="AA314" i="17"/>
  <c r="Z314" i="17"/>
  <c r="Y314" i="17"/>
  <c r="Y122" i="17"/>
  <c r="X122" i="17"/>
  <c r="Z122" i="17" s="1"/>
  <c r="DO46" i="18"/>
  <c r="DK46" i="18"/>
  <c r="DG46" i="18"/>
  <c r="DC46" i="18"/>
  <c r="CY46" i="18"/>
  <c r="CU46" i="18"/>
  <c r="CQ46" i="18"/>
  <c r="CM46" i="18"/>
  <c r="CI46" i="18"/>
  <c r="CE46" i="18"/>
  <c r="CA46" i="18"/>
  <c r="BW46" i="18"/>
  <c r="BS46" i="18"/>
  <c r="BO46" i="18"/>
  <c r="BK46" i="18"/>
  <c r="BG46" i="18"/>
  <c r="BC46" i="18"/>
  <c r="AY46" i="18"/>
  <c r="AU46" i="18"/>
  <c r="AQ46" i="18"/>
  <c r="AM46" i="18"/>
  <c r="AI46" i="18"/>
  <c r="AE46" i="18"/>
  <c r="AA46" i="18"/>
  <c r="W46" i="18"/>
  <c r="S46" i="18"/>
  <c r="O46" i="18"/>
  <c r="K46" i="18"/>
  <c r="G46" i="18"/>
  <c r="DN46" i="18"/>
  <c r="DJ46" i="18"/>
  <c r="DF46" i="18"/>
  <c r="DB46" i="18"/>
  <c r="CX46" i="18"/>
  <c r="CT46" i="18"/>
  <c r="CP46" i="18"/>
  <c r="CL46" i="18"/>
  <c r="CH46" i="18"/>
  <c r="CD46" i="18"/>
  <c r="BZ46" i="18"/>
  <c r="BV46" i="18"/>
  <c r="BR46" i="18"/>
  <c r="BN46" i="18"/>
  <c r="BJ46" i="18"/>
  <c r="BF46" i="18"/>
  <c r="BB46" i="18"/>
  <c r="AX46" i="18"/>
  <c r="AT46" i="18"/>
  <c r="AP46" i="18"/>
  <c r="AL46" i="18"/>
  <c r="AH46" i="18"/>
  <c r="AD46" i="18"/>
  <c r="Z46" i="18"/>
  <c r="V46" i="18"/>
  <c r="R46" i="18"/>
  <c r="N46" i="18"/>
  <c r="J46" i="18"/>
  <c r="F46" i="18"/>
  <c r="DQ46" i="18"/>
  <c r="DM46" i="18"/>
  <c r="DI46" i="18"/>
  <c r="DE46" i="18"/>
  <c r="DA46" i="18"/>
  <c r="CW46" i="18"/>
  <c r="CS46" i="18"/>
  <c r="CO46" i="18"/>
  <c r="CK46" i="18"/>
  <c r="CG46" i="18"/>
  <c r="CC46" i="18"/>
  <c r="BY46" i="18"/>
  <c r="BU46" i="18"/>
  <c r="BQ46" i="18"/>
  <c r="BM46" i="18"/>
  <c r="BI46" i="18"/>
  <c r="BE46" i="18"/>
  <c r="BA46" i="18"/>
  <c r="AW46" i="18"/>
  <c r="AS46" i="18"/>
  <c r="AO46" i="18"/>
  <c r="AK46" i="18"/>
  <c r="AG46" i="18"/>
  <c r="AC46" i="18"/>
  <c r="Y46" i="18"/>
  <c r="U46" i="18"/>
  <c r="Q46" i="18"/>
  <c r="M46" i="18"/>
  <c r="I46" i="18"/>
  <c r="E46" i="18"/>
  <c r="DD46" i="18"/>
  <c r="CN46" i="18"/>
  <c r="BX46" i="18"/>
  <c r="BH46" i="18"/>
  <c r="AR46" i="18"/>
  <c r="AB46" i="18"/>
  <c r="L46" i="18"/>
  <c r="DP46" i="18"/>
  <c r="CZ46" i="18"/>
  <c r="CJ46" i="18"/>
  <c r="BT46" i="18"/>
  <c r="BD46" i="18"/>
  <c r="AN46" i="18"/>
  <c r="X46" i="18"/>
  <c r="H46" i="18"/>
  <c r="DL46" i="18"/>
  <c r="CV46" i="18"/>
  <c r="CF46" i="18"/>
  <c r="BP46" i="18"/>
  <c r="AZ46" i="18"/>
  <c r="AJ46" i="18"/>
  <c r="T46" i="18"/>
  <c r="DH46" i="18"/>
  <c r="AV46" i="18"/>
  <c r="CR46" i="18"/>
  <c r="AF46" i="18"/>
  <c r="CB46" i="18"/>
  <c r="P46" i="18"/>
  <c r="BL46" i="18"/>
  <c r="Z318" i="17"/>
  <c r="Y318" i="17"/>
  <c r="Y28" i="17"/>
  <c r="X28" i="17"/>
  <c r="AC421" i="17"/>
  <c r="AB421" i="17"/>
  <c r="X421" i="17"/>
  <c r="AA421" i="17"/>
  <c r="Z401" i="17"/>
  <c r="Z435" i="17" s="1"/>
  <c r="Y281" i="17"/>
  <c r="Z281" i="17"/>
  <c r="DO18" i="18"/>
  <c r="DK18" i="18"/>
  <c r="DG18" i="18"/>
  <c r="DC18" i="18"/>
  <c r="CY18" i="18"/>
  <c r="CU18" i="18"/>
  <c r="CQ18" i="18"/>
  <c r="CM18" i="18"/>
  <c r="CI18" i="18"/>
  <c r="CE18" i="18"/>
  <c r="CA18" i="18"/>
  <c r="BW18" i="18"/>
  <c r="BS18" i="18"/>
  <c r="BO18" i="18"/>
  <c r="BK18" i="18"/>
  <c r="BG18" i="18"/>
  <c r="BC18" i="18"/>
  <c r="AY18" i="18"/>
  <c r="AU18" i="18"/>
  <c r="AQ18" i="18"/>
  <c r="AM18" i="18"/>
  <c r="AI18" i="18"/>
  <c r="AE18" i="18"/>
  <c r="AA18" i="18"/>
  <c r="W18" i="18"/>
  <c r="S18" i="18"/>
  <c r="O18" i="18"/>
  <c r="K18" i="18"/>
  <c r="G18" i="18"/>
  <c r="DN18" i="18"/>
  <c r="DJ18" i="18"/>
  <c r="DF18" i="18"/>
  <c r="DB18" i="18"/>
  <c r="CX18" i="18"/>
  <c r="CT18" i="18"/>
  <c r="CP18" i="18"/>
  <c r="CL18" i="18"/>
  <c r="CH18" i="18"/>
  <c r="CD18" i="18"/>
  <c r="BZ18" i="18"/>
  <c r="BV18" i="18"/>
  <c r="BR18" i="18"/>
  <c r="BN18" i="18"/>
  <c r="BJ18" i="18"/>
  <c r="BF18" i="18"/>
  <c r="BB18" i="18"/>
  <c r="AX18" i="18"/>
  <c r="AT18" i="18"/>
  <c r="AP18" i="18"/>
  <c r="AL18" i="18"/>
  <c r="AH18" i="18"/>
  <c r="AD18" i="18"/>
  <c r="Z18" i="18"/>
  <c r="V18" i="18"/>
  <c r="R18" i="18"/>
  <c r="N18" i="18"/>
  <c r="J18" i="18"/>
  <c r="F18" i="18"/>
  <c r="DQ18" i="18"/>
  <c r="DM18" i="18"/>
  <c r="DI18" i="18"/>
  <c r="DE18" i="18"/>
  <c r="DA18" i="18"/>
  <c r="CW18" i="18"/>
  <c r="CS18" i="18"/>
  <c r="CO18" i="18"/>
  <c r="CK18" i="18"/>
  <c r="CG18" i="18"/>
  <c r="CC18" i="18"/>
  <c r="BY18" i="18"/>
  <c r="BU18" i="18"/>
  <c r="BQ18" i="18"/>
  <c r="BM18" i="18"/>
  <c r="BI18" i="18"/>
  <c r="BE18" i="18"/>
  <c r="BA18" i="18"/>
  <c r="AW18" i="18"/>
  <c r="AS18" i="18"/>
  <c r="AO18" i="18"/>
  <c r="AK18" i="18"/>
  <c r="AG18" i="18"/>
  <c r="AC18" i="18"/>
  <c r="Y18" i="18"/>
  <c r="U18" i="18"/>
  <c r="Q18" i="18"/>
  <c r="M18" i="18"/>
  <c r="I18" i="18"/>
  <c r="E18" i="18"/>
  <c r="DP18" i="18"/>
  <c r="CZ18" i="18"/>
  <c r="CJ18" i="18"/>
  <c r="BT18" i="18"/>
  <c r="BD18" i="18"/>
  <c r="AN18" i="18"/>
  <c r="X18" i="18"/>
  <c r="H18" i="18"/>
  <c r="DL18" i="18"/>
  <c r="CV18" i="18"/>
  <c r="CF18" i="18"/>
  <c r="BP18" i="18"/>
  <c r="AZ18" i="18"/>
  <c r="AJ18" i="18"/>
  <c r="T18" i="18"/>
  <c r="DH18" i="18"/>
  <c r="CR18" i="18"/>
  <c r="CB18" i="18"/>
  <c r="BL18" i="18"/>
  <c r="AV18" i="18"/>
  <c r="AF18" i="18"/>
  <c r="P18" i="18"/>
  <c r="DD18" i="18"/>
  <c r="AR18" i="18"/>
  <c r="CN18" i="18"/>
  <c r="AB18" i="18"/>
  <c r="BX18" i="18"/>
  <c r="L18" i="18"/>
  <c r="BH18" i="18"/>
  <c r="Y66" i="17"/>
  <c r="X66" i="17"/>
  <c r="Y197" i="17"/>
  <c r="X197" i="17"/>
  <c r="Y94" i="17"/>
  <c r="X94" i="17"/>
  <c r="Z70" i="15"/>
  <c r="Y70" i="15"/>
  <c r="X70" i="15"/>
  <c r="AB455" i="17"/>
  <c r="AA455" i="17"/>
  <c r="AC455" i="17"/>
  <c r="Y101" i="17"/>
  <c r="X101" i="17"/>
  <c r="DN100" i="18"/>
  <c r="DJ100" i="18"/>
  <c r="DF100" i="18"/>
  <c r="DB100" i="18"/>
  <c r="CX100" i="18"/>
  <c r="CT100" i="18"/>
  <c r="CP100" i="18"/>
  <c r="CL100" i="18"/>
  <c r="CH100" i="18"/>
  <c r="CD100" i="18"/>
  <c r="BZ100" i="18"/>
  <c r="BV100" i="18"/>
  <c r="BR100" i="18"/>
  <c r="BN100" i="18"/>
  <c r="BJ100" i="18"/>
  <c r="BF100" i="18"/>
  <c r="BB100" i="18"/>
  <c r="AX100" i="18"/>
  <c r="AT100" i="18"/>
  <c r="AP100" i="18"/>
  <c r="AL100" i="18"/>
  <c r="AH100" i="18"/>
  <c r="AD100" i="18"/>
  <c r="Z100" i="18"/>
  <c r="V100" i="18"/>
  <c r="R100" i="18"/>
  <c r="N100" i="18"/>
  <c r="J100" i="18"/>
  <c r="F100" i="18"/>
  <c r="DQ100" i="18"/>
  <c r="DM100" i="18"/>
  <c r="DI100" i="18"/>
  <c r="DE100" i="18"/>
  <c r="DA100" i="18"/>
  <c r="CW100" i="18"/>
  <c r="CS100" i="18"/>
  <c r="CO100" i="18"/>
  <c r="CK100" i="18"/>
  <c r="CG100" i="18"/>
  <c r="CC100" i="18"/>
  <c r="BY100" i="18"/>
  <c r="BU100" i="18"/>
  <c r="BQ100" i="18"/>
  <c r="BM100" i="18"/>
  <c r="BI100" i="18"/>
  <c r="BE100" i="18"/>
  <c r="BA100" i="18"/>
  <c r="AW100" i="18"/>
  <c r="AS100" i="18"/>
  <c r="AO100" i="18"/>
  <c r="AK100" i="18"/>
  <c r="AG100" i="18"/>
  <c r="AC100" i="18"/>
  <c r="Y100" i="18"/>
  <c r="U100" i="18"/>
  <c r="Q100" i="18"/>
  <c r="M100" i="18"/>
  <c r="I100" i="18"/>
  <c r="E100" i="18"/>
  <c r="DK100" i="18"/>
  <c r="DC100" i="18"/>
  <c r="CU100" i="18"/>
  <c r="CM100" i="18"/>
  <c r="CE100" i="18"/>
  <c r="BW100" i="18"/>
  <c r="BO100" i="18"/>
  <c r="BG100" i="18"/>
  <c r="AY100" i="18"/>
  <c r="AQ100" i="18"/>
  <c r="AI100" i="18"/>
  <c r="AA100" i="18"/>
  <c r="S100" i="18"/>
  <c r="K100" i="18"/>
  <c r="DP100" i="18"/>
  <c r="DH100" i="18"/>
  <c r="CZ100" i="18"/>
  <c r="CR100" i="18"/>
  <c r="CJ100" i="18"/>
  <c r="CB100" i="18"/>
  <c r="BT100" i="18"/>
  <c r="BL100" i="18"/>
  <c r="BD100" i="18"/>
  <c r="AV100" i="18"/>
  <c r="AN100" i="18"/>
  <c r="AF100" i="18"/>
  <c r="X100" i="18"/>
  <c r="P100" i="18"/>
  <c r="H100" i="18"/>
  <c r="DO100" i="18"/>
  <c r="DG100" i="18"/>
  <c r="CY100" i="18"/>
  <c r="CQ100" i="18"/>
  <c r="CI100" i="18"/>
  <c r="CA100" i="18"/>
  <c r="BS100" i="18"/>
  <c r="BK100" i="18"/>
  <c r="BC100" i="18"/>
  <c r="AU100" i="18"/>
  <c r="AM100" i="18"/>
  <c r="AE100" i="18"/>
  <c r="W100" i="18"/>
  <c r="O100" i="18"/>
  <c r="G100" i="18"/>
  <c r="CV100" i="18"/>
  <c r="BP100" i="18"/>
  <c r="AJ100" i="18"/>
  <c r="CN100" i="18"/>
  <c r="BH100" i="18"/>
  <c r="AB100" i="18"/>
  <c r="DL100" i="18"/>
  <c r="CF100" i="18"/>
  <c r="AZ100" i="18"/>
  <c r="T100" i="18"/>
  <c r="AR100" i="18"/>
  <c r="L100" i="18"/>
  <c r="DD100" i="18"/>
  <c r="BX100" i="18"/>
  <c r="CD28" i="18"/>
  <c r="N28" i="18"/>
  <c r="K28" i="18"/>
  <c r="AQ28" i="18"/>
  <c r="X28" i="18"/>
  <c r="AG28" i="18"/>
  <c r="AR123" i="18"/>
  <c r="BX123" i="18"/>
  <c r="CP123" i="18"/>
  <c r="AB354" i="17"/>
  <c r="Z354" i="17"/>
  <c r="Y354" i="17"/>
  <c r="AA512" i="17"/>
  <c r="Z512" i="17"/>
  <c r="AC512" i="17"/>
  <c r="AB512" i="17"/>
  <c r="DP118" i="18"/>
  <c r="DL118" i="18"/>
  <c r="DH118" i="18"/>
  <c r="DD118" i="18"/>
  <c r="CZ118" i="18"/>
  <c r="CV118" i="18"/>
  <c r="CR118" i="18"/>
  <c r="CN118" i="18"/>
  <c r="CJ118" i="18"/>
  <c r="CF118" i="18"/>
  <c r="CB118" i="18"/>
  <c r="BX118" i="18"/>
  <c r="BT118" i="18"/>
  <c r="BP118" i="18"/>
  <c r="BL118" i="18"/>
  <c r="BH118" i="18"/>
  <c r="BD118" i="18"/>
  <c r="AZ118" i="18"/>
  <c r="AV118" i="18"/>
  <c r="AR118" i="18"/>
  <c r="AN118" i="18"/>
  <c r="AJ118" i="18"/>
  <c r="AF118" i="18"/>
  <c r="AB118" i="18"/>
  <c r="X118" i="18"/>
  <c r="T118" i="18"/>
  <c r="P118" i="18"/>
  <c r="L118" i="18"/>
  <c r="H118" i="18"/>
  <c r="DO118" i="18"/>
  <c r="DK118" i="18"/>
  <c r="DG118" i="18"/>
  <c r="DC118" i="18"/>
  <c r="CY118" i="18"/>
  <c r="CU118" i="18"/>
  <c r="CQ118" i="18"/>
  <c r="CM118" i="18"/>
  <c r="CI118" i="18"/>
  <c r="CE118" i="18"/>
  <c r="CA118" i="18"/>
  <c r="BW118" i="18"/>
  <c r="BS118" i="18"/>
  <c r="BO118" i="18"/>
  <c r="BK118" i="18"/>
  <c r="BG118" i="18"/>
  <c r="BC118" i="18"/>
  <c r="AY118" i="18"/>
  <c r="AU118" i="18"/>
  <c r="AQ118" i="18"/>
  <c r="AM118" i="18"/>
  <c r="AI118" i="18"/>
  <c r="AE118" i="18"/>
  <c r="AA118" i="18"/>
  <c r="W118" i="18"/>
  <c r="S118" i="18"/>
  <c r="O118" i="18"/>
  <c r="K118" i="18"/>
  <c r="G118" i="18"/>
  <c r="DQ118" i="18"/>
  <c r="DI118" i="18"/>
  <c r="DA118" i="18"/>
  <c r="CS118" i="18"/>
  <c r="CK118" i="18"/>
  <c r="CC118" i="18"/>
  <c r="BU118" i="18"/>
  <c r="BM118" i="18"/>
  <c r="BE118" i="18"/>
  <c r="AW118" i="18"/>
  <c r="AO118" i="18"/>
  <c r="AG118" i="18"/>
  <c r="Y118" i="18"/>
  <c r="Q118" i="18"/>
  <c r="I118" i="18"/>
  <c r="DN118" i="18"/>
  <c r="DF118" i="18"/>
  <c r="CX118" i="18"/>
  <c r="CP118" i="18"/>
  <c r="CH118" i="18"/>
  <c r="BZ118" i="18"/>
  <c r="BR118" i="18"/>
  <c r="BJ118" i="18"/>
  <c r="BB118" i="18"/>
  <c r="AT118" i="18"/>
  <c r="AL118" i="18"/>
  <c r="AD118" i="18"/>
  <c r="V118" i="18"/>
  <c r="N118" i="18"/>
  <c r="F118" i="18"/>
  <c r="DM118" i="18"/>
  <c r="DE118" i="18"/>
  <c r="CW118" i="18"/>
  <c r="CO118" i="18"/>
  <c r="CG118" i="18"/>
  <c r="BY118" i="18"/>
  <c r="BQ118" i="18"/>
  <c r="BI118" i="18"/>
  <c r="BA118" i="18"/>
  <c r="AS118" i="18"/>
  <c r="AK118" i="18"/>
  <c r="AC118" i="18"/>
  <c r="U118" i="18"/>
  <c r="M118" i="18"/>
  <c r="E118" i="18"/>
  <c r="CT118" i="18"/>
  <c r="BN118" i="18"/>
  <c r="AH118" i="18"/>
  <c r="CL118" i="18"/>
  <c r="BF118" i="18"/>
  <c r="Z118" i="18"/>
  <c r="DJ118" i="18"/>
  <c r="CD118" i="18"/>
  <c r="AX118" i="18"/>
  <c r="R118" i="18"/>
  <c r="AP118" i="18"/>
  <c r="J118" i="18"/>
  <c r="DB118" i="18"/>
  <c r="BV118" i="18"/>
  <c r="Y67" i="15"/>
  <c r="X67" i="15"/>
  <c r="AA67" i="15" s="1"/>
  <c r="Z67" i="15"/>
  <c r="Z352" i="17"/>
  <c r="Y352" i="17"/>
  <c r="X123" i="17"/>
  <c r="Y123" i="17"/>
  <c r="Y105" i="15"/>
  <c r="X105" i="15"/>
  <c r="Z105" i="15"/>
  <c r="Z330" i="17"/>
  <c r="Y330" i="17"/>
  <c r="AB366" i="17"/>
  <c r="Z366" i="17"/>
  <c r="Y366" i="17"/>
  <c r="AC465" i="17"/>
  <c r="Y465" i="17"/>
  <c r="AB465" i="17"/>
  <c r="AA465" i="17"/>
  <c r="Y256" i="17"/>
  <c r="X256" i="17"/>
  <c r="AA256" i="17"/>
  <c r="AA492" i="17"/>
  <c r="AC492" i="17"/>
  <c r="AB492" i="17"/>
  <c r="DP98" i="18"/>
  <c r="DL98" i="18"/>
  <c r="DH98" i="18"/>
  <c r="DD98" i="18"/>
  <c r="CZ98" i="18"/>
  <c r="CV98" i="18"/>
  <c r="CR98" i="18"/>
  <c r="CN98" i="18"/>
  <c r="CJ98" i="18"/>
  <c r="CF98" i="18"/>
  <c r="CB98" i="18"/>
  <c r="BX98" i="18"/>
  <c r="BT98" i="18"/>
  <c r="BP98" i="18"/>
  <c r="BL98" i="18"/>
  <c r="BH98" i="18"/>
  <c r="BD98" i="18"/>
  <c r="AZ98" i="18"/>
  <c r="AV98" i="18"/>
  <c r="AR98" i="18"/>
  <c r="AN98" i="18"/>
  <c r="AJ98" i="18"/>
  <c r="AF98" i="18"/>
  <c r="AB98" i="18"/>
  <c r="X98" i="18"/>
  <c r="T98" i="18"/>
  <c r="P98" i="18"/>
  <c r="L98" i="18"/>
  <c r="H98" i="18"/>
  <c r="DO98" i="18"/>
  <c r="DK98" i="18"/>
  <c r="DG98" i="18"/>
  <c r="DC98" i="18"/>
  <c r="CY98" i="18"/>
  <c r="CU98" i="18"/>
  <c r="CQ98" i="18"/>
  <c r="CM98" i="18"/>
  <c r="CI98" i="18"/>
  <c r="CE98" i="18"/>
  <c r="CA98" i="18"/>
  <c r="BW98" i="18"/>
  <c r="BS98" i="18"/>
  <c r="BO98" i="18"/>
  <c r="BK98" i="18"/>
  <c r="BG98" i="18"/>
  <c r="BC98" i="18"/>
  <c r="AY98" i="18"/>
  <c r="AU98" i="18"/>
  <c r="AQ98" i="18"/>
  <c r="AM98" i="18"/>
  <c r="AI98" i="18"/>
  <c r="AE98" i="18"/>
  <c r="AA98" i="18"/>
  <c r="W98" i="18"/>
  <c r="S98" i="18"/>
  <c r="O98" i="18"/>
  <c r="K98" i="18"/>
  <c r="G98" i="18"/>
  <c r="DM98" i="18"/>
  <c r="DE98" i="18"/>
  <c r="CW98" i="18"/>
  <c r="CO98" i="18"/>
  <c r="CG98" i="18"/>
  <c r="BY98" i="18"/>
  <c r="BQ98" i="18"/>
  <c r="BI98" i="18"/>
  <c r="BA98" i="18"/>
  <c r="AS98" i="18"/>
  <c r="AK98" i="18"/>
  <c r="AC98" i="18"/>
  <c r="U98" i="18"/>
  <c r="M98" i="18"/>
  <c r="E98" i="18"/>
  <c r="DJ98" i="18"/>
  <c r="DB98" i="18"/>
  <c r="CT98" i="18"/>
  <c r="CL98" i="18"/>
  <c r="CD98" i="18"/>
  <c r="BV98" i="18"/>
  <c r="BN98" i="18"/>
  <c r="BF98" i="18"/>
  <c r="AX98" i="18"/>
  <c r="AP98" i="18"/>
  <c r="AH98" i="18"/>
  <c r="Z98" i="18"/>
  <c r="R98" i="18"/>
  <c r="J98" i="18"/>
  <c r="DQ98" i="18"/>
  <c r="DI98" i="18"/>
  <c r="DA98" i="18"/>
  <c r="CS98" i="18"/>
  <c r="CK98" i="18"/>
  <c r="CC98" i="18"/>
  <c r="BU98" i="18"/>
  <c r="BM98" i="18"/>
  <c r="BE98" i="18"/>
  <c r="AW98" i="18"/>
  <c r="AO98" i="18"/>
  <c r="AG98" i="18"/>
  <c r="Y98" i="18"/>
  <c r="Q98" i="18"/>
  <c r="I98" i="18"/>
  <c r="DN98" i="18"/>
  <c r="CH98" i="18"/>
  <c r="BB98" i="18"/>
  <c r="V98" i="18"/>
  <c r="DF98" i="18"/>
  <c r="BZ98" i="18"/>
  <c r="AT98" i="18"/>
  <c r="N98" i="18"/>
  <c r="CX98" i="18"/>
  <c r="BR98" i="18"/>
  <c r="AL98" i="18"/>
  <c r="F98" i="18"/>
  <c r="AD98" i="18"/>
  <c r="CP98" i="18"/>
  <c r="BJ98" i="18"/>
  <c r="Y57" i="15"/>
  <c r="X57" i="15"/>
  <c r="AA57" i="15" s="1"/>
  <c r="Z57" i="15"/>
  <c r="DQ88" i="18"/>
  <c r="DM88" i="18"/>
  <c r="DI88" i="18"/>
  <c r="DE88" i="18"/>
  <c r="DA88" i="18"/>
  <c r="CW88" i="18"/>
  <c r="DP88" i="18"/>
  <c r="DK88" i="18"/>
  <c r="DF88" i="18"/>
  <c r="CZ88" i="18"/>
  <c r="CU88" i="18"/>
  <c r="CQ88" i="18"/>
  <c r="CM88" i="18"/>
  <c r="CI88" i="18"/>
  <c r="CE88" i="18"/>
  <c r="CA88" i="18"/>
  <c r="BW88" i="18"/>
  <c r="BS88" i="18"/>
  <c r="BO88" i="18"/>
  <c r="BK88" i="18"/>
  <c r="BG88" i="18"/>
  <c r="BC88" i="18"/>
  <c r="AY88" i="18"/>
  <c r="AU88" i="18"/>
  <c r="AQ88" i="18"/>
  <c r="AM88" i="18"/>
  <c r="AI88" i="18"/>
  <c r="AE88" i="18"/>
  <c r="AA88" i="18"/>
  <c r="W88" i="18"/>
  <c r="S88" i="18"/>
  <c r="O88" i="18"/>
  <c r="K88" i="18"/>
  <c r="G88" i="18"/>
  <c r="DO88" i="18"/>
  <c r="DJ88" i="18"/>
  <c r="DD88" i="18"/>
  <c r="CY88" i="18"/>
  <c r="CT88" i="18"/>
  <c r="CP88" i="18"/>
  <c r="CL88" i="18"/>
  <c r="CH88" i="18"/>
  <c r="CD88" i="18"/>
  <c r="BZ88" i="18"/>
  <c r="BV88" i="18"/>
  <c r="BR88" i="18"/>
  <c r="BN88" i="18"/>
  <c r="BJ88" i="18"/>
  <c r="BF88" i="18"/>
  <c r="BB88" i="18"/>
  <c r="AX88" i="18"/>
  <c r="AT88" i="18"/>
  <c r="AP88" i="18"/>
  <c r="AL88" i="18"/>
  <c r="AH88" i="18"/>
  <c r="AD88" i="18"/>
  <c r="Z88" i="18"/>
  <c r="V88" i="18"/>
  <c r="R88" i="18"/>
  <c r="N88" i="18"/>
  <c r="J88" i="18"/>
  <c r="F88" i="18"/>
  <c r="DN88" i="18"/>
  <c r="DH88" i="18"/>
  <c r="DC88" i="18"/>
  <c r="CX88" i="18"/>
  <c r="CS88" i="18"/>
  <c r="CO88" i="18"/>
  <c r="CK88" i="18"/>
  <c r="CG88" i="18"/>
  <c r="CC88" i="18"/>
  <c r="BY88" i="18"/>
  <c r="BU88" i="18"/>
  <c r="BQ88" i="18"/>
  <c r="BM88" i="18"/>
  <c r="BI88" i="18"/>
  <c r="BE88" i="18"/>
  <c r="BA88" i="18"/>
  <c r="AW88" i="18"/>
  <c r="AS88" i="18"/>
  <c r="AO88" i="18"/>
  <c r="AK88" i="18"/>
  <c r="AG88" i="18"/>
  <c r="AC88" i="18"/>
  <c r="Y88" i="18"/>
  <c r="U88" i="18"/>
  <c r="Q88" i="18"/>
  <c r="M88" i="18"/>
  <c r="I88" i="18"/>
  <c r="E88" i="18"/>
  <c r="DL88" i="18"/>
  <c r="CR88" i="18"/>
  <c r="CB88" i="18"/>
  <c r="BL88" i="18"/>
  <c r="AV88" i="18"/>
  <c r="AF88" i="18"/>
  <c r="P88" i="18"/>
  <c r="DG88" i="18"/>
  <c r="CN88" i="18"/>
  <c r="BX88" i="18"/>
  <c r="BH88" i="18"/>
  <c r="AR88" i="18"/>
  <c r="AB88" i="18"/>
  <c r="L88" i="18"/>
  <c r="DB88" i="18"/>
  <c r="CJ88" i="18"/>
  <c r="BT88" i="18"/>
  <c r="BD88" i="18"/>
  <c r="AN88" i="18"/>
  <c r="X88" i="18"/>
  <c r="H88" i="18"/>
  <c r="BP88" i="18"/>
  <c r="AZ88" i="18"/>
  <c r="CV88" i="18"/>
  <c r="AJ88" i="18"/>
  <c r="CF88" i="18"/>
  <c r="T88" i="18"/>
  <c r="X75" i="17"/>
  <c r="Z75" i="17" s="1"/>
  <c r="Y75" i="17"/>
  <c r="Z68" i="15"/>
  <c r="Y68" i="15"/>
  <c r="X68" i="15"/>
  <c r="Y240" i="17"/>
  <c r="X240" i="17"/>
  <c r="AA476" i="17"/>
  <c r="AC476" i="17"/>
  <c r="AB476" i="17"/>
  <c r="X476" i="17"/>
  <c r="AA33" i="24"/>
  <c r="Z114" i="15"/>
  <c r="Y114" i="15"/>
  <c r="X114" i="15"/>
  <c r="Z34" i="15"/>
  <c r="Y34" i="15"/>
  <c r="X34" i="15"/>
  <c r="AA34" i="15" s="1"/>
  <c r="DQ109" i="18"/>
  <c r="DM109" i="18"/>
  <c r="DI109" i="18"/>
  <c r="DE109" i="18"/>
  <c r="DA109" i="18"/>
  <c r="CW109" i="18"/>
  <c r="CS109" i="18"/>
  <c r="CO109" i="18"/>
  <c r="CK109" i="18"/>
  <c r="CG109" i="18"/>
  <c r="CC109" i="18"/>
  <c r="BY109" i="18"/>
  <c r="BU109" i="18"/>
  <c r="BQ109" i="18"/>
  <c r="BM109" i="18"/>
  <c r="BI109" i="18"/>
  <c r="BE109" i="18"/>
  <c r="BA109" i="18"/>
  <c r="AW109" i="18"/>
  <c r="AS109" i="18"/>
  <c r="AO109" i="18"/>
  <c r="AK109" i="18"/>
  <c r="AG109" i="18"/>
  <c r="AC109" i="18"/>
  <c r="Y109" i="18"/>
  <c r="U109" i="18"/>
  <c r="Q109" i="18"/>
  <c r="M109" i="18"/>
  <c r="I109" i="18"/>
  <c r="E109" i="18"/>
  <c r="DP109" i="18"/>
  <c r="DL109" i="18"/>
  <c r="DH109" i="18"/>
  <c r="DD109" i="18"/>
  <c r="CZ109" i="18"/>
  <c r="CV109" i="18"/>
  <c r="CR109" i="18"/>
  <c r="CN109" i="18"/>
  <c r="CJ109" i="18"/>
  <c r="CF109" i="18"/>
  <c r="CB109" i="18"/>
  <c r="BX109" i="18"/>
  <c r="BT109" i="18"/>
  <c r="BP109" i="18"/>
  <c r="BL109" i="18"/>
  <c r="BH109" i="18"/>
  <c r="BD109" i="18"/>
  <c r="AZ109" i="18"/>
  <c r="AV109" i="18"/>
  <c r="AR109" i="18"/>
  <c r="AN109" i="18"/>
  <c r="AJ109" i="18"/>
  <c r="AF109" i="18"/>
  <c r="AB109" i="18"/>
  <c r="X109" i="18"/>
  <c r="T109" i="18"/>
  <c r="P109" i="18"/>
  <c r="L109" i="18"/>
  <c r="H109" i="18"/>
  <c r="DJ109" i="18"/>
  <c r="DB109" i="18"/>
  <c r="CT109" i="18"/>
  <c r="CL109" i="18"/>
  <c r="CD109" i="18"/>
  <c r="BV109" i="18"/>
  <c r="BN109" i="18"/>
  <c r="BF109" i="18"/>
  <c r="AX109" i="18"/>
  <c r="AP109" i="18"/>
  <c r="AH109" i="18"/>
  <c r="Z109" i="18"/>
  <c r="R109" i="18"/>
  <c r="J109" i="18"/>
  <c r="DO109" i="18"/>
  <c r="DG109" i="18"/>
  <c r="CY109" i="18"/>
  <c r="CQ109" i="18"/>
  <c r="CI109" i="18"/>
  <c r="CA109" i="18"/>
  <c r="BS109" i="18"/>
  <c r="BK109" i="18"/>
  <c r="BC109" i="18"/>
  <c r="AU109" i="18"/>
  <c r="AM109" i="18"/>
  <c r="AE109" i="18"/>
  <c r="W109" i="18"/>
  <c r="O109" i="18"/>
  <c r="G109" i="18"/>
  <c r="DN109" i="18"/>
  <c r="DF109" i="18"/>
  <c r="CX109" i="18"/>
  <c r="CP109" i="18"/>
  <c r="CH109" i="18"/>
  <c r="BZ109" i="18"/>
  <c r="BR109" i="18"/>
  <c r="BJ109" i="18"/>
  <c r="BB109" i="18"/>
  <c r="AT109" i="18"/>
  <c r="AL109" i="18"/>
  <c r="AD109" i="18"/>
  <c r="V109" i="18"/>
  <c r="N109" i="18"/>
  <c r="F109" i="18"/>
  <c r="CU109" i="18"/>
  <c r="BO109" i="18"/>
  <c r="AI109" i="18"/>
  <c r="CM109" i="18"/>
  <c r="BG109" i="18"/>
  <c r="AA109" i="18"/>
  <c r="DK109" i="18"/>
  <c r="CE109" i="18"/>
  <c r="AY109" i="18"/>
  <c r="S109" i="18"/>
  <c r="DC109" i="18"/>
  <c r="BW109" i="18"/>
  <c r="AQ109" i="18"/>
  <c r="K109" i="18"/>
  <c r="Y46" i="17"/>
  <c r="X46" i="17"/>
  <c r="DO22" i="18"/>
  <c r="DK22" i="18"/>
  <c r="DG22" i="18"/>
  <c r="DC22" i="18"/>
  <c r="CY22" i="18"/>
  <c r="CU22" i="18"/>
  <c r="CQ22" i="18"/>
  <c r="CM22" i="18"/>
  <c r="CI22" i="18"/>
  <c r="CE22" i="18"/>
  <c r="CA22" i="18"/>
  <c r="BW22" i="18"/>
  <c r="BS22" i="18"/>
  <c r="BO22" i="18"/>
  <c r="BK22" i="18"/>
  <c r="BG22" i="18"/>
  <c r="BC22" i="18"/>
  <c r="AY22" i="18"/>
  <c r="AU22" i="18"/>
  <c r="AQ22" i="18"/>
  <c r="AM22" i="18"/>
  <c r="AI22" i="18"/>
  <c r="AE22" i="18"/>
  <c r="AA22" i="18"/>
  <c r="W22" i="18"/>
  <c r="S22" i="18"/>
  <c r="O22" i="18"/>
  <c r="K22" i="18"/>
  <c r="G22" i="18"/>
  <c r="DN22" i="18"/>
  <c r="DJ22" i="18"/>
  <c r="DF22" i="18"/>
  <c r="DB22" i="18"/>
  <c r="CX22" i="18"/>
  <c r="CT22" i="18"/>
  <c r="CP22" i="18"/>
  <c r="CL22" i="18"/>
  <c r="CH22" i="18"/>
  <c r="CD22" i="18"/>
  <c r="BZ22" i="18"/>
  <c r="BV22" i="18"/>
  <c r="BR22" i="18"/>
  <c r="BN22" i="18"/>
  <c r="BJ22" i="18"/>
  <c r="BF22" i="18"/>
  <c r="BB22" i="18"/>
  <c r="AX22" i="18"/>
  <c r="AT22" i="18"/>
  <c r="AP22" i="18"/>
  <c r="AL22" i="18"/>
  <c r="AH22" i="18"/>
  <c r="AD22" i="18"/>
  <c r="Z22" i="18"/>
  <c r="V22" i="18"/>
  <c r="R22" i="18"/>
  <c r="N22" i="18"/>
  <c r="J22" i="18"/>
  <c r="F22" i="18"/>
  <c r="DQ22" i="18"/>
  <c r="DM22" i="18"/>
  <c r="DI22" i="18"/>
  <c r="DE22" i="18"/>
  <c r="DA22" i="18"/>
  <c r="CW22" i="18"/>
  <c r="CS22" i="18"/>
  <c r="CO22" i="18"/>
  <c r="CK22" i="18"/>
  <c r="CG22" i="18"/>
  <c r="CC22" i="18"/>
  <c r="BY22" i="18"/>
  <c r="BU22" i="18"/>
  <c r="BQ22" i="18"/>
  <c r="BM22" i="18"/>
  <c r="BI22" i="18"/>
  <c r="BE22" i="18"/>
  <c r="BA22" i="18"/>
  <c r="AW22" i="18"/>
  <c r="AS22" i="18"/>
  <c r="AO22" i="18"/>
  <c r="AK22" i="18"/>
  <c r="AG22" i="18"/>
  <c r="AC22" i="18"/>
  <c r="Y22" i="18"/>
  <c r="U22" i="18"/>
  <c r="Q22" i="18"/>
  <c r="M22" i="18"/>
  <c r="I22" i="18"/>
  <c r="E22" i="18"/>
  <c r="DL22" i="18"/>
  <c r="CV22" i="18"/>
  <c r="CF22" i="18"/>
  <c r="BP22" i="18"/>
  <c r="AZ22" i="18"/>
  <c r="AJ22" i="18"/>
  <c r="T22" i="18"/>
  <c r="DH22" i="18"/>
  <c r="CR22" i="18"/>
  <c r="CB22" i="18"/>
  <c r="BL22" i="18"/>
  <c r="AV22" i="18"/>
  <c r="AF22" i="18"/>
  <c r="P22" i="18"/>
  <c r="DD22" i="18"/>
  <c r="CN22" i="18"/>
  <c r="BX22" i="18"/>
  <c r="BH22" i="18"/>
  <c r="AR22" i="18"/>
  <c r="AB22" i="18"/>
  <c r="L22" i="18"/>
  <c r="BT22" i="18"/>
  <c r="H22" i="18"/>
  <c r="DP22" i="18"/>
  <c r="BD22" i="18"/>
  <c r="CZ22" i="18"/>
  <c r="AN22" i="18"/>
  <c r="CJ22" i="18"/>
  <c r="X22" i="18"/>
  <c r="X71" i="17"/>
  <c r="Z71" i="17" s="1"/>
  <c r="Y71" i="17"/>
  <c r="Z116" i="15"/>
  <c r="Y116" i="15"/>
  <c r="X116" i="15"/>
  <c r="AA116" i="15" s="1"/>
  <c r="DO107" i="18"/>
  <c r="DK107" i="18"/>
  <c r="DG107" i="18"/>
  <c r="DC107" i="18"/>
  <c r="CY107" i="18"/>
  <c r="CU107" i="18"/>
  <c r="CQ107" i="18"/>
  <c r="CM107" i="18"/>
  <c r="CI107" i="18"/>
  <c r="CE107" i="18"/>
  <c r="CA107" i="18"/>
  <c r="BW107" i="18"/>
  <c r="BS107" i="18"/>
  <c r="BO107" i="18"/>
  <c r="BK107" i="18"/>
  <c r="BG107" i="18"/>
  <c r="BC107" i="18"/>
  <c r="AY107" i="18"/>
  <c r="AU107" i="18"/>
  <c r="AQ107" i="18"/>
  <c r="AM107" i="18"/>
  <c r="AI107" i="18"/>
  <c r="AE107" i="18"/>
  <c r="AA107" i="18"/>
  <c r="W107" i="18"/>
  <c r="S107" i="18"/>
  <c r="O107" i="18"/>
  <c r="K107" i="18"/>
  <c r="G107" i="18"/>
  <c r="DN107" i="18"/>
  <c r="DJ107" i="18"/>
  <c r="DF107" i="18"/>
  <c r="DB107" i="18"/>
  <c r="CX107" i="18"/>
  <c r="CT107" i="18"/>
  <c r="CP107" i="18"/>
  <c r="CL107" i="18"/>
  <c r="CH107" i="18"/>
  <c r="CD107" i="18"/>
  <c r="BZ107" i="18"/>
  <c r="BV107" i="18"/>
  <c r="BR107" i="18"/>
  <c r="BN107" i="18"/>
  <c r="BJ107" i="18"/>
  <c r="BF107" i="18"/>
  <c r="BB107" i="18"/>
  <c r="AX107" i="18"/>
  <c r="AT107" i="18"/>
  <c r="AP107" i="18"/>
  <c r="AL107" i="18"/>
  <c r="AH107" i="18"/>
  <c r="AD107" i="18"/>
  <c r="Z107" i="18"/>
  <c r="V107" i="18"/>
  <c r="R107" i="18"/>
  <c r="N107" i="18"/>
  <c r="J107" i="18"/>
  <c r="F107" i="18"/>
  <c r="DL107" i="18"/>
  <c r="DD107" i="18"/>
  <c r="CV107" i="18"/>
  <c r="CN107" i="18"/>
  <c r="CF107" i="18"/>
  <c r="BX107" i="18"/>
  <c r="BP107" i="18"/>
  <c r="BH107" i="18"/>
  <c r="AZ107" i="18"/>
  <c r="AR107" i="18"/>
  <c r="AJ107" i="18"/>
  <c r="AB107" i="18"/>
  <c r="T107" i="18"/>
  <c r="L107" i="18"/>
  <c r="DQ107" i="18"/>
  <c r="DI107" i="18"/>
  <c r="DA107" i="18"/>
  <c r="CS107" i="18"/>
  <c r="CK107" i="18"/>
  <c r="CC107" i="18"/>
  <c r="BU107" i="18"/>
  <c r="BM107" i="18"/>
  <c r="BE107" i="18"/>
  <c r="AW107" i="18"/>
  <c r="AO107" i="18"/>
  <c r="AG107" i="18"/>
  <c r="Y107" i="18"/>
  <c r="Q107" i="18"/>
  <c r="I107" i="18"/>
  <c r="DP107" i="18"/>
  <c r="DH107" i="18"/>
  <c r="CZ107" i="18"/>
  <c r="CR107" i="18"/>
  <c r="CJ107" i="18"/>
  <c r="CB107" i="18"/>
  <c r="BT107" i="18"/>
  <c r="BL107" i="18"/>
  <c r="BD107" i="18"/>
  <c r="AV107" i="18"/>
  <c r="AN107" i="18"/>
  <c r="AF107" i="18"/>
  <c r="X107" i="18"/>
  <c r="P107" i="18"/>
  <c r="H107" i="18"/>
  <c r="DM107" i="18"/>
  <c r="CG107" i="18"/>
  <c r="BA107" i="18"/>
  <c r="U107" i="18"/>
  <c r="DE107" i="18"/>
  <c r="BY107" i="18"/>
  <c r="AS107" i="18"/>
  <c r="M107" i="18"/>
  <c r="CW107" i="18"/>
  <c r="BQ107" i="18"/>
  <c r="AK107" i="18"/>
  <c r="E107" i="18"/>
  <c r="CO107" i="18"/>
  <c r="BI107" i="18"/>
  <c r="AC107" i="18"/>
  <c r="AB298" i="17"/>
  <c r="Z298" i="17"/>
  <c r="Y298" i="17"/>
  <c r="Z279" i="17"/>
  <c r="Y279" i="17"/>
  <c r="AB270" i="17"/>
  <c r="AB363" i="17" s="1"/>
  <c r="X95" i="17"/>
  <c r="Z95" i="17" s="1"/>
  <c r="Y95" i="17"/>
  <c r="Y18" i="17"/>
  <c r="X18" i="17"/>
  <c r="Z18" i="17" s="1"/>
  <c r="Y131" i="17"/>
  <c r="X131" i="17"/>
  <c r="Z131" i="17" s="1"/>
  <c r="AA524" i="17"/>
  <c r="AC524" i="17"/>
  <c r="AB524" i="17"/>
  <c r="AA428" i="17"/>
  <c r="AC428" i="17"/>
  <c r="Y428" i="17"/>
  <c r="AB428" i="17"/>
  <c r="DO34" i="18"/>
  <c r="DK34" i="18"/>
  <c r="DG34" i="18"/>
  <c r="DC34" i="18"/>
  <c r="CY34" i="18"/>
  <c r="CU34" i="18"/>
  <c r="CQ34" i="18"/>
  <c r="CM34" i="18"/>
  <c r="CI34" i="18"/>
  <c r="CE34" i="18"/>
  <c r="CA34" i="18"/>
  <c r="BW34" i="18"/>
  <c r="BS34" i="18"/>
  <c r="BO34" i="18"/>
  <c r="BK34" i="18"/>
  <c r="BG34" i="18"/>
  <c r="BC34" i="18"/>
  <c r="AY34" i="18"/>
  <c r="AU34" i="18"/>
  <c r="AQ34" i="18"/>
  <c r="AM34" i="18"/>
  <c r="AI34" i="18"/>
  <c r="AE34" i="18"/>
  <c r="AA34" i="18"/>
  <c r="W34" i="18"/>
  <c r="S34" i="18"/>
  <c r="O34" i="18"/>
  <c r="K34" i="18"/>
  <c r="G34" i="18"/>
  <c r="DN34" i="18"/>
  <c r="DJ34" i="18"/>
  <c r="DF34" i="18"/>
  <c r="DB34" i="18"/>
  <c r="CX34" i="18"/>
  <c r="CT34" i="18"/>
  <c r="CP34" i="18"/>
  <c r="CL34" i="18"/>
  <c r="CH34" i="18"/>
  <c r="CD34" i="18"/>
  <c r="BZ34" i="18"/>
  <c r="BV34" i="18"/>
  <c r="BR34" i="18"/>
  <c r="BN34" i="18"/>
  <c r="BJ34" i="18"/>
  <c r="BF34" i="18"/>
  <c r="BB34" i="18"/>
  <c r="AX34" i="18"/>
  <c r="AT34" i="18"/>
  <c r="AP34" i="18"/>
  <c r="AL34" i="18"/>
  <c r="AH34" i="18"/>
  <c r="AD34" i="18"/>
  <c r="Z34" i="18"/>
  <c r="V34" i="18"/>
  <c r="R34" i="18"/>
  <c r="N34" i="18"/>
  <c r="J34" i="18"/>
  <c r="F34" i="18"/>
  <c r="DQ34" i="18"/>
  <c r="DM34" i="18"/>
  <c r="DI34" i="18"/>
  <c r="DE34" i="18"/>
  <c r="DA34" i="18"/>
  <c r="CW34" i="18"/>
  <c r="CS34" i="18"/>
  <c r="CO34" i="18"/>
  <c r="CK34" i="18"/>
  <c r="CG34" i="18"/>
  <c r="CC34" i="18"/>
  <c r="BY34" i="18"/>
  <c r="BU34" i="18"/>
  <c r="BQ34" i="18"/>
  <c r="BM34" i="18"/>
  <c r="BI34" i="18"/>
  <c r="BE34" i="18"/>
  <c r="BA34" i="18"/>
  <c r="AW34" i="18"/>
  <c r="AS34" i="18"/>
  <c r="AO34" i="18"/>
  <c r="AK34" i="18"/>
  <c r="AG34" i="18"/>
  <c r="AC34" i="18"/>
  <c r="Y34" i="18"/>
  <c r="U34" i="18"/>
  <c r="Q34" i="18"/>
  <c r="M34" i="18"/>
  <c r="I34" i="18"/>
  <c r="E34" i="18"/>
  <c r="DP34" i="18"/>
  <c r="CZ34" i="18"/>
  <c r="CJ34" i="18"/>
  <c r="BT34" i="18"/>
  <c r="BD34" i="18"/>
  <c r="AN34" i="18"/>
  <c r="X34" i="18"/>
  <c r="H34" i="18"/>
  <c r="DL34" i="18"/>
  <c r="CV34" i="18"/>
  <c r="CF34" i="18"/>
  <c r="BP34" i="18"/>
  <c r="AZ34" i="18"/>
  <c r="AJ34" i="18"/>
  <c r="T34" i="18"/>
  <c r="DH34" i="18"/>
  <c r="CR34" i="18"/>
  <c r="CB34" i="18"/>
  <c r="BL34" i="18"/>
  <c r="AV34" i="18"/>
  <c r="AF34" i="18"/>
  <c r="P34" i="18"/>
  <c r="CN34" i="18"/>
  <c r="AB34" i="18"/>
  <c r="BX34" i="18"/>
  <c r="L34" i="18"/>
  <c r="BH34" i="18"/>
  <c r="DD34" i="18"/>
  <c r="AR34" i="18"/>
  <c r="X23" i="20"/>
  <c r="AA23" i="20" s="1"/>
  <c r="Z122" i="15"/>
  <c r="Y122" i="15"/>
  <c r="X122" i="15"/>
  <c r="AA122" i="15" s="1"/>
  <c r="AB507" i="17"/>
  <c r="X507" i="17"/>
  <c r="AA507" i="17"/>
  <c r="AC507" i="17"/>
  <c r="Z120" i="15"/>
  <c r="Y120" i="15"/>
  <c r="X120" i="15"/>
  <c r="DO111" i="18"/>
  <c r="DK111" i="18"/>
  <c r="DG111" i="18"/>
  <c r="DC111" i="18"/>
  <c r="CY111" i="18"/>
  <c r="CU111" i="18"/>
  <c r="CQ111" i="18"/>
  <c r="CM111" i="18"/>
  <c r="CI111" i="18"/>
  <c r="CE111" i="18"/>
  <c r="CA111" i="18"/>
  <c r="BW111" i="18"/>
  <c r="BS111" i="18"/>
  <c r="BO111" i="18"/>
  <c r="BK111" i="18"/>
  <c r="BG111" i="18"/>
  <c r="BC111" i="18"/>
  <c r="AY111" i="18"/>
  <c r="AU111" i="18"/>
  <c r="AQ111" i="18"/>
  <c r="AM111" i="18"/>
  <c r="AI111" i="18"/>
  <c r="AE111" i="18"/>
  <c r="AA111" i="18"/>
  <c r="W111" i="18"/>
  <c r="S111" i="18"/>
  <c r="O111" i="18"/>
  <c r="K111" i="18"/>
  <c r="G111" i="18"/>
  <c r="DN111" i="18"/>
  <c r="DJ111" i="18"/>
  <c r="DF111" i="18"/>
  <c r="DB111" i="18"/>
  <c r="CX111" i="18"/>
  <c r="CT111" i="18"/>
  <c r="CP111" i="18"/>
  <c r="CL111" i="18"/>
  <c r="CH111" i="18"/>
  <c r="CD111" i="18"/>
  <c r="BZ111" i="18"/>
  <c r="BV111" i="18"/>
  <c r="BR111" i="18"/>
  <c r="BN111" i="18"/>
  <c r="BJ111" i="18"/>
  <c r="BF111" i="18"/>
  <c r="BB111" i="18"/>
  <c r="AX111" i="18"/>
  <c r="AT111" i="18"/>
  <c r="AP111" i="18"/>
  <c r="AL111" i="18"/>
  <c r="AH111" i="18"/>
  <c r="AD111" i="18"/>
  <c r="Z111" i="18"/>
  <c r="V111" i="18"/>
  <c r="R111" i="18"/>
  <c r="N111" i="18"/>
  <c r="J111" i="18"/>
  <c r="F111" i="18"/>
  <c r="DP111" i="18"/>
  <c r="DH111" i="18"/>
  <c r="CZ111" i="18"/>
  <c r="CR111" i="18"/>
  <c r="CJ111" i="18"/>
  <c r="CB111" i="18"/>
  <c r="BT111" i="18"/>
  <c r="BL111" i="18"/>
  <c r="BD111" i="18"/>
  <c r="AV111" i="18"/>
  <c r="AN111" i="18"/>
  <c r="AF111" i="18"/>
  <c r="X111" i="18"/>
  <c r="P111" i="18"/>
  <c r="H111" i="18"/>
  <c r="DM111" i="18"/>
  <c r="DE111" i="18"/>
  <c r="CW111" i="18"/>
  <c r="CO111" i="18"/>
  <c r="CG111" i="18"/>
  <c r="BY111" i="18"/>
  <c r="BQ111" i="18"/>
  <c r="BI111" i="18"/>
  <c r="BA111" i="18"/>
  <c r="AS111" i="18"/>
  <c r="AK111" i="18"/>
  <c r="AC111" i="18"/>
  <c r="U111" i="18"/>
  <c r="M111" i="18"/>
  <c r="E111" i="18"/>
  <c r="DL111" i="18"/>
  <c r="DD111" i="18"/>
  <c r="CV111" i="18"/>
  <c r="CN111" i="18"/>
  <c r="CF111" i="18"/>
  <c r="BX111" i="18"/>
  <c r="BP111" i="18"/>
  <c r="BH111" i="18"/>
  <c r="AZ111" i="18"/>
  <c r="AR111" i="18"/>
  <c r="AJ111" i="18"/>
  <c r="AB111" i="18"/>
  <c r="T111" i="18"/>
  <c r="L111" i="18"/>
  <c r="DI111" i="18"/>
  <c r="CC111" i="18"/>
  <c r="AW111" i="18"/>
  <c r="Q111" i="18"/>
  <c r="DA111" i="18"/>
  <c r="BU111" i="18"/>
  <c r="AO111" i="18"/>
  <c r="I111" i="18"/>
  <c r="CS111" i="18"/>
  <c r="BM111" i="18"/>
  <c r="AG111" i="18"/>
  <c r="DQ111" i="18"/>
  <c r="CK111" i="18"/>
  <c r="BE111" i="18"/>
  <c r="Y111" i="18"/>
  <c r="AB342" i="17"/>
  <c r="AA342" i="17"/>
  <c r="Z342" i="17"/>
  <c r="Y342" i="17"/>
  <c r="Y48" i="17"/>
  <c r="X48" i="17"/>
  <c r="AC441" i="17"/>
  <c r="AB441" i="17"/>
  <c r="AA441" i="17"/>
  <c r="AC409" i="17"/>
  <c r="AB409" i="17"/>
  <c r="AA409" i="17"/>
  <c r="Y69" i="17"/>
  <c r="X69" i="17"/>
  <c r="Z69" i="17" s="1"/>
  <c r="DO68" i="18"/>
  <c r="DK68" i="18"/>
  <c r="DG68" i="18"/>
  <c r="DC68" i="18"/>
  <c r="CY68" i="18"/>
  <c r="CU68" i="18"/>
  <c r="CQ68" i="18"/>
  <c r="CM68" i="18"/>
  <c r="CI68" i="18"/>
  <c r="CE68" i="18"/>
  <c r="CA68" i="18"/>
  <c r="BW68" i="18"/>
  <c r="BS68" i="18"/>
  <c r="BO68" i="18"/>
  <c r="BK68" i="18"/>
  <c r="BG68" i="18"/>
  <c r="BC68" i="18"/>
  <c r="AY68" i="18"/>
  <c r="AU68" i="18"/>
  <c r="AQ68" i="18"/>
  <c r="AM68" i="18"/>
  <c r="AI68" i="18"/>
  <c r="AE68" i="18"/>
  <c r="AA68" i="18"/>
  <c r="W68" i="18"/>
  <c r="S68" i="18"/>
  <c r="O68" i="18"/>
  <c r="K68" i="18"/>
  <c r="G68" i="18"/>
  <c r="DN68" i="18"/>
  <c r="DJ68" i="18"/>
  <c r="DF68" i="18"/>
  <c r="DB68" i="18"/>
  <c r="CX68" i="18"/>
  <c r="CT68" i="18"/>
  <c r="CP68" i="18"/>
  <c r="CL68" i="18"/>
  <c r="CH68" i="18"/>
  <c r="CD68" i="18"/>
  <c r="BZ68" i="18"/>
  <c r="BV68" i="18"/>
  <c r="BR68" i="18"/>
  <c r="BN68" i="18"/>
  <c r="BJ68" i="18"/>
  <c r="BF68" i="18"/>
  <c r="BB68" i="18"/>
  <c r="AX68" i="18"/>
  <c r="AT68" i="18"/>
  <c r="AP68" i="18"/>
  <c r="AL68" i="18"/>
  <c r="AH68" i="18"/>
  <c r="AD68" i="18"/>
  <c r="Z68" i="18"/>
  <c r="V68" i="18"/>
  <c r="R68" i="18"/>
  <c r="N68" i="18"/>
  <c r="J68" i="18"/>
  <c r="F68" i="18"/>
  <c r="DQ68" i="18"/>
  <c r="DM68" i="18"/>
  <c r="DI68" i="18"/>
  <c r="DE68" i="18"/>
  <c r="DA68" i="18"/>
  <c r="CW68" i="18"/>
  <c r="CS68" i="18"/>
  <c r="CO68" i="18"/>
  <c r="CK68" i="18"/>
  <c r="CG68" i="18"/>
  <c r="CC68" i="18"/>
  <c r="BY68" i="18"/>
  <c r="BU68" i="18"/>
  <c r="BQ68" i="18"/>
  <c r="BM68" i="18"/>
  <c r="BI68" i="18"/>
  <c r="BE68" i="18"/>
  <c r="BA68" i="18"/>
  <c r="AW68" i="18"/>
  <c r="AS68" i="18"/>
  <c r="AO68" i="18"/>
  <c r="AK68" i="18"/>
  <c r="AG68" i="18"/>
  <c r="AC68" i="18"/>
  <c r="Y68" i="18"/>
  <c r="U68" i="18"/>
  <c r="Q68" i="18"/>
  <c r="M68" i="18"/>
  <c r="I68" i="18"/>
  <c r="E68" i="18"/>
  <c r="DL68" i="18"/>
  <c r="CV68" i="18"/>
  <c r="CF68" i="18"/>
  <c r="BP68" i="18"/>
  <c r="AZ68" i="18"/>
  <c r="AJ68" i="18"/>
  <c r="T68" i="18"/>
  <c r="DH68" i="18"/>
  <c r="CR68" i="18"/>
  <c r="CB68" i="18"/>
  <c r="BL68" i="18"/>
  <c r="AV68" i="18"/>
  <c r="AF68" i="18"/>
  <c r="P68" i="18"/>
  <c r="DD68" i="18"/>
  <c r="CN68" i="18"/>
  <c r="BX68" i="18"/>
  <c r="BH68" i="18"/>
  <c r="AR68" i="18"/>
  <c r="AB68" i="18"/>
  <c r="L68" i="18"/>
  <c r="DP68" i="18"/>
  <c r="BD68" i="18"/>
  <c r="CZ68" i="18"/>
  <c r="AN68" i="18"/>
  <c r="CJ68" i="18"/>
  <c r="X68" i="18"/>
  <c r="BT68" i="18"/>
  <c r="H68" i="18"/>
  <c r="Y184" i="17"/>
  <c r="X184" i="17"/>
  <c r="AA184" i="17"/>
  <c r="X103" i="17"/>
  <c r="Z103" i="17" s="1"/>
  <c r="Y103" i="17"/>
  <c r="X31" i="17"/>
  <c r="Y31" i="17"/>
  <c r="Y36" i="24"/>
  <c r="AA36" i="24" s="1"/>
  <c r="Y215" i="17"/>
  <c r="X215" i="17"/>
  <c r="AC477" i="17"/>
  <c r="Y477" i="17"/>
  <c r="AB477" i="17"/>
  <c r="AA477" i="17"/>
  <c r="Y20" i="17"/>
  <c r="X20" i="17"/>
  <c r="Z20" i="17" s="1"/>
  <c r="Y377" i="17"/>
  <c r="AB377" i="17"/>
  <c r="X377" i="17"/>
  <c r="Z377" i="17"/>
  <c r="DP114" i="18"/>
  <c r="DL114" i="18"/>
  <c r="DH114" i="18"/>
  <c r="DD114" i="18"/>
  <c r="CZ114" i="18"/>
  <c r="CV114" i="18"/>
  <c r="CR114" i="18"/>
  <c r="CN114" i="18"/>
  <c r="CJ114" i="18"/>
  <c r="CF114" i="18"/>
  <c r="CB114" i="18"/>
  <c r="BX114" i="18"/>
  <c r="BT114" i="18"/>
  <c r="BP114" i="18"/>
  <c r="BL114" i="18"/>
  <c r="BH114" i="18"/>
  <c r="BD114" i="18"/>
  <c r="AZ114" i="18"/>
  <c r="AV114" i="18"/>
  <c r="AR114" i="18"/>
  <c r="AN114" i="18"/>
  <c r="AJ114" i="18"/>
  <c r="AF114" i="18"/>
  <c r="AB114" i="18"/>
  <c r="X114" i="18"/>
  <c r="T114" i="18"/>
  <c r="P114" i="18"/>
  <c r="L114" i="18"/>
  <c r="H114" i="18"/>
  <c r="DO114" i="18"/>
  <c r="DK114" i="18"/>
  <c r="DG114" i="18"/>
  <c r="DC114" i="18"/>
  <c r="CY114" i="18"/>
  <c r="CU114" i="18"/>
  <c r="CQ114" i="18"/>
  <c r="CM114" i="18"/>
  <c r="CI114" i="18"/>
  <c r="CE114" i="18"/>
  <c r="CA114" i="18"/>
  <c r="BW114" i="18"/>
  <c r="BS114" i="18"/>
  <c r="BO114" i="18"/>
  <c r="BK114" i="18"/>
  <c r="BG114" i="18"/>
  <c r="BC114" i="18"/>
  <c r="AY114" i="18"/>
  <c r="AU114" i="18"/>
  <c r="AQ114" i="18"/>
  <c r="AM114" i="18"/>
  <c r="AI114" i="18"/>
  <c r="AE114" i="18"/>
  <c r="AA114" i="18"/>
  <c r="W114" i="18"/>
  <c r="S114" i="18"/>
  <c r="O114" i="18"/>
  <c r="K114" i="18"/>
  <c r="G114" i="18"/>
  <c r="DM114" i="18"/>
  <c r="DE114" i="18"/>
  <c r="CW114" i="18"/>
  <c r="CO114" i="18"/>
  <c r="CG114" i="18"/>
  <c r="BY114" i="18"/>
  <c r="BQ114" i="18"/>
  <c r="BI114" i="18"/>
  <c r="BA114" i="18"/>
  <c r="AS114" i="18"/>
  <c r="AK114" i="18"/>
  <c r="AC114" i="18"/>
  <c r="U114" i="18"/>
  <c r="M114" i="18"/>
  <c r="E114" i="18"/>
  <c r="DJ114" i="18"/>
  <c r="DB114" i="18"/>
  <c r="CT114" i="18"/>
  <c r="CL114" i="18"/>
  <c r="CD114" i="18"/>
  <c r="BV114" i="18"/>
  <c r="BN114" i="18"/>
  <c r="BF114" i="18"/>
  <c r="AX114" i="18"/>
  <c r="AP114" i="18"/>
  <c r="AH114" i="18"/>
  <c r="Z114" i="18"/>
  <c r="R114" i="18"/>
  <c r="J114" i="18"/>
  <c r="DQ114" i="18"/>
  <c r="DI114" i="18"/>
  <c r="DA114" i="18"/>
  <c r="CS114" i="18"/>
  <c r="CK114" i="18"/>
  <c r="CC114" i="18"/>
  <c r="BU114" i="18"/>
  <c r="BM114" i="18"/>
  <c r="BE114" i="18"/>
  <c r="AW114" i="18"/>
  <c r="AO114" i="18"/>
  <c r="AG114" i="18"/>
  <c r="Y114" i="18"/>
  <c r="Q114" i="18"/>
  <c r="I114" i="18"/>
  <c r="CX114" i="18"/>
  <c r="BR114" i="18"/>
  <c r="AL114" i="18"/>
  <c r="F114" i="18"/>
  <c r="CP114" i="18"/>
  <c r="BJ114" i="18"/>
  <c r="AD114" i="18"/>
  <c r="DN114" i="18"/>
  <c r="CH114" i="18"/>
  <c r="BB114" i="18"/>
  <c r="V114" i="18"/>
  <c r="N114" i="18"/>
  <c r="DF114" i="18"/>
  <c r="BZ114" i="18"/>
  <c r="AT114" i="18"/>
  <c r="A8" i="4"/>
  <c r="D33" i="5"/>
  <c r="D20" i="5"/>
  <c r="Y42" i="17"/>
  <c r="X42" i="17"/>
  <c r="Z42" i="17" s="1"/>
  <c r="X28" i="20"/>
  <c r="AA28" i="20" s="1"/>
  <c r="Y118" i="17"/>
  <c r="X118" i="17"/>
  <c r="Z94" i="15"/>
  <c r="Y94" i="15"/>
  <c r="X94" i="15"/>
  <c r="AB479" i="17"/>
  <c r="X479" i="17"/>
  <c r="AA479" i="17"/>
  <c r="Z479" i="17"/>
  <c r="AC479" i="17"/>
  <c r="Z316" i="17"/>
  <c r="Y316" i="17"/>
  <c r="AB316" i="17"/>
  <c r="AB447" i="17"/>
  <c r="X447" i="17"/>
  <c r="AA447" i="17"/>
  <c r="AC447" i="17"/>
  <c r="Y153" i="17"/>
  <c r="X153" i="17"/>
  <c r="AA153" i="17"/>
  <c r="Y208" i="17"/>
  <c r="X208" i="17"/>
  <c r="AA208" i="17"/>
  <c r="Y81" i="17"/>
  <c r="X81" i="17"/>
  <c r="Z81" i="17" s="1"/>
  <c r="AA183" i="17"/>
  <c r="Z183" i="17"/>
  <c r="Y183" i="17"/>
  <c r="X183" i="17"/>
  <c r="AC445" i="17"/>
  <c r="AB445" i="17"/>
  <c r="X445" i="17"/>
  <c r="AA445" i="17"/>
  <c r="Z384" i="17"/>
  <c r="Y384" i="17"/>
  <c r="AB384" i="17"/>
  <c r="Y99" i="15"/>
  <c r="X99" i="15"/>
  <c r="AA99" i="15" s="1"/>
  <c r="Z99" i="15"/>
  <c r="X222" i="17"/>
  <c r="AA222" i="17"/>
  <c r="Y222" i="17"/>
  <c r="X178" i="17"/>
  <c r="AA178" i="17"/>
  <c r="Y178" i="17"/>
  <c r="Y56" i="17"/>
  <c r="X56" i="17"/>
  <c r="Z56" i="17" s="1"/>
  <c r="Z449" i="17"/>
  <c r="AC449" i="17"/>
  <c r="Y449" i="17"/>
  <c r="AB449" i="17"/>
  <c r="X449" i="17"/>
  <c r="AA449" i="17"/>
  <c r="Y204" i="17"/>
  <c r="AA204" i="17"/>
  <c r="X204" i="17"/>
  <c r="DO72" i="18"/>
  <c r="DK72" i="18"/>
  <c r="DG72" i="18"/>
  <c r="DC72" i="18"/>
  <c r="CY72" i="18"/>
  <c r="CU72" i="18"/>
  <c r="CQ72" i="18"/>
  <c r="CM72" i="18"/>
  <c r="CI72" i="18"/>
  <c r="CE72" i="18"/>
  <c r="CA72" i="18"/>
  <c r="BW72" i="18"/>
  <c r="BS72" i="18"/>
  <c r="BO72" i="18"/>
  <c r="BK72" i="18"/>
  <c r="BG72" i="18"/>
  <c r="BC72" i="18"/>
  <c r="AY72" i="18"/>
  <c r="AU72" i="18"/>
  <c r="AQ72" i="18"/>
  <c r="AM72" i="18"/>
  <c r="AI72" i="18"/>
  <c r="AE72" i="18"/>
  <c r="AA72" i="18"/>
  <c r="W72" i="18"/>
  <c r="S72" i="18"/>
  <c r="O72" i="18"/>
  <c r="K72" i="18"/>
  <c r="G72" i="18"/>
  <c r="DN72" i="18"/>
  <c r="DJ72" i="18"/>
  <c r="DF72" i="18"/>
  <c r="DB72" i="18"/>
  <c r="CX72" i="18"/>
  <c r="CT72" i="18"/>
  <c r="CP72" i="18"/>
  <c r="CL72" i="18"/>
  <c r="CH72" i="18"/>
  <c r="CD72" i="18"/>
  <c r="BZ72" i="18"/>
  <c r="BV72" i="18"/>
  <c r="BR72" i="18"/>
  <c r="BN72" i="18"/>
  <c r="BJ72" i="18"/>
  <c r="BF72" i="18"/>
  <c r="BB72" i="18"/>
  <c r="AX72" i="18"/>
  <c r="AT72" i="18"/>
  <c r="AP72" i="18"/>
  <c r="AL72" i="18"/>
  <c r="AH72" i="18"/>
  <c r="AD72" i="18"/>
  <c r="Z72" i="18"/>
  <c r="V72" i="18"/>
  <c r="R72" i="18"/>
  <c r="N72" i="18"/>
  <c r="J72" i="18"/>
  <c r="F72" i="18"/>
  <c r="DQ72" i="18"/>
  <c r="DM72" i="18"/>
  <c r="DI72" i="18"/>
  <c r="DE72" i="18"/>
  <c r="DA72" i="18"/>
  <c r="CW72" i="18"/>
  <c r="CS72" i="18"/>
  <c r="CO72" i="18"/>
  <c r="CK72" i="18"/>
  <c r="CG72" i="18"/>
  <c r="CC72" i="18"/>
  <c r="BY72" i="18"/>
  <c r="BU72" i="18"/>
  <c r="BQ72" i="18"/>
  <c r="BM72" i="18"/>
  <c r="BI72" i="18"/>
  <c r="BE72" i="18"/>
  <c r="BA72" i="18"/>
  <c r="AW72" i="18"/>
  <c r="AS72" i="18"/>
  <c r="AO72" i="18"/>
  <c r="AK72" i="18"/>
  <c r="AG72" i="18"/>
  <c r="AC72" i="18"/>
  <c r="Y72" i="18"/>
  <c r="U72" i="18"/>
  <c r="Q72" i="18"/>
  <c r="M72" i="18"/>
  <c r="I72" i="18"/>
  <c r="E72" i="18"/>
  <c r="DH72" i="18"/>
  <c r="CR72" i="18"/>
  <c r="CB72" i="18"/>
  <c r="BL72" i="18"/>
  <c r="AV72" i="18"/>
  <c r="AF72" i="18"/>
  <c r="P72" i="18"/>
  <c r="DD72" i="18"/>
  <c r="CN72" i="18"/>
  <c r="BX72" i="18"/>
  <c r="BH72" i="18"/>
  <c r="AR72" i="18"/>
  <c r="AB72" i="18"/>
  <c r="L72" i="18"/>
  <c r="DP72" i="18"/>
  <c r="CZ72" i="18"/>
  <c r="CJ72" i="18"/>
  <c r="BT72" i="18"/>
  <c r="BD72" i="18"/>
  <c r="AN72" i="18"/>
  <c r="X72" i="18"/>
  <c r="H72" i="18"/>
  <c r="CF72" i="18"/>
  <c r="T72" i="18"/>
  <c r="BP72" i="18"/>
  <c r="DL72" i="18"/>
  <c r="AZ72" i="18"/>
  <c r="CV72" i="18"/>
  <c r="AJ72" i="18"/>
  <c r="Y87" i="15"/>
  <c r="X87" i="15"/>
  <c r="AA87" i="15" s="1"/>
  <c r="Z87" i="15"/>
  <c r="AA472" i="17"/>
  <c r="Z472" i="17"/>
  <c r="AC472" i="17"/>
  <c r="AB472" i="17"/>
  <c r="X472" i="17"/>
  <c r="AA159" i="17"/>
  <c r="Y159" i="17"/>
  <c r="X159" i="17"/>
  <c r="Z139" i="17"/>
  <c r="X150" i="17"/>
  <c r="AA150" i="17"/>
  <c r="Z150" i="17"/>
  <c r="Y150" i="17"/>
  <c r="Z74" i="15"/>
  <c r="Y74" i="15"/>
  <c r="X74" i="15"/>
  <c r="AA74" i="15" s="1"/>
  <c r="AB459" i="17"/>
  <c r="X459" i="17"/>
  <c r="AA459" i="17"/>
  <c r="Z459" i="17"/>
  <c r="AC459" i="17"/>
  <c r="Y31" i="24"/>
  <c r="AA31" i="24" s="1"/>
  <c r="Z102" i="15"/>
  <c r="Y102" i="15"/>
  <c r="X102" i="15"/>
  <c r="AB487" i="17"/>
  <c r="X487" i="17"/>
  <c r="AA487" i="17"/>
  <c r="Z487" i="17"/>
  <c r="AC487" i="17"/>
  <c r="Z324" i="17"/>
  <c r="Y324" i="17"/>
  <c r="AB324" i="17"/>
  <c r="AA324" i="17"/>
  <c r="DP61" i="18"/>
  <c r="DL61" i="18"/>
  <c r="DH61" i="18"/>
  <c r="DD61" i="18"/>
  <c r="CZ61" i="18"/>
  <c r="CV61" i="18"/>
  <c r="CR61" i="18"/>
  <c r="CN61" i="18"/>
  <c r="CJ61" i="18"/>
  <c r="CF61" i="18"/>
  <c r="CB61" i="18"/>
  <c r="BX61" i="18"/>
  <c r="BT61" i="18"/>
  <c r="BP61" i="18"/>
  <c r="BL61" i="18"/>
  <c r="BH61" i="18"/>
  <c r="BD61" i="18"/>
  <c r="AZ61" i="18"/>
  <c r="AV61" i="18"/>
  <c r="AR61" i="18"/>
  <c r="AN61" i="18"/>
  <c r="AJ61" i="18"/>
  <c r="AF61" i="18"/>
  <c r="AB61" i="18"/>
  <c r="X61" i="18"/>
  <c r="T61" i="18"/>
  <c r="P61" i="18"/>
  <c r="L61" i="18"/>
  <c r="H61" i="18"/>
  <c r="DQ61" i="18"/>
  <c r="DK61" i="18"/>
  <c r="DF61" i="18"/>
  <c r="DA61" i="18"/>
  <c r="CU61" i="18"/>
  <c r="CP61" i="18"/>
  <c r="CK61" i="18"/>
  <c r="CE61" i="18"/>
  <c r="BZ61" i="18"/>
  <c r="BU61" i="18"/>
  <c r="BO61" i="18"/>
  <c r="BJ61" i="18"/>
  <c r="BE61" i="18"/>
  <c r="AY61" i="18"/>
  <c r="AT61" i="18"/>
  <c r="AO61" i="18"/>
  <c r="AI61" i="18"/>
  <c r="AD61" i="18"/>
  <c r="Y61" i="18"/>
  <c r="S61" i="18"/>
  <c r="N61" i="18"/>
  <c r="I61" i="18"/>
  <c r="DO61" i="18"/>
  <c r="DJ61" i="18"/>
  <c r="DE61" i="18"/>
  <c r="CY61" i="18"/>
  <c r="CT61" i="18"/>
  <c r="CO61" i="18"/>
  <c r="CI61" i="18"/>
  <c r="CD61" i="18"/>
  <c r="BY61" i="18"/>
  <c r="BS61" i="18"/>
  <c r="BN61" i="18"/>
  <c r="BI61" i="18"/>
  <c r="BC61" i="18"/>
  <c r="AX61" i="18"/>
  <c r="AS61" i="18"/>
  <c r="AM61" i="18"/>
  <c r="AH61" i="18"/>
  <c r="AC61" i="18"/>
  <c r="W61" i="18"/>
  <c r="R61" i="18"/>
  <c r="M61" i="18"/>
  <c r="G61" i="18"/>
  <c r="DN61" i="18"/>
  <c r="DI61" i="18"/>
  <c r="DC61" i="18"/>
  <c r="CX61" i="18"/>
  <c r="CS61" i="18"/>
  <c r="CM61" i="18"/>
  <c r="CH61" i="18"/>
  <c r="CC61" i="18"/>
  <c r="BW61" i="18"/>
  <c r="BR61" i="18"/>
  <c r="BM61" i="18"/>
  <c r="BG61" i="18"/>
  <c r="BB61" i="18"/>
  <c r="AW61" i="18"/>
  <c r="AQ61" i="18"/>
  <c r="AL61" i="18"/>
  <c r="AG61" i="18"/>
  <c r="AA61" i="18"/>
  <c r="V61" i="18"/>
  <c r="Q61" i="18"/>
  <c r="K61" i="18"/>
  <c r="F61" i="18"/>
  <c r="DB61" i="18"/>
  <c r="CG61" i="18"/>
  <c r="BK61" i="18"/>
  <c r="AP61" i="18"/>
  <c r="U61" i="18"/>
  <c r="CW61" i="18"/>
  <c r="CA61" i="18"/>
  <c r="BF61" i="18"/>
  <c r="AK61" i="18"/>
  <c r="O61" i="18"/>
  <c r="DM61" i="18"/>
  <c r="CQ61" i="18"/>
  <c r="BV61" i="18"/>
  <c r="BA61" i="18"/>
  <c r="AE61" i="18"/>
  <c r="J61" i="18"/>
  <c r="DG61" i="18"/>
  <c r="Z61" i="18"/>
  <c r="CL61" i="18"/>
  <c r="E61" i="18"/>
  <c r="BQ61" i="18"/>
  <c r="AU61" i="18"/>
  <c r="Z232" i="17"/>
  <c r="Y232" i="17"/>
  <c r="X232" i="17"/>
  <c r="AA232" i="17"/>
  <c r="AH28" i="18"/>
  <c r="AE28" i="18"/>
  <c r="BK28" i="18"/>
  <c r="CA28" i="18"/>
  <c r="CQ28" i="18"/>
  <c r="CG28" i="18"/>
  <c r="Z29" i="24"/>
  <c r="Z37" i="24"/>
  <c r="Z26" i="24"/>
  <c r="AA26" i="24" s="1"/>
  <c r="AS123" i="18"/>
  <c r="CW123" i="18"/>
  <c r="BL123" i="18"/>
  <c r="BN123" i="18"/>
  <c r="DJ123" i="18"/>
  <c r="O123" i="18"/>
  <c r="AU123" i="18"/>
  <c r="Y92" i="17"/>
  <c r="X92" i="17"/>
  <c r="Z92" i="17" s="1"/>
  <c r="Z485" i="17"/>
  <c r="AC485" i="17"/>
  <c r="AB485" i="17"/>
  <c r="X485" i="17"/>
  <c r="AA485" i="17"/>
  <c r="Y381" i="17"/>
  <c r="AB381" i="17"/>
  <c r="X381" i="17"/>
  <c r="Z381" i="17"/>
  <c r="X59" i="17"/>
  <c r="Y59" i="17"/>
  <c r="Y90" i="17"/>
  <c r="X90" i="17"/>
  <c r="Z90" i="17" s="1"/>
  <c r="Y221" i="17"/>
  <c r="X221" i="17"/>
  <c r="AA221" i="17"/>
  <c r="Y385" i="17"/>
  <c r="AB385" i="17"/>
  <c r="X385" i="17"/>
  <c r="Z385" i="17"/>
  <c r="DP122" i="18"/>
  <c r="DL122" i="18"/>
  <c r="DH122" i="18"/>
  <c r="DD122" i="18"/>
  <c r="CZ122" i="18"/>
  <c r="CV122" i="18"/>
  <c r="CR122" i="18"/>
  <c r="CN122" i="18"/>
  <c r="CJ122" i="18"/>
  <c r="CF122" i="18"/>
  <c r="CB122" i="18"/>
  <c r="BX122" i="18"/>
  <c r="BT122" i="18"/>
  <c r="BP122" i="18"/>
  <c r="BL122" i="18"/>
  <c r="BH122" i="18"/>
  <c r="BD122" i="18"/>
  <c r="AZ122" i="18"/>
  <c r="AV122" i="18"/>
  <c r="AR122" i="18"/>
  <c r="AN122" i="18"/>
  <c r="AJ122" i="18"/>
  <c r="AF122" i="18"/>
  <c r="AB122" i="18"/>
  <c r="X122" i="18"/>
  <c r="T122" i="18"/>
  <c r="P122" i="18"/>
  <c r="L122" i="18"/>
  <c r="H122" i="18"/>
  <c r="DO122" i="18"/>
  <c r="DK122" i="18"/>
  <c r="DG122" i="18"/>
  <c r="DC122" i="18"/>
  <c r="CY122" i="18"/>
  <c r="CU122" i="18"/>
  <c r="CQ122" i="18"/>
  <c r="CM122" i="18"/>
  <c r="CI122" i="18"/>
  <c r="CE122" i="18"/>
  <c r="CA122" i="18"/>
  <c r="BW122" i="18"/>
  <c r="BS122" i="18"/>
  <c r="BO122" i="18"/>
  <c r="BK122" i="18"/>
  <c r="BG122" i="18"/>
  <c r="BC122" i="18"/>
  <c r="AY122" i="18"/>
  <c r="AU122" i="18"/>
  <c r="AQ122" i="18"/>
  <c r="AM122" i="18"/>
  <c r="AI122" i="18"/>
  <c r="AE122" i="18"/>
  <c r="AA122" i="18"/>
  <c r="W122" i="18"/>
  <c r="S122" i="18"/>
  <c r="O122" i="18"/>
  <c r="K122" i="18"/>
  <c r="G122" i="18"/>
  <c r="DM122" i="18"/>
  <c r="DE122" i="18"/>
  <c r="CW122" i="18"/>
  <c r="CO122" i="18"/>
  <c r="CG122" i="18"/>
  <c r="BY122" i="18"/>
  <c r="BQ122" i="18"/>
  <c r="BI122" i="18"/>
  <c r="BA122" i="18"/>
  <c r="AS122" i="18"/>
  <c r="AK122" i="18"/>
  <c r="AC122" i="18"/>
  <c r="U122" i="18"/>
  <c r="M122" i="18"/>
  <c r="E122" i="18"/>
  <c r="DJ122" i="18"/>
  <c r="DB122" i="18"/>
  <c r="CT122" i="18"/>
  <c r="CL122" i="18"/>
  <c r="CD122" i="18"/>
  <c r="BV122" i="18"/>
  <c r="BN122" i="18"/>
  <c r="BF122" i="18"/>
  <c r="AX122" i="18"/>
  <c r="AP122" i="18"/>
  <c r="AH122" i="18"/>
  <c r="Z122" i="18"/>
  <c r="R122" i="18"/>
  <c r="J122" i="18"/>
  <c r="DQ122" i="18"/>
  <c r="DI122" i="18"/>
  <c r="DA122" i="18"/>
  <c r="CS122" i="18"/>
  <c r="CK122" i="18"/>
  <c r="CC122" i="18"/>
  <c r="BU122" i="18"/>
  <c r="BM122" i="18"/>
  <c r="BE122" i="18"/>
  <c r="AW122" i="18"/>
  <c r="AO122" i="18"/>
  <c r="AG122" i="18"/>
  <c r="Y122" i="18"/>
  <c r="Q122" i="18"/>
  <c r="I122" i="18"/>
  <c r="CP122" i="18"/>
  <c r="BJ122" i="18"/>
  <c r="AD122" i="18"/>
  <c r="DN122" i="18"/>
  <c r="CH122" i="18"/>
  <c r="BB122" i="18"/>
  <c r="V122" i="18"/>
  <c r="DF122" i="18"/>
  <c r="BZ122" i="18"/>
  <c r="AT122" i="18"/>
  <c r="N122" i="18"/>
  <c r="BR122" i="18"/>
  <c r="AL122" i="18"/>
  <c r="F122" i="18"/>
  <c r="CX122" i="18"/>
  <c r="AA303" i="17"/>
  <c r="Z303" i="17"/>
  <c r="Y303" i="17"/>
  <c r="AB303" i="17"/>
  <c r="AA270" i="17"/>
  <c r="AA302" i="17" s="1"/>
  <c r="Y97" i="17"/>
  <c r="X97" i="17"/>
  <c r="Z97" i="17" s="1"/>
  <c r="Y68" i="17"/>
  <c r="X68" i="17"/>
  <c r="Z68" i="17" s="1"/>
  <c r="Z461" i="17"/>
  <c r="AC461" i="17"/>
  <c r="Y461" i="17"/>
  <c r="AB461" i="17"/>
  <c r="X461" i="17"/>
  <c r="AA461" i="17"/>
  <c r="Y74" i="17"/>
  <c r="X74" i="17"/>
  <c r="Y104" i="17"/>
  <c r="X104" i="17"/>
  <c r="Z497" i="17"/>
  <c r="AC497" i="17"/>
  <c r="X497" i="17"/>
  <c r="AB497" i="17"/>
  <c r="AA497" i="17"/>
  <c r="AA203" i="17"/>
  <c r="Z203" i="17"/>
  <c r="Y203" i="17"/>
  <c r="X203" i="17"/>
  <c r="Z48" i="15"/>
  <c r="Y48" i="15"/>
  <c r="X48" i="15"/>
  <c r="AA48" i="15" s="1"/>
  <c r="DN39" i="18"/>
  <c r="DJ39" i="18"/>
  <c r="DF39" i="18"/>
  <c r="DB39" i="18"/>
  <c r="CX39" i="18"/>
  <c r="CT39" i="18"/>
  <c r="CP39" i="18"/>
  <c r="CL39" i="18"/>
  <c r="CH39" i="18"/>
  <c r="CD39" i="18"/>
  <c r="BZ39" i="18"/>
  <c r="BV39" i="18"/>
  <c r="BR39" i="18"/>
  <c r="BN39" i="18"/>
  <c r="BJ39" i="18"/>
  <c r="BF39" i="18"/>
  <c r="BB39" i="18"/>
  <c r="AX39" i="18"/>
  <c r="AT39" i="18"/>
  <c r="AP39" i="18"/>
  <c r="AL39" i="18"/>
  <c r="AH39" i="18"/>
  <c r="AD39" i="18"/>
  <c r="Z39" i="18"/>
  <c r="V39" i="18"/>
  <c r="R39" i="18"/>
  <c r="N39" i="18"/>
  <c r="J39" i="18"/>
  <c r="F39" i="18"/>
  <c r="DQ39" i="18"/>
  <c r="DM39" i="18"/>
  <c r="DI39" i="18"/>
  <c r="DE39" i="18"/>
  <c r="DA39" i="18"/>
  <c r="CW39" i="18"/>
  <c r="CS39" i="18"/>
  <c r="CO39" i="18"/>
  <c r="CK39" i="18"/>
  <c r="CG39" i="18"/>
  <c r="CC39" i="18"/>
  <c r="BY39" i="18"/>
  <c r="BU39" i="18"/>
  <c r="BQ39" i="18"/>
  <c r="BM39" i="18"/>
  <c r="BI39" i="18"/>
  <c r="BE39" i="18"/>
  <c r="BA39" i="18"/>
  <c r="AW39" i="18"/>
  <c r="AS39" i="18"/>
  <c r="AO39" i="18"/>
  <c r="AK39" i="18"/>
  <c r="AG39" i="18"/>
  <c r="AC39" i="18"/>
  <c r="Y39" i="18"/>
  <c r="U39" i="18"/>
  <c r="Q39" i="18"/>
  <c r="M39" i="18"/>
  <c r="I39" i="18"/>
  <c r="E39" i="18"/>
  <c r="DP39" i="18"/>
  <c r="DL39" i="18"/>
  <c r="DH39" i="18"/>
  <c r="DD39" i="18"/>
  <c r="CZ39" i="18"/>
  <c r="CV39" i="18"/>
  <c r="CR39" i="18"/>
  <c r="CN39" i="18"/>
  <c r="CJ39" i="18"/>
  <c r="CF39" i="18"/>
  <c r="CB39" i="18"/>
  <c r="BX39" i="18"/>
  <c r="BT39" i="18"/>
  <c r="BP39" i="18"/>
  <c r="BL39" i="18"/>
  <c r="BH39" i="18"/>
  <c r="BD39" i="18"/>
  <c r="AZ39" i="18"/>
  <c r="AV39" i="18"/>
  <c r="AR39" i="18"/>
  <c r="AN39" i="18"/>
  <c r="AJ39" i="18"/>
  <c r="AF39" i="18"/>
  <c r="AB39" i="18"/>
  <c r="X39" i="18"/>
  <c r="T39" i="18"/>
  <c r="P39" i="18"/>
  <c r="L39" i="18"/>
  <c r="H39" i="18"/>
  <c r="DC39" i="18"/>
  <c r="CM39" i="18"/>
  <c r="BW39" i="18"/>
  <c r="BG39" i="18"/>
  <c r="AQ39" i="18"/>
  <c r="AA39" i="18"/>
  <c r="K39" i="18"/>
  <c r="DO39" i="18"/>
  <c r="CY39" i="18"/>
  <c r="CI39" i="18"/>
  <c r="BS39" i="18"/>
  <c r="BC39" i="18"/>
  <c r="AM39" i="18"/>
  <c r="W39" i="18"/>
  <c r="G39" i="18"/>
  <c r="DK39" i="18"/>
  <c r="CU39" i="18"/>
  <c r="CE39" i="18"/>
  <c r="BO39" i="18"/>
  <c r="AY39" i="18"/>
  <c r="AI39" i="18"/>
  <c r="S39" i="18"/>
  <c r="BK39" i="18"/>
  <c r="DG39" i="18"/>
  <c r="AU39" i="18"/>
  <c r="CQ39" i="18"/>
  <c r="AE39" i="18"/>
  <c r="CA39" i="18"/>
  <c r="O39" i="18"/>
  <c r="X125" i="17"/>
  <c r="Y125" i="17"/>
  <c r="Y361" i="17"/>
  <c r="AB361" i="17"/>
  <c r="AA361" i="17"/>
  <c r="Z361" i="17"/>
  <c r="Y73" i="15"/>
  <c r="X73" i="15"/>
  <c r="Z73" i="15"/>
  <c r="AC458" i="17"/>
  <c r="Y458" i="17"/>
  <c r="AB458" i="17"/>
  <c r="X458" i="17"/>
  <c r="AA458" i="17"/>
  <c r="Z458" i="17"/>
  <c r="Y49" i="17"/>
  <c r="X49" i="17"/>
  <c r="AC442" i="17"/>
  <c r="AB442" i="17"/>
  <c r="X442" i="17"/>
  <c r="AA442" i="17"/>
  <c r="Z442" i="17"/>
  <c r="AA351" i="17"/>
  <c r="Z351" i="17"/>
  <c r="Y351" i="17"/>
  <c r="X351" i="17"/>
  <c r="AC351" i="17" s="1"/>
  <c r="AB351" i="17"/>
  <c r="Y337" i="17"/>
  <c r="AB337" i="17"/>
  <c r="X337" i="17"/>
  <c r="AC337" i="17" s="1"/>
  <c r="AA337" i="17"/>
  <c r="Z337" i="17"/>
  <c r="DQ74" i="18"/>
  <c r="DM74" i="18"/>
  <c r="DI74" i="18"/>
  <c r="DE74" i="18"/>
  <c r="DA74" i="18"/>
  <c r="CW74" i="18"/>
  <c r="CS74" i="18"/>
  <c r="CO74" i="18"/>
  <c r="CK74" i="18"/>
  <c r="CG74" i="18"/>
  <c r="CC74" i="18"/>
  <c r="BY74" i="18"/>
  <c r="BU74" i="18"/>
  <c r="BQ74" i="18"/>
  <c r="BM74" i="18"/>
  <c r="BI74" i="18"/>
  <c r="BE74" i="18"/>
  <c r="BA74" i="18"/>
  <c r="AW74" i="18"/>
  <c r="AS74" i="18"/>
  <c r="AO74" i="18"/>
  <c r="AK74" i="18"/>
  <c r="AG74" i="18"/>
  <c r="AC74" i="18"/>
  <c r="Y74" i="18"/>
  <c r="U74" i="18"/>
  <c r="Q74" i="18"/>
  <c r="M74" i="18"/>
  <c r="I74" i="18"/>
  <c r="E74" i="18"/>
  <c r="DP74" i="18"/>
  <c r="DL74" i="18"/>
  <c r="DH74" i="18"/>
  <c r="DD74" i="18"/>
  <c r="CZ74" i="18"/>
  <c r="CV74" i="18"/>
  <c r="CR74" i="18"/>
  <c r="CN74" i="18"/>
  <c r="CJ74" i="18"/>
  <c r="CF74" i="18"/>
  <c r="CB74" i="18"/>
  <c r="BX74" i="18"/>
  <c r="BT74" i="18"/>
  <c r="BP74" i="18"/>
  <c r="BL74" i="18"/>
  <c r="BH74" i="18"/>
  <c r="BD74" i="18"/>
  <c r="AZ74" i="18"/>
  <c r="AV74" i="18"/>
  <c r="AR74" i="18"/>
  <c r="AN74" i="18"/>
  <c r="AJ74" i="18"/>
  <c r="AF74" i="18"/>
  <c r="AB74" i="18"/>
  <c r="X74" i="18"/>
  <c r="T74" i="18"/>
  <c r="P74" i="18"/>
  <c r="L74" i="18"/>
  <c r="H74" i="18"/>
  <c r="DO74" i="18"/>
  <c r="DK74" i="18"/>
  <c r="DG74" i="18"/>
  <c r="DC74" i="18"/>
  <c r="CY74" i="18"/>
  <c r="CU74" i="18"/>
  <c r="CQ74" i="18"/>
  <c r="CM74" i="18"/>
  <c r="CI74" i="18"/>
  <c r="CE74" i="18"/>
  <c r="CA74" i="18"/>
  <c r="BW74" i="18"/>
  <c r="BS74" i="18"/>
  <c r="BO74" i="18"/>
  <c r="BK74" i="18"/>
  <c r="BG74" i="18"/>
  <c r="BC74" i="18"/>
  <c r="AY74" i="18"/>
  <c r="AU74" i="18"/>
  <c r="AQ74" i="18"/>
  <c r="AM74" i="18"/>
  <c r="AI74" i="18"/>
  <c r="AE74" i="18"/>
  <c r="AA74" i="18"/>
  <c r="W74" i="18"/>
  <c r="S74" i="18"/>
  <c r="O74" i="18"/>
  <c r="K74" i="18"/>
  <c r="G74" i="18"/>
  <c r="DF74" i="18"/>
  <c r="CP74" i="18"/>
  <c r="BZ74" i="18"/>
  <c r="BJ74" i="18"/>
  <c r="AT74" i="18"/>
  <c r="AD74" i="18"/>
  <c r="N74" i="18"/>
  <c r="DB74" i="18"/>
  <c r="CL74" i="18"/>
  <c r="BV74" i="18"/>
  <c r="BF74" i="18"/>
  <c r="AP74" i="18"/>
  <c r="Z74" i="18"/>
  <c r="J74" i="18"/>
  <c r="DN74" i="18"/>
  <c r="CX74" i="18"/>
  <c r="CH74" i="18"/>
  <c r="BR74" i="18"/>
  <c r="BB74" i="18"/>
  <c r="AL74" i="18"/>
  <c r="V74" i="18"/>
  <c r="F74" i="18"/>
  <c r="CT74" i="18"/>
  <c r="AH74" i="18"/>
  <c r="CD74" i="18"/>
  <c r="R74" i="18"/>
  <c r="BN74" i="18"/>
  <c r="DJ74" i="18"/>
  <c r="AX74" i="18"/>
  <c r="AB322" i="17"/>
  <c r="AA322" i="17"/>
  <c r="Z322" i="17"/>
  <c r="Y322" i="17"/>
  <c r="Y117" i="15"/>
  <c r="X117" i="15"/>
  <c r="AA117" i="15" s="1"/>
  <c r="Z117" i="15"/>
  <c r="AC502" i="17"/>
  <c r="Y502" i="17"/>
  <c r="AB502" i="17"/>
  <c r="X502" i="17"/>
  <c r="AA502" i="17"/>
  <c r="Z502" i="17"/>
  <c r="X83" i="17"/>
  <c r="Y83" i="17"/>
  <c r="DQ82" i="18"/>
  <c r="DM82" i="18"/>
  <c r="DI82" i="18"/>
  <c r="DE82" i="18"/>
  <c r="DA82" i="18"/>
  <c r="CW82" i="18"/>
  <c r="CS82" i="18"/>
  <c r="CO82" i="18"/>
  <c r="CK82" i="18"/>
  <c r="CG82" i="18"/>
  <c r="CC82" i="18"/>
  <c r="BY82" i="18"/>
  <c r="BU82" i="18"/>
  <c r="BQ82" i="18"/>
  <c r="BM82" i="18"/>
  <c r="BI82" i="18"/>
  <c r="BE82" i="18"/>
  <c r="BA82" i="18"/>
  <c r="AW82" i="18"/>
  <c r="AS82" i="18"/>
  <c r="AO82" i="18"/>
  <c r="AK82" i="18"/>
  <c r="AG82" i="18"/>
  <c r="AC82" i="18"/>
  <c r="Y82" i="18"/>
  <c r="U82" i="18"/>
  <c r="Q82" i="18"/>
  <c r="M82" i="18"/>
  <c r="I82" i="18"/>
  <c r="E82" i="18"/>
  <c r="DP82" i="18"/>
  <c r="DL82" i="18"/>
  <c r="DH82" i="18"/>
  <c r="DD82" i="18"/>
  <c r="CZ82" i="18"/>
  <c r="CV82" i="18"/>
  <c r="CR82" i="18"/>
  <c r="CN82" i="18"/>
  <c r="CJ82" i="18"/>
  <c r="CF82" i="18"/>
  <c r="CB82" i="18"/>
  <c r="BX82" i="18"/>
  <c r="BT82" i="18"/>
  <c r="BP82" i="18"/>
  <c r="BL82" i="18"/>
  <c r="BH82" i="18"/>
  <c r="BD82" i="18"/>
  <c r="AZ82" i="18"/>
  <c r="AV82" i="18"/>
  <c r="AR82" i="18"/>
  <c r="AN82" i="18"/>
  <c r="AJ82" i="18"/>
  <c r="AF82" i="18"/>
  <c r="AB82" i="18"/>
  <c r="X82" i="18"/>
  <c r="T82" i="18"/>
  <c r="P82" i="18"/>
  <c r="L82" i="18"/>
  <c r="H82" i="18"/>
  <c r="DO82" i="18"/>
  <c r="DK82" i="18"/>
  <c r="DG82" i="18"/>
  <c r="DC82" i="18"/>
  <c r="CY82" i="18"/>
  <c r="CU82" i="18"/>
  <c r="CQ82" i="18"/>
  <c r="CM82" i="18"/>
  <c r="CI82" i="18"/>
  <c r="CE82" i="18"/>
  <c r="CA82" i="18"/>
  <c r="BW82" i="18"/>
  <c r="BS82" i="18"/>
  <c r="BO82" i="18"/>
  <c r="BK82" i="18"/>
  <c r="BG82" i="18"/>
  <c r="BC82" i="18"/>
  <c r="AY82" i="18"/>
  <c r="AU82" i="18"/>
  <c r="AQ82" i="18"/>
  <c r="AM82" i="18"/>
  <c r="AI82" i="18"/>
  <c r="AE82" i="18"/>
  <c r="AA82" i="18"/>
  <c r="W82" i="18"/>
  <c r="S82" i="18"/>
  <c r="O82" i="18"/>
  <c r="K82" i="18"/>
  <c r="G82" i="18"/>
  <c r="DN82" i="18"/>
  <c r="CX82" i="18"/>
  <c r="CH82" i="18"/>
  <c r="BR82" i="18"/>
  <c r="BB82" i="18"/>
  <c r="AL82" i="18"/>
  <c r="V82" i="18"/>
  <c r="F82" i="18"/>
  <c r="DJ82" i="18"/>
  <c r="CT82" i="18"/>
  <c r="CD82" i="18"/>
  <c r="BN82" i="18"/>
  <c r="AX82" i="18"/>
  <c r="AH82" i="18"/>
  <c r="R82" i="18"/>
  <c r="DF82" i="18"/>
  <c r="CP82" i="18"/>
  <c r="BZ82" i="18"/>
  <c r="BJ82" i="18"/>
  <c r="AT82" i="18"/>
  <c r="AD82" i="18"/>
  <c r="N82" i="18"/>
  <c r="CL82" i="18"/>
  <c r="Z82" i="18"/>
  <c r="BV82" i="18"/>
  <c r="J82" i="18"/>
  <c r="BF82" i="18"/>
  <c r="DB82" i="18"/>
  <c r="AP82" i="18"/>
  <c r="G6" i="21"/>
  <c r="H6" i="21"/>
  <c r="Y25" i="24"/>
  <c r="AA25" i="24" s="1"/>
  <c r="Z368" i="17"/>
  <c r="Y368" i="17"/>
  <c r="AB368" i="17"/>
  <c r="X368" i="17"/>
  <c r="AC368" i="17" s="1"/>
  <c r="AA368" i="17"/>
  <c r="DQ105" i="18"/>
  <c r="DM105" i="18"/>
  <c r="DI105" i="18"/>
  <c r="DE105" i="18"/>
  <c r="DA105" i="18"/>
  <c r="CW105" i="18"/>
  <c r="CS105" i="18"/>
  <c r="CO105" i="18"/>
  <c r="CK105" i="18"/>
  <c r="CG105" i="18"/>
  <c r="CC105" i="18"/>
  <c r="BY105" i="18"/>
  <c r="BU105" i="18"/>
  <c r="BQ105" i="18"/>
  <c r="BM105" i="18"/>
  <c r="BI105" i="18"/>
  <c r="BE105" i="18"/>
  <c r="BA105" i="18"/>
  <c r="AW105" i="18"/>
  <c r="AS105" i="18"/>
  <c r="AO105" i="18"/>
  <c r="AK105" i="18"/>
  <c r="AG105" i="18"/>
  <c r="AC105" i="18"/>
  <c r="Y105" i="18"/>
  <c r="U105" i="18"/>
  <c r="Q105" i="18"/>
  <c r="M105" i="18"/>
  <c r="I105" i="18"/>
  <c r="E105" i="18"/>
  <c r="DP105" i="18"/>
  <c r="DL105" i="18"/>
  <c r="DH105" i="18"/>
  <c r="DD105" i="18"/>
  <c r="CZ105" i="18"/>
  <c r="CV105" i="18"/>
  <c r="CR105" i="18"/>
  <c r="CN105" i="18"/>
  <c r="CJ105" i="18"/>
  <c r="CF105" i="18"/>
  <c r="CB105" i="18"/>
  <c r="BX105" i="18"/>
  <c r="BT105" i="18"/>
  <c r="BP105" i="18"/>
  <c r="BL105" i="18"/>
  <c r="BH105" i="18"/>
  <c r="BD105" i="18"/>
  <c r="AZ105" i="18"/>
  <c r="AV105" i="18"/>
  <c r="AR105" i="18"/>
  <c r="AN105" i="18"/>
  <c r="AJ105" i="18"/>
  <c r="AF105" i="18"/>
  <c r="AB105" i="18"/>
  <c r="X105" i="18"/>
  <c r="T105" i="18"/>
  <c r="P105" i="18"/>
  <c r="L105" i="18"/>
  <c r="H105" i="18"/>
  <c r="DN105" i="18"/>
  <c r="DF105" i="18"/>
  <c r="CX105" i="18"/>
  <c r="CP105" i="18"/>
  <c r="CH105" i="18"/>
  <c r="BZ105" i="18"/>
  <c r="BR105" i="18"/>
  <c r="BJ105" i="18"/>
  <c r="BB105" i="18"/>
  <c r="AT105" i="18"/>
  <c r="AL105" i="18"/>
  <c r="AD105" i="18"/>
  <c r="V105" i="18"/>
  <c r="N105" i="18"/>
  <c r="F105" i="18"/>
  <c r="DK105" i="18"/>
  <c r="DC105" i="18"/>
  <c r="CU105" i="18"/>
  <c r="CM105" i="18"/>
  <c r="CE105" i="18"/>
  <c r="BW105" i="18"/>
  <c r="BO105" i="18"/>
  <c r="BG105" i="18"/>
  <c r="AY105" i="18"/>
  <c r="AQ105" i="18"/>
  <c r="AI105" i="18"/>
  <c r="AA105" i="18"/>
  <c r="S105" i="18"/>
  <c r="K105" i="18"/>
  <c r="DJ105" i="18"/>
  <c r="DB105" i="18"/>
  <c r="CT105" i="18"/>
  <c r="CL105" i="18"/>
  <c r="CD105" i="18"/>
  <c r="BV105" i="18"/>
  <c r="BN105" i="18"/>
  <c r="BF105" i="18"/>
  <c r="AX105" i="18"/>
  <c r="AP105" i="18"/>
  <c r="AH105" i="18"/>
  <c r="Z105" i="18"/>
  <c r="R105" i="18"/>
  <c r="J105" i="18"/>
  <c r="CY105" i="18"/>
  <c r="BS105" i="18"/>
  <c r="AM105" i="18"/>
  <c r="G105" i="18"/>
  <c r="CQ105" i="18"/>
  <c r="BK105" i="18"/>
  <c r="AE105" i="18"/>
  <c r="DO105" i="18"/>
  <c r="CI105" i="18"/>
  <c r="BC105" i="18"/>
  <c r="W105" i="18"/>
  <c r="CA105" i="18"/>
  <c r="AU105" i="18"/>
  <c r="O105" i="18"/>
  <c r="DG105" i="18"/>
  <c r="Z288" i="17"/>
  <c r="Y288" i="17"/>
  <c r="AB288" i="17"/>
  <c r="AA288" i="17"/>
  <c r="Y241" i="17"/>
  <c r="X241" i="17"/>
  <c r="AB241" i="17" s="1"/>
  <c r="AA241" i="17"/>
  <c r="Z241" i="17"/>
  <c r="Y78" i="17"/>
  <c r="X78" i="17"/>
  <c r="Z78" i="17" s="1"/>
  <c r="Z54" i="15"/>
  <c r="Y54" i="15"/>
  <c r="X54" i="15"/>
  <c r="AA54" i="15" s="1"/>
  <c r="AB439" i="17"/>
  <c r="X439" i="17"/>
  <c r="AA439" i="17"/>
  <c r="Z439" i="17"/>
  <c r="AC439" i="17"/>
  <c r="Y285" i="17"/>
  <c r="AB285" i="17"/>
  <c r="AA285" i="17"/>
  <c r="Z285" i="17"/>
  <c r="X51" i="17"/>
  <c r="Y51" i="17"/>
  <c r="DO50" i="18"/>
  <c r="DK50" i="18"/>
  <c r="DG50" i="18"/>
  <c r="DC50" i="18"/>
  <c r="CY50" i="18"/>
  <c r="CU50" i="18"/>
  <c r="CQ50" i="18"/>
  <c r="CM50" i="18"/>
  <c r="CI50" i="18"/>
  <c r="CE50" i="18"/>
  <c r="CA50" i="18"/>
  <c r="BW50" i="18"/>
  <c r="BS50" i="18"/>
  <c r="BO50" i="18"/>
  <c r="BK50" i="18"/>
  <c r="BG50" i="18"/>
  <c r="BC50" i="18"/>
  <c r="AY50" i="18"/>
  <c r="AU50" i="18"/>
  <c r="AQ50" i="18"/>
  <c r="AM50" i="18"/>
  <c r="AI50" i="18"/>
  <c r="AE50" i="18"/>
  <c r="AA50" i="18"/>
  <c r="W50" i="18"/>
  <c r="S50" i="18"/>
  <c r="O50" i="18"/>
  <c r="K50" i="18"/>
  <c r="G50" i="18"/>
  <c r="DN50" i="18"/>
  <c r="DJ50" i="18"/>
  <c r="DF50" i="18"/>
  <c r="DB50" i="18"/>
  <c r="CX50" i="18"/>
  <c r="CT50" i="18"/>
  <c r="CP50" i="18"/>
  <c r="CL50" i="18"/>
  <c r="CH50" i="18"/>
  <c r="CD50" i="18"/>
  <c r="BZ50" i="18"/>
  <c r="BV50" i="18"/>
  <c r="BR50" i="18"/>
  <c r="BN50" i="18"/>
  <c r="BJ50" i="18"/>
  <c r="BF50" i="18"/>
  <c r="BB50" i="18"/>
  <c r="AX50" i="18"/>
  <c r="AT50" i="18"/>
  <c r="AP50" i="18"/>
  <c r="AL50" i="18"/>
  <c r="AH50" i="18"/>
  <c r="AD50" i="18"/>
  <c r="Z50" i="18"/>
  <c r="V50" i="18"/>
  <c r="R50" i="18"/>
  <c r="N50" i="18"/>
  <c r="J50" i="18"/>
  <c r="F50" i="18"/>
  <c r="DQ50" i="18"/>
  <c r="DM50" i="18"/>
  <c r="DI50" i="18"/>
  <c r="DE50" i="18"/>
  <c r="DA50" i="18"/>
  <c r="CW50" i="18"/>
  <c r="CS50" i="18"/>
  <c r="CO50" i="18"/>
  <c r="CK50" i="18"/>
  <c r="CG50" i="18"/>
  <c r="CC50" i="18"/>
  <c r="BY50" i="18"/>
  <c r="BU50" i="18"/>
  <c r="BQ50" i="18"/>
  <c r="BM50" i="18"/>
  <c r="BI50" i="18"/>
  <c r="BE50" i="18"/>
  <c r="BA50" i="18"/>
  <c r="AW50" i="18"/>
  <c r="AS50" i="18"/>
  <c r="AO50" i="18"/>
  <c r="AK50" i="18"/>
  <c r="AG50" i="18"/>
  <c r="AC50" i="18"/>
  <c r="Y50" i="18"/>
  <c r="U50" i="18"/>
  <c r="Q50" i="18"/>
  <c r="M50" i="18"/>
  <c r="I50" i="18"/>
  <c r="E50" i="18"/>
  <c r="DP50" i="18"/>
  <c r="CZ50" i="18"/>
  <c r="CJ50" i="18"/>
  <c r="BT50" i="18"/>
  <c r="BD50" i="18"/>
  <c r="AN50" i="18"/>
  <c r="X50" i="18"/>
  <c r="H50" i="18"/>
  <c r="DL50" i="18"/>
  <c r="CV50" i="18"/>
  <c r="CF50" i="18"/>
  <c r="BP50" i="18"/>
  <c r="AZ50" i="18"/>
  <c r="AJ50" i="18"/>
  <c r="T50" i="18"/>
  <c r="DH50" i="18"/>
  <c r="CR50" i="18"/>
  <c r="CB50" i="18"/>
  <c r="BL50" i="18"/>
  <c r="AV50" i="18"/>
  <c r="AF50" i="18"/>
  <c r="P50" i="18"/>
  <c r="BX50" i="18"/>
  <c r="L50" i="18"/>
  <c r="BH50" i="18"/>
  <c r="DD50" i="18"/>
  <c r="AR50" i="18"/>
  <c r="AB50" i="18"/>
  <c r="CN50" i="18"/>
  <c r="Z156" i="17"/>
  <c r="Y156" i="17"/>
  <c r="AA156" i="17"/>
  <c r="X156" i="17"/>
  <c r="AA460" i="17"/>
  <c r="Z460" i="17"/>
  <c r="AC460" i="17"/>
  <c r="AB460" i="17"/>
  <c r="X460" i="17"/>
  <c r="AA464" i="17"/>
  <c r="Z464" i="17"/>
  <c r="AC464" i="17"/>
  <c r="X464" i="17"/>
  <c r="AB464" i="17"/>
  <c r="DQ70" i="18"/>
  <c r="DM70" i="18"/>
  <c r="DI70" i="18"/>
  <c r="DE70" i="18"/>
  <c r="DA70" i="18"/>
  <c r="CW70" i="18"/>
  <c r="CS70" i="18"/>
  <c r="CO70" i="18"/>
  <c r="CK70" i="18"/>
  <c r="CG70" i="18"/>
  <c r="CC70" i="18"/>
  <c r="BY70" i="18"/>
  <c r="BU70" i="18"/>
  <c r="BQ70" i="18"/>
  <c r="BM70" i="18"/>
  <c r="BI70" i="18"/>
  <c r="BE70" i="18"/>
  <c r="BA70" i="18"/>
  <c r="AW70" i="18"/>
  <c r="AS70" i="18"/>
  <c r="AO70" i="18"/>
  <c r="AK70" i="18"/>
  <c r="AG70" i="18"/>
  <c r="AC70" i="18"/>
  <c r="Y70" i="18"/>
  <c r="U70" i="18"/>
  <c r="Q70" i="18"/>
  <c r="M70" i="18"/>
  <c r="I70" i="18"/>
  <c r="E70" i="18"/>
  <c r="DP70" i="18"/>
  <c r="DL70" i="18"/>
  <c r="DH70" i="18"/>
  <c r="DD70" i="18"/>
  <c r="CZ70" i="18"/>
  <c r="CV70" i="18"/>
  <c r="CR70" i="18"/>
  <c r="CN70" i="18"/>
  <c r="CJ70" i="18"/>
  <c r="CF70" i="18"/>
  <c r="CB70" i="18"/>
  <c r="BX70" i="18"/>
  <c r="BT70" i="18"/>
  <c r="BP70" i="18"/>
  <c r="BL70" i="18"/>
  <c r="BH70" i="18"/>
  <c r="BD70" i="18"/>
  <c r="AZ70" i="18"/>
  <c r="AV70" i="18"/>
  <c r="AR70" i="18"/>
  <c r="AN70" i="18"/>
  <c r="AJ70" i="18"/>
  <c r="AF70" i="18"/>
  <c r="AB70" i="18"/>
  <c r="X70" i="18"/>
  <c r="T70" i="18"/>
  <c r="P70" i="18"/>
  <c r="L70" i="18"/>
  <c r="H70" i="18"/>
  <c r="DO70" i="18"/>
  <c r="DK70" i="18"/>
  <c r="DG70" i="18"/>
  <c r="DC70" i="18"/>
  <c r="CY70" i="18"/>
  <c r="CU70" i="18"/>
  <c r="CQ70" i="18"/>
  <c r="CM70" i="18"/>
  <c r="CI70" i="18"/>
  <c r="CE70" i="18"/>
  <c r="CA70" i="18"/>
  <c r="BW70" i="18"/>
  <c r="BS70" i="18"/>
  <c r="BO70" i="18"/>
  <c r="BK70" i="18"/>
  <c r="BG70" i="18"/>
  <c r="BC70" i="18"/>
  <c r="AY70" i="18"/>
  <c r="AU70" i="18"/>
  <c r="AQ70" i="18"/>
  <c r="AM70" i="18"/>
  <c r="AI70" i="18"/>
  <c r="AE70" i="18"/>
  <c r="AA70" i="18"/>
  <c r="W70" i="18"/>
  <c r="S70" i="18"/>
  <c r="O70" i="18"/>
  <c r="K70" i="18"/>
  <c r="G70" i="18"/>
  <c r="DJ70" i="18"/>
  <c r="CT70" i="18"/>
  <c r="CD70" i="18"/>
  <c r="BN70" i="18"/>
  <c r="AX70" i="18"/>
  <c r="AH70" i="18"/>
  <c r="R70" i="18"/>
  <c r="DF70" i="18"/>
  <c r="CP70" i="18"/>
  <c r="BZ70" i="18"/>
  <c r="BJ70" i="18"/>
  <c r="AT70" i="18"/>
  <c r="AD70" i="18"/>
  <c r="N70" i="18"/>
  <c r="DB70" i="18"/>
  <c r="CL70" i="18"/>
  <c r="BV70" i="18"/>
  <c r="BF70" i="18"/>
  <c r="AP70" i="18"/>
  <c r="Z70" i="18"/>
  <c r="J70" i="18"/>
  <c r="BR70" i="18"/>
  <c r="F70" i="18"/>
  <c r="DN70" i="18"/>
  <c r="BB70" i="18"/>
  <c r="CX70" i="18"/>
  <c r="AL70" i="18"/>
  <c r="CH70" i="18"/>
  <c r="V70" i="18"/>
  <c r="AB350" i="17"/>
  <c r="X350" i="17"/>
  <c r="AC350" i="17" s="1"/>
  <c r="AA350" i="17"/>
  <c r="Z350" i="17"/>
  <c r="Y350" i="17"/>
  <c r="Y101" i="15"/>
  <c r="X101" i="15"/>
  <c r="Z101" i="15"/>
  <c r="AC486" i="17"/>
  <c r="AB486" i="17"/>
  <c r="X486" i="17"/>
  <c r="AA486" i="17"/>
  <c r="Z486" i="17"/>
  <c r="Y100" i="17"/>
  <c r="X100" i="17"/>
  <c r="Z100" i="17" s="1"/>
  <c r="Z493" i="17"/>
  <c r="AC493" i="17"/>
  <c r="AB493" i="17"/>
  <c r="X493" i="17"/>
  <c r="AA493" i="17"/>
  <c r="Z388" i="17"/>
  <c r="Y388" i="17"/>
  <c r="AB388" i="17"/>
  <c r="AA388" i="17"/>
  <c r="DQ125" i="18"/>
  <c r="DM125" i="18"/>
  <c r="DI125" i="18"/>
  <c r="DE125" i="18"/>
  <c r="DA125" i="18"/>
  <c r="CW125" i="18"/>
  <c r="CS125" i="18"/>
  <c r="CO125" i="18"/>
  <c r="CK125" i="18"/>
  <c r="DL125" i="18"/>
  <c r="DG125" i="18"/>
  <c r="DB125" i="18"/>
  <c r="CV125" i="18"/>
  <c r="CQ125" i="18"/>
  <c r="CL125" i="18"/>
  <c r="CG125" i="18"/>
  <c r="CC125" i="18"/>
  <c r="BY125" i="18"/>
  <c r="BU125" i="18"/>
  <c r="BQ125" i="18"/>
  <c r="BM125" i="18"/>
  <c r="BI125" i="18"/>
  <c r="BE125" i="18"/>
  <c r="BA125" i="18"/>
  <c r="AW125" i="18"/>
  <c r="AS125" i="18"/>
  <c r="AO125" i="18"/>
  <c r="AK125" i="18"/>
  <c r="AG125" i="18"/>
  <c r="AC125" i="18"/>
  <c r="Y125" i="18"/>
  <c r="U125" i="18"/>
  <c r="Q125" i="18"/>
  <c r="M125" i="18"/>
  <c r="I125" i="18"/>
  <c r="E125" i="18"/>
  <c r="DP125" i="18"/>
  <c r="DK125" i="18"/>
  <c r="DF125" i="18"/>
  <c r="CZ125" i="18"/>
  <c r="CU125" i="18"/>
  <c r="CP125" i="18"/>
  <c r="CJ125" i="18"/>
  <c r="CF125" i="18"/>
  <c r="CB125" i="18"/>
  <c r="BX125" i="18"/>
  <c r="BT125" i="18"/>
  <c r="BP125" i="18"/>
  <c r="BL125" i="18"/>
  <c r="BH125" i="18"/>
  <c r="BD125" i="18"/>
  <c r="AZ125" i="18"/>
  <c r="AV125" i="18"/>
  <c r="AR125" i="18"/>
  <c r="AN125" i="18"/>
  <c r="AJ125" i="18"/>
  <c r="AF125" i="18"/>
  <c r="AB125" i="18"/>
  <c r="X125" i="18"/>
  <c r="T125" i="18"/>
  <c r="P125" i="18"/>
  <c r="L125" i="18"/>
  <c r="H125" i="18"/>
  <c r="DH125" i="18"/>
  <c r="CX125" i="18"/>
  <c r="CM125" i="18"/>
  <c r="CD125" i="18"/>
  <c r="BV125" i="18"/>
  <c r="BN125" i="18"/>
  <c r="BF125" i="18"/>
  <c r="AX125" i="18"/>
  <c r="AP125" i="18"/>
  <c r="AH125" i="18"/>
  <c r="Z125" i="18"/>
  <c r="R125" i="18"/>
  <c r="J125" i="18"/>
  <c r="DO125" i="18"/>
  <c r="DD125" i="18"/>
  <c r="CT125" i="18"/>
  <c r="CI125" i="18"/>
  <c r="CA125" i="18"/>
  <c r="BS125" i="18"/>
  <c r="BK125" i="18"/>
  <c r="BC125" i="18"/>
  <c r="AU125" i="18"/>
  <c r="AM125" i="18"/>
  <c r="AE125" i="18"/>
  <c r="W125" i="18"/>
  <c r="O125" i="18"/>
  <c r="G125" i="18"/>
  <c r="DN125" i="18"/>
  <c r="DC125" i="18"/>
  <c r="CR125" i="18"/>
  <c r="CH125" i="18"/>
  <c r="BZ125" i="18"/>
  <c r="BR125" i="18"/>
  <c r="BJ125" i="18"/>
  <c r="BB125" i="18"/>
  <c r="AT125" i="18"/>
  <c r="AL125" i="18"/>
  <c r="AD125" i="18"/>
  <c r="V125" i="18"/>
  <c r="N125" i="18"/>
  <c r="F125" i="18"/>
  <c r="CE125" i="18"/>
  <c r="AY125" i="18"/>
  <c r="S125" i="18"/>
  <c r="DJ125" i="18"/>
  <c r="BW125" i="18"/>
  <c r="AQ125" i="18"/>
  <c r="K125" i="18"/>
  <c r="CY125" i="18"/>
  <c r="BO125" i="18"/>
  <c r="AI125" i="18"/>
  <c r="CN125" i="18"/>
  <c r="BG125" i="18"/>
  <c r="AA125" i="18"/>
  <c r="Y161" i="17"/>
  <c r="X161" i="17"/>
  <c r="AA161" i="17"/>
  <c r="Z161" i="17"/>
  <c r="AA367" i="17"/>
  <c r="Z367" i="17"/>
  <c r="Y367" i="17"/>
  <c r="AB367" i="17"/>
  <c r="AA34" i="24"/>
  <c r="Z34" i="24"/>
  <c r="AA207" i="17"/>
  <c r="Z207" i="17"/>
  <c r="Y207" i="17"/>
  <c r="X207" i="17"/>
  <c r="Y21" i="17"/>
  <c r="X21" i="17"/>
  <c r="Z21" i="17" s="1"/>
  <c r="Y58" i="17"/>
  <c r="X58" i="17"/>
  <c r="Z58" i="17" s="1"/>
  <c r="Y189" i="17"/>
  <c r="X189" i="17"/>
  <c r="AB189" i="17" s="1"/>
  <c r="AA189" i="17"/>
  <c r="Z189" i="17"/>
  <c r="AA480" i="17"/>
  <c r="Z480" i="17"/>
  <c r="AC480" i="17"/>
  <c r="X480" i="17"/>
  <c r="AB480" i="17"/>
  <c r="DQ86" i="18"/>
  <c r="DM86" i="18"/>
  <c r="DI86" i="18"/>
  <c r="DE86" i="18"/>
  <c r="DA86" i="18"/>
  <c r="CW86" i="18"/>
  <c r="CS86" i="18"/>
  <c r="CO86" i="18"/>
  <c r="CK86" i="18"/>
  <c r="CG86" i="18"/>
  <c r="CC86" i="18"/>
  <c r="BY86" i="18"/>
  <c r="BU86" i="18"/>
  <c r="BQ86" i="18"/>
  <c r="BM86" i="18"/>
  <c r="BI86" i="18"/>
  <c r="BE86" i="18"/>
  <c r="BA86" i="18"/>
  <c r="AW86" i="18"/>
  <c r="AS86" i="18"/>
  <c r="AO86" i="18"/>
  <c r="AK86" i="18"/>
  <c r="AG86" i="18"/>
  <c r="AC86" i="18"/>
  <c r="Y86" i="18"/>
  <c r="U86" i="18"/>
  <c r="Q86" i="18"/>
  <c r="M86" i="18"/>
  <c r="I86" i="18"/>
  <c r="E86" i="18"/>
  <c r="DP86" i="18"/>
  <c r="DL86" i="18"/>
  <c r="DH86" i="18"/>
  <c r="DD86" i="18"/>
  <c r="CZ86" i="18"/>
  <c r="CV86" i="18"/>
  <c r="CR86" i="18"/>
  <c r="CN86" i="18"/>
  <c r="CJ86" i="18"/>
  <c r="CF86" i="18"/>
  <c r="CB86" i="18"/>
  <c r="BX86" i="18"/>
  <c r="BT86" i="18"/>
  <c r="BP86" i="18"/>
  <c r="BL86" i="18"/>
  <c r="BH86" i="18"/>
  <c r="BD86" i="18"/>
  <c r="AZ86" i="18"/>
  <c r="AV86" i="18"/>
  <c r="AR86" i="18"/>
  <c r="AN86" i="18"/>
  <c r="AJ86" i="18"/>
  <c r="AF86" i="18"/>
  <c r="AB86" i="18"/>
  <c r="X86" i="18"/>
  <c r="T86" i="18"/>
  <c r="P86" i="18"/>
  <c r="L86" i="18"/>
  <c r="H86" i="18"/>
  <c r="DO86" i="18"/>
  <c r="DK86" i="18"/>
  <c r="DG86" i="18"/>
  <c r="DC86" i="18"/>
  <c r="CY86" i="18"/>
  <c r="CU86" i="18"/>
  <c r="CQ86" i="18"/>
  <c r="CM86" i="18"/>
  <c r="CI86" i="18"/>
  <c r="CE86" i="18"/>
  <c r="CA86" i="18"/>
  <c r="BW86" i="18"/>
  <c r="BS86" i="18"/>
  <c r="BO86" i="18"/>
  <c r="BK86" i="18"/>
  <c r="BG86" i="18"/>
  <c r="BC86" i="18"/>
  <c r="AY86" i="18"/>
  <c r="AU86" i="18"/>
  <c r="AQ86" i="18"/>
  <c r="AM86" i="18"/>
  <c r="AI86" i="18"/>
  <c r="AE86" i="18"/>
  <c r="AA86" i="18"/>
  <c r="W86" i="18"/>
  <c r="S86" i="18"/>
  <c r="O86" i="18"/>
  <c r="K86" i="18"/>
  <c r="G86" i="18"/>
  <c r="DJ86" i="18"/>
  <c r="CT86" i="18"/>
  <c r="CD86" i="18"/>
  <c r="BN86" i="18"/>
  <c r="AX86" i="18"/>
  <c r="AH86" i="18"/>
  <c r="R86" i="18"/>
  <c r="DF86" i="18"/>
  <c r="CP86" i="18"/>
  <c r="BZ86" i="18"/>
  <c r="BJ86" i="18"/>
  <c r="AT86" i="18"/>
  <c r="AD86" i="18"/>
  <c r="N86" i="18"/>
  <c r="DB86" i="18"/>
  <c r="CL86" i="18"/>
  <c r="BV86" i="18"/>
  <c r="BF86" i="18"/>
  <c r="AP86" i="18"/>
  <c r="Z86" i="18"/>
  <c r="J86" i="18"/>
  <c r="DN86" i="18"/>
  <c r="BB86" i="18"/>
  <c r="CX86" i="18"/>
  <c r="AL86" i="18"/>
  <c r="CH86" i="18"/>
  <c r="V86" i="18"/>
  <c r="BR86" i="18"/>
  <c r="F86" i="18"/>
  <c r="Z260" i="17"/>
  <c r="Y260" i="17"/>
  <c r="AA260" i="17"/>
  <c r="X260" i="17"/>
  <c r="AA420" i="17"/>
  <c r="Z420" i="17"/>
  <c r="AC420" i="17"/>
  <c r="AB420" i="17"/>
  <c r="X420" i="17"/>
  <c r="Z296" i="17"/>
  <c r="Y296" i="17"/>
  <c r="AB296" i="17"/>
  <c r="AA296" i="17"/>
  <c r="DP33" i="18"/>
  <c r="DL33" i="18"/>
  <c r="DH33" i="18"/>
  <c r="DD33" i="18"/>
  <c r="CZ33" i="18"/>
  <c r="CV33" i="18"/>
  <c r="CR33" i="18"/>
  <c r="CN33" i="18"/>
  <c r="CJ33" i="18"/>
  <c r="CF33" i="18"/>
  <c r="CB33" i="18"/>
  <c r="BX33" i="18"/>
  <c r="BT33" i="18"/>
  <c r="BP33" i="18"/>
  <c r="BL33" i="18"/>
  <c r="BH33" i="18"/>
  <c r="BD33" i="18"/>
  <c r="AZ33" i="18"/>
  <c r="AV33" i="18"/>
  <c r="AR33" i="18"/>
  <c r="AN33" i="18"/>
  <c r="AJ33" i="18"/>
  <c r="AF33" i="18"/>
  <c r="AB33" i="18"/>
  <c r="X33" i="18"/>
  <c r="T33" i="18"/>
  <c r="P33" i="18"/>
  <c r="L33" i="18"/>
  <c r="H33" i="18"/>
  <c r="DO33" i="18"/>
  <c r="DK33" i="18"/>
  <c r="DG33" i="18"/>
  <c r="DC33" i="18"/>
  <c r="CY33" i="18"/>
  <c r="CU33" i="18"/>
  <c r="CQ33" i="18"/>
  <c r="CM33" i="18"/>
  <c r="CI33" i="18"/>
  <c r="CE33" i="18"/>
  <c r="CA33" i="18"/>
  <c r="BW33" i="18"/>
  <c r="BS33" i="18"/>
  <c r="BO33" i="18"/>
  <c r="BK33" i="18"/>
  <c r="BG33" i="18"/>
  <c r="BC33" i="18"/>
  <c r="AY33" i="18"/>
  <c r="AU33" i="18"/>
  <c r="AQ33" i="18"/>
  <c r="AM33" i="18"/>
  <c r="AI33" i="18"/>
  <c r="AE33" i="18"/>
  <c r="AA33" i="18"/>
  <c r="W33" i="18"/>
  <c r="S33" i="18"/>
  <c r="O33" i="18"/>
  <c r="K33" i="18"/>
  <c r="G33" i="18"/>
  <c r="DN33" i="18"/>
  <c r="DJ33" i="18"/>
  <c r="DF33" i="18"/>
  <c r="DB33" i="18"/>
  <c r="CX33" i="18"/>
  <c r="CT33" i="18"/>
  <c r="CP33" i="18"/>
  <c r="CL33" i="18"/>
  <c r="CH33" i="18"/>
  <c r="CD33" i="18"/>
  <c r="BZ33" i="18"/>
  <c r="BV33" i="18"/>
  <c r="BR33" i="18"/>
  <c r="BN33" i="18"/>
  <c r="BJ33" i="18"/>
  <c r="BF33" i="18"/>
  <c r="BB33" i="18"/>
  <c r="AX33" i="18"/>
  <c r="AT33" i="18"/>
  <c r="AP33" i="18"/>
  <c r="AL33" i="18"/>
  <c r="AH33" i="18"/>
  <c r="AD33" i="18"/>
  <c r="Z33" i="18"/>
  <c r="V33" i="18"/>
  <c r="R33" i="18"/>
  <c r="N33" i="18"/>
  <c r="J33" i="18"/>
  <c r="F33" i="18"/>
  <c r="DI33" i="18"/>
  <c r="CS33" i="18"/>
  <c r="CC33" i="18"/>
  <c r="BM33" i="18"/>
  <c r="AW33" i="18"/>
  <c r="AG33" i="18"/>
  <c r="Q33" i="18"/>
  <c r="DE33" i="18"/>
  <c r="CO33" i="18"/>
  <c r="BY33" i="18"/>
  <c r="BI33" i="18"/>
  <c r="AS33" i="18"/>
  <c r="AC33" i="18"/>
  <c r="M33" i="18"/>
  <c r="DQ33" i="18"/>
  <c r="DA33" i="18"/>
  <c r="CK33" i="18"/>
  <c r="BU33" i="18"/>
  <c r="BE33" i="18"/>
  <c r="AO33" i="18"/>
  <c r="Y33" i="18"/>
  <c r="I33" i="18"/>
  <c r="CG33" i="18"/>
  <c r="U33" i="18"/>
  <c r="BQ33" i="18"/>
  <c r="E33" i="18"/>
  <c r="DM33" i="18"/>
  <c r="BA33" i="18"/>
  <c r="AK33" i="18"/>
  <c r="CW33" i="18"/>
  <c r="AB390" i="17"/>
  <c r="AA390" i="17"/>
  <c r="Z390" i="17"/>
  <c r="Y390" i="17"/>
  <c r="Y96" i="17"/>
  <c r="X96" i="17"/>
  <c r="Z96" i="17" s="1"/>
  <c r="Z489" i="17"/>
  <c r="AC489" i="17"/>
  <c r="AB489" i="17"/>
  <c r="X489" i="17"/>
  <c r="AA489" i="17"/>
  <c r="AA195" i="17"/>
  <c r="Z195" i="17"/>
  <c r="Y195" i="17"/>
  <c r="X195" i="17"/>
  <c r="Z40" i="15"/>
  <c r="Y40" i="15"/>
  <c r="X40" i="15"/>
  <c r="DN31" i="18"/>
  <c r="DJ31" i="18"/>
  <c r="DF31" i="18"/>
  <c r="DB31" i="18"/>
  <c r="CX31" i="18"/>
  <c r="CT31" i="18"/>
  <c r="CP31" i="18"/>
  <c r="CL31" i="18"/>
  <c r="CH31" i="18"/>
  <c r="CD31" i="18"/>
  <c r="BZ31" i="18"/>
  <c r="BV31" i="18"/>
  <c r="BR31" i="18"/>
  <c r="BN31" i="18"/>
  <c r="BJ31" i="18"/>
  <c r="BF31" i="18"/>
  <c r="BB31" i="18"/>
  <c r="AX31" i="18"/>
  <c r="AT31" i="18"/>
  <c r="AP31" i="18"/>
  <c r="AL31" i="18"/>
  <c r="AH31" i="18"/>
  <c r="AD31" i="18"/>
  <c r="Z31" i="18"/>
  <c r="V31" i="18"/>
  <c r="R31" i="18"/>
  <c r="N31" i="18"/>
  <c r="J31" i="18"/>
  <c r="F31" i="18"/>
  <c r="DQ31" i="18"/>
  <c r="DM31" i="18"/>
  <c r="DI31" i="18"/>
  <c r="DE31" i="18"/>
  <c r="DA31" i="18"/>
  <c r="CW31" i="18"/>
  <c r="CS31" i="18"/>
  <c r="CO31" i="18"/>
  <c r="CK31" i="18"/>
  <c r="CG31" i="18"/>
  <c r="CC31" i="18"/>
  <c r="BY31" i="18"/>
  <c r="BU31" i="18"/>
  <c r="BQ31" i="18"/>
  <c r="BM31" i="18"/>
  <c r="BI31" i="18"/>
  <c r="BE31" i="18"/>
  <c r="BA31" i="18"/>
  <c r="AW31" i="18"/>
  <c r="AS31" i="18"/>
  <c r="AO31" i="18"/>
  <c r="AK31" i="18"/>
  <c r="AG31" i="18"/>
  <c r="AC31" i="18"/>
  <c r="Y31" i="18"/>
  <c r="U31" i="18"/>
  <c r="Q31" i="18"/>
  <c r="M31" i="18"/>
  <c r="I31" i="18"/>
  <c r="E31" i="18"/>
  <c r="DP31" i="18"/>
  <c r="DL31" i="18"/>
  <c r="DH31" i="18"/>
  <c r="DD31" i="18"/>
  <c r="CZ31" i="18"/>
  <c r="CV31" i="18"/>
  <c r="CR31" i="18"/>
  <c r="CN31" i="18"/>
  <c r="CJ31" i="18"/>
  <c r="CF31" i="18"/>
  <c r="CB31" i="18"/>
  <c r="BX31" i="18"/>
  <c r="BT31" i="18"/>
  <c r="BP31" i="18"/>
  <c r="BL31" i="18"/>
  <c r="BH31" i="18"/>
  <c r="BD31" i="18"/>
  <c r="AZ31" i="18"/>
  <c r="AV31" i="18"/>
  <c r="AR31" i="18"/>
  <c r="AN31" i="18"/>
  <c r="AJ31" i="18"/>
  <c r="AF31" i="18"/>
  <c r="AB31" i="18"/>
  <c r="X31" i="18"/>
  <c r="T31" i="18"/>
  <c r="P31" i="18"/>
  <c r="L31" i="18"/>
  <c r="H31" i="18"/>
  <c r="DK31" i="18"/>
  <c r="CU31" i="18"/>
  <c r="CE31" i="18"/>
  <c r="BO31" i="18"/>
  <c r="AY31" i="18"/>
  <c r="AI31" i="18"/>
  <c r="S31" i="18"/>
  <c r="DG31" i="18"/>
  <c r="CQ31" i="18"/>
  <c r="CA31" i="18"/>
  <c r="BK31" i="18"/>
  <c r="AU31" i="18"/>
  <c r="AE31" i="18"/>
  <c r="O31" i="18"/>
  <c r="DC31" i="18"/>
  <c r="CM31" i="18"/>
  <c r="BW31" i="18"/>
  <c r="BG31" i="18"/>
  <c r="AQ31" i="18"/>
  <c r="AA31" i="18"/>
  <c r="K31" i="18"/>
  <c r="BS31" i="18"/>
  <c r="G31" i="18"/>
  <c r="DO31" i="18"/>
  <c r="BC31" i="18"/>
  <c r="CY31" i="18"/>
  <c r="AM31" i="18"/>
  <c r="W31" i="18"/>
  <c r="CI31" i="18"/>
  <c r="Y69" i="15"/>
  <c r="X69" i="15"/>
  <c r="Z69" i="15"/>
  <c r="AC454" i="17"/>
  <c r="Y454" i="17"/>
  <c r="AB454" i="17"/>
  <c r="X454" i="17"/>
  <c r="AA454" i="17"/>
  <c r="Z454" i="17"/>
  <c r="Y45" i="17"/>
  <c r="X45" i="17"/>
  <c r="AC438" i="17"/>
  <c r="AB438" i="17"/>
  <c r="X438" i="17"/>
  <c r="AA438" i="17"/>
  <c r="Z438" i="17"/>
  <c r="Y51" i="15"/>
  <c r="X51" i="15"/>
  <c r="Z51" i="15"/>
  <c r="X174" i="17"/>
  <c r="AA174" i="17"/>
  <c r="Z174" i="17"/>
  <c r="Y174" i="17"/>
  <c r="X55" i="17"/>
  <c r="Y55" i="17"/>
  <c r="Y119" i="15"/>
  <c r="X119" i="15"/>
  <c r="AA119" i="15" s="1"/>
  <c r="Z119" i="15"/>
  <c r="Y116" i="17"/>
  <c r="X116" i="17"/>
  <c r="Z116" i="17" s="1"/>
  <c r="Z52" i="15"/>
  <c r="Y52" i="15"/>
  <c r="X52" i="15"/>
  <c r="AA52" i="15" s="1"/>
  <c r="DN43" i="18"/>
  <c r="DJ43" i="18"/>
  <c r="DF43" i="18"/>
  <c r="DB43" i="18"/>
  <c r="CX43" i="18"/>
  <c r="CT43" i="18"/>
  <c r="CP43" i="18"/>
  <c r="CL43" i="18"/>
  <c r="CH43" i="18"/>
  <c r="CD43" i="18"/>
  <c r="BZ43" i="18"/>
  <c r="BV43" i="18"/>
  <c r="BR43" i="18"/>
  <c r="BN43" i="18"/>
  <c r="BJ43" i="18"/>
  <c r="BF43" i="18"/>
  <c r="BB43" i="18"/>
  <c r="AX43" i="18"/>
  <c r="AT43" i="18"/>
  <c r="AP43" i="18"/>
  <c r="AL43" i="18"/>
  <c r="AH43" i="18"/>
  <c r="AD43" i="18"/>
  <c r="Z43" i="18"/>
  <c r="V43" i="18"/>
  <c r="R43" i="18"/>
  <c r="N43" i="18"/>
  <c r="J43" i="18"/>
  <c r="F43" i="18"/>
  <c r="DQ43" i="18"/>
  <c r="DM43" i="18"/>
  <c r="DI43" i="18"/>
  <c r="DE43" i="18"/>
  <c r="DA43" i="18"/>
  <c r="CW43" i="18"/>
  <c r="CS43" i="18"/>
  <c r="CO43" i="18"/>
  <c r="CK43" i="18"/>
  <c r="CG43" i="18"/>
  <c r="CC43" i="18"/>
  <c r="BY43" i="18"/>
  <c r="BU43" i="18"/>
  <c r="BQ43" i="18"/>
  <c r="BM43" i="18"/>
  <c r="BI43" i="18"/>
  <c r="BE43" i="18"/>
  <c r="BA43" i="18"/>
  <c r="AW43" i="18"/>
  <c r="AS43" i="18"/>
  <c r="AO43" i="18"/>
  <c r="AK43" i="18"/>
  <c r="AG43" i="18"/>
  <c r="AC43" i="18"/>
  <c r="Y43" i="18"/>
  <c r="U43" i="18"/>
  <c r="Q43" i="18"/>
  <c r="M43" i="18"/>
  <c r="I43" i="18"/>
  <c r="E43" i="18"/>
  <c r="DP43" i="18"/>
  <c r="DL43" i="18"/>
  <c r="DH43" i="18"/>
  <c r="DD43" i="18"/>
  <c r="CZ43" i="18"/>
  <c r="CV43" i="18"/>
  <c r="CR43" i="18"/>
  <c r="CN43" i="18"/>
  <c r="CJ43" i="18"/>
  <c r="CF43" i="18"/>
  <c r="CB43" i="18"/>
  <c r="BX43" i="18"/>
  <c r="BT43" i="18"/>
  <c r="BP43" i="18"/>
  <c r="BL43" i="18"/>
  <c r="BH43" i="18"/>
  <c r="BD43" i="18"/>
  <c r="AZ43" i="18"/>
  <c r="AV43" i="18"/>
  <c r="AR43" i="18"/>
  <c r="AN43" i="18"/>
  <c r="AJ43" i="18"/>
  <c r="AF43" i="18"/>
  <c r="AB43" i="18"/>
  <c r="X43" i="18"/>
  <c r="T43" i="18"/>
  <c r="P43" i="18"/>
  <c r="L43" i="18"/>
  <c r="H43" i="18"/>
  <c r="DO43" i="18"/>
  <c r="CY43" i="18"/>
  <c r="CI43" i="18"/>
  <c r="BS43" i="18"/>
  <c r="BC43" i="18"/>
  <c r="AM43" i="18"/>
  <c r="W43" i="18"/>
  <c r="G43" i="18"/>
  <c r="DK43" i="18"/>
  <c r="CU43" i="18"/>
  <c r="CE43" i="18"/>
  <c r="BO43" i="18"/>
  <c r="AY43" i="18"/>
  <c r="AI43" i="18"/>
  <c r="S43" i="18"/>
  <c r="DG43" i="18"/>
  <c r="CQ43" i="18"/>
  <c r="CA43" i="18"/>
  <c r="BK43" i="18"/>
  <c r="AU43" i="18"/>
  <c r="AE43" i="18"/>
  <c r="O43" i="18"/>
  <c r="CM43" i="18"/>
  <c r="AA43" i="18"/>
  <c r="BW43" i="18"/>
  <c r="K43" i="18"/>
  <c r="BG43" i="18"/>
  <c r="DC43" i="18"/>
  <c r="AQ43" i="18"/>
  <c r="Y23" i="24"/>
  <c r="Z23" i="24"/>
  <c r="X23" i="24"/>
  <c r="Y82" i="17"/>
  <c r="X82" i="17"/>
  <c r="Y125" i="15"/>
  <c r="X125" i="15"/>
  <c r="Z125" i="15"/>
  <c r="Y35" i="24"/>
  <c r="X35" i="24"/>
  <c r="Z364" i="17"/>
  <c r="Y364" i="17"/>
  <c r="AB364" i="17"/>
  <c r="AA364" i="17"/>
  <c r="DQ101" i="18"/>
  <c r="DM101" i="18"/>
  <c r="DI101" i="18"/>
  <c r="DE101" i="18"/>
  <c r="DA101" i="18"/>
  <c r="CW101" i="18"/>
  <c r="CS101" i="18"/>
  <c r="CO101" i="18"/>
  <c r="CK101" i="18"/>
  <c r="CG101" i="18"/>
  <c r="CC101" i="18"/>
  <c r="BY101" i="18"/>
  <c r="BU101" i="18"/>
  <c r="BQ101" i="18"/>
  <c r="BM101" i="18"/>
  <c r="BI101" i="18"/>
  <c r="BE101" i="18"/>
  <c r="BA101" i="18"/>
  <c r="AW101" i="18"/>
  <c r="AS101" i="18"/>
  <c r="AO101" i="18"/>
  <c r="AK101" i="18"/>
  <c r="AG101" i="18"/>
  <c r="AC101" i="18"/>
  <c r="Y101" i="18"/>
  <c r="U101" i="18"/>
  <c r="Q101" i="18"/>
  <c r="M101" i="18"/>
  <c r="I101" i="18"/>
  <c r="E101" i="18"/>
  <c r="DP101" i="18"/>
  <c r="DL101" i="18"/>
  <c r="DH101" i="18"/>
  <c r="DD101" i="18"/>
  <c r="CZ101" i="18"/>
  <c r="CV101" i="18"/>
  <c r="CR101" i="18"/>
  <c r="CN101" i="18"/>
  <c r="CJ101" i="18"/>
  <c r="CF101" i="18"/>
  <c r="CB101" i="18"/>
  <c r="BX101" i="18"/>
  <c r="BT101" i="18"/>
  <c r="BP101" i="18"/>
  <c r="BL101" i="18"/>
  <c r="BH101" i="18"/>
  <c r="BD101" i="18"/>
  <c r="AZ101" i="18"/>
  <c r="AV101" i="18"/>
  <c r="AR101" i="18"/>
  <c r="AN101" i="18"/>
  <c r="AJ101" i="18"/>
  <c r="AF101" i="18"/>
  <c r="AB101" i="18"/>
  <c r="X101" i="18"/>
  <c r="T101" i="18"/>
  <c r="P101" i="18"/>
  <c r="L101" i="18"/>
  <c r="H101" i="18"/>
  <c r="DJ101" i="18"/>
  <c r="DB101" i="18"/>
  <c r="CT101" i="18"/>
  <c r="CL101" i="18"/>
  <c r="CD101" i="18"/>
  <c r="BV101" i="18"/>
  <c r="BN101" i="18"/>
  <c r="BF101" i="18"/>
  <c r="AX101" i="18"/>
  <c r="AP101" i="18"/>
  <c r="AH101" i="18"/>
  <c r="Z101" i="18"/>
  <c r="R101" i="18"/>
  <c r="J101" i="18"/>
  <c r="DO101" i="18"/>
  <c r="DG101" i="18"/>
  <c r="CY101" i="18"/>
  <c r="CQ101" i="18"/>
  <c r="CI101" i="18"/>
  <c r="CA101" i="18"/>
  <c r="BS101" i="18"/>
  <c r="BK101" i="18"/>
  <c r="BC101" i="18"/>
  <c r="AU101" i="18"/>
  <c r="AM101" i="18"/>
  <c r="AE101" i="18"/>
  <c r="W101" i="18"/>
  <c r="O101" i="18"/>
  <c r="G101" i="18"/>
  <c r="DN101" i="18"/>
  <c r="DF101" i="18"/>
  <c r="CX101" i="18"/>
  <c r="CP101" i="18"/>
  <c r="CH101" i="18"/>
  <c r="BZ101" i="18"/>
  <c r="BR101" i="18"/>
  <c r="BJ101" i="18"/>
  <c r="BB101" i="18"/>
  <c r="AT101" i="18"/>
  <c r="AL101" i="18"/>
  <c r="AD101" i="18"/>
  <c r="V101" i="18"/>
  <c r="N101" i="18"/>
  <c r="F101" i="18"/>
  <c r="DC101" i="18"/>
  <c r="BW101" i="18"/>
  <c r="AQ101" i="18"/>
  <c r="K101" i="18"/>
  <c r="CU101" i="18"/>
  <c r="BO101" i="18"/>
  <c r="AI101" i="18"/>
  <c r="CM101" i="18"/>
  <c r="BG101" i="18"/>
  <c r="AA101" i="18"/>
  <c r="AY101" i="18"/>
  <c r="S101" i="18"/>
  <c r="DK101" i="18"/>
  <c r="CE101" i="18"/>
  <c r="Y201" i="17"/>
  <c r="X201" i="17"/>
  <c r="AB201" i="17" s="1"/>
  <c r="AA201" i="17"/>
  <c r="Z201" i="17"/>
  <c r="Y38" i="17"/>
  <c r="X38" i="17"/>
  <c r="Z38" i="17" s="1"/>
  <c r="Y115" i="15"/>
  <c r="X115" i="15"/>
  <c r="Z115" i="15"/>
  <c r="Y33" i="17"/>
  <c r="X33" i="17"/>
  <c r="Z33" i="17" s="1"/>
  <c r="AC426" i="17"/>
  <c r="AB426" i="17"/>
  <c r="X426" i="17"/>
  <c r="AA426" i="17"/>
  <c r="Z426" i="17"/>
  <c r="X39" i="17"/>
  <c r="Y39" i="17"/>
  <c r="Z28" i="24"/>
  <c r="Z168" i="17"/>
  <c r="Y168" i="17"/>
  <c r="X168" i="17"/>
  <c r="AA168" i="17"/>
  <c r="Y50" i="17"/>
  <c r="X50" i="17"/>
  <c r="Z50" i="17" s="1"/>
  <c r="AA383" i="17"/>
  <c r="Z383" i="17"/>
  <c r="Y383" i="17"/>
  <c r="X383" i="17"/>
  <c r="AB383" i="17"/>
  <c r="Y71" i="15"/>
  <c r="X71" i="15"/>
  <c r="Z71" i="15"/>
  <c r="AA456" i="17"/>
  <c r="Z456" i="17"/>
  <c r="AC456" i="17"/>
  <c r="Y456" i="17"/>
  <c r="AB456" i="17"/>
  <c r="X456" i="17"/>
  <c r="Y121" i="15"/>
  <c r="X121" i="15"/>
  <c r="AA121" i="15" s="1"/>
  <c r="Z121" i="15"/>
  <c r="AC506" i="17"/>
  <c r="AB506" i="17"/>
  <c r="X506" i="17"/>
  <c r="AA506" i="17"/>
  <c r="Z506" i="17"/>
  <c r="Y85" i="17"/>
  <c r="X85" i="17"/>
  <c r="Z85" i="17" s="1"/>
  <c r="DO84" i="18"/>
  <c r="DK84" i="18"/>
  <c r="DG84" i="18"/>
  <c r="DC84" i="18"/>
  <c r="CY84" i="18"/>
  <c r="CU84" i="18"/>
  <c r="CQ84" i="18"/>
  <c r="CM84" i="18"/>
  <c r="CI84" i="18"/>
  <c r="CE84" i="18"/>
  <c r="CA84" i="18"/>
  <c r="BW84" i="18"/>
  <c r="BS84" i="18"/>
  <c r="BO84" i="18"/>
  <c r="BK84" i="18"/>
  <c r="BG84" i="18"/>
  <c r="BC84" i="18"/>
  <c r="AY84" i="18"/>
  <c r="AU84" i="18"/>
  <c r="AQ84" i="18"/>
  <c r="AM84" i="18"/>
  <c r="AI84" i="18"/>
  <c r="AE84" i="18"/>
  <c r="AA84" i="18"/>
  <c r="W84" i="18"/>
  <c r="S84" i="18"/>
  <c r="O84" i="18"/>
  <c r="K84" i="18"/>
  <c r="G84" i="18"/>
  <c r="DN84" i="18"/>
  <c r="DJ84" i="18"/>
  <c r="DF84" i="18"/>
  <c r="DB84" i="18"/>
  <c r="CX84" i="18"/>
  <c r="CT84" i="18"/>
  <c r="CP84" i="18"/>
  <c r="CL84" i="18"/>
  <c r="CH84" i="18"/>
  <c r="CD84" i="18"/>
  <c r="BZ84" i="18"/>
  <c r="BV84" i="18"/>
  <c r="BR84" i="18"/>
  <c r="BN84" i="18"/>
  <c r="BJ84" i="18"/>
  <c r="BF84" i="18"/>
  <c r="BB84" i="18"/>
  <c r="AX84" i="18"/>
  <c r="AT84" i="18"/>
  <c r="AP84" i="18"/>
  <c r="AL84" i="18"/>
  <c r="AH84" i="18"/>
  <c r="AD84" i="18"/>
  <c r="Z84" i="18"/>
  <c r="V84" i="18"/>
  <c r="R84" i="18"/>
  <c r="N84" i="18"/>
  <c r="J84" i="18"/>
  <c r="F84" i="18"/>
  <c r="DQ84" i="18"/>
  <c r="DM84" i="18"/>
  <c r="DI84" i="18"/>
  <c r="DE84" i="18"/>
  <c r="DA84" i="18"/>
  <c r="CW84" i="18"/>
  <c r="CS84" i="18"/>
  <c r="CO84" i="18"/>
  <c r="CK84" i="18"/>
  <c r="CG84" i="18"/>
  <c r="CC84" i="18"/>
  <c r="BY84" i="18"/>
  <c r="BU84" i="18"/>
  <c r="BQ84" i="18"/>
  <c r="BM84" i="18"/>
  <c r="BI84" i="18"/>
  <c r="BE84" i="18"/>
  <c r="BA84" i="18"/>
  <c r="AW84" i="18"/>
  <c r="AS84" i="18"/>
  <c r="AO84" i="18"/>
  <c r="AK84" i="18"/>
  <c r="AG84" i="18"/>
  <c r="AC84" i="18"/>
  <c r="Y84" i="18"/>
  <c r="U84" i="18"/>
  <c r="Q84" i="18"/>
  <c r="M84" i="18"/>
  <c r="I84" i="18"/>
  <c r="E84" i="18"/>
  <c r="DL84" i="18"/>
  <c r="CV84" i="18"/>
  <c r="CF84" i="18"/>
  <c r="BP84" i="18"/>
  <c r="AZ84" i="18"/>
  <c r="AJ84" i="18"/>
  <c r="T84" i="18"/>
  <c r="DH84" i="18"/>
  <c r="CR84" i="18"/>
  <c r="CB84" i="18"/>
  <c r="BL84" i="18"/>
  <c r="AV84" i="18"/>
  <c r="AF84" i="18"/>
  <c r="P84" i="18"/>
  <c r="DD84" i="18"/>
  <c r="CN84" i="18"/>
  <c r="BX84" i="18"/>
  <c r="BH84" i="18"/>
  <c r="AR84" i="18"/>
  <c r="AB84" i="18"/>
  <c r="L84" i="18"/>
  <c r="CZ84" i="18"/>
  <c r="AN84" i="18"/>
  <c r="CJ84" i="18"/>
  <c r="X84" i="18"/>
  <c r="BT84" i="18"/>
  <c r="H84" i="18"/>
  <c r="DP84" i="18"/>
  <c r="BD84" i="18"/>
  <c r="AB382" i="17"/>
  <c r="AA382" i="17"/>
  <c r="Z382" i="17"/>
  <c r="Y382" i="17"/>
  <c r="Y24" i="17"/>
  <c r="X24" i="17"/>
  <c r="Z24" i="17" s="1"/>
  <c r="Z417" i="17"/>
  <c r="AC417" i="17"/>
  <c r="AB417" i="17"/>
  <c r="X417" i="17"/>
  <c r="AA417" i="17"/>
  <c r="Z188" i="17"/>
  <c r="Y188" i="17"/>
  <c r="AA188" i="17"/>
  <c r="X188" i="17"/>
  <c r="Y277" i="17"/>
  <c r="AB277" i="17"/>
  <c r="AA277" i="17"/>
  <c r="Z277" i="17"/>
  <c r="X270" i="17"/>
  <c r="X359" i="17" s="1"/>
  <c r="Y127" i="17"/>
  <c r="X127" i="17"/>
  <c r="X258" i="17"/>
  <c r="AA258" i="17"/>
  <c r="Z258" i="17"/>
  <c r="Y258" i="17"/>
  <c r="B15" i="11"/>
  <c r="D15" i="11" s="1"/>
  <c r="E15" i="11" s="1"/>
  <c r="F15" i="11" s="1"/>
  <c r="F55" i="9"/>
  <c r="A8" i="21"/>
  <c r="A56" i="9"/>
  <c r="A16" i="11" s="1"/>
  <c r="B8" i="2"/>
  <c r="A9" i="2"/>
  <c r="E8" i="2"/>
  <c r="P8" i="2"/>
  <c r="D8" i="2"/>
  <c r="N8" i="2"/>
  <c r="E56" i="9" s="1"/>
  <c r="C8" i="2"/>
  <c r="AC359" i="17" l="1"/>
  <c r="D8" i="21"/>
  <c r="I8" i="21" s="1"/>
  <c r="C56" i="9"/>
  <c r="G9" i="2"/>
  <c r="AD445" i="17"/>
  <c r="AC387" i="17"/>
  <c r="Y517" i="17"/>
  <c r="Y422" i="17"/>
  <c r="Y467" i="17"/>
  <c r="Y505" i="17"/>
  <c r="Y462" i="17"/>
  <c r="Y452" i="17"/>
  <c r="Y433" i="17"/>
  <c r="Y418" i="17"/>
  <c r="Y463" i="17"/>
  <c r="Y450" i="17"/>
  <c r="Y481" i="17"/>
  <c r="Y500" i="17"/>
  <c r="Y522" i="17"/>
  <c r="Y408" i="17"/>
  <c r="Y434" i="17"/>
  <c r="Y521" i="17"/>
  <c r="Y448" i="17"/>
  <c r="Y447" i="17"/>
  <c r="Y429" i="17"/>
  <c r="Y435" i="17"/>
  <c r="Y501" i="17"/>
  <c r="Y491" i="17"/>
  <c r="Y523" i="17"/>
  <c r="Y415" i="17"/>
  <c r="Y466" i="17"/>
  <c r="Y503" i="17"/>
  <c r="Y414" i="17"/>
  <c r="Y425" i="17"/>
  <c r="Y483" i="17"/>
  <c r="Y468" i="17"/>
  <c r="Y471" i="17"/>
  <c r="Y498" i="17"/>
  <c r="Y431" i="17"/>
  <c r="Y432" i="17"/>
  <c r="Y514" i="17"/>
  <c r="Y424" i="17"/>
  <c r="Y484" i="17"/>
  <c r="Y490" i="17"/>
  <c r="AD490" i="17" s="1"/>
  <c r="Y412" i="17"/>
  <c r="Y494" i="17"/>
  <c r="Y482" i="17"/>
  <c r="Y488" i="17"/>
  <c r="AD488" i="17" s="1"/>
  <c r="Y508" i="17"/>
  <c r="Y474" i="17"/>
  <c r="Y421" i="17"/>
  <c r="Y470" i="17"/>
  <c r="Y410" i="17"/>
  <c r="Y446" i="17"/>
  <c r="Y513" i="17"/>
  <c r="Y516" i="17"/>
  <c r="Y499" i="17"/>
  <c r="Y416" i="17"/>
  <c r="Y519" i="17"/>
  <c r="Y436" i="17"/>
  <c r="Y504" i="17"/>
  <c r="Y509" i="17"/>
  <c r="Y495" i="17"/>
  <c r="Y473" i="17"/>
  <c r="Y511" i="17"/>
  <c r="Y451" i="17"/>
  <c r="Y475" i="17"/>
  <c r="Y512" i="17"/>
  <c r="Y476" i="17"/>
  <c r="Y524" i="17"/>
  <c r="Y507" i="17"/>
  <c r="Y441" i="17"/>
  <c r="AB195" i="17"/>
  <c r="Y480" i="17"/>
  <c r="AD480" i="17" s="1"/>
  <c r="X388" i="17"/>
  <c r="AC388" i="17" s="1"/>
  <c r="AA101" i="15"/>
  <c r="Y439" i="17"/>
  <c r="AD439" i="17" s="1"/>
  <c r="Y497" i="17"/>
  <c r="Z104" i="17"/>
  <c r="X303" i="17"/>
  <c r="AC303" i="17" s="1"/>
  <c r="AB150" i="17"/>
  <c r="Z255" i="17"/>
  <c r="Z160" i="17"/>
  <c r="Z191" i="17"/>
  <c r="Z214" i="17"/>
  <c r="Z202" i="17"/>
  <c r="Z259" i="17"/>
  <c r="Z176" i="17"/>
  <c r="Z212" i="17"/>
  <c r="Z193" i="17"/>
  <c r="Z235" i="17"/>
  <c r="Z230" i="17"/>
  <c r="Z243" i="17"/>
  <c r="Z236" i="17"/>
  <c r="Z163" i="17"/>
  <c r="Z213" i="17"/>
  <c r="Z169" i="17"/>
  <c r="Z194" i="17"/>
  <c r="Z228" i="17"/>
  <c r="Z149" i="17"/>
  <c r="Z151" i="17"/>
  <c r="Z256" i="17"/>
  <c r="AB256" i="17" s="1"/>
  <c r="Z153" i="17"/>
  <c r="AB153" i="17" s="1"/>
  <c r="Z185" i="17"/>
  <c r="Z250" i="17"/>
  <c r="Z226" i="17"/>
  <c r="Z166" i="17"/>
  <c r="Z211" i="17"/>
  <c r="Z162" i="17"/>
  <c r="Z217" i="17"/>
  <c r="Z177" i="17"/>
  <c r="Z262" i="17"/>
  <c r="Z254" i="17"/>
  <c r="Z180" i="17"/>
  <c r="Z154" i="17"/>
  <c r="Z216" i="17"/>
  <c r="Z239" i="17"/>
  <c r="Z234" i="17"/>
  <c r="Z210" i="17"/>
  <c r="Z172" i="17"/>
  <c r="Z209" i="17"/>
  <c r="AB209" i="17" s="1"/>
  <c r="Z224" i="17"/>
  <c r="Z192" i="17"/>
  <c r="Z186" i="17"/>
  <c r="Z247" i="17"/>
  <c r="AB247" i="17" s="1"/>
  <c r="Z223" i="17"/>
  <c r="Z233" i="17"/>
  <c r="Z173" i="17"/>
  <c r="Z197" i="17"/>
  <c r="AB197" i="17" s="1"/>
  <c r="Z167" i="17"/>
  <c r="Z182" i="17"/>
  <c r="Z219" i="17"/>
  <c r="Z218" i="17"/>
  <c r="AB218" i="17" s="1"/>
  <c r="Z165" i="17"/>
  <c r="Z244" i="17"/>
  <c r="Z251" i="17"/>
  <c r="Z199" i="17"/>
  <c r="Z152" i="17"/>
  <c r="Z171" i="17"/>
  <c r="Z220" i="17"/>
  <c r="Z198" i="17"/>
  <c r="Z170" i="17"/>
  <c r="Z246" i="17"/>
  <c r="Z261" i="17"/>
  <c r="Z253" i="17"/>
  <c r="Z257" i="17"/>
  <c r="Z158" i="17"/>
  <c r="Z184" i="17"/>
  <c r="Z215" i="17"/>
  <c r="AB215" i="17" s="1"/>
  <c r="X384" i="17"/>
  <c r="Z208" i="17"/>
  <c r="AD447" i="17"/>
  <c r="AA316" i="17"/>
  <c r="Y479" i="17"/>
  <c r="Y409" i="17"/>
  <c r="X279" i="17"/>
  <c r="AC279" i="17" s="1"/>
  <c r="Z240" i="17"/>
  <c r="Y455" i="17"/>
  <c r="X282" i="17"/>
  <c r="AC282" i="17" s="1"/>
  <c r="Z146" i="17"/>
  <c r="Y443" i="17"/>
  <c r="Z237" i="17"/>
  <c r="Z187" i="17"/>
  <c r="AD511" i="17"/>
  <c r="X422" i="17"/>
  <c r="X517" i="17"/>
  <c r="X411" i="17"/>
  <c r="X470" i="17"/>
  <c r="X410" i="17"/>
  <c r="X415" i="17"/>
  <c r="X452" i="17"/>
  <c r="X419" i="17"/>
  <c r="X444" i="17"/>
  <c r="X423" i="17"/>
  <c r="X446" i="17"/>
  <c r="X513" i="17"/>
  <c r="X484" i="17"/>
  <c r="AD484" i="17" s="1"/>
  <c r="X516" i="17"/>
  <c r="X427" i="17"/>
  <c r="X436" i="17"/>
  <c r="X495" i="17"/>
  <c r="AD495" i="17" s="1"/>
  <c r="X473" i="17"/>
  <c r="X412" i="17"/>
  <c r="X443" i="17"/>
  <c r="X455" i="17"/>
  <c r="AD455" i="17" s="1"/>
  <c r="X512" i="17"/>
  <c r="X492" i="17"/>
  <c r="X524" i="17"/>
  <c r="X428" i="17"/>
  <c r="AD428" i="17" s="1"/>
  <c r="X441" i="17"/>
  <c r="X467" i="17"/>
  <c r="X518" i="17"/>
  <c r="X453" i="17"/>
  <c r="X501" i="17"/>
  <c r="X437" i="17"/>
  <c r="X463" i="17"/>
  <c r="X478" i="17"/>
  <c r="X440" i="17"/>
  <c r="X469" i="17"/>
  <c r="X457" i="17"/>
  <c r="X510" i="17"/>
  <c r="X448" i="17"/>
  <c r="X430" i="17"/>
  <c r="X465" i="17"/>
  <c r="X477" i="17"/>
  <c r="X435" i="17"/>
  <c r="X491" i="17"/>
  <c r="X505" i="17"/>
  <c r="X462" i="17"/>
  <c r="AD462" i="17" s="1"/>
  <c r="X413" i="17"/>
  <c r="X515" i="17"/>
  <c r="X433" i="17"/>
  <c r="X503" i="17"/>
  <c r="AD503" i="17" s="1"/>
  <c r="X418" i="17"/>
  <c r="X450" i="17"/>
  <c r="X483" i="17"/>
  <c r="X471" i="17"/>
  <c r="X481" i="17"/>
  <c r="X500" i="17"/>
  <c r="X432" i="17"/>
  <c r="X499" i="17"/>
  <c r="X416" i="17"/>
  <c r="X522" i="17"/>
  <c r="X504" i="17"/>
  <c r="X509" i="17"/>
  <c r="AD509" i="17" s="1"/>
  <c r="X408" i="17"/>
  <c r="X520" i="17"/>
  <c r="X434" i="17"/>
  <c r="X521" i="17"/>
  <c r="AD521" i="17" s="1"/>
  <c r="X409" i="17"/>
  <c r="AA93" i="15"/>
  <c r="Z181" i="17"/>
  <c r="Y510" i="17"/>
  <c r="Y457" i="17"/>
  <c r="X519" i="17"/>
  <c r="Z249" i="17"/>
  <c r="X424" i="17"/>
  <c r="Z514" i="17"/>
  <c r="X468" i="17"/>
  <c r="AD468" i="17" s="1"/>
  <c r="AA147" i="17"/>
  <c r="AA325" i="17"/>
  <c r="AA28" i="24"/>
  <c r="AA355" i="17"/>
  <c r="AB177" i="17"/>
  <c r="Z503" i="17"/>
  <c r="Y419" i="17"/>
  <c r="Z196" i="17"/>
  <c r="AA336" i="17"/>
  <c r="Z466" i="17"/>
  <c r="Z515" i="17"/>
  <c r="AA162" i="17"/>
  <c r="AA24" i="15"/>
  <c r="Z245" i="17"/>
  <c r="AA333" i="17"/>
  <c r="Y518" i="17"/>
  <c r="Z200" i="17"/>
  <c r="Y411" i="17"/>
  <c r="G8" i="2"/>
  <c r="AD506" i="17"/>
  <c r="AC377" i="17"/>
  <c r="AD417" i="17"/>
  <c r="AC383" i="17"/>
  <c r="E8" i="21"/>
  <c r="J8" i="21" s="1"/>
  <c r="D56" i="9"/>
  <c r="H8" i="2"/>
  <c r="A26" i="22"/>
  <c r="B8" i="21"/>
  <c r="AB258" i="17"/>
  <c r="Y506" i="17"/>
  <c r="AD456" i="17"/>
  <c r="Z39" i="17"/>
  <c r="AA125" i="15"/>
  <c r="AB174" i="17"/>
  <c r="Y438" i="17"/>
  <c r="AD438" i="17" s="1"/>
  <c r="AD454" i="17"/>
  <c r="AA40" i="15"/>
  <c r="Y420" i="17"/>
  <c r="AB260" i="17"/>
  <c r="Y493" i="17"/>
  <c r="Y486" i="17"/>
  <c r="Y464" i="17"/>
  <c r="AD464" i="17" s="1"/>
  <c r="Z51" i="17"/>
  <c r="X288" i="17"/>
  <c r="AC288" i="17" s="1"/>
  <c r="AD502" i="17"/>
  <c r="X322" i="17"/>
  <c r="AC322" i="17" s="1"/>
  <c r="Y442" i="17"/>
  <c r="AD442" i="17" s="1"/>
  <c r="AD458" i="17"/>
  <c r="X361" i="17"/>
  <c r="AC361" i="17" s="1"/>
  <c r="AD461" i="17"/>
  <c r="AA386" i="17"/>
  <c r="AA291" i="17"/>
  <c r="AA365" i="17"/>
  <c r="AA304" i="17"/>
  <c r="AA343" i="17"/>
  <c r="AA353" i="17"/>
  <c r="AA311" i="17"/>
  <c r="AA338" i="17"/>
  <c r="AA305" i="17"/>
  <c r="AA378" i="17"/>
  <c r="AA295" i="17"/>
  <c r="AA301" i="17"/>
  <c r="AA347" i="17"/>
  <c r="AA389" i="17"/>
  <c r="AC389" i="17" s="1"/>
  <c r="AA370" i="17"/>
  <c r="AA345" i="17"/>
  <c r="AA339" i="17"/>
  <c r="AA327" i="17"/>
  <c r="AA372" i="17"/>
  <c r="AA292" i="17"/>
  <c r="AA358" i="17"/>
  <c r="AA379" i="17"/>
  <c r="AA376" i="17"/>
  <c r="AA374" i="17"/>
  <c r="AA315" i="17"/>
  <c r="AA307" i="17"/>
  <c r="AA299" i="17"/>
  <c r="AA360" i="17"/>
  <c r="AA282" i="17"/>
  <c r="AA330" i="17"/>
  <c r="AA377" i="17"/>
  <c r="AA328" i="17"/>
  <c r="AA280" i="17"/>
  <c r="AA331" i="17"/>
  <c r="AA290" i="17"/>
  <c r="AA334" i="17"/>
  <c r="AA387" i="17"/>
  <c r="AA371" i="17"/>
  <c r="AA344" i="17"/>
  <c r="AA300" i="17"/>
  <c r="AA369" i="17"/>
  <c r="AA312" i="17"/>
  <c r="AA357" i="17"/>
  <c r="AA362" i="17"/>
  <c r="AA332" i="17"/>
  <c r="AA286" i="17"/>
  <c r="AA293" i="17"/>
  <c r="AA349" i="17"/>
  <c r="AA294" i="17"/>
  <c r="AA319" i="17"/>
  <c r="AA354" i="17"/>
  <c r="AA352" i="17"/>
  <c r="AA366" i="17"/>
  <c r="AA298" i="17"/>
  <c r="AA313" i="17"/>
  <c r="AA380" i="17"/>
  <c r="AA329" i="17"/>
  <c r="AA283" i="17"/>
  <c r="AA326" i="17"/>
  <c r="AA323" i="17"/>
  <c r="AA317" i="17"/>
  <c r="AA321" i="17"/>
  <c r="AA278" i="17"/>
  <c r="AA320" i="17"/>
  <c r="AA289" i="17"/>
  <c r="AA375" i="17"/>
  <c r="AA306" i="17"/>
  <c r="AA346" i="17"/>
  <c r="AA284" i="17"/>
  <c r="AA318" i="17"/>
  <c r="AA281" i="17"/>
  <c r="Z221" i="17"/>
  <c r="AB232" i="17"/>
  <c r="AA102" i="15"/>
  <c r="Y459" i="17"/>
  <c r="AD459" i="17" s="1"/>
  <c r="Y472" i="17"/>
  <c r="AD472" i="17" s="1"/>
  <c r="AD449" i="17"/>
  <c r="AA384" i="17"/>
  <c r="Y445" i="17"/>
  <c r="AA94" i="15"/>
  <c r="Z118" i="17"/>
  <c r="D26" i="5"/>
  <c r="D27" i="5"/>
  <c r="D23" i="5"/>
  <c r="D24" i="5"/>
  <c r="D22" i="5"/>
  <c r="D28" i="5"/>
  <c r="D21" i="5"/>
  <c r="D29" i="5" s="1"/>
  <c r="D25" i="5"/>
  <c r="AA279" i="17"/>
  <c r="Y492" i="17"/>
  <c r="Z422" i="17"/>
  <c r="Z517" i="17"/>
  <c r="Z470" i="17"/>
  <c r="Z523" i="17"/>
  <c r="Z431" i="17"/>
  <c r="AD431" i="17" s="1"/>
  <c r="Z513" i="17"/>
  <c r="Z516" i="17"/>
  <c r="Z416" i="17"/>
  <c r="Z519" i="17"/>
  <c r="Z436" i="17"/>
  <c r="Z509" i="17"/>
  <c r="Z520" i="17"/>
  <c r="Z473" i="17"/>
  <c r="Z511" i="17"/>
  <c r="Z494" i="17"/>
  <c r="AD494" i="17" s="1"/>
  <c r="Z451" i="17"/>
  <c r="Z475" i="17"/>
  <c r="AD475" i="17" s="1"/>
  <c r="Z476" i="17"/>
  <c r="Z524" i="17"/>
  <c r="Z507" i="17"/>
  <c r="Z441" i="17"/>
  <c r="Z447" i="17"/>
  <c r="Z445" i="17"/>
  <c r="Z411" i="17"/>
  <c r="Z453" i="17"/>
  <c r="Z413" i="17"/>
  <c r="Z419" i="17"/>
  <c r="Z444" i="17"/>
  <c r="Z423" i="17"/>
  <c r="Z437" i="17"/>
  <c r="Z446" i="17"/>
  <c r="Z440" i="17"/>
  <c r="Z469" i="17"/>
  <c r="Z427" i="17"/>
  <c r="Z457" i="17"/>
  <c r="Z495" i="17"/>
  <c r="Z408" i="17"/>
  <c r="Z443" i="17"/>
  <c r="Z474" i="17"/>
  <c r="AD474" i="17" s="1"/>
  <c r="Z455" i="17"/>
  <c r="Z465" i="17"/>
  <c r="Z492" i="17"/>
  <c r="Z428" i="17"/>
  <c r="Z409" i="17"/>
  <c r="Z477" i="17"/>
  <c r="Z467" i="17"/>
  <c r="Z518" i="17"/>
  <c r="Z505" i="17"/>
  <c r="Z452" i="17"/>
  <c r="Z433" i="17"/>
  <c r="Z418" i="17"/>
  <c r="Z463" i="17"/>
  <c r="Z478" i="17"/>
  <c r="Z450" i="17"/>
  <c r="Z496" i="17"/>
  <c r="Z481" i="17"/>
  <c r="Z500" i="17"/>
  <c r="Z522" i="17"/>
  <c r="Z510" i="17"/>
  <c r="Z412" i="17"/>
  <c r="Z434" i="17"/>
  <c r="Z521" i="17"/>
  <c r="Z448" i="17"/>
  <c r="Z430" i="17"/>
  <c r="Z421" i="17"/>
  <c r="AD421" i="17" s="1"/>
  <c r="AA392" i="17"/>
  <c r="Z488" i="17"/>
  <c r="AA308" i="17"/>
  <c r="X374" i="17"/>
  <c r="AC374" i="17" s="1"/>
  <c r="G15" i="11"/>
  <c r="Y520" i="17"/>
  <c r="Z252" i="17"/>
  <c r="Z238" i="17"/>
  <c r="Z175" i="17"/>
  <c r="Z242" i="17"/>
  <c r="Z504" i="17"/>
  <c r="X320" i="17"/>
  <c r="Y469" i="17"/>
  <c r="Z499" i="17"/>
  <c r="AB171" i="17"/>
  <c r="AA255" i="17"/>
  <c r="AA160" i="17"/>
  <c r="AA245" i="17"/>
  <c r="AA225" i="17"/>
  <c r="AA206" i="17"/>
  <c r="AA191" i="17"/>
  <c r="AA218" i="17"/>
  <c r="AA259" i="17"/>
  <c r="AA248" i="17"/>
  <c r="AA212" i="17"/>
  <c r="AA235" i="17"/>
  <c r="AA157" i="17"/>
  <c r="AA243" i="17"/>
  <c r="AA249" i="17"/>
  <c r="AA190" i="17"/>
  <c r="AA224" i="17"/>
  <c r="AA236" i="17"/>
  <c r="AA163" i="17"/>
  <c r="AA192" i="17"/>
  <c r="AA238" i="17"/>
  <c r="AA170" i="17"/>
  <c r="AA181" i="17"/>
  <c r="AA228" i="17"/>
  <c r="AA151" i="17"/>
  <c r="AA173" i="17"/>
  <c r="AA197" i="17"/>
  <c r="AA211" i="17"/>
  <c r="AA214" i="17"/>
  <c r="AA165" i="17"/>
  <c r="AA193" i="17"/>
  <c r="AA230" i="17"/>
  <c r="AA180" i="17"/>
  <c r="AA239" i="17"/>
  <c r="AA172" i="17"/>
  <c r="AA242" i="17"/>
  <c r="AA247" i="17"/>
  <c r="AA213" i="17"/>
  <c r="AB213" i="17" s="1"/>
  <c r="AA169" i="17"/>
  <c r="AA261" i="17"/>
  <c r="AB261" i="17" s="1"/>
  <c r="AA223" i="17"/>
  <c r="AA146" i="17"/>
  <c r="AA185" i="17"/>
  <c r="AA167" i="17"/>
  <c r="AA166" i="17"/>
  <c r="AA217" i="17"/>
  <c r="AA177" i="17"/>
  <c r="AA202" i="17"/>
  <c r="AA219" i="17"/>
  <c r="AA244" i="17"/>
  <c r="AA251" i="17"/>
  <c r="AA229" i="17"/>
  <c r="AA262" i="17"/>
  <c r="AA254" i="17"/>
  <c r="AA199" i="17"/>
  <c r="AA216" i="17"/>
  <c r="AA205" i="17"/>
  <c r="AA171" i="17"/>
  <c r="AA220" i="17"/>
  <c r="AA209" i="17"/>
  <c r="AA194" i="17"/>
  <c r="AA237" i="17"/>
  <c r="AA233" i="17"/>
  <c r="AA240" i="17"/>
  <c r="AA215" i="17"/>
  <c r="Z190" i="17"/>
  <c r="Z424" i="17"/>
  <c r="AA148" i="17"/>
  <c r="AA155" i="17"/>
  <c r="X514" i="17"/>
  <c r="Z432" i="17"/>
  <c r="Z157" i="17"/>
  <c r="X345" i="17"/>
  <c r="AC345" i="17" s="1"/>
  <c r="Z468" i="17"/>
  <c r="AA107" i="15"/>
  <c r="Z483" i="17"/>
  <c r="AA356" i="17"/>
  <c r="Y440" i="17"/>
  <c r="Z147" i="17"/>
  <c r="Z229" i="17"/>
  <c r="X301" i="17"/>
  <c r="Z248" i="17"/>
  <c r="Y437" i="17"/>
  <c r="X378" i="17"/>
  <c r="X305" i="17"/>
  <c r="AA176" i="17"/>
  <c r="AB176" i="17"/>
  <c r="Z425" i="17"/>
  <c r="AD425" i="17" s="1"/>
  <c r="X414" i="17"/>
  <c r="Y423" i="17"/>
  <c r="Y444" i="17"/>
  <c r="Z206" i="17"/>
  <c r="AA359" i="17"/>
  <c r="Z415" i="17"/>
  <c r="AB217" i="17"/>
  <c r="X523" i="17"/>
  <c r="C29" i="5"/>
  <c r="Y413" i="17"/>
  <c r="Z462" i="17"/>
  <c r="Z491" i="17"/>
  <c r="Z410" i="17"/>
  <c r="Y453" i="17"/>
  <c r="AA363" i="17"/>
  <c r="AA335" i="17"/>
  <c r="AB185" i="17"/>
  <c r="AA348" i="17"/>
  <c r="X429" i="17"/>
  <c r="AD493" i="17"/>
  <c r="AD486" i="17"/>
  <c r="AD507" i="17"/>
  <c r="AD476" i="17"/>
  <c r="AB233" i="17"/>
  <c r="C8" i="21"/>
  <c r="B56" i="9"/>
  <c r="C16" i="11" s="1"/>
  <c r="F8" i="2"/>
  <c r="B16" i="11"/>
  <c r="D16" i="11" s="1"/>
  <c r="E16" i="11" s="1"/>
  <c r="F16" i="11" s="1"/>
  <c r="F56" i="9"/>
  <c r="A9" i="21"/>
  <c r="A57" i="9"/>
  <c r="A17" i="11" s="1"/>
  <c r="B9" i="2"/>
  <c r="A10" i="2"/>
  <c r="E9" i="2"/>
  <c r="P9" i="2"/>
  <c r="D9" i="2"/>
  <c r="N9" i="2"/>
  <c r="E57" i="9" s="1"/>
  <c r="C9" i="2"/>
  <c r="Z127" i="17"/>
  <c r="X386" i="17"/>
  <c r="X291" i="17"/>
  <c r="X393" i="17"/>
  <c r="AC393" i="17" s="1"/>
  <c r="X343" i="17"/>
  <c r="X290" i="17"/>
  <c r="X334" i="17"/>
  <c r="X311" i="17"/>
  <c r="AC311" i="17" s="1"/>
  <c r="X371" i="17"/>
  <c r="X355" i="17"/>
  <c r="X300" i="17"/>
  <c r="X369" i="17"/>
  <c r="AC369" i="17" s="1"/>
  <c r="X295" i="17"/>
  <c r="X347" i="17"/>
  <c r="X357" i="17"/>
  <c r="X327" i="17"/>
  <c r="AC327" i="17" s="1"/>
  <c r="X362" i="17"/>
  <c r="X379" i="17"/>
  <c r="X332" i="17"/>
  <c r="X286" i="17"/>
  <c r="AC286" i="17" s="1"/>
  <c r="X376" i="17"/>
  <c r="X315" i="17"/>
  <c r="AC315" i="17" s="1"/>
  <c r="X293" i="17"/>
  <c r="X349" i="17"/>
  <c r="AC349" i="17" s="1"/>
  <c r="X294" i="17"/>
  <c r="X299" i="17"/>
  <c r="X319" i="17"/>
  <c r="X360" i="17"/>
  <c r="AC360" i="17" s="1"/>
  <c r="X354" i="17"/>
  <c r="AC354" i="17" s="1"/>
  <c r="X366" i="17"/>
  <c r="AC366" i="17" s="1"/>
  <c r="X298" i="17"/>
  <c r="X316" i="17"/>
  <c r="AC316" i="17" s="1"/>
  <c r="X328" i="17"/>
  <c r="X313" i="17"/>
  <c r="X280" i="17"/>
  <c r="X331" i="17"/>
  <c r="AC331" i="17" s="1"/>
  <c r="X380" i="17"/>
  <c r="X340" i="17"/>
  <c r="X329" i="17"/>
  <c r="X326" i="17"/>
  <c r="X317" i="17"/>
  <c r="X344" i="17"/>
  <c r="X312" i="17"/>
  <c r="X356" i="17"/>
  <c r="X321" i="17"/>
  <c r="X278" i="17"/>
  <c r="X289" i="17"/>
  <c r="X308" i="17"/>
  <c r="AC308" i="17" s="1"/>
  <c r="X306" i="17"/>
  <c r="X346" i="17"/>
  <c r="X392" i="17"/>
  <c r="X284" i="17"/>
  <c r="AC284" i="17" s="1"/>
  <c r="X318" i="17"/>
  <c r="X281" i="17"/>
  <c r="X297" i="17"/>
  <c r="X348" i="17"/>
  <c r="X335" i="17"/>
  <c r="X302" i="17"/>
  <c r="X333" i="17"/>
  <c r="X341" i="17"/>
  <c r="AC341" i="17" s="1"/>
  <c r="X336" i="17"/>
  <c r="X283" i="17"/>
  <c r="X323" i="17"/>
  <c r="X373" i="17"/>
  <c r="AC373" i="17" s="1"/>
  <c r="X325" i="17"/>
  <c r="X339" i="17"/>
  <c r="X309" i="17"/>
  <c r="X372" i="17"/>
  <c r="AC372" i="17" s="1"/>
  <c r="X292" i="17"/>
  <c r="X375" i="17"/>
  <c r="X287" i="17"/>
  <c r="X307" i="17"/>
  <c r="AC307" i="17" s="1"/>
  <c r="X310" i="17"/>
  <c r="X314" i="17"/>
  <c r="X352" i="17"/>
  <c r="X342" i="17"/>
  <c r="AC342" i="17" s="1"/>
  <c r="X277" i="17"/>
  <c r="AC277" i="17" s="1"/>
  <c r="AB188" i="17"/>
  <c r="Y417" i="17"/>
  <c r="X382" i="17"/>
  <c r="AC382" i="17" s="1"/>
  <c r="AA71" i="15"/>
  <c r="AB168" i="17"/>
  <c r="Y426" i="17"/>
  <c r="AD426" i="17" s="1"/>
  <c r="AA115" i="15"/>
  <c r="X364" i="17"/>
  <c r="AC364" i="17" s="1"/>
  <c r="AA35" i="24"/>
  <c r="Z82" i="17"/>
  <c r="AA23" i="24"/>
  <c r="Z55" i="17"/>
  <c r="AA51" i="15"/>
  <c r="Z45" i="17"/>
  <c r="AA69" i="15"/>
  <c r="Y489" i="17"/>
  <c r="AD489" i="17" s="1"/>
  <c r="X390" i="17"/>
  <c r="AC390" i="17" s="1"/>
  <c r="X296" i="17"/>
  <c r="AC296" i="17" s="1"/>
  <c r="AD420" i="17"/>
  <c r="AB207" i="17"/>
  <c r="X367" i="17"/>
  <c r="AC367" i="17" s="1"/>
  <c r="AB161" i="17"/>
  <c r="Y460" i="17"/>
  <c r="AD460" i="17" s="1"/>
  <c r="AB156" i="17"/>
  <c r="X285" i="17"/>
  <c r="AC285" i="17" s="1"/>
  <c r="Z83" i="17"/>
  <c r="Z49" i="17"/>
  <c r="AA73" i="15"/>
  <c r="Z125" i="17"/>
  <c r="AB203" i="17"/>
  <c r="AD497" i="17"/>
  <c r="Z74" i="17"/>
  <c r="AA385" i="17"/>
  <c r="AC385" i="17" s="1"/>
  <c r="AB221" i="17"/>
  <c r="Z59" i="17"/>
  <c r="AA381" i="17"/>
  <c r="AC381" i="17" s="1"/>
  <c r="Y485" i="17"/>
  <c r="AD485" i="17" s="1"/>
  <c r="X324" i="17"/>
  <c r="AC324" i="17" s="1"/>
  <c r="Y487" i="17"/>
  <c r="AD487" i="17" s="1"/>
  <c r="Z159" i="17"/>
  <c r="AB159" i="17" s="1"/>
  <c r="Z204" i="17"/>
  <c r="AB204" i="17" s="1"/>
  <c r="Z178" i="17"/>
  <c r="AB178" i="17" s="1"/>
  <c r="Z222" i="17"/>
  <c r="AB222" i="17"/>
  <c r="AB183" i="17"/>
  <c r="AB208" i="17"/>
  <c r="AD479" i="17"/>
  <c r="X330" i="17"/>
  <c r="Z508" i="17"/>
  <c r="AD508" i="17" s="1"/>
  <c r="Z164" i="17"/>
  <c r="X451" i="17"/>
  <c r="AD451" i="17" s="1"/>
  <c r="AA287" i="17"/>
  <c r="Z482" i="17"/>
  <c r="X482" i="17"/>
  <c r="AA85" i="15"/>
  <c r="B41" i="5"/>
  <c r="B39" i="5"/>
  <c r="B37" i="5"/>
  <c r="B35" i="5"/>
  <c r="B40" i="5"/>
  <c r="B38" i="5"/>
  <c r="B36" i="5"/>
  <c r="B34" i="5"/>
  <c r="X358" i="17"/>
  <c r="AB236" i="17"/>
  <c r="Z205" i="17"/>
  <c r="Z490" i="17"/>
  <c r="AB190" i="17"/>
  <c r="AA309" i="17"/>
  <c r="Z484" i="17"/>
  <c r="Z155" i="17"/>
  <c r="AA227" i="17"/>
  <c r="AA152" i="17"/>
  <c r="Z498" i="17"/>
  <c r="AD498" i="17" s="1"/>
  <c r="AA154" i="17"/>
  <c r="Z471" i="17"/>
  <c r="X496" i="17"/>
  <c r="X370" i="17"/>
  <c r="AB165" i="17"/>
  <c r="Z414" i="17"/>
  <c r="AA182" i="17"/>
  <c r="AA196" i="17"/>
  <c r="X353" i="17"/>
  <c r="Y515" i="17"/>
  <c r="X365" i="17"/>
  <c r="AA393" i="17"/>
  <c r="Z501" i="17"/>
  <c r="AA297" i="17"/>
  <c r="Z429" i="17"/>
  <c r="E33" i="5"/>
  <c r="E20" i="5"/>
  <c r="A9" i="4"/>
  <c r="Z31" i="17"/>
  <c r="AA120" i="15"/>
  <c r="AB279" i="17"/>
  <c r="AA114" i="15"/>
  <c r="AB240" i="17"/>
  <c r="AB330" i="17"/>
  <c r="AB173" i="17"/>
  <c r="Y291" i="17"/>
  <c r="Y386" i="17"/>
  <c r="Y392" i="17"/>
  <c r="AB282" i="17"/>
  <c r="AB151" i="17"/>
  <c r="Y346" i="17"/>
  <c r="Y310" i="17"/>
  <c r="Y360" i="17"/>
  <c r="AA135" i="15"/>
  <c r="X255" i="17"/>
  <c r="X160" i="17"/>
  <c r="AB160" i="17" s="1"/>
  <c r="AB319" i="17"/>
  <c r="Y299" i="17"/>
  <c r="X164" i="17"/>
  <c r="AB164" i="17" s="1"/>
  <c r="Y307" i="17"/>
  <c r="X158" i="17"/>
  <c r="AB391" i="17"/>
  <c r="Y349" i="17"/>
  <c r="X231" i="17"/>
  <c r="AB231" i="17" s="1"/>
  <c r="Z88" i="17"/>
  <c r="Z67" i="17"/>
  <c r="X31" i="15"/>
  <c r="AA31" i="15" s="1"/>
  <c r="X55" i="15"/>
  <c r="AA55" i="15" s="1"/>
  <c r="X246" i="17"/>
  <c r="Y293" i="17"/>
  <c r="Y315" i="17"/>
  <c r="AB374" i="17"/>
  <c r="Y376" i="17"/>
  <c r="H7" i="21"/>
  <c r="G7" i="21"/>
  <c r="AA520" i="17"/>
  <c r="Y286" i="17"/>
  <c r="Y194" i="17"/>
  <c r="X252" i="17"/>
  <c r="X181" i="17"/>
  <c r="AB181" i="17" s="1"/>
  <c r="Y181" i="17"/>
  <c r="X47" i="15"/>
  <c r="AA47" i="15" s="1"/>
  <c r="X169" i="17"/>
  <c r="Y169" i="17"/>
  <c r="Y332" i="17"/>
  <c r="Y379" i="17"/>
  <c r="Y186" i="17"/>
  <c r="X186" i="17"/>
  <c r="AB186" i="17" s="1"/>
  <c r="AA436" i="17"/>
  <c r="X53" i="15"/>
  <c r="AA53" i="15" s="1"/>
  <c r="Y163" i="17"/>
  <c r="AB358" i="17"/>
  <c r="AB320" i="17"/>
  <c r="AA469" i="17"/>
  <c r="AC519" i="17"/>
  <c r="AA519" i="17"/>
  <c r="X96" i="15"/>
  <c r="AA96" i="15" s="1"/>
  <c r="X198" i="17"/>
  <c r="AA416" i="17"/>
  <c r="Y220" i="17"/>
  <c r="Y327" i="17"/>
  <c r="Z72" i="17"/>
  <c r="AA490" i="17"/>
  <c r="AA516" i="17"/>
  <c r="X210" i="17"/>
  <c r="AB210" i="17" s="1"/>
  <c r="Y339" i="17"/>
  <c r="X234" i="17"/>
  <c r="Y243" i="17"/>
  <c r="X139" i="15"/>
  <c r="AA139" i="15" s="1"/>
  <c r="X148" i="17"/>
  <c r="AB148" i="17" s="1"/>
  <c r="X129" i="15"/>
  <c r="AA129" i="15" s="1"/>
  <c r="AC500" i="17"/>
  <c r="AA431" i="17"/>
  <c r="Y152" i="17"/>
  <c r="X84" i="15"/>
  <c r="AA84" i="15" s="1"/>
  <c r="X113" i="15"/>
  <c r="AA113" i="15" s="1"/>
  <c r="X154" i="17"/>
  <c r="AB154" i="17" s="1"/>
  <c r="X157" i="17"/>
  <c r="AB157" i="17" s="1"/>
  <c r="Y157" i="17"/>
  <c r="AB345" i="17"/>
  <c r="X97" i="15"/>
  <c r="AA97" i="15" s="1"/>
  <c r="Y230" i="17"/>
  <c r="X133" i="15"/>
  <c r="AA133" i="15" s="1"/>
  <c r="Y235" i="17"/>
  <c r="X127" i="15"/>
  <c r="AA127" i="15" s="1"/>
  <c r="X193" i="17"/>
  <c r="AB193" i="17" s="1"/>
  <c r="Y193" i="17"/>
  <c r="AC440" i="17"/>
  <c r="X50" i="15"/>
  <c r="AA50" i="15" s="1"/>
  <c r="AC496" i="17"/>
  <c r="Y357" i="17"/>
  <c r="AB370" i="17"/>
  <c r="AB389" i="17"/>
  <c r="X32" i="15"/>
  <c r="AA32" i="15" s="1"/>
  <c r="AC478" i="17"/>
  <c r="Y347" i="17"/>
  <c r="Y244" i="17"/>
  <c r="AB301" i="17"/>
  <c r="Y295" i="17"/>
  <c r="Y369" i="17"/>
  <c r="Y300" i="17"/>
  <c r="AC463" i="17"/>
  <c r="X248" i="17"/>
  <c r="AB248" i="17" s="1"/>
  <c r="AC437" i="17"/>
  <c r="X44" i="17"/>
  <c r="Z44" i="17" s="1"/>
  <c r="AB378" i="17"/>
  <c r="AB305" i="17"/>
  <c r="AB323" i="17"/>
  <c r="Z104" i="15"/>
  <c r="Y259" i="17"/>
  <c r="X34" i="17"/>
  <c r="Z34" i="17" s="1"/>
  <c r="X129" i="17"/>
  <c r="Z129" i="17" s="1"/>
  <c r="X95" i="15"/>
  <c r="Y338" i="17"/>
  <c r="AC338" i="17" s="1"/>
  <c r="AB338" i="17"/>
  <c r="Z38" i="15"/>
  <c r="Z108" i="15"/>
  <c r="Z79" i="15"/>
  <c r="X182" i="17"/>
  <c r="AC444" i="17"/>
  <c r="X23" i="17"/>
  <c r="Z23" i="17" s="1"/>
  <c r="X118" i="15"/>
  <c r="AA118" i="15" s="1"/>
  <c r="Y214" i="17"/>
  <c r="Z91" i="15"/>
  <c r="AA91" i="15" s="1"/>
  <c r="Y191" i="17"/>
  <c r="X83" i="15"/>
  <c r="Y311" i="17"/>
  <c r="X196" i="17"/>
  <c r="AB196" i="17" s="1"/>
  <c r="Y334" i="17"/>
  <c r="X76" i="15"/>
  <c r="AB359" i="17"/>
  <c r="X62" i="17"/>
  <c r="Z62" i="17" s="1"/>
  <c r="X19" i="17"/>
  <c r="Z19" i="17" s="1"/>
  <c r="AA466" i="17"/>
  <c r="AD466" i="17" s="1"/>
  <c r="X81" i="15"/>
  <c r="AB353" i="17"/>
  <c r="Z60" i="15"/>
  <c r="AA60" i="15" s="1"/>
  <c r="Y343" i="17"/>
  <c r="Z30" i="15"/>
  <c r="AB304" i="17"/>
  <c r="AC523" i="17"/>
  <c r="AA523" i="17"/>
  <c r="AC413" i="17"/>
  <c r="Y92" i="15"/>
  <c r="AA92" i="15" s="1"/>
  <c r="Z92" i="15"/>
  <c r="X162" i="17"/>
  <c r="AB162" i="17" s="1"/>
  <c r="AB365" i="17"/>
  <c r="X211" i="17"/>
  <c r="AB211" i="17" s="1"/>
  <c r="X112" i="17"/>
  <c r="Z112" i="17" s="1"/>
  <c r="X245" i="17"/>
  <c r="AB245" i="17" s="1"/>
  <c r="Y245" i="17"/>
  <c r="X226" i="17"/>
  <c r="AB226" i="17" s="1"/>
  <c r="AB517" i="17"/>
  <c r="AB422" i="17"/>
  <c r="X167" i="17"/>
  <c r="AC453" i="17"/>
  <c r="AC518" i="17"/>
  <c r="AC467" i="17"/>
  <c r="X250" i="17"/>
  <c r="Z126" i="15"/>
  <c r="X200" i="17"/>
  <c r="AB200" i="17" s="1"/>
  <c r="AB429" i="17"/>
  <c r="AB184" i="17"/>
  <c r="AB386" i="17"/>
  <c r="AB291" i="17"/>
  <c r="Z46" i="17"/>
  <c r="Z123" i="17"/>
  <c r="AB352" i="17"/>
  <c r="Z101" i="17"/>
  <c r="Z66" i="17"/>
  <c r="AB314" i="17"/>
  <c r="AB310" i="17"/>
  <c r="AB149" i="17"/>
  <c r="Z61" i="17"/>
  <c r="X35" i="15"/>
  <c r="AA35" i="15" s="1"/>
  <c r="Y391" i="17"/>
  <c r="AC391" i="17" s="1"/>
  <c r="AB287" i="17"/>
  <c r="Y287" i="17"/>
  <c r="X223" i="17"/>
  <c r="X253" i="17"/>
  <c r="Y255" i="17"/>
  <c r="Y160" i="17"/>
  <c r="Y179" i="17"/>
  <c r="Z57" i="17"/>
  <c r="AB375" i="17"/>
  <c r="X194" i="17"/>
  <c r="AB194" i="17" s="1"/>
  <c r="Y170" i="17"/>
  <c r="AB170" i="17" s="1"/>
  <c r="Y238" i="17"/>
  <c r="AB238" i="17" s="1"/>
  <c r="Y175" i="17"/>
  <c r="Y242" i="17"/>
  <c r="AA504" i="17"/>
  <c r="X63" i="15"/>
  <c r="AA63" i="15" s="1"/>
  <c r="Y192" i="17"/>
  <c r="X163" i="17"/>
  <c r="AB163" i="17" s="1"/>
  <c r="X42" i="15"/>
  <c r="AA42" i="15" s="1"/>
  <c r="X137" i="15"/>
  <c r="AA137" i="15" s="1"/>
  <c r="Y320" i="17"/>
  <c r="AB292" i="17"/>
  <c r="Y362" i="17"/>
  <c r="Y224" i="17"/>
  <c r="X75" i="15"/>
  <c r="AA75" i="15" s="1"/>
  <c r="Z25" i="17"/>
  <c r="X59" i="15"/>
  <c r="AA59" i="15" s="1"/>
  <c r="AB372" i="17"/>
  <c r="AC499" i="17"/>
  <c r="AA499" i="17"/>
  <c r="X220" i="17"/>
  <c r="Y172" i="17"/>
  <c r="Y190" i="17"/>
  <c r="AB309" i="17"/>
  <c r="AA484" i="17"/>
  <c r="X89" i="15"/>
  <c r="AA89" i="15" s="1"/>
  <c r="X62" i="15"/>
  <c r="AA62" i="15" s="1"/>
  <c r="X249" i="17"/>
  <c r="AB249" i="17" s="1"/>
  <c r="Y249" i="17"/>
  <c r="AA424" i="17"/>
  <c r="X111" i="15"/>
  <c r="AA111" i="15" s="1"/>
  <c r="Y278" i="17"/>
  <c r="X243" i="17"/>
  <c r="X239" i="17"/>
  <c r="Y155" i="17"/>
  <c r="AC513" i="17"/>
  <c r="Y216" i="17"/>
  <c r="AA514" i="17"/>
  <c r="X58" i="15"/>
  <c r="AA58" i="15" s="1"/>
  <c r="AA432" i="17"/>
  <c r="Y227" i="17"/>
  <c r="X152" i="17"/>
  <c r="AA498" i="17"/>
  <c r="Z30" i="17"/>
  <c r="AA471" i="17"/>
  <c r="Y345" i="17"/>
  <c r="AA468" i="17"/>
  <c r="Y180" i="17"/>
  <c r="X235" i="17"/>
  <c r="X199" i="17"/>
  <c r="X254" i="17"/>
  <c r="AA483" i="17"/>
  <c r="AC446" i="17"/>
  <c r="Y147" i="17"/>
  <c r="X262" i="17"/>
  <c r="Y370" i="17"/>
  <c r="Y389" i="17"/>
  <c r="X124" i="17"/>
  <c r="Z124" i="17" s="1"/>
  <c r="X29" i="17"/>
  <c r="X15" i="17"/>
  <c r="Z15" i="17" s="1"/>
  <c r="AA450" i="17"/>
  <c r="X65" i="15"/>
  <c r="X244" i="17"/>
  <c r="AB244" i="17" s="1"/>
  <c r="AB325" i="17"/>
  <c r="X121" i="17"/>
  <c r="Z121" i="17" s="1"/>
  <c r="Y301" i="17"/>
  <c r="X78" i="15"/>
  <c r="AA78" i="15" s="1"/>
  <c r="X102" i="17"/>
  <c r="Z102" i="17" s="1"/>
  <c r="AA29" i="24"/>
  <c r="AB373" i="17"/>
  <c r="Y305" i="17"/>
  <c r="AA425" i="17"/>
  <c r="Y326" i="17"/>
  <c r="X104" i="15"/>
  <c r="AA104" i="15" s="1"/>
  <c r="X259" i="17"/>
  <c r="Z66" i="15"/>
  <c r="AA414" i="17"/>
  <c r="AB283" i="17"/>
  <c r="X105" i="17"/>
  <c r="Z105" i="17" s="1"/>
  <c r="AC423" i="17"/>
  <c r="Y355" i="17"/>
  <c r="X202" i="17"/>
  <c r="AB202" i="17" s="1"/>
  <c r="AA418" i="17"/>
  <c r="X33" i="15"/>
  <c r="AA33" i="15" s="1"/>
  <c r="AC503" i="17"/>
  <c r="AA503" i="17"/>
  <c r="AC419" i="17"/>
  <c r="X26" i="17"/>
  <c r="Z26" i="17" s="1"/>
  <c r="AB371" i="17"/>
  <c r="Y206" i="17"/>
  <c r="AB206" i="17" s="1"/>
  <c r="Z83" i="15"/>
  <c r="AB387" i="17"/>
  <c r="Z112" i="15"/>
  <c r="AB336" i="17"/>
  <c r="Z76" i="15"/>
  <c r="Y359" i="17"/>
  <c r="X100" i="15"/>
  <c r="X225" i="17"/>
  <c r="Y225" i="17"/>
  <c r="Y290" i="17"/>
  <c r="AB341" i="17"/>
  <c r="Z81" i="15"/>
  <c r="Z64" i="15"/>
  <c r="AA64" i="15" s="1"/>
  <c r="X47" i="17"/>
  <c r="Z47" i="17" s="1"/>
  <c r="Y353" i="17"/>
  <c r="AC515" i="17"/>
  <c r="AA515" i="17"/>
  <c r="X77" i="17"/>
  <c r="Z77" i="17" s="1"/>
  <c r="AC415" i="17"/>
  <c r="Y304" i="17"/>
  <c r="AC304" i="17" s="1"/>
  <c r="Z304" i="17"/>
  <c r="Y37" i="15"/>
  <c r="Y132" i="15"/>
  <c r="Z365" i="17"/>
  <c r="Y365" i="17"/>
  <c r="AA462" i="17"/>
  <c r="Y24" i="15"/>
  <c r="Z24" i="15"/>
  <c r="X56" i="15"/>
  <c r="AA56" i="15" s="1"/>
  <c r="X166" i="17"/>
  <c r="AA491" i="17"/>
  <c r="AC410" i="17"/>
  <c r="X17" i="17"/>
  <c r="Z17" i="17" s="1"/>
  <c r="AB333" i="17"/>
  <c r="X86" i="15"/>
  <c r="AA86" i="15" s="1"/>
  <c r="Z302" i="17"/>
  <c r="AB302" i="17"/>
  <c r="Y49" i="15"/>
  <c r="AA49" i="15" s="1"/>
  <c r="Y98" i="15"/>
  <c r="Y363" i="17"/>
  <c r="Z363" i="17"/>
  <c r="AC363" i="17" s="1"/>
  <c r="AB335" i="17"/>
  <c r="Y335" i="17"/>
  <c r="Z335" i="17"/>
  <c r="AB348" i="17"/>
  <c r="AA435" i="17"/>
  <c r="AB435" i="17"/>
  <c r="AB297" i="17"/>
  <c r="Z48" i="17"/>
  <c r="AE17" i="20"/>
  <c r="AD16" i="20"/>
  <c r="Z19" i="20"/>
  <c r="AE18" i="20"/>
  <c r="AD17" i="20"/>
  <c r="AC16" i="20"/>
  <c r="Y19" i="20"/>
  <c r="AD18" i="20"/>
  <c r="AC17" i="20"/>
  <c r="AE16" i="20"/>
  <c r="X19" i="20"/>
  <c r="AC18" i="20"/>
  <c r="AA68" i="15"/>
  <c r="AA105" i="15"/>
  <c r="AA70" i="15"/>
  <c r="Z94" i="17"/>
  <c r="AB281" i="17"/>
  <c r="Z28" i="17"/>
  <c r="AB318" i="17"/>
  <c r="AB284" i="17"/>
  <c r="AB392" i="17"/>
  <c r="Z115" i="17"/>
  <c r="Y282" i="17"/>
  <c r="AB346" i="17"/>
  <c r="Z35" i="17"/>
  <c r="X146" i="17"/>
  <c r="AB146" i="17" s="1"/>
  <c r="X132" i="15"/>
  <c r="X37" i="15"/>
  <c r="AA37" i="15" s="1"/>
  <c r="Z107" i="17"/>
  <c r="X46" i="15"/>
  <c r="AA46" i="15" s="1"/>
  <c r="Z70" i="17"/>
  <c r="AB306" i="17"/>
  <c r="AB307" i="17"/>
  <c r="Y294" i="17"/>
  <c r="X72" i="15"/>
  <c r="AA72" i="15" s="1"/>
  <c r="Z128" i="17"/>
  <c r="Y158" i="17"/>
  <c r="X257" i="17"/>
  <c r="AB257" i="17" s="1"/>
  <c r="Y257" i="17"/>
  <c r="Z93" i="17"/>
  <c r="AB308" i="17"/>
  <c r="X237" i="17"/>
  <c r="AB237" i="17" s="1"/>
  <c r="Y237" i="17"/>
  <c r="Z65" i="17"/>
  <c r="Y228" i="17"/>
  <c r="AB228" i="17" s="1"/>
  <c r="AA517" i="17"/>
  <c r="AA422" i="17"/>
  <c r="AA412" i="17"/>
  <c r="X187" i="17"/>
  <c r="AB187" i="17" s="1"/>
  <c r="Y246" i="17"/>
  <c r="X179" i="17"/>
  <c r="X25" i="15"/>
  <c r="AA25" i="15" s="1"/>
  <c r="X128" i="15"/>
  <c r="AA128" i="15" s="1"/>
  <c r="Y375" i="17"/>
  <c r="X41" i="15"/>
  <c r="AA41" i="15" s="1"/>
  <c r="AC517" i="17"/>
  <c r="AC422" i="17"/>
  <c r="X110" i="15"/>
  <c r="AA110" i="15" s="1"/>
  <c r="AA510" i="17"/>
  <c r="X175" i="17"/>
  <c r="AB175" i="17" s="1"/>
  <c r="AA509" i="17"/>
  <c r="X242" i="17"/>
  <c r="AB242" i="17" s="1"/>
  <c r="X192" i="17"/>
  <c r="AB192" i="17" s="1"/>
  <c r="AB289" i="17"/>
  <c r="AA522" i="17"/>
  <c r="X29" i="15"/>
  <c r="AA29" i="15" s="1"/>
  <c r="Y236" i="17"/>
  <c r="Y292" i="17"/>
  <c r="X224" i="17"/>
  <c r="Y198" i="17"/>
  <c r="AC416" i="17"/>
  <c r="Y372" i="17"/>
  <c r="Y171" i="17"/>
  <c r="X205" i="17"/>
  <c r="AB205" i="17" s="1"/>
  <c r="Y205" i="17"/>
  <c r="AC490" i="17"/>
  <c r="X172" i="17"/>
  <c r="AC516" i="17"/>
  <c r="Y309" i="17"/>
  <c r="AC484" i="17"/>
  <c r="AB339" i="17"/>
  <c r="AC424" i="17"/>
  <c r="Y234" i="17"/>
  <c r="X77" i="15"/>
  <c r="AA77" i="15" s="1"/>
  <c r="AB278" i="17"/>
  <c r="X103" i="15"/>
  <c r="AA103" i="15" s="1"/>
  <c r="X44" i="15"/>
  <c r="AA44" i="15" s="1"/>
  <c r="X155" i="17"/>
  <c r="AA513" i="17"/>
  <c r="X216" i="17"/>
  <c r="AB216" i="17" s="1"/>
  <c r="AC514" i="17"/>
  <c r="AC432" i="17"/>
  <c r="AA500" i="17"/>
  <c r="AC431" i="17"/>
  <c r="X124" i="15"/>
  <c r="AA124" i="15" s="1"/>
  <c r="X227" i="17"/>
  <c r="AC498" i="17"/>
  <c r="AA481" i="17"/>
  <c r="X60" i="17"/>
  <c r="Z60" i="17" s="1"/>
  <c r="AC468" i="17"/>
  <c r="X180" i="17"/>
  <c r="X230" i="17"/>
  <c r="AB230" i="17" s="1"/>
  <c r="X80" i="15"/>
  <c r="AA80" i="15" s="1"/>
  <c r="Y199" i="17"/>
  <c r="AB321" i="17"/>
  <c r="AB356" i="17"/>
  <c r="Z37" i="15"/>
  <c r="Z132" i="15"/>
  <c r="X36" i="15"/>
  <c r="AA36" i="15" s="1"/>
  <c r="Y212" i="17"/>
  <c r="AB212" i="17" s="1"/>
  <c r="X147" i="17"/>
  <c r="X229" i="17"/>
  <c r="AB229" i="17" s="1"/>
  <c r="Y229" i="17"/>
  <c r="Z65" i="15"/>
  <c r="Z32" i="15"/>
  <c r="Y251" i="17"/>
  <c r="AB251" i="17" s="1"/>
  <c r="AA478" i="17"/>
  <c r="Y325" i="17"/>
  <c r="AB312" i="17"/>
  <c r="AA463" i="17"/>
  <c r="AB344" i="17"/>
  <c r="AA37" i="24"/>
  <c r="AA437" i="17"/>
  <c r="Y378" i="17"/>
  <c r="Y373" i="17"/>
  <c r="AB317" i="17"/>
  <c r="Y176" i="17"/>
  <c r="Y323" i="17"/>
  <c r="AC425" i="17"/>
  <c r="AB326" i="17"/>
  <c r="Z95" i="15"/>
  <c r="X66" i="15"/>
  <c r="AC414" i="17"/>
  <c r="Y283" i="17"/>
  <c r="X38" i="15"/>
  <c r="X108" i="15"/>
  <c r="AA108" i="15" s="1"/>
  <c r="Y219" i="17"/>
  <c r="AB219" i="17" s="1"/>
  <c r="X79" i="15"/>
  <c r="AA79" i="15" s="1"/>
  <c r="AB329" i="17"/>
  <c r="Z33" i="15"/>
  <c r="Y182" i="17"/>
  <c r="AB340" i="17"/>
  <c r="Z118" i="15"/>
  <c r="X106" i="17"/>
  <c r="Z106" i="17" s="1"/>
  <c r="X214" i="17"/>
  <c r="AB214" i="17" s="1"/>
  <c r="X191" i="17"/>
  <c r="AB191" i="17" s="1"/>
  <c r="X99" i="17"/>
  <c r="Z99" i="17" s="1"/>
  <c r="AA433" i="17"/>
  <c r="X40" i="17"/>
  <c r="Z40" i="17" s="1"/>
  <c r="X112" i="15"/>
  <c r="Y336" i="17"/>
  <c r="Z131" i="15"/>
  <c r="X131" i="15"/>
  <c r="AA131" i="15" s="1"/>
  <c r="AA452" i="17"/>
  <c r="Z100" i="15"/>
  <c r="Z109" i="15"/>
  <c r="AA109" i="15" s="1"/>
  <c r="Z291" i="17"/>
  <c r="Z386" i="17"/>
  <c r="Y341" i="17"/>
  <c r="AC466" i="17"/>
  <c r="Z353" i="17"/>
  <c r="Y130" i="15"/>
  <c r="AA130" i="15" s="1"/>
  <c r="Z130" i="15"/>
  <c r="X30" i="15"/>
  <c r="AA30" i="15" s="1"/>
  <c r="X54" i="17"/>
  <c r="Z54" i="17" s="1"/>
  <c r="AB380" i="17"/>
  <c r="X138" i="15"/>
  <c r="Y138" i="15"/>
  <c r="Z138" i="15"/>
  <c r="Z123" i="15"/>
  <c r="X123" i="15"/>
  <c r="AA123" i="15" s="1"/>
  <c r="Y123" i="15"/>
  <c r="AA413" i="17"/>
  <c r="Y162" i="17"/>
  <c r="AB331" i="17"/>
  <c r="AA505" i="17"/>
  <c r="X43" i="15"/>
  <c r="AA43" i="15" s="1"/>
  <c r="Y43" i="15"/>
  <c r="AB393" i="17"/>
  <c r="AB280" i="17"/>
  <c r="X106" i="15"/>
  <c r="AA106" i="15" s="1"/>
  <c r="Y106" i="15"/>
  <c r="Z106" i="15"/>
  <c r="AA410" i="17"/>
  <c r="Y167" i="17"/>
  <c r="AC501" i="17"/>
  <c r="X108" i="17"/>
  <c r="Z108" i="17" s="1"/>
  <c r="Z333" i="17"/>
  <c r="Y333" i="17"/>
  <c r="Z313" i="17"/>
  <c r="AB313" i="17"/>
  <c r="AB453" i="17"/>
  <c r="AA518" i="17"/>
  <c r="AB518" i="17"/>
  <c r="Y302" i="17"/>
  <c r="AA467" i="17"/>
  <c r="AB467" i="17"/>
  <c r="Z49" i="15"/>
  <c r="X98" i="15"/>
  <c r="AA98" i="15" s="1"/>
  <c r="AB328" i="17"/>
  <c r="X27" i="15"/>
  <c r="AA27" i="15" s="1"/>
  <c r="Y27" i="15"/>
  <c r="X91" i="17"/>
  <c r="Z91" i="17" s="1"/>
  <c r="Y348" i="17"/>
  <c r="Z348" i="17"/>
  <c r="X126" i="15"/>
  <c r="AA126" i="15" s="1"/>
  <c r="Y29" i="17"/>
  <c r="Y124" i="17"/>
  <c r="X130" i="17"/>
  <c r="Z130" i="17" s="1"/>
  <c r="X80" i="17"/>
  <c r="Z80" i="17" s="1"/>
  <c r="Y297" i="17"/>
  <c r="AC429" i="17"/>
  <c r="AD27" i="20" l="1"/>
  <c r="AD25" i="20"/>
  <c r="AD29" i="20"/>
  <c r="AD24" i="20"/>
  <c r="AD26" i="20"/>
  <c r="AD23" i="20"/>
  <c r="AD28" i="20"/>
  <c r="AD30" i="20"/>
  <c r="AA83" i="15"/>
  <c r="AC353" i="17"/>
  <c r="AC326" i="17"/>
  <c r="A27" i="22"/>
  <c r="B9" i="21"/>
  <c r="F9" i="2"/>
  <c r="L8" i="2"/>
  <c r="I8" i="2"/>
  <c r="F8" i="21" s="1"/>
  <c r="AD429" i="17"/>
  <c r="AD519" i="17"/>
  <c r="AD499" i="17"/>
  <c r="AD471" i="17"/>
  <c r="AD510" i="17"/>
  <c r="AD478" i="17"/>
  <c r="AD453" i="17"/>
  <c r="AD444" i="17"/>
  <c r="AD410" i="17"/>
  <c r="AD422" i="17"/>
  <c r="AB180" i="17"/>
  <c r="AB172" i="17"/>
  <c r="AB224" i="17"/>
  <c r="AB225" i="17"/>
  <c r="AB259" i="17"/>
  <c r="Z29" i="17"/>
  <c r="X11" i="17" s="1"/>
  <c r="AB262" i="17"/>
  <c r="AB254" i="17"/>
  <c r="AB253" i="17"/>
  <c r="AA95" i="15"/>
  <c r="AB246" i="17"/>
  <c r="AB158" i="17"/>
  <c r="E21" i="5"/>
  <c r="E28" i="5"/>
  <c r="E24" i="5"/>
  <c r="E25" i="5"/>
  <c r="E23" i="5"/>
  <c r="E22" i="5"/>
  <c r="E27" i="5"/>
  <c r="E26" i="5"/>
  <c r="AC358" i="17"/>
  <c r="AC352" i="17"/>
  <c r="AC287" i="17"/>
  <c r="AC309" i="17"/>
  <c r="AC323" i="17"/>
  <c r="AC333" i="17"/>
  <c r="AC297" i="17"/>
  <c r="AC392" i="17"/>
  <c r="AC289" i="17"/>
  <c r="AC312" i="17"/>
  <c r="AC329" i="17"/>
  <c r="AC280" i="17"/>
  <c r="AC298" i="17"/>
  <c r="AC319" i="17"/>
  <c r="AC293" i="17"/>
  <c r="AC332" i="17"/>
  <c r="AC357" i="17"/>
  <c r="AC300" i="17"/>
  <c r="AC334" i="17"/>
  <c r="AC291" i="17"/>
  <c r="B17" i="11"/>
  <c r="D17" i="11" s="1"/>
  <c r="E17" i="11" s="1"/>
  <c r="F17" i="11" s="1"/>
  <c r="F57" i="9"/>
  <c r="A10" i="21"/>
  <c r="A58" i="9"/>
  <c r="A18" i="11" s="1"/>
  <c r="B10" i="2"/>
  <c r="A11" i="2"/>
  <c r="E10" i="2"/>
  <c r="P10" i="2"/>
  <c r="D10" i="2"/>
  <c r="N10" i="2"/>
  <c r="E58" i="9" s="1"/>
  <c r="C10" i="2"/>
  <c r="C40" i="5"/>
  <c r="C38" i="5"/>
  <c r="C36" i="5"/>
  <c r="C34" i="5"/>
  <c r="C41" i="5"/>
  <c r="C39" i="5"/>
  <c r="C37" i="5"/>
  <c r="C35" i="5"/>
  <c r="AD434" i="17"/>
  <c r="AD504" i="17"/>
  <c r="AD432" i="17"/>
  <c r="AD483" i="17"/>
  <c r="AD433" i="17"/>
  <c r="AD505" i="17"/>
  <c r="AD465" i="17"/>
  <c r="AD457" i="17"/>
  <c r="AD463" i="17"/>
  <c r="AD518" i="17"/>
  <c r="AD524" i="17"/>
  <c r="AD443" i="17"/>
  <c r="AD436" i="17"/>
  <c r="AD513" i="17"/>
  <c r="AD419" i="17"/>
  <c r="AD470" i="17"/>
  <c r="AE27" i="20"/>
  <c r="AE24" i="20"/>
  <c r="AE25" i="20"/>
  <c r="AE29" i="20"/>
  <c r="AE23" i="20"/>
  <c r="AE30" i="20"/>
  <c r="AE28" i="20"/>
  <c r="AE26" i="20"/>
  <c r="AC356" i="17"/>
  <c r="C9" i="21"/>
  <c r="B57" i="9"/>
  <c r="C17" i="11" s="1"/>
  <c r="D40" i="5"/>
  <c r="D38" i="5"/>
  <c r="D36" i="5"/>
  <c r="D34" i="5"/>
  <c r="D41" i="5"/>
  <c r="D39" i="5"/>
  <c r="D37" i="5"/>
  <c r="D35" i="5"/>
  <c r="AA138" i="15"/>
  <c r="AA66" i="15"/>
  <c r="AB155" i="17"/>
  <c r="AA100" i="15"/>
  <c r="AA65" i="15"/>
  <c r="AB199" i="17"/>
  <c r="AB223" i="17"/>
  <c r="F33" i="5"/>
  <c r="F20" i="5"/>
  <c r="AC365" i="17"/>
  <c r="AC370" i="17"/>
  <c r="AC330" i="17"/>
  <c r="AC314" i="17"/>
  <c r="AC375" i="17"/>
  <c r="AC339" i="17"/>
  <c r="AC283" i="17"/>
  <c r="AC302" i="17"/>
  <c r="AC281" i="17"/>
  <c r="AE272" i="17" s="1"/>
  <c r="AC346" i="17"/>
  <c r="AC278" i="17"/>
  <c r="AI272" i="17" s="1"/>
  <c r="AC344" i="17"/>
  <c r="AC340" i="17"/>
  <c r="AC313" i="17"/>
  <c r="AC299" i="17"/>
  <c r="AC379" i="17"/>
  <c r="AC347" i="17"/>
  <c r="AC355" i="17"/>
  <c r="AC290" i="17"/>
  <c r="AC386" i="17"/>
  <c r="D9" i="21"/>
  <c r="I9" i="21" s="1"/>
  <c r="C57" i="9"/>
  <c r="G16" i="11"/>
  <c r="AD523" i="17"/>
  <c r="AD414" i="17"/>
  <c r="AC305" i="17"/>
  <c r="AC301" i="17"/>
  <c r="AD424" i="17"/>
  <c r="AD520" i="17"/>
  <c r="AD522" i="17"/>
  <c r="AD500" i="17"/>
  <c r="AD450" i="17"/>
  <c r="AD515" i="17"/>
  <c r="AD491" i="17"/>
  <c r="AD430" i="17"/>
  <c r="AD469" i="17"/>
  <c r="AD437" i="17"/>
  <c r="AD467" i="17"/>
  <c r="AD492" i="17"/>
  <c r="AD412" i="17"/>
  <c r="AD427" i="17"/>
  <c r="AD446" i="17"/>
  <c r="AD452" i="17"/>
  <c r="AD411" i="17"/>
  <c r="AC27" i="20"/>
  <c r="AF27" i="20" s="1"/>
  <c r="AC25" i="20"/>
  <c r="AF25" i="20" s="1"/>
  <c r="AC29" i="20"/>
  <c r="AC24" i="20"/>
  <c r="AF24" i="20" s="1"/>
  <c r="AC30" i="20"/>
  <c r="AC28" i="20"/>
  <c r="AF28" i="20" s="1"/>
  <c r="AC26" i="20"/>
  <c r="AC23" i="20"/>
  <c r="AF23" i="20" s="1"/>
  <c r="AC9" i="17"/>
  <c r="Y11" i="17"/>
  <c r="AA76" i="15"/>
  <c r="AB198" i="17"/>
  <c r="AE17" i="24"/>
  <c r="AD16" i="24"/>
  <c r="Z19" i="24"/>
  <c r="AC18" i="24"/>
  <c r="AC17" i="24"/>
  <c r="AC16" i="24"/>
  <c r="Y19" i="24"/>
  <c r="X19" i="24"/>
  <c r="AE18" i="24"/>
  <c r="AD18" i="24"/>
  <c r="AD17" i="24"/>
  <c r="AE16" i="24"/>
  <c r="AC348" i="17"/>
  <c r="E9" i="21"/>
  <c r="J9" i="21" s="1"/>
  <c r="D57" i="9"/>
  <c r="AD477" i="17"/>
  <c r="AB227" i="17"/>
  <c r="AB152" i="17"/>
  <c r="AF139" i="17" s="1"/>
  <c r="AB239" i="17"/>
  <c r="AB250" i="17"/>
  <c r="AE18" i="15"/>
  <c r="AA112" i="15"/>
  <c r="AA38" i="15"/>
  <c r="AC16" i="15" s="1"/>
  <c r="AB147" i="17"/>
  <c r="Z142" i="17" s="1"/>
  <c r="AB179" i="17"/>
  <c r="AA132" i="15"/>
  <c r="AB166" i="17"/>
  <c r="AB235" i="17"/>
  <c r="AB243" i="17"/>
  <c r="AB220" i="17"/>
  <c r="AB167" i="17"/>
  <c r="AA81" i="15"/>
  <c r="AB182" i="17"/>
  <c r="AB234" i="17"/>
  <c r="AB169" i="17"/>
  <c r="AB252" i="17"/>
  <c r="X19" i="15"/>
  <c r="AB255" i="17"/>
  <c r="AD496" i="17"/>
  <c r="AD482" i="17"/>
  <c r="AC310" i="17"/>
  <c r="AC292" i="17"/>
  <c r="X273" i="17" s="1"/>
  <c r="AC325" i="17"/>
  <c r="AC336" i="17"/>
  <c r="AC335" i="17"/>
  <c r="AC318" i="17"/>
  <c r="AC306" i="17"/>
  <c r="AC321" i="17"/>
  <c r="AC317" i="17"/>
  <c r="AC380" i="17"/>
  <c r="AC328" i="17"/>
  <c r="AC294" i="17"/>
  <c r="AC376" i="17"/>
  <c r="AC362" i="17"/>
  <c r="AC295" i="17"/>
  <c r="AC371" i="17"/>
  <c r="AC343" i="17"/>
  <c r="H8" i="21"/>
  <c r="G8" i="21"/>
  <c r="AC378" i="17"/>
  <c r="AD514" i="17"/>
  <c r="AC320" i="17"/>
  <c r="H10" i="2"/>
  <c r="H9" i="2"/>
  <c r="AD409" i="17"/>
  <c r="AD408" i="17"/>
  <c r="AD416" i="17"/>
  <c r="AD481" i="17"/>
  <c r="AD418" i="17"/>
  <c r="AD413" i="17"/>
  <c r="AD435" i="17"/>
  <c r="AD448" i="17"/>
  <c r="AD440" i="17"/>
  <c r="AD501" i="17"/>
  <c r="AD441" i="17"/>
  <c r="AD512" i="17"/>
  <c r="AD473" i="17"/>
  <c r="AD516" i="17"/>
  <c r="AD423" i="17"/>
  <c r="AD415" i="17"/>
  <c r="AD517" i="17"/>
  <c r="AC384" i="17"/>
  <c r="AC24" i="15" l="1"/>
  <c r="AC64" i="15"/>
  <c r="AC104" i="15"/>
  <c r="AC111" i="15"/>
  <c r="AC134" i="15"/>
  <c r="AC35" i="15"/>
  <c r="AC114" i="15"/>
  <c r="AC138" i="15"/>
  <c r="AC95" i="15"/>
  <c r="AC82" i="15"/>
  <c r="AC113" i="15"/>
  <c r="AC139" i="15"/>
  <c r="AC47" i="15"/>
  <c r="AC72" i="15"/>
  <c r="AC68" i="15"/>
  <c r="AC56" i="15"/>
  <c r="AC91" i="15"/>
  <c r="AC136" i="15"/>
  <c r="AC122" i="15"/>
  <c r="AC41" i="15"/>
  <c r="AC48" i="15"/>
  <c r="AC117" i="15"/>
  <c r="AC87" i="15"/>
  <c r="AC27" i="15"/>
  <c r="AC42" i="15"/>
  <c r="AC54" i="15"/>
  <c r="AC32" i="15"/>
  <c r="AC40" i="15"/>
  <c r="AC84" i="15"/>
  <c r="G27" i="5"/>
  <c r="H27" i="5" s="1"/>
  <c r="AD139" i="17"/>
  <c r="X142" i="17"/>
  <c r="D10" i="21"/>
  <c r="I10" i="21" s="1"/>
  <c r="C58" i="9"/>
  <c r="AD17" i="15"/>
  <c r="L9" i="2"/>
  <c r="I9" i="2"/>
  <c r="F9" i="21" s="1"/>
  <c r="AD16" i="15"/>
  <c r="Z19" i="15"/>
  <c r="AH270" i="17"/>
  <c r="AG272" i="17"/>
  <c r="AI271" i="17"/>
  <c r="AF271" i="17"/>
  <c r="AB273" i="17"/>
  <c r="AE16" i="15"/>
  <c r="AC8" i="17"/>
  <c r="AB8" i="17"/>
  <c r="AF26" i="20"/>
  <c r="AF29" i="20"/>
  <c r="F22" i="5"/>
  <c r="G22" i="5" s="1"/>
  <c r="H22" i="5" s="1"/>
  <c r="F24" i="5"/>
  <c r="G24" i="5" s="1"/>
  <c r="H24" i="5" s="1"/>
  <c r="F26" i="5"/>
  <c r="G26" i="5" s="1"/>
  <c r="H26" i="5" s="1"/>
  <c r="F28" i="5"/>
  <c r="G28" i="5" s="1"/>
  <c r="H28" i="5" s="1"/>
  <c r="F21" i="5"/>
  <c r="F23" i="5"/>
  <c r="G23" i="5" s="1"/>
  <c r="H23" i="5" s="1"/>
  <c r="F25" i="5"/>
  <c r="G25" i="5" s="1"/>
  <c r="H25" i="5" s="1"/>
  <c r="F27" i="5"/>
  <c r="F10" i="2"/>
  <c r="H9" i="21"/>
  <c r="G9" i="21"/>
  <c r="AG139" i="17"/>
  <c r="AG140" i="17"/>
  <c r="AE140" i="17"/>
  <c r="AF140" i="17"/>
  <c r="AF211" i="17" s="1"/>
  <c r="AC17" i="15"/>
  <c r="AC37" i="15" s="1"/>
  <c r="AC18" i="15"/>
  <c r="AC37" i="24"/>
  <c r="AC29" i="24"/>
  <c r="AF29" i="24" s="1"/>
  <c r="AC25" i="24"/>
  <c r="AC26" i="24"/>
  <c r="AC31" i="24"/>
  <c r="AC30" i="24"/>
  <c r="AF30" i="24" s="1"/>
  <c r="AC28" i="24"/>
  <c r="AC35" i="24"/>
  <c r="AC24" i="24"/>
  <c r="AC34" i="24"/>
  <c r="AF34" i="24" s="1"/>
  <c r="AC36" i="24"/>
  <c r="AC23" i="24"/>
  <c r="AC33" i="24"/>
  <c r="AC27" i="24"/>
  <c r="AF27" i="24" s="1"/>
  <c r="AC32" i="24"/>
  <c r="AD29" i="24"/>
  <c r="AD37" i="24"/>
  <c r="AD35" i="24"/>
  <c r="AD24" i="24"/>
  <c r="AD30" i="24"/>
  <c r="AD23" i="24"/>
  <c r="AD36" i="24"/>
  <c r="AD33" i="24"/>
  <c r="AD26" i="24"/>
  <c r="AD27" i="24"/>
  <c r="AD28" i="24"/>
  <c r="AD34" i="24"/>
  <c r="AD25" i="24"/>
  <c r="AD31" i="24"/>
  <c r="AD32" i="24"/>
  <c r="G17" i="11"/>
  <c r="AI270" i="17"/>
  <c r="AH272" i="17"/>
  <c r="AB10" i="17"/>
  <c r="AA142" i="17"/>
  <c r="AE139" i="17"/>
  <c r="AE141" i="17"/>
  <c r="AF141" i="17"/>
  <c r="C10" i="21"/>
  <c r="B58" i="9"/>
  <c r="C18" i="11" s="1"/>
  <c r="E10" i="21"/>
  <c r="J10" i="21" s="1"/>
  <c r="D58" i="9"/>
  <c r="A28" i="22"/>
  <c r="B10" i="21"/>
  <c r="E29" i="5"/>
  <c r="AE270" i="17"/>
  <c r="AH271" i="17"/>
  <c r="AE271" i="17"/>
  <c r="AG270" i="17"/>
  <c r="AG141" i="17"/>
  <c r="AA404" i="17"/>
  <c r="AI403" i="17"/>
  <c r="AK402" i="17"/>
  <c r="AG402" i="17"/>
  <c r="AI401" i="17"/>
  <c r="Z404" i="17"/>
  <c r="AH403" i="17"/>
  <c r="X404" i="17"/>
  <c r="AF403" i="17"/>
  <c r="AF402" i="17"/>
  <c r="AJ401" i="17"/>
  <c r="AC404" i="17"/>
  <c r="AK403" i="17"/>
  <c r="AJ402" i="17"/>
  <c r="AH401" i="17"/>
  <c r="AB404" i="17"/>
  <c r="AJ403" i="17"/>
  <c r="AI402" i="17"/>
  <c r="AG401" i="17"/>
  <c r="AF401" i="17"/>
  <c r="AH402" i="17"/>
  <c r="Y404" i="17"/>
  <c r="AK401" i="17"/>
  <c r="AG403" i="17"/>
  <c r="AG271" i="17"/>
  <c r="Z273" i="17"/>
  <c r="AE37" i="24"/>
  <c r="AE29" i="24"/>
  <c r="AE24" i="24"/>
  <c r="AE31" i="24"/>
  <c r="AE30" i="24"/>
  <c r="AE36" i="24"/>
  <c r="AE34" i="24"/>
  <c r="AE33" i="24"/>
  <c r="AE26" i="24"/>
  <c r="AE35" i="24"/>
  <c r="AE28" i="24"/>
  <c r="AE23" i="24"/>
  <c r="AE27" i="24"/>
  <c r="AE25" i="24"/>
  <c r="AE32" i="24"/>
  <c r="AC10" i="17"/>
  <c r="G10" i="2"/>
  <c r="AF272" i="17"/>
  <c r="Y273" i="17"/>
  <c r="AF270" i="17"/>
  <c r="AA273" i="17"/>
  <c r="Y19" i="15"/>
  <c r="AB9" i="17"/>
  <c r="AF30" i="20"/>
  <c r="AH18" i="20" s="1"/>
  <c r="AD18" i="15"/>
  <c r="AD140" i="17"/>
  <c r="AD141" i="17"/>
  <c r="Y142" i="17"/>
  <c r="B18" i="11"/>
  <c r="D18" i="11" s="1"/>
  <c r="E18" i="11" s="1"/>
  <c r="F18" i="11" s="1"/>
  <c r="F58" i="9"/>
  <c r="A11" i="21"/>
  <c r="B11" i="2"/>
  <c r="A59" i="9"/>
  <c r="A19" i="11" s="1"/>
  <c r="N11" i="2"/>
  <c r="E59" i="9" s="1"/>
  <c r="E11" i="2"/>
  <c r="D11" i="2"/>
  <c r="A12" i="2"/>
  <c r="C11" i="2"/>
  <c r="P11" i="2"/>
  <c r="AE17" i="15"/>
  <c r="AF37" i="15" l="1"/>
  <c r="D11" i="21"/>
  <c r="I11" i="21" s="1"/>
  <c r="C59" i="9"/>
  <c r="K11" i="2"/>
  <c r="AH16" i="20"/>
  <c r="AI16" i="20"/>
  <c r="AC19" i="20"/>
  <c r="AF151" i="17"/>
  <c r="AF217" i="17"/>
  <c r="AF236" i="17"/>
  <c r="AF209" i="17"/>
  <c r="AF213" i="17"/>
  <c r="AF180" i="17"/>
  <c r="AF194" i="17"/>
  <c r="AF242" i="17"/>
  <c r="AF136" i="15"/>
  <c r="AF95" i="15"/>
  <c r="AF111" i="15"/>
  <c r="E11" i="21"/>
  <c r="J11" i="21" s="1"/>
  <c r="D59" i="9"/>
  <c r="A29" i="22"/>
  <c r="B11" i="21"/>
  <c r="H11" i="2"/>
  <c r="AI422" i="17"/>
  <c r="AI517" i="17"/>
  <c r="AI411" i="17"/>
  <c r="AI518" i="17"/>
  <c r="AI453" i="17"/>
  <c r="AI413" i="17"/>
  <c r="AI419" i="17"/>
  <c r="AI444" i="17"/>
  <c r="AI423" i="17"/>
  <c r="AI437" i="17"/>
  <c r="AI446" i="17"/>
  <c r="AI440" i="17"/>
  <c r="AI469" i="17"/>
  <c r="AI427" i="17"/>
  <c r="AI457" i="17"/>
  <c r="AI495" i="17"/>
  <c r="AI408" i="17"/>
  <c r="AI434" i="17"/>
  <c r="AI443" i="17"/>
  <c r="AI455" i="17"/>
  <c r="AI465" i="17"/>
  <c r="AI492" i="17"/>
  <c r="AI428" i="17"/>
  <c r="AI409" i="17"/>
  <c r="AI477" i="17"/>
  <c r="AI470" i="17"/>
  <c r="AI467" i="17"/>
  <c r="AI505" i="17"/>
  <c r="AI452" i="17"/>
  <c r="AI433" i="17"/>
  <c r="AI418" i="17"/>
  <c r="AI463" i="17"/>
  <c r="AI478" i="17"/>
  <c r="AI496" i="17"/>
  <c r="AI481" i="17"/>
  <c r="AI500" i="17"/>
  <c r="AI522" i="17"/>
  <c r="AI510" i="17"/>
  <c r="AI412" i="17"/>
  <c r="AI521" i="17"/>
  <c r="AI448" i="17"/>
  <c r="AI430" i="17"/>
  <c r="AI429" i="17"/>
  <c r="AI435" i="17"/>
  <c r="AI501" i="17"/>
  <c r="AI410" i="17"/>
  <c r="AI491" i="17"/>
  <c r="AI462" i="17"/>
  <c r="AI415" i="17"/>
  <c r="AI515" i="17"/>
  <c r="AI503" i="17"/>
  <c r="AI414" i="17"/>
  <c r="AI425" i="17"/>
  <c r="AI450" i="17"/>
  <c r="AI483" i="17"/>
  <c r="AI468" i="17"/>
  <c r="AI471" i="17"/>
  <c r="AI498" i="17"/>
  <c r="AI432" i="17"/>
  <c r="AI514" i="17"/>
  <c r="AI424" i="17"/>
  <c r="AI484" i="17"/>
  <c r="AI499" i="17"/>
  <c r="AI504" i="17"/>
  <c r="AI482" i="17"/>
  <c r="AI488" i="17"/>
  <c r="AI508" i="17"/>
  <c r="AI421" i="17"/>
  <c r="AI512" i="17"/>
  <c r="AI523" i="17"/>
  <c r="AI466" i="17"/>
  <c r="AI431" i="17"/>
  <c r="AI520" i="17"/>
  <c r="AI507" i="17"/>
  <c r="AI441" i="17"/>
  <c r="AI479" i="17"/>
  <c r="AI449" i="17"/>
  <c r="AI461" i="17"/>
  <c r="AI486" i="17"/>
  <c r="AI438" i="17"/>
  <c r="AI456" i="17"/>
  <c r="AI475" i="17"/>
  <c r="AI439" i="17"/>
  <c r="AI480" i="17"/>
  <c r="AI519" i="17"/>
  <c r="AI473" i="17"/>
  <c r="AI494" i="17"/>
  <c r="AI474" i="17"/>
  <c r="AI524" i="17"/>
  <c r="AI447" i="17"/>
  <c r="AI487" i="17"/>
  <c r="AI485" i="17"/>
  <c r="AI458" i="17"/>
  <c r="AI460" i="17"/>
  <c r="AI489" i="17"/>
  <c r="AI417" i="17"/>
  <c r="AI506" i="17"/>
  <c r="AI445" i="17"/>
  <c r="AI497" i="17"/>
  <c r="AI442" i="17"/>
  <c r="AI502" i="17"/>
  <c r="AI516" i="17"/>
  <c r="AI490" i="17"/>
  <c r="AI416" i="17"/>
  <c r="AI436" i="17"/>
  <c r="AI511" i="17"/>
  <c r="AI451" i="17"/>
  <c r="AI476" i="17"/>
  <c r="AI472" i="17"/>
  <c r="AI459" i="17"/>
  <c r="AI464" i="17"/>
  <c r="AI493" i="17"/>
  <c r="AI420" i="17"/>
  <c r="AI454" i="17"/>
  <c r="AI426" i="17"/>
  <c r="AI513" i="17"/>
  <c r="AI509" i="17"/>
  <c r="AI18" i="20"/>
  <c r="AI17" i="20"/>
  <c r="AJ17" i="20"/>
  <c r="AF20" i="20"/>
  <c r="E41" i="5"/>
  <c r="E39" i="5"/>
  <c r="E37" i="5"/>
  <c r="E35" i="5"/>
  <c r="E38" i="5"/>
  <c r="E36" i="5"/>
  <c r="E34" i="5"/>
  <c r="E40" i="5"/>
  <c r="G10" i="21"/>
  <c r="H10" i="21"/>
  <c r="G11" i="2"/>
  <c r="AE255" i="17"/>
  <c r="AE160" i="17"/>
  <c r="AE250" i="17"/>
  <c r="AE226" i="17"/>
  <c r="AE166" i="17"/>
  <c r="AE211" i="17"/>
  <c r="AE162" i="17"/>
  <c r="AE229" i="17"/>
  <c r="AE262" i="17"/>
  <c r="AE254" i="17"/>
  <c r="AE180" i="17"/>
  <c r="AE154" i="17"/>
  <c r="AE216" i="17"/>
  <c r="AE239" i="17"/>
  <c r="AE234" i="17"/>
  <c r="AE210" i="17"/>
  <c r="AE172" i="17"/>
  <c r="AE205" i="17"/>
  <c r="AE224" i="17"/>
  <c r="AE192" i="17"/>
  <c r="AE186" i="17"/>
  <c r="AE247" i="17"/>
  <c r="AE223" i="17"/>
  <c r="AE237" i="17"/>
  <c r="AE257" i="17"/>
  <c r="AE183" i="17"/>
  <c r="AE167" i="17"/>
  <c r="AE225" i="17"/>
  <c r="AE177" i="17"/>
  <c r="AE182" i="17"/>
  <c r="AE219" i="17"/>
  <c r="AE218" i="17"/>
  <c r="AE244" i="17"/>
  <c r="AE251" i="17"/>
  <c r="AE199" i="17"/>
  <c r="AE152" i="17"/>
  <c r="AE249" i="17"/>
  <c r="AE171" i="17"/>
  <c r="AE220" i="17"/>
  <c r="AE209" i="17"/>
  <c r="AE198" i="17"/>
  <c r="AE169" i="17"/>
  <c r="AE170" i="17"/>
  <c r="AE246" i="17"/>
  <c r="AE253" i="17"/>
  <c r="AE158" i="17"/>
  <c r="AE149" i="17"/>
  <c r="AE184" i="17"/>
  <c r="AE215" i="17"/>
  <c r="AE200" i="17"/>
  <c r="AE245" i="17"/>
  <c r="AE196" i="17"/>
  <c r="AE206" i="17"/>
  <c r="AE248" i="17"/>
  <c r="AE147" i="17"/>
  <c r="AE193" i="17"/>
  <c r="AE157" i="17"/>
  <c r="AE227" i="17"/>
  <c r="AE155" i="17"/>
  <c r="AE148" i="17"/>
  <c r="AE190" i="17"/>
  <c r="AE242" i="17"/>
  <c r="AE175" i="17"/>
  <c r="AE238" i="17"/>
  <c r="AE181" i="17"/>
  <c r="AE252" i="17"/>
  <c r="AE179" i="17"/>
  <c r="AE187" i="17"/>
  <c r="AE231" i="17"/>
  <c r="AE233" i="17"/>
  <c r="AE164" i="17"/>
  <c r="AE146" i="17"/>
  <c r="AE173" i="17"/>
  <c r="AE197" i="17"/>
  <c r="AE240" i="17"/>
  <c r="AE259" i="17"/>
  <c r="AE176" i="17"/>
  <c r="AE236" i="17"/>
  <c r="AE261" i="17"/>
  <c r="AE256" i="17"/>
  <c r="AE221" i="17"/>
  <c r="AE241" i="17"/>
  <c r="AE156" i="17"/>
  <c r="AE195" i="17"/>
  <c r="AE174" i="17"/>
  <c r="AE168" i="17"/>
  <c r="AE188" i="17"/>
  <c r="AE161" i="17"/>
  <c r="AE214" i="17"/>
  <c r="AE243" i="17"/>
  <c r="AE213" i="17"/>
  <c r="AE151" i="17"/>
  <c r="AE153" i="17"/>
  <c r="AE208" i="17"/>
  <c r="AE150" i="17"/>
  <c r="AE232" i="17"/>
  <c r="AE260" i="17"/>
  <c r="AE201" i="17"/>
  <c r="AE185" i="17"/>
  <c r="AE217" i="17"/>
  <c r="AE191" i="17"/>
  <c r="AE165" i="17"/>
  <c r="AE194" i="17"/>
  <c r="AE222" i="17"/>
  <c r="AE159" i="17"/>
  <c r="AE258" i="17"/>
  <c r="AE202" i="17"/>
  <c r="AE212" i="17"/>
  <c r="AE163" i="17"/>
  <c r="AE228" i="17"/>
  <c r="AE203" i="17"/>
  <c r="AE235" i="17"/>
  <c r="AE230" i="17"/>
  <c r="AE178" i="17"/>
  <c r="AE204" i="17"/>
  <c r="AE207" i="17"/>
  <c r="AE189" i="17"/>
  <c r="AF33" i="24"/>
  <c r="AF24" i="24"/>
  <c r="AF31" i="24"/>
  <c r="AF37" i="24"/>
  <c r="AE132" i="15"/>
  <c r="AE37" i="15"/>
  <c r="AE27" i="15"/>
  <c r="AE98" i="15"/>
  <c r="AE49" i="15"/>
  <c r="AE43" i="15"/>
  <c r="AE24" i="15"/>
  <c r="AE64" i="15"/>
  <c r="AE131" i="15"/>
  <c r="AE76" i="15"/>
  <c r="AE112" i="15"/>
  <c r="AE33" i="15"/>
  <c r="AE66" i="15"/>
  <c r="AE65" i="15"/>
  <c r="AE107" i="15"/>
  <c r="AE84" i="15"/>
  <c r="AE111" i="15"/>
  <c r="AE89" i="15"/>
  <c r="AE134" i="15"/>
  <c r="AE53" i="15"/>
  <c r="AE63" i="15"/>
  <c r="AE128" i="15"/>
  <c r="AE105" i="15"/>
  <c r="AE116" i="15"/>
  <c r="AE122" i="15"/>
  <c r="AE126" i="15"/>
  <c r="AE61" i="15"/>
  <c r="AE92" i="15"/>
  <c r="AE123" i="15"/>
  <c r="AE30" i="15"/>
  <c r="AE60" i="15"/>
  <c r="AE81" i="15"/>
  <c r="AE108" i="15"/>
  <c r="AE38" i="15"/>
  <c r="AE95" i="15"/>
  <c r="AE104" i="15"/>
  <c r="AE45" i="15"/>
  <c r="AE127" i="15"/>
  <c r="AE80" i="15"/>
  <c r="AE97" i="15"/>
  <c r="AE124" i="15"/>
  <c r="AE58" i="15"/>
  <c r="AE59" i="15"/>
  <c r="AE75" i="15"/>
  <c r="AE137" i="15"/>
  <c r="AE42" i="15"/>
  <c r="AE110" i="15"/>
  <c r="AE47" i="15"/>
  <c r="AE93" i="15"/>
  <c r="AE28" i="15"/>
  <c r="AE85" i="15"/>
  <c r="AE55" i="15"/>
  <c r="AE31" i="15"/>
  <c r="AE35" i="15"/>
  <c r="AE72" i="15"/>
  <c r="AE46" i="15"/>
  <c r="AE23" i="15"/>
  <c r="AE135" i="15"/>
  <c r="AE39" i="15"/>
  <c r="AE70" i="15"/>
  <c r="AE67" i="15"/>
  <c r="AE86" i="15"/>
  <c r="AE56" i="15"/>
  <c r="AE83" i="15"/>
  <c r="AE78" i="15"/>
  <c r="AE50" i="15"/>
  <c r="AE36" i="15"/>
  <c r="AE133" i="15"/>
  <c r="AE113" i="15"/>
  <c r="AE129" i="15"/>
  <c r="AE44" i="15"/>
  <c r="AE77" i="15"/>
  <c r="AE62" i="15"/>
  <c r="AE29" i="15"/>
  <c r="AE57" i="15"/>
  <c r="AE68" i="15"/>
  <c r="AE114" i="15"/>
  <c r="AE120" i="15"/>
  <c r="AE94" i="15"/>
  <c r="AE106" i="15"/>
  <c r="AE138" i="15"/>
  <c r="AE100" i="15"/>
  <c r="AE91" i="15"/>
  <c r="AE139" i="15"/>
  <c r="AE26" i="15"/>
  <c r="AE34" i="15"/>
  <c r="AE48" i="15"/>
  <c r="AE117" i="15"/>
  <c r="AE54" i="15"/>
  <c r="AE51" i="15"/>
  <c r="AE115" i="15"/>
  <c r="AE74" i="15"/>
  <c r="AE32" i="15"/>
  <c r="AE82" i="15"/>
  <c r="AE90" i="15"/>
  <c r="AE103" i="15"/>
  <c r="AE87" i="15"/>
  <c r="AE52" i="15"/>
  <c r="AE125" i="15"/>
  <c r="AE130" i="15"/>
  <c r="AE99" i="15"/>
  <c r="AE73" i="15"/>
  <c r="AE71" i="15"/>
  <c r="AE109" i="15"/>
  <c r="AE118" i="15"/>
  <c r="AE79" i="15"/>
  <c r="AE136" i="15"/>
  <c r="AE41" i="15"/>
  <c r="AE25" i="15"/>
  <c r="AE88" i="15"/>
  <c r="AE102" i="15"/>
  <c r="AE101" i="15"/>
  <c r="AE40" i="15"/>
  <c r="AE69" i="15"/>
  <c r="AE119" i="15"/>
  <c r="AE121" i="15"/>
  <c r="AE96" i="15"/>
  <c r="AF168" i="17"/>
  <c r="AF203" i="17"/>
  <c r="AF237" i="17"/>
  <c r="AF229" i="17"/>
  <c r="AF185" i="17"/>
  <c r="AF177" i="17"/>
  <c r="AF174" i="17"/>
  <c r="AF244" i="17"/>
  <c r="AF159" i="17"/>
  <c r="AF222" i="17"/>
  <c r="AF205" i="17"/>
  <c r="AF158" i="17"/>
  <c r="AF246" i="17"/>
  <c r="AF175" i="17"/>
  <c r="AF198" i="17"/>
  <c r="AF216" i="17"/>
  <c r="AF193" i="17"/>
  <c r="AF162" i="17"/>
  <c r="AF256" i="17"/>
  <c r="AF252" i="17"/>
  <c r="AF157" i="17"/>
  <c r="AF262" i="17"/>
  <c r="AF202" i="17"/>
  <c r="AF167" i="17"/>
  <c r="AF149" i="17"/>
  <c r="AF223" i="17"/>
  <c r="AF220" i="17"/>
  <c r="AF248" i="17"/>
  <c r="AF160" i="17"/>
  <c r="AC79" i="15"/>
  <c r="AC102" i="15"/>
  <c r="AC43" i="15"/>
  <c r="AC73" i="15"/>
  <c r="AC103" i="15"/>
  <c r="AC121" i="15"/>
  <c r="AC96" i="15"/>
  <c r="AC94" i="15"/>
  <c r="AF94" i="15" s="1"/>
  <c r="AC88" i="15"/>
  <c r="AC77" i="15"/>
  <c r="AC57" i="15"/>
  <c r="AC107" i="15"/>
  <c r="AF107" i="15" s="1"/>
  <c r="AC100" i="15"/>
  <c r="AC98" i="15"/>
  <c r="AC39" i="15"/>
  <c r="AC31" i="15"/>
  <c r="AF31" i="15" s="1"/>
  <c r="AC110" i="15"/>
  <c r="AC44" i="15"/>
  <c r="AC97" i="15"/>
  <c r="AC127" i="15"/>
  <c r="AF127" i="15" s="1"/>
  <c r="AC83" i="15"/>
  <c r="AC106" i="15"/>
  <c r="AC67" i="15"/>
  <c r="AC28" i="15"/>
  <c r="AC75" i="15"/>
  <c r="AC124" i="15"/>
  <c r="AC38" i="15"/>
  <c r="AC60" i="15"/>
  <c r="AC49" i="15"/>
  <c r="AI386" i="17"/>
  <c r="AI291" i="17"/>
  <c r="AI333" i="17"/>
  <c r="AI343" i="17"/>
  <c r="AI353" i="17"/>
  <c r="AI311" i="17"/>
  <c r="AI338" i="17"/>
  <c r="AI305" i="17"/>
  <c r="AI378" i="17"/>
  <c r="AI300" i="17"/>
  <c r="AI295" i="17"/>
  <c r="AI347" i="17"/>
  <c r="AI389" i="17"/>
  <c r="AI370" i="17"/>
  <c r="AI339" i="17"/>
  <c r="AI327" i="17"/>
  <c r="AI358" i="17"/>
  <c r="AI379" i="17"/>
  <c r="AI332" i="17"/>
  <c r="AI376" i="17"/>
  <c r="AI374" i="17"/>
  <c r="AI315" i="17"/>
  <c r="AI307" i="17"/>
  <c r="AI299" i="17"/>
  <c r="AI360" i="17"/>
  <c r="AI282" i="17"/>
  <c r="AI392" i="17"/>
  <c r="AI281" i="17"/>
  <c r="AI330" i="17"/>
  <c r="AI316" i="17"/>
  <c r="AI328" i="17"/>
  <c r="AI280" i="17"/>
  <c r="AI331" i="17"/>
  <c r="AI365" i="17"/>
  <c r="AI380" i="17"/>
  <c r="AI290" i="17"/>
  <c r="AI334" i="17"/>
  <c r="AI387" i="17"/>
  <c r="AI371" i="17"/>
  <c r="AI340" i="17"/>
  <c r="AI344" i="17"/>
  <c r="AI369" i="17"/>
  <c r="AI301" i="17"/>
  <c r="AI312" i="17"/>
  <c r="AI357" i="17"/>
  <c r="AI356" i="17"/>
  <c r="AI345" i="17"/>
  <c r="AI362" i="17"/>
  <c r="AI286" i="17"/>
  <c r="AI293" i="17"/>
  <c r="AI308" i="17"/>
  <c r="AI294" i="17"/>
  <c r="AI319" i="17"/>
  <c r="AI284" i="17"/>
  <c r="AI354" i="17"/>
  <c r="AI366" i="17"/>
  <c r="AI298" i="17"/>
  <c r="AI348" i="17"/>
  <c r="AI336" i="17"/>
  <c r="AI329" i="17"/>
  <c r="AI283" i="17"/>
  <c r="AI326" i="17"/>
  <c r="AI323" i="17"/>
  <c r="AI321" i="17"/>
  <c r="AI278" i="17"/>
  <c r="AI372" i="17"/>
  <c r="AI292" i="17"/>
  <c r="AI289" i="17"/>
  <c r="AI375" i="17"/>
  <c r="AI349" i="17"/>
  <c r="AI306" i="17"/>
  <c r="AI346" i="17"/>
  <c r="AI318" i="17"/>
  <c r="AI352" i="17"/>
  <c r="AI377" i="17"/>
  <c r="AI297" i="17"/>
  <c r="AI341" i="17"/>
  <c r="AI373" i="17"/>
  <c r="AI320" i="17"/>
  <c r="AI287" i="17"/>
  <c r="AI324" i="17"/>
  <c r="AI385" i="17"/>
  <c r="AI351" i="17"/>
  <c r="AI337" i="17"/>
  <c r="AI350" i="17"/>
  <c r="AI296" i="17"/>
  <c r="AI364" i="17"/>
  <c r="AI303" i="17"/>
  <c r="AI368" i="17"/>
  <c r="AI383" i="17"/>
  <c r="AI335" i="17"/>
  <c r="AI363" i="17"/>
  <c r="AI393" i="17"/>
  <c r="AI359" i="17"/>
  <c r="AI309" i="17"/>
  <c r="AI279" i="17"/>
  <c r="AI381" i="17"/>
  <c r="AI361" i="17"/>
  <c r="AI288" i="17"/>
  <c r="AI367" i="17"/>
  <c r="AI390" i="17"/>
  <c r="AI382" i="17"/>
  <c r="AI277" i="17"/>
  <c r="AI313" i="17"/>
  <c r="AI304" i="17"/>
  <c r="AI325" i="17"/>
  <c r="AI314" i="17"/>
  <c r="AI302" i="17"/>
  <c r="AI355" i="17"/>
  <c r="AI384" i="17"/>
  <c r="AI322" i="17"/>
  <c r="AI285" i="17"/>
  <c r="AI388" i="17"/>
  <c r="AI317" i="17"/>
  <c r="AI391" i="17"/>
  <c r="AI310" i="17"/>
  <c r="AI342" i="17"/>
  <c r="AC29" i="17"/>
  <c r="AC124" i="17"/>
  <c r="AC130" i="17"/>
  <c r="AC17" i="17"/>
  <c r="AC77" i="17"/>
  <c r="AC47" i="17"/>
  <c r="AC26" i="17"/>
  <c r="AC105" i="17"/>
  <c r="AC32" i="17"/>
  <c r="AC102" i="17"/>
  <c r="AC121" i="17"/>
  <c r="AC15" i="17"/>
  <c r="AC30" i="17"/>
  <c r="AC72" i="17"/>
  <c r="AC25" i="17"/>
  <c r="AC57" i="17"/>
  <c r="AC84" i="17"/>
  <c r="AC52" i="17"/>
  <c r="AC88" i="17"/>
  <c r="AC61" i="17"/>
  <c r="AC63" i="17"/>
  <c r="AC66" i="17"/>
  <c r="AC101" i="17"/>
  <c r="AC46" i="17"/>
  <c r="AC71" i="17"/>
  <c r="AC103" i="17"/>
  <c r="AC20" i="17"/>
  <c r="AC118" i="17"/>
  <c r="AC80" i="17"/>
  <c r="AC109" i="17"/>
  <c r="AC108" i="17"/>
  <c r="AC19" i="17"/>
  <c r="AC62" i="17"/>
  <c r="AC23" i="17"/>
  <c r="AC129" i="17"/>
  <c r="AC34" i="17"/>
  <c r="AC60" i="17"/>
  <c r="AC117" i="17"/>
  <c r="AC113" i="17"/>
  <c r="AC87" i="17"/>
  <c r="AC37" i="17"/>
  <c r="AC22" i="17"/>
  <c r="AC79" i="17"/>
  <c r="AC67" i="17"/>
  <c r="AC128" i="17"/>
  <c r="AC111" i="17"/>
  <c r="AC28" i="17"/>
  <c r="AC18" i="17"/>
  <c r="AC48" i="17"/>
  <c r="AC69" i="17"/>
  <c r="AC31" i="17"/>
  <c r="AC119" i="17"/>
  <c r="AC41" i="17"/>
  <c r="AC40" i="17"/>
  <c r="AC89" i="17"/>
  <c r="AC126" i="17"/>
  <c r="AC27" i="17"/>
  <c r="AC98" i="17"/>
  <c r="AC110" i="17"/>
  <c r="AC114" i="17"/>
  <c r="AC16" i="17"/>
  <c r="AC73" i="17"/>
  <c r="AC64" i="17"/>
  <c r="AC43" i="17"/>
  <c r="AC53" i="17"/>
  <c r="AC86" i="17"/>
  <c r="AC122" i="17"/>
  <c r="AC123" i="17"/>
  <c r="AC75" i="17"/>
  <c r="AC95" i="17"/>
  <c r="AC42" i="17"/>
  <c r="AC91" i="17"/>
  <c r="AC44" i="17"/>
  <c r="AC120" i="17"/>
  <c r="AC35" i="17"/>
  <c r="AC94" i="17"/>
  <c r="AC92" i="17"/>
  <c r="AC104" i="17"/>
  <c r="AC51" i="17"/>
  <c r="AC100" i="17"/>
  <c r="AC116" i="17"/>
  <c r="AC39" i="17"/>
  <c r="AC115" i="17"/>
  <c r="AC81" i="17"/>
  <c r="AC125" i="17"/>
  <c r="AC49" i="17"/>
  <c r="AC83" i="17"/>
  <c r="AC112" i="17"/>
  <c r="AC99" i="17"/>
  <c r="AC70" i="17"/>
  <c r="AC56" i="17"/>
  <c r="AC58" i="17"/>
  <c r="AC50" i="17"/>
  <c r="AC85" i="17"/>
  <c r="AC127" i="17"/>
  <c r="AC38" i="17"/>
  <c r="AC33" i="17"/>
  <c r="AC106" i="17"/>
  <c r="AC76" i="17"/>
  <c r="AC36" i="17"/>
  <c r="AC131" i="17"/>
  <c r="AC59" i="17"/>
  <c r="AC74" i="17"/>
  <c r="AC55" i="17"/>
  <c r="AC82" i="17"/>
  <c r="AC65" i="17"/>
  <c r="AC93" i="17"/>
  <c r="AC107" i="17"/>
  <c r="AC90" i="17"/>
  <c r="AC97" i="17"/>
  <c r="AC68" i="17"/>
  <c r="AC78" i="17"/>
  <c r="AC21" i="17"/>
  <c r="AC24" i="17"/>
  <c r="AC54" i="17"/>
  <c r="AC96" i="17"/>
  <c r="AC45" i="17"/>
  <c r="AF152" i="17"/>
  <c r="AF258" i="17"/>
  <c r="AF161" i="17"/>
  <c r="AF261" i="17"/>
  <c r="AF155" i="17"/>
  <c r="AF215" i="17"/>
  <c r="AF212" i="17"/>
  <c r="AF166" i="17"/>
  <c r="AF230" i="17"/>
  <c r="AF56" i="15"/>
  <c r="C11" i="21"/>
  <c r="B59" i="9"/>
  <c r="C19" i="11" s="1"/>
  <c r="J11" i="2"/>
  <c r="F11" i="2"/>
  <c r="AH17" i="20"/>
  <c r="AJ18" i="20"/>
  <c r="AJ16" i="20"/>
  <c r="AF23" i="24"/>
  <c r="AF35" i="24"/>
  <c r="AF26" i="24"/>
  <c r="L10" i="2"/>
  <c r="I10" i="2"/>
  <c r="F10" i="21" s="1"/>
  <c r="F29" i="5"/>
  <c r="AH291" i="17"/>
  <c r="AH386" i="17"/>
  <c r="AH335" i="17"/>
  <c r="AH363" i="17"/>
  <c r="AH393" i="17"/>
  <c r="AH365" i="17"/>
  <c r="AH304" i="17"/>
  <c r="AH353" i="17"/>
  <c r="AH359" i="17"/>
  <c r="AH334" i="17"/>
  <c r="AH355" i="17"/>
  <c r="AH338" i="17"/>
  <c r="AH305" i="17"/>
  <c r="AH301" i="17"/>
  <c r="AH389" i="17"/>
  <c r="AH370" i="17"/>
  <c r="AH345" i="17"/>
  <c r="AH320" i="17"/>
  <c r="AH286" i="17"/>
  <c r="AH287" i="17"/>
  <c r="AH391" i="17"/>
  <c r="AH310" i="17"/>
  <c r="AH314" i="17"/>
  <c r="AH366" i="17"/>
  <c r="AH279" i="17"/>
  <c r="AH342" i="17"/>
  <c r="AH377" i="17"/>
  <c r="AH343" i="17"/>
  <c r="AH290" i="17"/>
  <c r="AH311" i="17"/>
  <c r="AH300" i="17"/>
  <c r="AH369" i="17"/>
  <c r="AH295" i="17"/>
  <c r="AH347" i="17"/>
  <c r="AH357" i="17"/>
  <c r="AH339" i="17"/>
  <c r="AH327" i="17"/>
  <c r="AH358" i="17"/>
  <c r="AH379" i="17"/>
  <c r="AH332" i="17"/>
  <c r="AH376" i="17"/>
  <c r="AH374" i="17"/>
  <c r="AH315" i="17"/>
  <c r="AH293" i="17"/>
  <c r="AH349" i="17"/>
  <c r="AH307" i="17"/>
  <c r="AH299" i="17"/>
  <c r="AH360" i="17"/>
  <c r="AH282" i="17"/>
  <c r="AH392" i="17"/>
  <c r="AH318" i="17"/>
  <c r="AH354" i="17"/>
  <c r="AH330" i="17"/>
  <c r="AH298" i="17"/>
  <c r="AH328" i="17"/>
  <c r="AH302" i="17"/>
  <c r="AH313" i="17"/>
  <c r="AH280" i="17"/>
  <c r="AH331" i="17"/>
  <c r="AH380" i="17"/>
  <c r="AH387" i="17"/>
  <c r="AH371" i="17"/>
  <c r="AH340" i="17"/>
  <c r="AH329" i="17"/>
  <c r="AH317" i="17"/>
  <c r="AH378" i="17"/>
  <c r="AH344" i="17"/>
  <c r="AH312" i="17"/>
  <c r="AH356" i="17"/>
  <c r="AH321" i="17"/>
  <c r="AH362" i="17"/>
  <c r="AH289" i="17"/>
  <c r="AH308" i="17"/>
  <c r="AH294" i="17"/>
  <c r="AH306" i="17"/>
  <c r="AH319" i="17"/>
  <c r="AH346" i="17"/>
  <c r="AH284" i="17"/>
  <c r="AH281" i="17"/>
  <c r="AH297" i="17"/>
  <c r="AH309" i="17"/>
  <c r="AH292" i="17"/>
  <c r="AH316" i="17"/>
  <c r="AH381" i="17"/>
  <c r="AH385" i="17"/>
  <c r="AH303" i="17"/>
  <c r="AH337" i="17"/>
  <c r="AH368" i="17"/>
  <c r="AH383" i="17"/>
  <c r="AH382" i="17"/>
  <c r="AH384" i="17"/>
  <c r="AH350" i="17"/>
  <c r="AH388" i="17"/>
  <c r="AH372" i="17"/>
  <c r="AH324" i="17"/>
  <c r="AH351" i="17"/>
  <c r="AH285" i="17"/>
  <c r="AH296" i="17"/>
  <c r="AH364" i="17"/>
  <c r="AH277" i="17"/>
  <c r="AH348" i="17"/>
  <c r="AH373" i="17"/>
  <c r="AH352" i="17"/>
  <c r="AH333" i="17"/>
  <c r="AH336" i="17"/>
  <c r="AH283" i="17"/>
  <c r="AH325" i="17"/>
  <c r="AH361" i="17"/>
  <c r="AH322" i="17"/>
  <c r="AH288" i="17"/>
  <c r="AH367" i="17"/>
  <c r="AH390" i="17"/>
  <c r="AH341" i="17"/>
  <c r="AH326" i="17"/>
  <c r="AH323" i="17"/>
  <c r="AH278" i="17"/>
  <c r="AH375" i="17"/>
  <c r="AD160" i="17"/>
  <c r="AD255" i="17"/>
  <c r="AH255" i="17" s="1"/>
  <c r="AD167" i="17"/>
  <c r="AD211" i="17"/>
  <c r="AD225" i="17"/>
  <c r="AD206" i="17"/>
  <c r="AH206" i="17" s="1"/>
  <c r="AD262" i="17"/>
  <c r="AD199" i="17"/>
  <c r="AD180" i="17"/>
  <c r="AD216" i="17"/>
  <c r="AD249" i="17"/>
  <c r="AD190" i="17"/>
  <c r="AD172" i="17"/>
  <c r="AD224" i="17"/>
  <c r="AD192" i="17"/>
  <c r="AD242" i="17"/>
  <c r="AD238" i="17"/>
  <c r="AD253" i="17"/>
  <c r="AH253" i="17" s="1"/>
  <c r="AD146" i="17"/>
  <c r="AD149" i="17"/>
  <c r="AD215" i="17"/>
  <c r="AD166" i="17"/>
  <c r="AD245" i="17"/>
  <c r="AD182" i="17"/>
  <c r="AD202" i="17"/>
  <c r="AD219" i="17"/>
  <c r="AD244" i="17"/>
  <c r="AD251" i="17"/>
  <c r="AD193" i="17"/>
  <c r="AD157" i="17"/>
  <c r="AH157" i="17" s="1"/>
  <c r="AD152" i="17"/>
  <c r="AD171" i="17"/>
  <c r="AD220" i="17"/>
  <c r="AD198" i="17"/>
  <c r="AH198" i="17" s="1"/>
  <c r="AD175" i="17"/>
  <c r="AD169" i="17"/>
  <c r="AD181" i="17"/>
  <c r="AD194" i="17"/>
  <c r="AH194" i="17" s="1"/>
  <c r="AD246" i="17"/>
  <c r="AD231" i="17"/>
  <c r="AD173" i="17"/>
  <c r="AD197" i="17"/>
  <c r="AH197" i="17" s="1"/>
  <c r="AD184" i="17"/>
  <c r="AD200" i="17"/>
  <c r="AD185" i="17"/>
  <c r="AD250" i="17"/>
  <c r="AH250" i="17" s="1"/>
  <c r="AD226" i="17"/>
  <c r="AD162" i="17"/>
  <c r="AD217" i="17"/>
  <c r="AD196" i="17"/>
  <c r="AH196" i="17" s="1"/>
  <c r="AD191" i="17"/>
  <c r="AD177" i="17"/>
  <c r="AD165" i="17"/>
  <c r="AD248" i="17"/>
  <c r="AD147" i="17"/>
  <c r="AD254" i="17"/>
  <c r="AD154" i="17"/>
  <c r="AD227" i="17"/>
  <c r="AD155" i="17"/>
  <c r="AD148" i="17"/>
  <c r="AD234" i="17"/>
  <c r="AD210" i="17"/>
  <c r="AH210" i="17" s="1"/>
  <c r="AD209" i="17"/>
  <c r="AD186" i="17"/>
  <c r="AD213" i="17"/>
  <c r="AD252" i="17"/>
  <c r="AH252" i="17" s="1"/>
  <c r="AD179" i="17"/>
  <c r="AD261" i="17"/>
  <c r="AD187" i="17"/>
  <c r="AD233" i="17"/>
  <c r="AH233" i="17" s="1"/>
  <c r="AD164" i="17"/>
  <c r="AD151" i="17"/>
  <c r="AD240" i="17"/>
  <c r="AD235" i="17"/>
  <c r="AD230" i="17"/>
  <c r="AD158" i="17"/>
  <c r="AD153" i="17"/>
  <c r="AD183" i="17"/>
  <c r="AD156" i="17"/>
  <c r="AD195" i="17"/>
  <c r="AD168" i="17"/>
  <c r="AD188" i="17"/>
  <c r="AD256" i="17"/>
  <c r="AD204" i="17"/>
  <c r="AD161" i="17"/>
  <c r="AD218" i="17"/>
  <c r="AD259" i="17"/>
  <c r="AD229" i="17"/>
  <c r="AD212" i="17"/>
  <c r="AD170" i="17"/>
  <c r="AD223" i="17"/>
  <c r="AD228" i="17"/>
  <c r="AD237" i="17"/>
  <c r="AD257" i="17"/>
  <c r="AH257" i="17" s="1"/>
  <c r="AD222" i="17"/>
  <c r="AD178" i="17"/>
  <c r="AD150" i="17"/>
  <c r="AD232" i="17"/>
  <c r="AH232" i="17" s="1"/>
  <c r="AD241" i="17"/>
  <c r="AD260" i="17"/>
  <c r="AD201" i="17"/>
  <c r="AD258" i="17"/>
  <c r="AD205" i="17"/>
  <c r="AD236" i="17"/>
  <c r="AD163" i="17"/>
  <c r="AD214" i="17"/>
  <c r="AD239" i="17"/>
  <c r="AD243" i="17"/>
  <c r="AD247" i="17"/>
  <c r="AD208" i="17"/>
  <c r="AH208" i="17" s="1"/>
  <c r="AD159" i="17"/>
  <c r="AD203" i="17"/>
  <c r="AD207" i="17"/>
  <c r="AD189" i="17"/>
  <c r="AH189" i="17" s="1"/>
  <c r="AD174" i="17"/>
  <c r="AD176" i="17"/>
  <c r="AD221" i="17"/>
  <c r="AF188" i="17"/>
  <c r="AF260" i="17"/>
  <c r="AF150" i="17"/>
  <c r="AF170" i="17"/>
  <c r="AF218" i="17"/>
  <c r="AF221" i="17"/>
  <c r="AF206" i="17"/>
  <c r="AF178" i="17"/>
  <c r="AF259" i="17"/>
  <c r="AF204" i="17"/>
  <c r="AF164" i="17"/>
  <c r="AF148" i="17"/>
  <c r="AF231" i="17"/>
  <c r="AF179" i="17"/>
  <c r="AF186" i="17"/>
  <c r="AF210" i="17"/>
  <c r="AF227" i="17"/>
  <c r="AF147" i="17"/>
  <c r="AF226" i="17"/>
  <c r="AF197" i="17"/>
  <c r="AF181" i="17"/>
  <c r="AF199" i="17"/>
  <c r="AF251" i="17"/>
  <c r="AF225" i="17"/>
  <c r="AF183" i="17"/>
  <c r="AF146" i="17"/>
  <c r="AF253" i="17"/>
  <c r="AF172" i="17"/>
  <c r="AF214" i="17"/>
  <c r="AF255" i="17"/>
  <c r="AC131" i="15"/>
  <c r="AC99" i="15"/>
  <c r="AC115" i="15"/>
  <c r="AF115" i="15" s="1"/>
  <c r="AC116" i="15"/>
  <c r="AC58" i="15"/>
  <c r="AC101" i="15"/>
  <c r="AC112" i="15"/>
  <c r="AC125" i="15"/>
  <c r="AC25" i="15"/>
  <c r="AC76" i="15"/>
  <c r="AC85" i="15"/>
  <c r="AF85" i="15" s="1"/>
  <c r="AC45" i="15"/>
  <c r="AC109" i="15"/>
  <c r="AC120" i="15"/>
  <c r="AC135" i="15"/>
  <c r="AF135" i="15" s="1"/>
  <c r="AC55" i="15"/>
  <c r="AC53" i="15"/>
  <c r="AC129" i="15"/>
  <c r="AC133" i="15"/>
  <c r="AF133" i="15" s="1"/>
  <c r="AC36" i="15"/>
  <c r="AC81" i="15"/>
  <c r="AC86" i="15"/>
  <c r="AC70" i="15"/>
  <c r="AC63" i="15"/>
  <c r="AC59" i="15"/>
  <c r="AC50" i="15"/>
  <c r="AC108" i="15"/>
  <c r="AF108" i="15" s="1"/>
  <c r="AC30" i="15"/>
  <c r="AC132" i="15"/>
  <c r="AF386" i="17"/>
  <c r="AF291" i="17"/>
  <c r="AF331" i="17"/>
  <c r="AF304" i="17"/>
  <c r="AF380" i="17"/>
  <c r="AF290" i="17"/>
  <c r="AF334" i="17"/>
  <c r="AF387" i="17"/>
  <c r="AF371" i="17"/>
  <c r="AF369" i="17"/>
  <c r="AF357" i="17"/>
  <c r="AF372" i="17"/>
  <c r="AF362" i="17"/>
  <c r="AF292" i="17"/>
  <c r="AF320" i="17"/>
  <c r="AF332" i="17"/>
  <c r="AF286" i="17"/>
  <c r="AF376" i="17"/>
  <c r="AF293" i="17"/>
  <c r="AF349" i="17"/>
  <c r="AF294" i="17"/>
  <c r="AF319" i="17"/>
  <c r="AF360" i="17"/>
  <c r="AF354" i="17"/>
  <c r="AF366" i="17"/>
  <c r="AF298" i="17"/>
  <c r="AF328" i="17"/>
  <c r="AF313" i="17"/>
  <c r="AF280" i="17"/>
  <c r="AF329" i="17"/>
  <c r="AF283" i="17"/>
  <c r="AF326" i="17"/>
  <c r="AF323" i="17"/>
  <c r="AF317" i="17"/>
  <c r="AF344" i="17"/>
  <c r="AF300" i="17"/>
  <c r="AF312" i="17"/>
  <c r="AF321" i="17"/>
  <c r="AF278" i="17"/>
  <c r="AF289" i="17"/>
  <c r="AF375" i="17"/>
  <c r="AF306" i="17"/>
  <c r="AF346" i="17"/>
  <c r="AF392" i="17"/>
  <c r="AF318" i="17"/>
  <c r="AF281" i="17"/>
  <c r="AF297" i="17"/>
  <c r="AF348" i="17"/>
  <c r="AF335" i="17"/>
  <c r="AF363" i="17"/>
  <c r="AF302" i="17"/>
  <c r="AF333" i="17"/>
  <c r="AF393" i="17"/>
  <c r="AF341" i="17"/>
  <c r="AF359" i="17"/>
  <c r="AF355" i="17"/>
  <c r="AF373" i="17"/>
  <c r="AF325" i="17"/>
  <c r="AF309" i="17"/>
  <c r="AF287" i="17"/>
  <c r="AF391" i="17"/>
  <c r="AF310" i="17"/>
  <c r="AF284" i="17"/>
  <c r="AF314" i="17"/>
  <c r="AF279" i="17"/>
  <c r="AF342" i="17"/>
  <c r="AF343" i="17"/>
  <c r="AF305" i="17"/>
  <c r="AF378" i="17"/>
  <c r="AF295" i="17"/>
  <c r="AF301" i="17"/>
  <c r="AF356" i="17"/>
  <c r="AF345" i="17"/>
  <c r="AF327" i="17"/>
  <c r="AF374" i="17"/>
  <c r="AF315" i="17"/>
  <c r="AF308" i="17"/>
  <c r="AF307" i="17"/>
  <c r="AF299" i="17"/>
  <c r="AF368" i="17"/>
  <c r="AF285" i="17"/>
  <c r="AF388" i="17"/>
  <c r="AF367" i="17"/>
  <c r="AF296" i="17"/>
  <c r="AF390" i="17"/>
  <c r="AF364" i="17"/>
  <c r="AF382" i="17"/>
  <c r="AF277" i="17"/>
  <c r="AF330" i="17"/>
  <c r="AF316" i="17"/>
  <c r="AF384" i="17"/>
  <c r="AF385" i="17"/>
  <c r="AF351" i="17"/>
  <c r="AF337" i="17"/>
  <c r="AF350" i="17"/>
  <c r="AF336" i="17"/>
  <c r="AF347" i="17"/>
  <c r="AF282" i="17"/>
  <c r="AF361" i="17"/>
  <c r="AF322" i="17"/>
  <c r="AF383" i="17"/>
  <c r="AF365" i="17"/>
  <c r="AF353" i="17"/>
  <c r="AF370" i="17"/>
  <c r="AF358" i="17"/>
  <c r="AF379" i="17"/>
  <c r="AF352" i="17"/>
  <c r="AF381" i="17"/>
  <c r="AF311" i="17"/>
  <c r="AF340" i="17"/>
  <c r="AF338" i="17"/>
  <c r="AF389" i="17"/>
  <c r="AF339" i="17"/>
  <c r="AF377" i="17"/>
  <c r="AF324" i="17"/>
  <c r="AF303" i="17"/>
  <c r="AF288" i="17"/>
  <c r="AG386" i="17"/>
  <c r="AG291" i="17"/>
  <c r="AG297" i="17"/>
  <c r="AG348" i="17"/>
  <c r="AG302" i="17"/>
  <c r="AG333" i="17"/>
  <c r="AG341" i="17"/>
  <c r="AG336" i="17"/>
  <c r="AG387" i="17"/>
  <c r="AG371" i="17"/>
  <c r="AG283" i="17"/>
  <c r="AG373" i="17"/>
  <c r="AG325" i="17"/>
  <c r="AG309" i="17"/>
  <c r="AG372" i="17"/>
  <c r="AG292" i="17"/>
  <c r="AG375" i="17"/>
  <c r="AG315" i="17"/>
  <c r="AG299" i="17"/>
  <c r="AG310" i="17"/>
  <c r="AG314" i="17"/>
  <c r="AG352" i="17"/>
  <c r="AG342" i="17"/>
  <c r="AG365" i="17"/>
  <c r="AG304" i="17"/>
  <c r="AG353" i="17"/>
  <c r="AG359" i="17"/>
  <c r="AG338" i="17"/>
  <c r="AG323" i="17"/>
  <c r="AG305" i="17"/>
  <c r="AG378" i="17"/>
  <c r="AG301" i="17"/>
  <c r="AG389" i="17"/>
  <c r="AG370" i="17"/>
  <c r="AG345" i="17"/>
  <c r="AG320" i="17"/>
  <c r="AG358" i="17"/>
  <c r="AG379" i="17"/>
  <c r="AG374" i="17"/>
  <c r="AG391" i="17"/>
  <c r="AG319" i="17"/>
  <c r="AG282" i="17"/>
  <c r="AG330" i="17"/>
  <c r="AG279" i="17"/>
  <c r="AG377" i="17"/>
  <c r="AG393" i="17"/>
  <c r="AG343" i="17"/>
  <c r="AG290" i="17"/>
  <c r="AG334" i="17"/>
  <c r="AG311" i="17"/>
  <c r="AG355" i="17"/>
  <c r="AG300" i="17"/>
  <c r="AG369" i="17"/>
  <c r="AG295" i="17"/>
  <c r="AG357" i="17"/>
  <c r="AG327" i="17"/>
  <c r="AG362" i="17"/>
  <c r="AG332" i="17"/>
  <c r="AG286" i="17"/>
  <c r="AG376" i="17"/>
  <c r="AG293" i="17"/>
  <c r="AG349" i="17"/>
  <c r="AG294" i="17"/>
  <c r="AG360" i="17"/>
  <c r="AG354" i="17"/>
  <c r="AG366" i="17"/>
  <c r="AG298" i="17"/>
  <c r="AG335" i="17"/>
  <c r="AG340" i="17"/>
  <c r="AG317" i="17"/>
  <c r="AG312" i="17"/>
  <c r="AG287" i="17"/>
  <c r="AG318" i="17"/>
  <c r="AG281" i="17"/>
  <c r="AG384" i="17"/>
  <c r="AG351" i="17"/>
  <c r="AG388" i="17"/>
  <c r="AG306" i="17"/>
  <c r="AG346" i="17"/>
  <c r="AG288" i="17"/>
  <c r="AG363" i="17"/>
  <c r="AG280" i="17"/>
  <c r="AG326" i="17"/>
  <c r="AG278" i="17"/>
  <c r="AG339" i="17"/>
  <c r="AG316" i="17"/>
  <c r="AG381" i="17"/>
  <c r="AG385" i="17"/>
  <c r="AG337" i="17"/>
  <c r="AG368" i="17"/>
  <c r="AG350" i="17"/>
  <c r="AG367" i="17"/>
  <c r="AG277" i="17"/>
  <c r="AG313" i="17"/>
  <c r="AG380" i="17"/>
  <c r="AG329" i="17"/>
  <c r="AG307" i="17"/>
  <c r="AG392" i="17"/>
  <c r="AG303" i="17"/>
  <c r="AG322" i="17"/>
  <c r="AG383" i="17"/>
  <c r="AG328" i="17"/>
  <c r="AG331" i="17"/>
  <c r="AG344" i="17"/>
  <c r="AG347" i="17"/>
  <c r="AG356" i="17"/>
  <c r="AG321" i="17"/>
  <c r="AG289" i="17"/>
  <c r="AG308" i="17"/>
  <c r="AG284" i="17"/>
  <c r="AG324" i="17"/>
  <c r="AG285" i="17"/>
  <c r="AG296" i="17"/>
  <c r="AG390" i="17"/>
  <c r="AG364" i="17"/>
  <c r="AG382" i="17"/>
  <c r="AG361" i="17"/>
  <c r="AF163" i="17"/>
  <c r="AF241" i="17"/>
  <c r="AF190" i="17"/>
  <c r="AF232" i="17"/>
  <c r="AF191" i="17"/>
  <c r="AF224" i="17"/>
  <c r="AF182" i="17"/>
  <c r="AF249" i="17"/>
  <c r="AF219" i="17"/>
  <c r="AF240" i="17"/>
  <c r="AF228" i="17"/>
  <c r="AF200" i="17"/>
  <c r="AF40" i="15"/>
  <c r="AF91" i="15"/>
  <c r="AF138" i="15"/>
  <c r="B19" i="11"/>
  <c r="D19" i="11" s="1"/>
  <c r="E19" i="11" s="1"/>
  <c r="F19" i="11" s="1"/>
  <c r="F59" i="9"/>
  <c r="AF517" i="17"/>
  <c r="AF422" i="17"/>
  <c r="AF429" i="17"/>
  <c r="AF435" i="17"/>
  <c r="AF501" i="17"/>
  <c r="AF410" i="17"/>
  <c r="AF491" i="17"/>
  <c r="AF462" i="17"/>
  <c r="AF515" i="17"/>
  <c r="AF503" i="17"/>
  <c r="AF418" i="17"/>
  <c r="AF414" i="17"/>
  <c r="AF425" i="17"/>
  <c r="AF450" i="17"/>
  <c r="AF483" i="17"/>
  <c r="AL483" i="17" s="1"/>
  <c r="AF468" i="17"/>
  <c r="AF471" i="17"/>
  <c r="AF498" i="17"/>
  <c r="AF432" i="17"/>
  <c r="AF514" i="17"/>
  <c r="AF424" i="17"/>
  <c r="AF484" i="17"/>
  <c r="AF499" i="17"/>
  <c r="AF504" i="17"/>
  <c r="AF434" i="17"/>
  <c r="AF488" i="17"/>
  <c r="AF508" i="17"/>
  <c r="AF512" i="17"/>
  <c r="AF409" i="17"/>
  <c r="AF523" i="17"/>
  <c r="AF466" i="17"/>
  <c r="AF433" i="17"/>
  <c r="AF481" i="17"/>
  <c r="AF431" i="17"/>
  <c r="AF513" i="17"/>
  <c r="AF516" i="17"/>
  <c r="AF490" i="17"/>
  <c r="AF416" i="17"/>
  <c r="AF519" i="17"/>
  <c r="AL519" i="17" s="1"/>
  <c r="AF436" i="17"/>
  <c r="AF509" i="17"/>
  <c r="AF520" i="17"/>
  <c r="AF473" i="17"/>
  <c r="AL473" i="17" s="1"/>
  <c r="AF511" i="17"/>
  <c r="AF494" i="17"/>
  <c r="AF482" i="17"/>
  <c r="AF451" i="17"/>
  <c r="AF475" i="17"/>
  <c r="AF474" i="17"/>
  <c r="AF421" i="17"/>
  <c r="AF476" i="17"/>
  <c r="AL476" i="17" s="1"/>
  <c r="AF524" i="17"/>
  <c r="AF507" i="17"/>
  <c r="AF441" i="17"/>
  <c r="AF411" i="17"/>
  <c r="AL411" i="17" s="1"/>
  <c r="AF470" i="17"/>
  <c r="AF415" i="17"/>
  <c r="AF419" i="17"/>
  <c r="AF444" i="17"/>
  <c r="AF423" i="17"/>
  <c r="AF446" i="17"/>
  <c r="AF496" i="17"/>
  <c r="AF440" i="17"/>
  <c r="AF427" i="17"/>
  <c r="AF457" i="17"/>
  <c r="AF495" i="17"/>
  <c r="AF408" i="17"/>
  <c r="AF443" i="17"/>
  <c r="AF455" i="17"/>
  <c r="AF465" i="17"/>
  <c r="AF492" i="17"/>
  <c r="AF428" i="17"/>
  <c r="AF477" i="17"/>
  <c r="AF413" i="17"/>
  <c r="AF452" i="17"/>
  <c r="AF445" i="17"/>
  <c r="AF472" i="17"/>
  <c r="AF459" i="17"/>
  <c r="AF485" i="17"/>
  <c r="AF464" i="17"/>
  <c r="AF493" i="17"/>
  <c r="AF420" i="17"/>
  <c r="AF426" i="17"/>
  <c r="AL426" i="17" s="1"/>
  <c r="AF506" i="17"/>
  <c r="AF417" i="17"/>
  <c r="AF447" i="17"/>
  <c r="AF458" i="17"/>
  <c r="AF489" i="17"/>
  <c r="AF467" i="17"/>
  <c r="AF518" i="17"/>
  <c r="AF453" i="17"/>
  <c r="AF463" i="17"/>
  <c r="AF478" i="17"/>
  <c r="AF500" i="17"/>
  <c r="AF522" i="17"/>
  <c r="AF448" i="17"/>
  <c r="AF430" i="17"/>
  <c r="AF497" i="17"/>
  <c r="AF442" i="17"/>
  <c r="AL442" i="17" s="1"/>
  <c r="AF439" i="17"/>
  <c r="AF486" i="17"/>
  <c r="AF480" i="17"/>
  <c r="AF438" i="17"/>
  <c r="AL438" i="17" s="1"/>
  <c r="AF456" i="17"/>
  <c r="AF487" i="17"/>
  <c r="AF502" i="17"/>
  <c r="AF460" i="17"/>
  <c r="AL460" i="17" s="1"/>
  <c r="AF454" i="17"/>
  <c r="AF437" i="17"/>
  <c r="AF469" i="17"/>
  <c r="AF510" i="17"/>
  <c r="AF479" i="17"/>
  <c r="AF461" i="17"/>
  <c r="AF505" i="17"/>
  <c r="AF412" i="17"/>
  <c r="AF521" i="17"/>
  <c r="AF449" i="17"/>
  <c r="A12" i="21"/>
  <c r="P12" i="2"/>
  <c r="C12" i="2"/>
  <c r="B12" i="2"/>
  <c r="E12" i="2"/>
  <c r="A60" i="9"/>
  <c r="A20" i="11" s="1"/>
  <c r="N12" i="2"/>
  <c r="E60" i="9" s="1"/>
  <c r="A13" i="2"/>
  <c r="D12" i="2"/>
  <c r="AK517" i="17"/>
  <c r="AK422" i="17"/>
  <c r="AK429" i="17"/>
  <c r="AK501" i="17"/>
  <c r="AK523" i="17"/>
  <c r="AK466" i="17"/>
  <c r="AK452" i="17"/>
  <c r="AK444" i="17"/>
  <c r="AK414" i="17"/>
  <c r="AK425" i="17"/>
  <c r="AK496" i="17"/>
  <c r="AK498" i="17"/>
  <c r="AK431" i="17"/>
  <c r="AK514" i="17"/>
  <c r="AK513" i="17"/>
  <c r="AK490" i="17"/>
  <c r="AK519" i="17"/>
  <c r="AK408" i="17"/>
  <c r="AK511" i="17"/>
  <c r="AK494" i="17"/>
  <c r="AK482" i="17"/>
  <c r="AK451" i="17"/>
  <c r="AK475" i="17"/>
  <c r="AK474" i="17"/>
  <c r="AK421" i="17"/>
  <c r="AK492" i="17"/>
  <c r="AK428" i="17"/>
  <c r="AK507" i="17"/>
  <c r="AK447" i="17"/>
  <c r="AK411" i="17"/>
  <c r="AK470" i="17"/>
  <c r="AK410" i="17"/>
  <c r="AK413" i="17"/>
  <c r="AK415" i="17"/>
  <c r="AK419" i="17"/>
  <c r="AK423" i="17"/>
  <c r="AK446" i="17"/>
  <c r="AK468" i="17"/>
  <c r="AK484" i="17"/>
  <c r="AK416" i="17"/>
  <c r="AK427" i="17"/>
  <c r="AK509" i="17"/>
  <c r="AK495" i="17"/>
  <c r="AK473" i="17"/>
  <c r="AK448" i="17"/>
  <c r="AK443" i="17"/>
  <c r="AK508" i="17"/>
  <c r="AK455" i="17"/>
  <c r="AK441" i="17"/>
  <c r="AK467" i="17"/>
  <c r="AK518" i="17"/>
  <c r="AK453" i="17"/>
  <c r="AK505" i="17"/>
  <c r="AK437" i="17"/>
  <c r="AK463" i="17"/>
  <c r="AK478" i="17"/>
  <c r="AK432" i="17"/>
  <c r="AK424" i="17"/>
  <c r="AK469" i="17"/>
  <c r="AK457" i="17"/>
  <c r="AK436" i="17"/>
  <c r="AK504" i="17"/>
  <c r="AK510" i="17"/>
  <c r="AK521" i="17"/>
  <c r="AK430" i="17"/>
  <c r="AK488" i="17"/>
  <c r="AK512" i="17"/>
  <c r="AK465" i="17"/>
  <c r="AK524" i="17"/>
  <c r="AK477" i="17"/>
  <c r="AK435" i="17"/>
  <c r="AK450" i="17"/>
  <c r="AK481" i="17"/>
  <c r="AK500" i="17"/>
  <c r="AK499" i="17"/>
  <c r="AK522" i="17"/>
  <c r="AK476" i="17"/>
  <c r="AK445" i="17"/>
  <c r="AK472" i="17"/>
  <c r="AK497" i="17"/>
  <c r="AK442" i="17"/>
  <c r="AK439" i="17"/>
  <c r="AK486" i="17"/>
  <c r="AK493" i="17"/>
  <c r="AK438" i="17"/>
  <c r="AK506" i="17"/>
  <c r="AK459" i="17"/>
  <c r="AK480" i="17"/>
  <c r="AK489" i="17"/>
  <c r="AK515" i="17"/>
  <c r="AK503" i="17"/>
  <c r="AK418" i="17"/>
  <c r="AK471" i="17"/>
  <c r="AK520" i="17"/>
  <c r="AK479" i="17"/>
  <c r="AK460" i="17"/>
  <c r="AK420" i="17"/>
  <c r="AK412" i="17"/>
  <c r="AK485" i="17"/>
  <c r="AK426" i="17"/>
  <c r="AK491" i="17"/>
  <c r="AK433" i="17"/>
  <c r="AK440" i="17"/>
  <c r="AK483" i="17"/>
  <c r="AK516" i="17"/>
  <c r="AK434" i="17"/>
  <c r="AK409" i="17"/>
  <c r="AK449" i="17"/>
  <c r="AK487" i="17"/>
  <c r="AK461" i="17"/>
  <c r="AK458" i="17"/>
  <c r="AK502" i="17"/>
  <c r="AK464" i="17"/>
  <c r="AK454" i="17"/>
  <c r="AK456" i="17"/>
  <c r="AK462" i="17"/>
  <c r="AK417" i="17"/>
  <c r="AG517" i="17"/>
  <c r="AG422" i="17"/>
  <c r="AG435" i="17"/>
  <c r="AG501" i="17"/>
  <c r="AG491" i="17"/>
  <c r="AG462" i="17"/>
  <c r="AG515" i="17"/>
  <c r="AG433" i="17"/>
  <c r="AG503" i="17"/>
  <c r="AG418" i="17"/>
  <c r="AG450" i="17"/>
  <c r="AG440" i="17"/>
  <c r="AG483" i="17"/>
  <c r="AG471" i="17"/>
  <c r="AG481" i="17"/>
  <c r="AG432" i="17"/>
  <c r="AG499" i="17"/>
  <c r="AG522" i="17"/>
  <c r="AG436" i="17"/>
  <c r="AG434" i="17"/>
  <c r="AG429" i="17"/>
  <c r="AG505" i="17"/>
  <c r="AG413" i="17"/>
  <c r="AG523" i="17"/>
  <c r="AG466" i="17"/>
  <c r="AG444" i="17"/>
  <c r="AG414" i="17"/>
  <c r="AG425" i="17"/>
  <c r="AG498" i="17"/>
  <c r="AG431" i="17"/>
  <c r="AG500" i="17"/>
  <c r="AG514" i="17"/>
  <c r="AG490" i="17"/>
  <c r="AG416" i="17"/>
  <c r="AG519" i="17"/>
  <c r="AG509" i="17"/>
  <c r="AG408" i="17"/>
  <c r="AG511" i="17"/>
  <c r="AG494" i="17"/>
  <c r="AG482" i="17"/>
  <c r="AG451" i="17"/>
  <c r="AG521" i="17"/>
  <c r="AG475" i="17"/>
  <c r="AG474" i="17"/>
  <c r="AG421" i="17"/>
  <c r="AG512" i="17"/>
  <c r="AG428" i="17"/>
  <c r="AG507" i="17"/>
  <c r="AG411" i="17"/>
  <c r="AG470" i="17"/>
  <c r="AG410" i="17"/>
  <c r="AG415" i="17"/>
  <c r="AG452" i="17"/>
  <c r="AG419" i="17"/>
  <c r="AG423" i="17"/>
  <c r="AG446" i="17"/>
  <c r="AG496" i="17"/>
  <c r="AG424" i="17"/>
  <c r="AG427" i="17"/>
  <c r="AG495" i="17"/>
  <c r="AG473" i="17"/>
  <c r="AG443" i="17"/>
  <c r="AG488" i="17"/>
  <c r="AG508" i="17"/>
  <c r="AG455" i="17"/>
  <c r="AG492" i="17"/>
  <c r="AG476" i="17"/>
  <c r="AG441" i="17"/>
  <c r="AG467" i="17"/>
  <c r="AG468" i="17"/>
  <c r="AG409" i="17"/>
  <c r="AG447" i="17"/>
  <c r="AG459" i="17"/>
  <c r="AG485" i="17"/>
  <c r="AG464" i="17"/>
  <c r="AG489" i="17"/>
  <c r="AG426" i="17"/>
  <c r="AG456" i="17"/>
  <c r="AG417" i="17"/>
  <c r="AG449" i="17"/>
  <c r="AG458" i="17"/>
  <c r="AG502" i="17"/>
  <c r="AG420" i="17"/>
  <c r="AG453" i="17"/>
  <c r="AG437" i="17"/>
  <c r="AG469" i="17"/>
  <c r="AG504" i="17"/>
  <c r="AG445" i="17"/>
  <c r="AG442" i="17"/>
  <c r="AG439" i="17"/>
  <c r="AG460" i="17"/>
  <c r="AG486" i="17"/>
  <c r="AG493" i="17"/>
  <c r="AG480" i="17"/>
  <c r="AG438" i="17"/>
  <c r="AG506" i="17"/>
  <c r="AG463" i="17"/>
  <c r="AG430" i="17"/>
  <c r="AG465" i="17"/>
  <c r="AG477" i="17"/>
  <c r="AG487" i="17"/>
  <c r="AG518" i="17"/>
  <c r="AG513" i="17"/>
  <c r="AG457" i="17"/>
  <c r="AG510" i="17"/>
  <c r="AG412" i="17"/>
  <c r="AG524" i="17"/>
  <c r="AG479" i="17"/>
  <c r="AG472" i="17"/>
  <c r="AG478" i="17"/>
  <c r="AG484" i="17"/>
  <c r="AG516" i="17"/>
  <c r="AG520" i="17"/>
  <c r="AG448" i="17"/>
  <c r="AG461" i="17"/>
  <c r="AG497" i="17"/>
  <c r="AG454" i="17"/>
  <c r="AH422" i="17"/>
  <c r="AH517" i="17"/>
  <c r="AH470" i="17"/>
  <c r="AH410" i="17"/>
  <c r="AH415" i="17"/>
  <c r="AH515" i="17"/>
  <c r="AH503" i="17"/>
  <c r="AH446" i="17"/>
  <c r="AH471" i="17"/>
  <c r="AH431" i="17"/>
  <c r="AH513" i="17"/>
  <c r="AH499" i="17"/>
  <c r="AH436" i="17"/>
  <c r="AH509" i="17"/>
  <c r="AH473" i="17"/>
  <c r="AH412" i="17"/>
  <c r="AH451" i="17"/>
  <c r="AH508" i="17"/>
  <c r="AH476" i="17"/>
  <c r="AH441" i="17"/>
  <c r="AH447" i="17"/>
  <c r="AH445" i="17"/>
  <c r="AH518" i="17"/>
  <c r="AH453" i="17"/>
  <c r="AH491" i="17"/>
  <c r="AH413" i="17"/>
  <c r="AH419" i="17"/>
  <c r="AH444" i="17"/>
  <c r="AH423" i="17"/>
  <c r="AH437" i="17"/>
  <c r="AH478" i="17"/>
  <c r="AH496" i="17"/>
  <c r="AH440" i="17"/>
  <c r="AH516" i="17"/>
  <c r="AH416" i="17"/>
  <c r="AH519" i="17"/>
  <c r="AH469" i="17"/>
  <c r="AH457" i="17"/>
  <c r="AH504" i="17"/>
  <c r="AH510" i="17"/>
  <c r="AH495" i="17"/>
  <c r="AH511" i="17"/>
  <c r="AH430" i="17"/>
  <c r="AH512" i="17"/>
  <c r="AH465" i="17"/>
  <c r="AH492" i="17"/>
  <c r="AH524" i="17"/>
  <c r="AH428" i="17"/>
  <c r="AH409" i="17"/>
  <c r="AH477" i="17"/>
  <c r="AH411" i="17"/>
  <c r="AH467" i="17"/>
  <c r="AH505" i="17"/>
  <c r="AH462" i="17"/>
  <c r="AH523" i="17"/>
  <c r="AH452" i="17"/>
  <c r="AH433" i="17"/>
  <c r="AH418" i="17"/>
  <c r="AH463" i="17"/>
  <c r="AH450" i="17"/>
  <c r="AH481" i="17"/>
  <c r="AH522" i="17"/>
  <c r="AH520" i="17"/>
  <c r="AH434" i="17"/>
  <c r="AH521" i="17"/>
  <c r="AH448" i="17"/>
  <c r="AH475" i="17"/>
  <c r="AH455" i="17"/>
  <c r="AH429" i="17"/>
  <c r="AH501" i="17"/>
  <c r="AH500" i="17"/>
  <c r="AH484" i="17"/>
  <c r="AH408" i="17"/>
  <c r="AH443" i="17"/>
  <c r="AH497" i="17"/>
  <c r="AH480" i="17"/>
  <c r="AH479" i="17"/>
  <c r="AH486" i="17"/>
  <c r="AH493" i="17"/>
  <c r="AH438" i="17"/>
  <c r="AH466" i="17"/>
  <c r="AH425" i="17"/>
  <c r="AH468" i="17"/>
  <c r="AH498" i="17"/>
  <c r="AH432" i="17"/>
  <c r="AH424" i="17"/>
  <c r="AH490" i="17"/>
  <c r="AH427" i="17"/>
  <c r="AH482" i="17"/>
  <c r="AH488" i="17"/>
  <c r="AH421" i="17"/>
  <c r="AH449" i="17"/>
  <c r="AH459" i="17"/>
  <c r="AH461" i="17"/>
  <c r="AH458" i="17"/>
  <c r="AH502" i="17"/>
  <c r="AH439" i="17"/>
  <c r="AH454" i="17"/>
  <c r="AH456" i="17"/>
  <c r="AH426" i="17"/>
  <c r="AH417" i="17"/>
  <c r="AH435" i="17"/>
  <c r="AH414" i="17"/>
  <c r="AH514" i="17"/>
  <c r="AH506" i="17"/>
  <c r="AH483" i="17"/>
  <c r="AH474" i="17"/>
  <c r="AH507" i="17"/>
  <c r="AH487" i="17"/>
  <c r="AH485" i="17"/>
  <c r="AH460" i="17"/>
  <c r="AH489" i="17"/>
  <c r="AH494" i="17"/>
  <c r="AH472" i="17"/>
  <c r="AH442" i="17"/>
  <c r="AH464" i="17"/>
  <c r="AH420" i="17"/>
  <c r="AJ422" i="17"/>
  <c r="AJ517" i="17"/>
  <c r="AJ429" i="17"/>
  <c r="AJ523" i="17"/>
  <c r="AJ466" i="17"/>
  <c r="AJ414" i="17"/>
  <c r="AJ425" i="17"/>
  <c r="AJ498" i="17"/>
  <c r="AJ431" i="17"/>
  <c r="AJ514" i="17"/>
  <c r="AJ516" i="17"/>
  <c r="AJ490" i="17"/>
  <c r="AJ416" i="17"/>
  <c r="AJ519" i="17"/>
  <c r="AJ436" i="17"/>
  <c r="AJ520" i="17"/>
  <c r="AJ511" i="17"/>
  <c r="AJ494" i="17"/>
  <c r="AJ482" i="17"/>
  <c r="AJ451" i="17"/>
  <c r="AJ521" i="17"/>
  <c r="AJ475" i="17"/>
  <c r="AJ474" i="17"/>
  <c r="AJ465" i="17"/>
  <c r="AJ476" i="17"/>
  <c r="AJ524" i="17"/>
  <c r="AJ507" i="17"/>
  <c r="AJ447" i="17"/>
  <c r="AJ411" i="17"/>
  <c r="AJ470" i="17"/>
  <c r="AJ410" i="17"/>
  <c r="AJ505" i="17"/>
  <c r="AJ415" i="17"/>
  <c r="AJ433" i="17"/>
  <c r="AJ419" i="17"/>
  <c r="AJ444" i="17"/>
  <c r="AJ423" i="17"/>
  <c r="AJ446" i="17"/>
  <c r="AJ496" i="17"/>
  <c r="AJ440" i="17"/>
  <c r="AJ481" i="17"/>
  <c r="AJ513" i="17"/>
  <c r="AJ427" i="17"/>
  <c r="AJ495" i="17"/>
  <c r="AJ408" i="17"/>
  <c r="AJ473" i="17"/>
  <c r="AJ443" i="17"/>
  <c r="AJ421" i="17"/>
  <c r="AJ455" i="17"/>
  <c r="AJ492" i="17"/>
  <c r="AJ428" i="17"/>
  <c r="AJ441" i="17"/>
  <c r="AJ409" i="17"/>
  <c r="AJ467" i="17"/>
  <c r="AJ501" i="17"/>
  <c r="AJ452" i="17"/>
  <c r="AJ463" i="17"/>
  <c r="AJ478" i="17"/>
  <c r="AJ500" i="17"/>
  <c r="AJ457" i="17"/>
  <c r="AJ412" i="17"/>
  <c r="AJ448" i="17"/>
  <c r="AJ430" i="17"/>
  <c r="AJ453" i="17"/>
  <c r="AJ491" i="17"/>
  <c r="AJ483" i="17"/>
  <c r="AJ468" i="17"/>
  <c r="AJ432" i="17"/>
  <c r="AJ424" i="17"/>
  <c r="AJ522" i="17"/>
  <c r="AJ504" i="17"/>
  <c r="AJ434" i="17"/>
  <c r="AJ445" i="17"/>
  <c r="AJ449" i="17"/>
  <c r="AJ485" i="17"/>
  <c r="AJ497" i="17"/>
  <c r="AJ442" i="17"/>
  <c r="AJ439" i="17"/>
  <c r="AJ486" i="17"/>
  <c r="AJ493" i="17"/>
  <c r="AJ480" i="17"/>
  <c r="AJ438" i="17"/>
  <c r="AJ506" i="17"/>
  <c r="AJ488" i="17"/>
  <c r="AJ472" i="17"/>
  <c r="AJ502" i="17"/>
  <c r="AJ464" i="17"/>
  <c r="AJ489" i="17"/>
  <c r="AJ435" i="17"/>
  <c r="AJ518" i="17"/>
  <c r="AJ462" i="17"/>
  <c r="AJ437" i="17"/>
  <c r="AJ469" i="17"/>
  <c r="AJ477" i="17"/>
  <c r="AJ479" i="17"/>
  <c r="AJ456" i="17"/>
  <c r="AJ417" i="17"/>
  <c r="AJ503" i="17"/>
  <c r="AJ418" i="17"/>
  <c r="AJ471" i="17"/>
  <c r="AJ459" i="17"/>
  <c r="AJ450" i="17"/>
  <c r="AJ499" i="17"/>
  <c r="AJ509" i="17"/>
  <c r="AJ510" i="17"/>
  <c r="AJ508" i="17"/>
  <c r="AJ512" i="17"/>
  <c r="AJ487" i="17"/>
  <c r="AJ458" i="17"/>
  <c r="AJ460" i="17"/>
  <c r="AJ454" i="17"/>
  <c r="AJ413" i="17"/>
  <c r="AJ515" i="17"/>
  <c r="AJ484" i="17"/>
  <c r="AJ461" i="17"/>
  <c r="AJ420" i="17"/>
  <c r="AJ426" i="17"/>
  <c r="AD19" i="20"/>
  <c r="AE19" i="20"/>
  <c r="AE291" i="17"/>
  <c r="AJ291" i="17" s="1"/>
  <c r="AE386" i="17"/>
  <c r="AJ386" i="17" s="1"/>
  <c r="AE297" i="17"/>
  <c r="AE335" i="17"/>
  <c r="AJ335" i="17" s="1"/>
  <c r="AE363" i="17"/>
  <c r="AE302" i="17"/>
  <c r="AE304" i="17"/>
  <c r="AE341" i="17"/>
  <c r="AJ341" i="17" s="1"/>
  <c r="AE359" i="17"/>
  <c r="AE355" i="17"/>
  <c r="AE317" i="17"/>
  <c r="AJ317" i="17" s="1"/>
  <c r="AE373" i="17"/>
  <c r="AJ373" i="17" s="1"/>
  <c r="AE325" i="17"/>
  <c r="AJ325" i="17" s="1"/>
  <c r="AE309" i="17"/>
  <c r="AE320" i="17"/>
  <c r="AE287" i="17"/>
  <c r="AJ287" i="17" s="1"/>
  <c r="AE349" i="17"/>
  <c r="AE391" i="17"/>
  <c r="AE310" i="17"/>
  <c r="AJ310" i="17" s="1"/>
  <c r="AE314" i="17"/>
  <c r="AJ314" i="17" s="1"/>
  <c r="AE279" i="17"/>
  <c r="AJ279" i="17" s="1"/>
  <c r="AE342" i="17"/>
  <c r="AE343" i="17"/>
  <c r="AE353" i="17"/>
  <c r="AJ353" i="17" s="1"/>
  <c r="AE311" i="17"/>
  <c r="AJ311" i="17" s="1"/>
  <c r="AE338" i="17"/>
  <c r="AE305" i="17"/>
  <c r="AE378" i="17"/>
  <c r="AJ378" i="17" s="1"/>
  <c r="AE300" i="17"/>
  <c r="AE295" i="17"/>
  <c r="AE347" i="17"/>
  <c r="AJ347" i="17" s="1"/>
  <c r="AE389" i="17"/>
  <c r="AJ389" i="17" s="1"/>
  <c r="AE370" i="17"/>
  <c r="AE345" i="17"/>
  <c r="AE339" i="17"/>
  <c r="AE327" i="17"/>
  <c r="AJ327" i="17" s="1"/>
  <c r="AE358" i="17"/>
  <c r="AJ358" i="17" s="1"/>
  <c r="AE379" i="17"/>
  <c r="AJ379" i="17" s="1"/>
  <c r="AE332" i="17"/>
  <c r="AE376" i="17"/>
  <c r="AJ376" i="17" s="1"/>
  <c r="AE374" i="17"/>
  <c r="AE315" i="17"/>
  <c r="AE307" i="17"/>
  <c r="AE299" i="17"/>
  <c r="AJ299" i="17" s="1"/>
  <c r="AE360" i="17"/>
  <c r="AE282" i="17"/>
  <c r="AJ282" i="17" s="1"/>
  <c r="AE392" i="17"/>
  <c r="AE330" i="17"/>
  <c r="AJ330" i="17" s="1"/>
  <c r="AE377" i="17"/>
  <c r="AE328" i="17"/>
  <c r="AE280" i="17"/>
  <c r="AJ280" i="17" s="1"/>
  <c r="AE393" i="17"/>
  <c r="AJ393" i="17" s="1"/>
  <c r="AE331" i="17"/>
  <c r="AE380" i="17"/>
  <c r="AE290" i="17"/>
  <c r="AJ290" i="17" s="1"/>
  <c r="AE334" i="17"/>
  <c r="AJ334" i="17" s="1"/>
  <c r="AE387" i="17"/>
  <c r="AE371" i="17"/>
  <c r="AE340" i="17"/>
  <c r="AJ340" i="17" s="1"/>
  <c r="AE344" i="17"/>
  <c r="AJ344" i="17" s="1"/>
  <c r="AE369" i="17"/>
  <c r="AE312" i="17"/>
  <c r="AE357" i="17"/>
  <c r="AE356" i="17"/>
  <c r="AJ356" i="17" s="1"/>
  <c r="AE362" i="17"/>
  <c r="AJ362" i="17" s="1"/>
  <c r="AE286" i="17"/>
  <c r="AE293" i="17"/>
  <c r="AE308" i="17"/>
  <c r="AJ308" i="17" s="1"/>
  <c r="AE294" i="17"/>
  <c r="AE319" i="17"/>
  <c r="AE284" i="17"/>
  <c r="AJ284" i="17" s="1"/>
  <c r="AE354" i="17"/>
  <c r="AJ354" i="17" s="1"/>
  <c r="AE366" i="17"/>
  <c r="AE298" i="17"/>
  <c r="AE348" i="17"/>
  <c r="AE313" i="17"/>
  <c r="AJ313" i="17" s="1"/>
  <c r="AE329" i="17"/>
  <c r="AE292" i="17"/>
  <c r="AE318" i="17"/>
  <c r="AJ318" i="17" s="1"/>
  <c r="AE303" i="17"/>
  <c r="AJ303" i="17" s="1"/>
  <c r="AE368" i="17"/>
  <c r="AE383" i="17"/>
  <c r="AJ383" i="17" s="1"/>
  <c r="AE361" i="17"/>
  <c r="AE322" i="17"/>
  <c r="AJ322" i="17" s="1"/>
  <c r="AE326" i="17"/>
  <c r="AE301" i="17"/>
  <c r="AE321" i="17"/>
  <c r="AE278" i="17"/>
  <c r="AJ278" i="17" s="1"/>
  <c r="AE372" i="17"/>
  <c r="AE289" i="17"/>
  <c r="AE281" i="17"/>
  <c r="AJ281" i="17" s="1"/>
  <c r="AE324" i="17"/>
  <c r="AJ324" i="17" s="1"/>
  <c r="AE381" i="17"/>
  <c r="AE385" i="17"/>
  <c r="AE351" i="17"/>
  <c r="AE337" i="17"/>
  <c r="AJ337" i="17" s="1"/>
  <c r="AE350" i="17"/>
  <c r="AE296" i="17"/>
  <c r="AE364" i="17"/>
  <c r="AE382" i="17"/>
  <c r="AJ382" i="17" s="1"/>
  <c r="AE277" i="17"/>
  <c r="AE375" i="17"/>
  <c r="AJ375" i="17" s="1"/>
  <c r="AE346" i="17"/>
  <c r="AE352" i="17"/>
  <c r="AJ352" i="17" s="1"/>
  <c r="AE384" i="17"/>
  <c r="AE333" i="17"/>
  <c r="AE336" i="17"/>
  <c r="AE283" i="17"/>
  <c r="AJ283" i="17" s="1"/>
  <c r="AE288" i="17"/>
  <c r="AE285" i="17"/>
  <c r="AJ285" i="17" s="1"/>
  <c r="AE367" i="17"/>
  <c r="AJ367" i="17" s="1"/>
  <c r="AE390" i="17"/>
  <c r="AJ390" i="17" s="1"/>
  <c r="AE365" i="17"/>
  <c r="AJ365" i="17" s="1"/>
  <c r="AE323" i="17"/>
  <c r="AE306" i="17"/>
  <c r="AE316" i="17"/>
  <c r="AJ316" i="17" s="1"/>
  <c r="AE388" i="17"/>
  <c r="AJ388" i="17" s="1"/>
  <c r="G18" i="11"/>
  <c r="AF32" i="24"/>
  <c r="AF36" i="24"/>
  <c r="AF28" i="24"/>
  <c r="AF25" i="24"/>
  <c r="AG160" i="17"/>
  <c r="AG255" i="17"/>
  <c r="AG166" i="17"/>
  <c r="AG225" i="17"/>
  <c r="AG202" i="17"/>
  <c r="AG259" i="17"/>
  <c r="AG244" i="17"/>
  <c r="AG262" i="17"/>
  <c r="AG254" i="17"/>
  <c r="AG235" i="17"/>
  <c r="AG152" i="17"/>
  <c r="AG243" i="17"/>
  <c r="AG249" i="17"/>
  <c r="AG220" i="17"/>
  <c r="AG163" i="17"/>
  <c r="AG194" i="17"/>
  <c r="AG253" i="17"/>
  <c r="AG223" i="17"/>
  <c r="AG231" i="17"/>
  <c r="AG149" i="17"/>
  <c r="AG151" i="17"/>
  <c r="AG184" i="17"/>
  <c r="AG200" i="17"/>
  <c r="AG250" i="17"/>
  <c r="AG226" i="17"/>
  <c r="AG245" i="17"/>
  <c r="AG211" i="17"/>
  <c r="AG162" i="17"/>
  <c r="AG196" i="17"/>
  <c r="AG182" i="17"/>
  <c r="AG248" i="17"/>
  <c r="AG193" i="17"/>
  <c r="AG157" i="17"/>
  <c r="AG154" i="17"/>
  <c r="AG148" i="17"/>
  <c r="AG234" i="17"/>
  <c r="AG210" i="17"/>
  <c r="AG198" i="17"/>
  <c r="AG186" i="17"/>
  <c r="AG247" i="17"/>
  <c r="AG175" i="17"/>
  <c r="AG169" i="17"/>
  <c r="AG181" i="17"/>
  <c r="AG252" i="17"/>
  <c r="AG246" i="17"/>
  <c r="AG158" i="17"/>
  <c r="AG164" i="17"/>
  <c r="AG173" i="17"/>
  <c r="AG197" i="17"/>
  <c r="AG240" i="17"/>
  <c r="AG185" i="17"/>
  <c r="AG217" i="17"/>
  <c r="AG206" i="17"/>
  <c r="AG177" i="17"/>
  <c r="AG219" i="17"/>
  <c r="AG218" i="17"/>
  <c r="AG165" i="17"/>
  <c r="AG176" i="17"/>
  <c r="AG251" i="17"/>
  <c r="AG212" i="17"/>
  <c r="AG190" i="17"/>
  <c r="AG171" i="17"/>
  <c r="AG209" i="17"/>
  <c r="AG236" i="17"/>
  <c r="AG213" i="17"/>
  <c r="AG238" i="17"/>
  <c r="AG170" i="17"/>
  <c r="AG261" i="17"/>
  <c r="AG228" i="17"/>
  <c r="AG233" i="17"/>
  <c r="AG256" i="17"/>
  <c r="AG215" i="17"/>
  <c r="AG229" i="17"/>
  <c r="AG147" i="17"/>
  <c r="AG224" i="17"/>
  <c r="AG192" i="17"/>
  <c r="AG237" i="17"/>
  <c r="AG257" i="17"/>
  <c r="AG178" i="17"/>
  <c r="AG232" i="17"/>
  <c r="AG260" i="17"/>
  <c r="AG174" i="17"/>
  <c r="AG258" i="17"/>
  <c r="AG208" i="17"/>
  <c r="AG222" i="17"/>
  <c r="AG159" i="17"/>
  <c r="AG191" i="17"/>
  <c r="AG214" i="17"/>
  <c r="AG242" i="17"/>
  <c r="AG153" i="17"/>
  <c r="AG150" i="17"/>
  <c r="AG241" i="17"/>
  <c r="AG195" i="17"/>
  <c r="AG201" i="17"/>
  <c r="AG167" i="17"/>
  <c r="AG180" i="17"/>
  <c r="AG155" i="17"/>
  <c r="AG172" i="17"/>
  <c r="AG221" i="17"/>
  <c r="AG203" i="17"/>
  <c r="AG156" i="17"/>
  <c r="AG161" i="17"/>
  <c r="AG168" i="17"/>
  <c r="AG188" i="17"/>
  <c r="AG199" i="17"/>
  <c r="AG227" i="17"/>
  <c r="AG216" i="17"/>
  <c r="AG239" i="17"/>
  <c r="AG205" i="17"/>
  <c r="AG179" i="17"/>
  <c r="AG187" i="17"/>
  <c r="AG146" i="17"/>
  <c r="AG183" i="17"/>
  <c r="AG204" i="17"/>
  <c r="AG207" i="17"/>
  <c r="AG189" i="17"/>
  <c r="AG230" i="17"/>
  <c r="AB29" i="17"/>
  <c r="AD29" i="17" s="1"/>
  <c r="AB124" i="17"/>
  <c r="AB130" i="17"/>
  <c r="AD130" i="17" s="1"/>
  <c r="AB17" i="17"/>
  <c r="AD17" i="17" s="1"/>
  <c r="AB77" i="17"/>
  <c r="AD77" i="17" s="1"/>
  <c r="AB47" i="17"/>
  <c r="AB26" i="17"/>
  <c r="AD26" i="17" s="1"/>
  <c r="AB129" i="17"/>
  <c r="AD129" i="17" s="1"/>
  <c r="AB44" i="17"/>
  <c r="AD44" i="17" s="1"/>
  <c r="AB102" i="17"/>
  <c r="AB15" i="17"/>
  <c r="AD15" i="17" s="1"/>
  <c r="AB30" i="17"/>
  <c r="AD30" i="17" s="1"/>
  <c r="AB16" i="17"/>
  <c r="AD16" i="17" s="1"/>
  <c r="AB76" i="17"/>
  <c r="AD76" i="17" s="1"/>
  <c r="AB64" i="17"/>
  <c r="AD64" i="17" s="1"/>
  <c r="AB61" i="17"/>
  <c r="AD61" i="17" s="1"/>
  <c r="AB63" i="17"/>
  <c r="AD63" i="17" s="1"/>
  <c r="AB66" i="17"/>
  <c r="AB101" i="17"/>
  <c r="AD101" i="17" s="1"/>
  <c r="AB46" i="17"/>
  <c r="AD46" i="17" s="1"/>
  <c r="AB71" i="17"/>
  <c r="AD71" i="17" s="1"/>
  <c r="AB103" i="17"/>
  <c r="AB118" i="17"/>
  <c r="AD118" i="17" s="1"/>
  <c r="AB109" i="17"/>
  <c r="AB112" i="17"/>
  <c r="AD112" i="17" s="1"/>
  <c r="AB19" i="17"/>
  <c r="AD19" i="17" s="1"/>
  <c r="AB62" i="17"/>
  <c r="AD62" i="17" s="1"/>
  <c r="AB40" i="17"/>
  <c r="AB23" i="17"/>
  <c r="AD23" i="17" s="1"/>
  <c r="AB105" i="17"/>
  <c r="AD105" i="17" s="1"/>
  <c r="AB34" i="17"/>
  <c r="AD34" i="17" s="1"/>
  <c r="AB117" i="17"/>
  <c r="AB113" i="17"/>
  <c r="AD113" i="17" s="1"/>
  <c r="AB25" i="17"/>
  <c r="AD25" i="17" s="1"/>
  <c r="AB87" i="17"/>
  <c r="AD87" i="17" s="1"/>
  <c r="AB37" i="17"/>
  <c r="AD37" i="17" s="1"/>
  <c r="AB57" i="17"/>
  <c r="AD57" i="17" s="1"/>
  <c r="AB36" i="17"/>
  <c r="AD36" i="17" s="1"/>
  <c r="AB22" i="17"/>
  <c r="AB79" i="17"/>
  <c r="AD79" i="17" s="1"/>
  <c r="AB67" i="17"/>
  <c r="AD67" i="17" s="1"/>
  <c r="AB128" i="17"/>
  <c r="AD128" i="17" s="1"/>
  <c r="AB111" i="17"/>
  <c r="AB18" i="17"/>
  <c r="AD18" i="17" s="1"/>
  <c r="AB131" i="17"/>
  <c r="AD131" i="17" s="1"/>
  <c r="AB69" i="17"/>
  <c r="AB31" i="17"/>
  <c r="AD31" i="17" s="1"/>
  <c r="AB108" i="17"/>
  <c r="AD108" i="17" s="1"/>
  <c r="AB119" i="17"/>
  <c r="AD119" i="17" s="1"/>
  <c r="AB126" i="17"/>
  <c r="AD126" i="17" s="1"/>
  <c r="AB27" i="17"/>
  <c r="AD27" i="17" s="1"/>
  <c r="AB32" i="17"/>
  <c r="AD32" i="17" s="1"/>
  <c r="AB98" i="17"/>
  <c r="AD98" i="17" s="1"/>
  <c r="AB60" i="17"/>
  <c r="AD60" i="17" s="1"/>
  <c r="AB110" i="17"/>
  <c r="AD110" i="17" s="1"/>
  <c r="AB114" i="17"/>
  <c r="AD114" i="17" s="1"/>
  <c r="AB84" i="17"/>
  <c r="AD84" i="17" s="1"/>
  <c r="AB52" i="17"/>
  <c r="AB43" i="17"/>
  <c r="AD43" i="17" s="1"/>
  <c r="AB120" i="17"/>
  <c r="AB53" i="17"/>
  <c r="AD53" i="17" s="1"/>
  <c r="AB86" i="17"/>
  <c r="AB28" i="17"/>
  <c r="AD28" i="17" s="1"/>
  <c r="AB123" i="17"/>
  <c r="AD123" i="17" s="1"/>
  <c r="AB75" i="17"/>
  <c r="AD75" i="17" s="1"/>
  <c r="AB95" i="17"/>
  <c r="AB20" i="17"/>
  <c r="AD20" i="17" s="1"/>
  <c r="AB42" i="17"/>
  <c r="AD42" i="17" s="1"/>
  <c r="AB121" i="17"/>
  <c r="AD121" i="17" s="1"/>
  <c r="AB73" i="17"/>
  <c r="AB93" i="17"/>
  <c r="AD93" i="17" s="1"/>
  <c r="AB70" i="17"/>
  <c r="AB56" i="17"/>
  <c r="AD56" i="17" s="1"/>
  <c r="AB68" i="17"/>
  <c r="AD68" i="17" s="1"/>
  <c r="AB51" i="17"/>
  <c r="AD51" i="17" s="1"/>
  <c r="AB39" i="17"/>
  <c r="AB74" i="17"/>
  <c r="AD74" i="17" s="1"/>
  <c r="AB125" i="17"/>
  <c r="AD125" i="17" s="1"/>
  <c r="AB45" i="17"/>
  <c r="AD45" i="17" s="1"/>
  <c r="AB54" i="17"/>
  <c r="AD54" i="17" s="1"/>
  <c r="AB41" i="17"/>
  <c r="AD41" i="17" s="1"/>
  <c r="AB106" i="17"/>
  <c r="AB65" i="17"/>
  <c r="AB107" i="17"/>
  <c r="AD107" i="17" s="1"/>
  <c r="AB122" i="17"/>
  <c r="AD122" i="17" s="1"/>
  <c r="AB81" i="17"/>
  <c r="AD81" i="17" s="1"/>
  <c r="AB92" i="17"/>
  <c r="AD92" i="17" s="1"/>
  <c r="AB58" i="17"/>
  <c r="AD58" i="17" s="1"/>
  <c r="AB96" i="17"/>
  <c r="AD96" i="17" s="1"/>
  <c r="AB50" i="17"/>
  <c r="AD50" i="17" s="1"/>
  <c r="AB85" i="17"/>
  <c r="AB24" i="17"/>
  <c r="AB127" i="17"/>
  <c r="AD127" i="17" s="1"/>
  <c r="AB38" i="17"/>
  <c r="AD38" i="17" s="1"/>
  <c r="AB33" i="17"/>
  <c r="AD33" i="17" s="1"/>
  <c r="AB99" i="17"/>
  <c r="AD99" i="17" s="1"/>
  <c r="AB88" i="17"/>
  <c r="AD88" i="17" s="1"/>
  <c r="AB94" i="17"/>
  <c r="AD94" i="17" s="1"/>
  <c r="AB59" i="17"/>
  <c r="AB104" i="17"/>
  <c r="AB49" i="17"/>
  <c r="AD49" i="17" s="1"/>
  <c r="AB83" i="17"/>
  <c r="AD83" i="17" s="1"/>
  <c r="AB55" i="17"/>
  <c r="AD55" i="17" s="1"/>
  <c r="AB82" i="17"/>
  <c r="AD82" i="17" s="1"/>
  <c r="AB80" i="17"/>
  <c r="AD80" i="17" s="1"/>
  <c r="AB91" i="17"/>
  <c r="AD91" i="17" s="1"/>
  <c r="AB89" i="17"/>
  <c r="AD89" i="17" s="1"/>
  <c r="AB72" i="17"/>
  <c r="AB115" i="17"/>
  <c r="AD115" i="17" s="1"/>
  <c r="AB48" i="17"/>
  <c r="AD48" i="17" s="1"/>
  <c r="AB90" i="17"/>
  <c r="AD90" i="17" s="1"/>
  <c r="AB97" i="17"/>
  <c r="AB78" i="17"/>
  <c r="AD78" i="17" s="1"/>
  <c r="AB100" i="17"/>
  <c r="AD100" i="17" s="1"/>
  <c r="AB21" i="17"/>
  <c r="AD21" i="17" s="1"/>
  <c r="AB116" i="17"/>
  <c r="AD116" i="17" s="1"/>
  <c r="AB35" i="17"/>
  <c r="AD35" i="17" s="1"/>
  <c r="AD37" i="15"/>
  <c r="AD132" i="15"/>
  <c r="AD98" i="15"/>
  <c r="AD49" i="15"/>
  <c r="AD24" i="15"/>
  <c r="AF24" i="15" s="1"/>
  <c r="AD64" i="15"/>
  <c r="AF64" i="15" s="1"/>
  <c r="AD76" i="15"/>
  <c r="AD112" i="15"/>
  <c r="AD33" i="15"/>
  <c r="AD66" i="15"/>
  <c r="AD65" i="15"/>
  <c r="AD84" i="15"/>
  <c r="AF84" i="15" s="1"/>
  <c r="AD111" i="15"/>
  <c r="AD89" i="15"/>
  <c r="AD59" i="15"/>
  <c r="AD75" i="15"/>
  <c r="AD134" i="15"/>
  <c r="AF134" i="15" s="1"/>
  <c r="AD137" i="15"/>
  <c r="AD63" i="15"/>
  <c r="AD128" i="15"/>
  <c r="AD35" i="15"/>
  <c r="AF35" i="15" s="1"/>
  <c r="AD67" i="15"/>
  <c r="AD116" i="15"/>
  <c r="AD122" i="15"/>
  <c r="AF122" i="15" s="1"/>
  <c r="AD126" i="15"/>
  <c r="AD92" i="15"/>
  <c r="AD30" i="15"/>
  <c r="AD60" i="15"/>
  <c r="AD81" i="15"/>
  <c r="AD83" i="15"/>
  <c r="AD108" i="15"/>
  <c r="AD38" i="15"/>
  <c r="AD95" i="15"/>
  <c r="AD104" i="15"/>
  <c r="AF104" i="15" s="1"/>
  <c r="AD127" i="15"/>
  <c r="AD80" i="15"/>
  <c r="AD133" i="15"/>
  <c r="AD97" i="15"/>
  <c r="AD113" i="15"/>
  <c r="AF113" i="15" s="1"/>
  <c r="AD124" i="15"/>
  <c r="AD58" i="15"/>
  <c r="AD129" i="15"/>
  <c r="AD139" i="15"/>
  <c r="AF139" i="15" s="1"/>
  <c r="AD42" i="15"/>
  <c r="AF42" i="15" s="1"/>
  <c r="AD53" i="15"/>
  <c r="AD110" i="15"/>
  <c r="AD47" i="15"/>
  <c r="AF47" i="15" s="1"/>
  <c r="AD28" i="15"/>
  <c r="AD55" i="15"/>
  <c r="AD31" i="15"/>
  <c r="AD72" i="15"/>
  <c r="AF72" i="15" s="1"/>
  <c r="AD46" i="15"/>
  <c r="AD23" i="15"/>
  <c r="AD135" i="15"/>
  <c r="AD39" i="15"/>
  <c r="AD70" i="15"/>
  <c r="AD86" i="15"/>
  <c r="AD56" i="15"/>
  <c r="AD61" i="15"/>
  <c r="AD109" i="15"/>
  <c r="AD91" i="15"/>
  <c r="AD78" i="15"/>
  <c r="AD45" i="15"/>
  <c r="AD50" i="15"/>
  <c r="AD36" i="15"/>
  <c r="AD107" i="15"/>
  <c r="AD44" i="15"/>
  <c r="AD62" i="15"/>
  <c r="AD93" i="15"/>
  <c r="AD85" i="15"/>
  <c r="AD57" i="15"/>
  <c r="AD68" i="15"/>
  <c r="AF68" i="15" s="1"/>
  <c r="AD114" i="15"/>
  <c r="AF114" i="15" s="1"/>
  <c r="AD120" i="15"/>
  <c r="AD94" i="15"/>
  <c r="AD27" i="15"/>
  <c r="AF27" i="15" s="1"/>
  <c r="AD32" i="15"/>
  <c r="AF32" i="15" s="1"/>
  <c r="AD77" i="15"/>
  <c r="AD41" i="15"/>
  <c r="AF41" i="15" s="1"/>
  <c r="AD25" i="15"/>
  <c r="AD26" i="15"/>
  <c r="AD34" i="15"/>
  <c r="AD48" i="15"/>
  <c r="AF48" i="15" s="1"/>
  <c r="AD54" i="15"/>
  <c r="AF54" i="15" s="1"/>
  <c r="AD125" i="15"/>
  <c r="AD105" i="15"/>
  <c r="AD74" i="15"/>
  <c r="AD69" i="15"/>
  <c r="AD51" i="15"/>
  <c r="AD71" i="15"/>
  <c r="AD123" i="15"/>
  <c r="AD118" i="15"/>
  <c r="AD82" i="15"/>
  <c r="AF82" i="15" s="1"/>
  <c r="AD90" i="15"/>
  <c r="AD87" i="15"/>
  <c r="AF87" i="15" s="1"/>
  <c r="AD101" i="15"/>
  <c r="AD52" i="15"/>
  <c r="AD121" i="15"/>
  <c r="AD106" i="15"/>
  <c r="AD43" i="15"/>
  <c r="AD138" i="15"/>
  <c r="AD100" i="15"/>
  <c r="AD131" i="15"/>
  <c r="AD79" i="15"/>
  <c r="AD103" i="15"/>
  <c r="AD96" i="15"/>
  <c r="AD115" i="15"/>
  <c r="AD130" i="15"/>
  <c r="AD29" i="15"/>
  <c r="AD136" i="15"/>
  <c r="AD88" i="15"/>
  <c r="AD99" i="15"/>
  <c r="AD102" i="15"/>
  <c r="AD40" i="15"/>
  <c r="AD119" i="15"/>
  <c r="AD73" i="15"/>
  <c r="AD117" i="15"/>
  <c r="AF117" i="15" s="1"/>
  <c r="G21" i="5"/>
  <c r="AF207" i="17"/>
  <c r="AF189" i="17"/>
  <c r="AF184" i="17"/>
  <c r="AF243" i="17"/>
  <c r="AF196" i="17"/>
  <c r="AF238" i="17"/>
  <c r="AF201" i="17"/>
  <c r="AF153" i="17"/>
  <c r="AF156" i="17"/>
  <c r="AF195" i="17"/>
  <c r="AF233" i="17"/>
  <c r="AF235" i="17"/>
  <c r="AF187" i="17"/>
  <c r="AF169" i="17"/>
  <c r="AF192" i="17"/>
  <c r="AF234" i="17"/>
  <c r="AF154" i="17"/>
  <c r="AF165" i="17"/>
  <c r="AF250" i="17"/>
  <c r="AF173" i="17"/>
  <c r="AF171" i="17"/>
  <c r="AF254" i="17"/>
  <c r="AF176" i="17"/>
  <c r="AF245" i="17"/>
  <c r="AF208" i="17"/>
  <c r="AF257" i="17"/>
  <c r="AF247" i="17"/>
  <c r="AF239" i="17"/>
  <c r="AC51" i="15"/>
  <c r="AF51" i="15" s="1"/>
  <c r="AC119" i="15"/>
  <c r="AC29" i="15"/>
  <c r="AF29" i="15" s="1"/>
  <c r="AC69" i="15"/>
  <c r="AF69" i="15" s="1"/>
  <c r="AC105" i="15"/>
  <c r="AC118" i="15"/>
  <c r="AC74" i="15"/>
  <c r="AC71" i="15"/>
  <c r="AF71" i="15" s="1"/>
  <c r="AC52" i="15"/>
  <c r="AF52" i="15" s="1"/>
  <c r="AC128" i="15"/>
  <c r="AC123" i="15"/>
  <c r="AF123" i="15" s="1"/>
  <c r="AC93" i="15"/>
  <c r="AF93" i="15" s="1"/>
  <c r="AC66" i="15"/>
  <c r="AC61" i="15"/>
  <c r="AC34" i="15"/>
  <c r="AF34" i="15" s="1"/>
  <c r="AC23" i="15"/>
  <c r="AF23" i="15" s="1"/>
  <c r="AC26" i="15"/>
  <c r="AF26" i="15" s="1"/>
  <c r="AC62" i="15"/>
  <c r="AC90" i="15"/>
  <c r="AF90" i="15" s="1"/>
  <c r="AC80" i="15"/>
  <c r="AF80" i="15" s="1"/>
  <c r="AC78" i="15"/>
  <c r="AC130" i="15"/>
  <c r="AC126" i="15"/>
  <c r="AF126" i="15" s="1"/>
  <c r="AC46" i="15"/>
  <c r="AF46" i="15" s="1"/>
  <c r="AC137" i="15"/>
  <c r="AC89" i="15"/>
  <c r="AF89" i="15" s="1"/>
  <c r="AC65" i="15"/>
  <c r="AF65" i="15" s="1"/>
  <c r="AC33" i="15"/>
  <c r="AF33" i="15" s="1"/>
  <c r="AC92" i="15"/>
  <c r="AL510" i="17" l="1"/>
  <c r="AL453" i="17"/>
  <c r="AL485" i="17"/>
  <c r="AL492" i="17"/>
  <c r="AL444" i="17"/>
  <c r="AL466" i="17"/>
  <c r="AL491" i="17"/>
  <c r="AF112" i="15"/>
  <c r="AH214" i="17"/>
  <c r="AH218" i="17"/>
  <c r="AH219" i="17"/>
  <c r="AJ27" i="20"/>
  <c r="AJ30" i="20"/>
  <c r="AJ28" i="20"/>
  <c r="AJ25" i="20"/>
  <c r="AJ29" i="20"/>
  <c r="AJ24" i="20"/>
  <c r="AJ26" i="20"/>
  <c r="AJ23" i="20"/>
  <c r="I11" i="2"/>
  <c r="F11" i="21" s="1"/>
  <c r="L11" i="2"/>
  <c r="G19" i="11"/>
  <c r="AF28" i="15"/>
  <c r="AF73" i="15"/>
  <c r="AF74" i="15"/>
  <c r="AD97" i="17"/>
  <c r="AD72" i="17"/>
  <c r="AD104" i="17"/>
  <c r="AD24" i="17"/>
  <c r="AG10" i="17" s="1"/>
  <c r="AD39" i="17"/>
  <c r="AD12" i="17" s="1"/>
  <c r="AD70" i="17"/>
  <c r="AD120" i="17"/>
  <c r="AD117" i="17"/>
  <c r="AD40" i="17"/>
  <c r="AD109" i="17"/>
  <c r="AJ306" i="17"/>
  <c r="AJ336" i="17"/>
  <c r="AJ346" i="17"/>
  <c r="AJ364" i="17"/>
  <c r="AJ351" i="17"/>
  <c r="AJ321" i="17"/>
  <c r="AJ361" i="17"/>
  <c r="AJ348" i="17"/>
  <c r="AJ293" i="17"/>
  <c r="AJ357" i="17"/>
  <c r="AJ392" i="17"/>
  <c r="AJ307" i="17"/>
  <c r="AJ332" i="17"/>
  <c r="AJ339" i="17"/>
  <c r="AJ305" i="17"/>
  <c r="AJ343" i="17"/>
  <c r="AJ320" i="17"/>
  <c r="AJ304" i="17"/>
  <c r="AJ297" i="17"/>
  <c r="D12" i="21"/>
  <c r="I12" i="21" s="1"/>
  <c r="C60" i="9"/>
  <c r="G12" i="2"/>
  <c r="K12" i="2"/>
  <c r="E12" i="21"/>
  <c r="J12" i="21" s="1"/>
  <c r="D60" i="9"/>
  <c r="H12" i="2"/>
  <c r="A30" i="22"/>
  <c r="B12" i="21"/>
  <c r="AL505" i="17"/>
  <c r="AL469" i="17"/>
  <c r="AL502" i="17"/>
  <c r="AL480" i="17"/>
  <c r="AL497" i="17"/>
  <c r="AL500" i="17"/>
  <c r="AL518" i="17"/>
  <c r="AL447" i="17"/>
  <c r="AL420" i="17"/>
  <c r="AL459" i="17"/>
  <c r="AL413" i="17"/>
  <c r="AL465" i="17"/>
  <c r="AL495" i="17"/>
  <c r="AL496" i="17"/>
  <c r="AL419" i="17"/>
  <c r="AL441" i="17"/>
  <c r="AL421" i="17"/>
  <c r="AL482" i="17"/>
  <c r="AL520" i="17"/>
  <c r="AL416" i="17"/>
  <c r="AL431" i="17"/>
  <c r="AL523" i="17"/>
  <c r="AL488" i="17"/>
  <c r="AL484" i="17"/>
  <c r="AL498" i="17"/>
  <c r="AL450" i="17"/>
  <c r="AL503" i="17"/>
  <c r="AL410" i="17"/>
  <c r="AL422" i="17"/>
  <c r="AF50" i="15"/>
  <c r="AF86" i="15"/>
  <c r="AF129" i="15"/>
  <c r="AF120" i="15"/>
  <c r="AF76" i="15"/>
  <c r="AF101" i="15"/>
  <c r="AF99" i="15"/>
  <c r="AH221" i="17"/>
  <c r="AH207" i="17"/>
  <c r="AH247" i="17"/>
  <c r="AH163" i="17"/>
  <c r="AH201" i="17"/>
  <c r="AH150" i="17"/>
  <c r="AH237" i="17"/>
  <c r="AH212" i="17"/>
  <c r="AH161" i="17"/>
  <c r="AH168" i="17"/>
  <c r="AH153" i="17"/>
  <c r="AH240" i="17"/>
  <c r="AH187" i="17"/>
  <c r="AH213" i="17"/>
  <c r="AH234" i="17"/>
  <c r="AH154" i="17"/>
  <c r="AH165" i="17"/>
  <c r="AH217" i="17"/>
  <c r="AH185" i="17"/>
  <c r="AH173" i="17"/>
  <c r="AH181" i="17"/>
  <c r="AH220" i="17"/>
  <c r="AH193" i="17"/>
  <c r="AH202" i="17"/>
  <c r="AH215" i="17"/>
  <c r="AH238" i="17"/>
  <c r="AH172" i="17"/>
  <c r="AH180" i="17"/>
  <c r="AH225" i="17"/>
  <c r="AH160" i="17"/>
  <c r="AF20" i="24"/>
  <c r="AC19" i="24"/>
  <c r="AH18" i="24"/>
  <c r="AJ16" i="24"/>
  <c r="AJ18" i="24"/>
  <c r="AJ17" i="24"/>
  <c r="AI18" i="24"/>
  <c r="AI17" i="24"/>
  <c r="AI16" i="24"/>
  <c r="AE19" i="24"/>
  <c r="AH17" i="24"/>
  <c r="AH16" i="24"/>
  <c r="AD19" i="24"/>
  <c r="F12" i="2"/>
  <c r="AF38" i="15"/>
  <c r="AF67" i="15"/>
  <c r="AF97" i="15"/>
  <c r="AF39" i="15"/>
  <c r="AF57" i="15"/>
  <c r="AF96" i="15"/>
  <c r="AF43" i="15"/>
  <c r="H21" i="5"/>
  <c r="G29" i="5"/>
  <c r="H29" i="5" s="1"/>
  <c r="AL458" i="17"/>
  <c r="AL440" i="17"/>
  <c r="AL499" i="17"/>
  <c r="AL429" i="17"/>
  <c r="AH183" i="17"/>
  <c r="AH227" i="17"/>
  <c r="AH216" i="17"/>
  <c r="AH27" i="20"/>
  <c r="AH25" i="20"/>
  <c r="AH29" i="20"/>
  <c r="AK29" i="20" s="1"/>
  <c r="AH26" i="20"/>
  <c r="AH30" i="20"/>
  <c r="AH24" i="20"/>
  <c r="AH28" i="20"/>
  <c r="AH23" i="20"/>
  <c r="AK23" i="20" s="1"/>
  <c r="AF62" i="15"/>
  <c r="AF119" i="15"/>
  <c r="AD59" i="17"/>
  <c r="AD85" i="17"/>
  <c r="AD65" i="17"/>
  <c r="AD22" i="17"/>
  <c r="AB11" i="17"/>
  <c r="AJ323" i="17"/>
  <c r="AJ333" i="17"/>
  <c r="AJ296" i="17"/>
  <c r="AJ385" i="17"/>
  <c r="AJ289" i="17"/>
  <c r="AJ301" i="17"/>
  <c r="AJ292" i="17"/>
  <c r="AJ298" i="17"/>
  <c r="AJ319" i="17"/>
  <c r="AJ286" i="17"/>
  <c r="AJ312" i="17"/>
  <c r="AJ371" i="17"/>
  <c r="AJ380" i="17"/>
  <c r="AJ328" i="17"/>
  <c r="AJ315" i="17"/>
  <c r="AJ345" i="17"/>
  <c r="AJ295" i="17"/>
  <c r="AJ338" i="17"/>
  <c r="AJ342" i="17"/>
  <c r="AJ391" i="17"/>
  <c r="AJ309" i="17"/>
  <c r="AJ355" i="17"/>
  <c r="AJ302" i="17"/>
  <c r="A13" i="21"/>
  <c r="A61" i="9"/>
  <c r="A21" i="11" s="1"/>
  <c r="A14" i="2"/>
  <c r="D13" i="2"/>
  <c r="P13" i="2"/>
  <c r="C13" i="2"/>
  <c r="B13" i="2"/>
  <c r="N13" i="2"/>
  <c r="E61" i="9" s="1"/>
  <c r="E13" i="2"/>
  <c r="AL449" i="17"/>
  <c r="AL461" i="17"/>
  <c r="AL437" i="17"/>
  <c r="AL487" i="17"/>
  <c r="AL486" i="17"/>
  <c r="AL430" i="17"/>
  <c r="AL478" i="17"/>
  <c r="AL467" i="17"/>
  <c r="AL417" i="17"/>
  <c r="AL493" i="17"/>
  <c r="AL472" i="17"/>
  <c r="AL477" i="17"/>
  <c r="AL455" i="17"/>
  <c r="AL457" i="17"/>
  <c r="AL446" i="17"/>
  <c r="AL415" i="17"/>
  <c r="AL507" i="17"/>
  <c r="AL474" i="17"/>
  <c r="AL494" i="17"/>
  <c r="AL509" i="17"/>
  <c r="AL490" i="17"/>
  <c r="AL481" i="17"/>
  <c r="AL409" i="17"/>
  <c r="AL434" i="17"/>
  <c r="AL424" i="17"/>
  <c r="AL471" i="17"/>
  <c r="AL425" i="17"/>
  <c r="AL515" i="17"/>
  <c r="AL501" i="17"/>
  <c r="AL517" i="17"/>
  <c r="AF132" i="15"/>
  <c r="AF59" i="15"/>
  <c r="AF81" i="15"/>
  <c r="AF53" i="15"/>
  <c r="AF109" i="15"/>
  <c r="AF25" i="15"/>
  <c r="AF20" i="15" s="1"/>
  <c r="AF58" i="15"/>
  <c r="AF131" i="15"/>
  <c r="AH176" i="17"/>
  <c r="AH203" i="17"/>
  <c r="AH243" i="17"/>
  <c r="AH236" i="17"/>
  <c r="AH260" i="17"/>
  <c r="AH178" i="17"/>
  <c r="AH228" i="17"/>
  <c r="AH229" i="17"/>
  <c r="AH204" i="17"/>
  <c r="AH195" i="17"/>
  <c r="AH158" i="17"/>
  <c r="AH151" i="17"/>
  <c r="AH261" i="17"/>
  <c r="AH186" i="17"/>
  <c r="AH148" i="17"/>
  <c r="AH254" i="17"/>
  <c r="AH177" i="17"/>
  <c r="AH162" i="17"/>
  <c r="AH200" i="17"/>
  <c r="AH231" i="17"/>
  <c r="AH169" i="17"/>
  <c r="AH171" i="17"/>
  <c r="AH251" i="17"/>
  <c r="AH182" i="17"/>
  <c r="AH149" i="17"/>
  <c r="AH242" i="17"/>
  <c r="AH190" i="17"/>
  <c r="AH199" i="17"/>
  <c r="AH211" i="17"/>
  <c r="H11" i="21"/>
  <c r="G11" i="21"/>
  <c r="AF124" i="15"/>
  <c r="AF106" i="15"/>
  <c r="AF44" i="15"/>
  <c r="AF98" i="15"/>
  <c r="AF77" i="15"/>
  <c r="AF121" i="15"/>
  <c r="AF102" i="15"/>
  <c r="AL412" i="17"/>
  <c r="AL522" i="17"/>
  <c r="AL452" i="17"/>
  <c r="AL408" i="17"/>
  <c r="AL451" i="17"/>
  <c r="AL513" i="17"/>
  <c r="AL508" i="17"/>
  <c r="AL432" i="17"/>
  <c r="AL418" i="17"/>
  <c r="AF70" i="15"/>
  <c r="AH258" i="17"/>
  <c r="AH170" i="17"/>
  <c r="AH188" i="17"/>
  <c r="AH235" i="17"/>
  <c r="AH248" i="17"/>
  <c r="AH166" i="17"/>
  <c r="AH224" i="17"/>
  <c r="F41" i="5"/>
  <c r="F39" i="5"/>
  <c r="F37" i="5"/>
  <c r="F35" i="5"/>
  <c r="F40" i="5"/>
  <c r="F38" i="5"/>
  <c r="F36" i="5"/>
  <c r="F34" i="5"/>
  <c r="O11" i="2"/>
  <c r="AF60" i="15"/>
  <c r="AF130" i="15"/>
  <c r="AF61" i="15"/>
  <c r="AE19" i="15" s="1"/>
  <c r="AF128" i="15"/>
  <c r="AF118" i="15"/>
  <c r="AD111" i="17"/>
  <c r="AF92" i="15"/>
  <c r="AF137" i="15"/>
  <c r="AF78" i="15"/>
  <c r="AF66" i="15"/>
  <c r="AF105" i="15"/>
  <c r="AD106" i="17"/>
  <c r="AD73" i="17"/>
  <c r="AD95" i="17"/>
  <c r="AD86" i="17"/>
  <c r="AD52" i="17"/>
  <c r="AD69" i="17"/>
  <c r="AD103" i="17"/>
  <c r="AD66" i="17"/>
  <c r="AC11" i="17" s="1"/>
  <c r="AD102" i="17"/>
  <c r="AD47" i="17"/>
  <c r="AD124" i="17"/>
  <c r="AJ288" i="17"/>
  <c r="AJ384" i="17"/>
  <c r="AJ277" i="17"/>
  <c r="AJ350" i="17"/>
  <c r="AJ381" i="17"/>
  <c r="AJ372" i="17"/>
  <c r="AJ326" i="17"/>
  <c r="AJ368" i="17"/>
  <c r="AJ329" i="17"/>
  <c r="AJ366" i="17"/>
  <c r="AJ294" i="17"/>
  <c r="AJ369" i="17"/>
  <c r="AJ387" i="17"/>
  <c r="AJ331" i="17"/>
  <c r="AJ377" i="17"/>
  <c r="AJ360" i="17"/>
  <c r="AJ374" i="17"/>
  <c r="AJ370" i="17"/>
  <c r="AJ300" i="17"/>
  <c r="AJ349" i="17"/>
  <c r="AJ359" i="17"/>
  <c r="AJ363" i="17"/>
  <c r="B20" i="11"/>
  <c r="D20" i="11" s="1"/>
  <c r="E20" i="11" s="1"/>
  <c r="F20" i="11" s="1"/>
  <c r="F60" i="9"/>
  <c r="C12" i="21"/>
  <c r="B60" i="9"/>
  <c r="C20" i="11" s="1"/>
  <c r="AL521" i="17"/>
  <c r="AL479" i="17"/>
  <c r="AL454" i="17"/>
  <c r="AL456" i="17"/>
  <c r="AL439" i="17"/>
  <c r="AL448" i="17"/>
  <c r="AL463" i="17"/>
  <c r="AL489" i="17"/>
  <c r="AL506" i="17"/>
  <c r="AL464" i="17"/>
  <c r="AL445" i="17"/>
  <c r="AL428" i="17"/>
  <c r="AL443" i="17"/>
  <c r="AL427" i="17"/>
  <c r="AL423" i="17"/>
  <c r="AL470" i="17"/>
  <c r="AL524" i="17"/>
  <c r="AL475" i="17"/>
  <c r="AL511" i="17"/>
  <c r="AL436" i="17"/>
  <c r="AL516" i="17"/>
  <c r="AL433" i="17"/>
  <c r="AL512" i="17"/>
  <c r="AL504" i="17"/>
  <c r="AL514" i="17"/>
  <c r="AL468" i="17"/>
  <c r="AL414" i="17"/>
  <c r="AL462" i="17"/>
  <c r="AL435" i="17"/>
  <c r="AF30" i="15"/>
  <c r="AJ16" i="15" s="1"/>
  <c r="AF63" i="15"/>
  <c r="AF36" i="15"/>
  <c r="AF55" i="15"/>
  <c r="AF45" i="15"/>
  <c r="AF125" i="15"/>
  <c r="AF116" i="15"/>
  <c r="AH174" i="17"/>
  <c r="AH159" i="17"/>
  <c r="AH239" i="17"/>
  <c r="AH205" i="17"/>
  <c r="AH241" i="17"/>
  <c r="AH222" i="17"/>
  <c r="AH223" i="17"/>
  <c r="AH259" i="17"/>
  <c r="AH256" i="17"/>
  <c r="AH156" i="17"/>
  <c r="AH230" i="17"/>
  <c r="AH164" i="17"/>
  <c r="AH179" i="17"/>
  <c r="AH209" i="17"/>
  <c r="AH155" i="17"/>
  <c r="AH147" i="17"/>
  <c r="AH191" i="17"/>
  <c r="AH226" i="17"/>
  <c r="AH184" i="17"/>
  <c r="AH246" i="17"/>
  <c r="AH175" i="17"/>
  <c r="AH152" i="17"/>
  <c r="AH244" i="17"/>
  <c r="AH245" i="17"/>
  <c r="AH146" i="17"/>
  <c r="AH192" i="17"/>
  <c r="AH249" i="17"/>
  <c r="AH262" i="17"/>
  <c r="AH167" i="17"/>
  <c r="J12" i="2"/>
  <c r="AF49" i="15"/>
  <c r="AF75" i="15"/>
  <c r="AF83" i="15"/>
  <c r="AF110" i="15"/>
  <c r="AF100" i="15"/>
  <c r="AF88" i="15"/>
  <c r="AF103" i="15"/>
  <c r="AF79" i="15"/>
  <c r="AI27" i="20"/>
  <c r="AI25" i="20"/>
  <c r="AI29" i="20"/>
  <c r="AI24" i="20"/>
  <c r="AI26" i="20"/>
  <c r="AI23" i="20"/>
  <c r="AI30" i="20"/>
  <c r="AI28" i="20"/>
  <c r="AK26" i="20" l="1"/>
  <c r="AH16" i="15"/>
  <c r="E13" i="21"/>
  <c r="J13" i="21" s="1"/>
  <c r="D61" i="9"/>
  <c r="H13" i="2"/>
  <c r="O12" i="2"/>
  <c r="AH17" i="15"/>
  <c r="AH18" i="15"/>
  <c r="C13" i="21"/>
  <c r="B61" i="9"/>
  <c r="C21" i="11" s="1"/>
  <c r="F13" i="2"/>
  <c r="I12" i="2"/>
  <c r="F12" i="21" s="1"/>
  <c r="L12" i="2"/>
  <c r="AI16" i="15"/>
  <c r="A31" i="22"/>
  <c r="B13" i="21"/>
  <c r="AG9" i="17"/>
  <c r="AF9" i="17"/>
  <c r="AI37" i="24"/>
  <c r="AI29" i="24"/>
  <c r="AI23" i="24"/>
  <c r="AI26" i="24"/>
  <c r="AI35" i="24"/>
  <c r="AI24" i="24"/>
  <c r="AI25" i="24"/>
  <c r="AI30" i="24"/>
  <c r="AI28" i="24"/>
  <c r="AI31" i="24"/>
  <c r="AI32" i="24"/>
  <c r="AI34" i="24"/>
  <c r="AI27" i="24"/>
  <c r="AI33" i="24"/>
  <c r="AI36" i="24"/>
  <c r="AF142" i="17"/>
  <c r="AL141" i="17"/>
  <c r="AL140" i="17"/>
  <c r="AL139" i="17"/>
  <c r="AE142" i="17"/>
  <c r="AK141" i="17"/>
  <c r="AK140" i="17"/>
  <c r="AJ140" i="17"/>
  <c r="AM139" i="17"/>
  <c r="AG142" i="17"/>
  <c r="AM141" i="17"/>
  <c r="AK139" i="17"/>
  <c r="AH143" i="17"/>
  <c r="AD142" i="17"/>
  <c r="AJ141" i="17"/>
  <c r="AJ139" i="17"/>
  <c r="AM140" i="17"/>
  <c r="G20" i="11"/>
  <c r="AH273" i="17"/>
  <c r="AO272" i="17"/>
  <c r="AP271" i="17"/>
  <c r="AL271" i="17"/>
  <c r="AM270" i="17"/>
  <c r="AG273" i="17"/>
  <c r="AN272" i="17"/>
  <c r="AO271" i="17"/>
  <c r="AP270" i="17"/>
  <c r="AL270" i="17"/>
  <c r="AF273" i="17"/>
  <c r="AM272" i="17"/>
  <c r="AN271" i="17"/>
  <c r="AJ274" i="17"/>
  <c r="AP272" i="17"/>
  <c r="AI273" i="17"/>
  <c r="AL272" i="17"/>
  <c r="AM271" i="17"/>
  <c r="AO270" i="17"/>
  <c r="AE273" i="17"/>
  <c r="AN270" i="17"/>
  <c r="AK404" i="17"/>
  <c r="AG404" i="17"/>
  <c r="AS403" i="17"/>
  <c r="AO403" i="17"/>
  <c r="AQ402" i="17"/>
  <c r="AS401" i="17"/>
  <c r="AO401" i="17"/>
  <c r="AL405" i="17"/>
  <c r="AJ404" i="17"/>
  <c r="AF404" i="17"/>
  <c r="AR403" i="17"/>
  <c r="AN403" i="17"/>
  <c r="AP402" i="17"/>
  <c r="AH404" i="17"/>
  <c r="AP403" i="17"/>
  <c r="AN402" i="17"/>
  <c r="AQ401" i="17"/>
  <c r="AS402" i="17"/>
  <c r="AP401" i="17"/>
  <c r="AR402" i="17"/>
  <c r="AN401" i="17"/>
  <c r="AO402" i="17"/>
  <c r="AI404" i="17"/>
  <c r="AQ403" i="17"/>
  <c r="AR401" i="17"/>
  <c r="AD19" i="15"/>
  <c r="AI17" i="15"/>
  <c r="AJ17" i="15"/>
  <c r="AJ92" i="15" s="1"/>
  <c r="F61" i="9"/>
  <c r="B21" i="11"/>
  <c r="D21" i="11" s="1"/>
  <c r="E21" i="11" s="1"/>
  <c r="F21" i="11" s="1"/>
  <c r="D13" i="21"/>
  <c r="I13" i="21" s="1"/>
  <c r="C61" i="9"/>
  <c r="G13" i="2"/>
  <c r="K13" i="2"/>
  <c r="K14" i="2"/>
  <c r="AF8" i="17"/>
  <c r="AG8" i="17"/>
  <c r="AK24" i="20"/>
  <c r="AI19" i="20" s="1"/>
  <c r="AK25" i="20"/>
  <c r="AH29" i="24"/>
  <c r="AH37" i="24"/>
  <c r="AH25" i="24"/>
  <c r="AH36" i="24"/>
  <c r="AH27" i="24"/>
  <c r="AK27" i="24" s="1"/>
  <c r="AH28" i="24"/>
  <c r="AH26" i="24"/>
  <c r="AH32" i="24"/>
  <c r="AH30" i="24"/>
  <c r="AH24" i="24"/>
  <c r="AK24" i="24" s="1"/>
  <c r="AH34" i="24"/>
  <c r="AH31" i="24"/>
  <c r="AH35" i="24"/>
  <c r="AK35" i="24" s="1"/>
  <c r="AH23" i="24"/>
  <c r="AH33" i="24"/>
  <c r="AJ37" i="24"/>
  <c r="AJ29" i="24"/>
  <c r="AJ28" i="24"/>
  <c r="AJ24" i="24"/>
  <c r="AJ33" i="24"/>
  <c r="AJ30" i="24"/>
  <c r="AJ35" i="24"/>
  <c r="AJ23" i="24"/>
  <c r="AJ25" i="24"/>
  <c r="AJ36" i="24"/>
  <c r="AJ34" i="24"/>
  <c r="AJ27" i="24"/>
  <c r="AJ26" i="24"/>
  <c r="AJ31" i="24"/>
  <c r="AJ32" i="24"/>
  <c r="AC19" i="15"/>
  <c r="AK28" i="20"/>
  <c r="J13" i="2"/>
  <c r="H12" i="21"/>
  <c r="G12" i="21"/>
  <c r="AI18" i="15"/>
  <c r="AJ18" i="15"/>
  <c r="AJ126" i="15" s="1"/>
  <c r="A14" i="21"/>
  <c r="A62" i="9"/>
  <c r="A22" i="11" s="1"/>
  <c r="N14" i="2"/>
  <c r="E62" i="9" s="1"/>
  <c r="E14" i="2"/>
  <c r="A15" i="2"/>
  <c r="D14" i="2"/>
  <c r="P14" i="2"/>
  <c r="C14" i="2"/>
  <c r="B14" i="2"/>
  <c r="AF10" i="17"/>
  <c r="AK30" i="20"/>
  <c r="AK27" i="20"/>
  <c r="AN16" i="20" s="1"/>
  <c r="AN23" i="20" l="1"/>
  <c r="AN24" i="20"/>
  <c r="A32" i="22"/>
  <c r="B14" i="21"/>
  <c r="O13" i="2"/>
  <c r="AK30" i="24"/>
  <c r="AK29" i="24"/>
  <c r="AK160" i="17"/>
  <c r="AK255" i="17"/>
  <c r="AK167" i="17"/>
  <c r="AK166" i="17"/>
  <c r="AK202" i="17"/>
  <c r="AK219" i="17"/>
  <c r="AK165" i="17"/>
  <c r="AK251" i="17"/>
  <c r="AK262" i="17"/>
  <c r="AK193" i="17"/>
  <c r="AK254" i="17"/>
  <c r="AK199" i="17"/>
  <c r="AK180" i="17"/>
  <c r="AK172" i="17"/>
  <c r="AK171" i="17"/>
  <c r="AK213" i="17"/>
  <c r="AK169" i="17"/>
  <c r="AK194" i="17"/>
  <c r="AK261" i="17"/>
  <c r="AK240" i="17"/>
  <c r="AK215" i="17"/>
  <c r="AK153" i="17"/>
  <c r="AK208" i="17"/>
  <c r="AK200" i="17"/>
  <c r="AK185" i="17"/>
  <c r="AK250" i="17"/>
  <c r="AK226" i="17"/>
  <c r="AK162" i="17"/>
  <c r="AK217" i="17"/>
  <c r="AK177" i="17"/>
  <c r="AK182" i="17"/>
  <c r="AK176" i="17"/>
  <c r="AK244" i="17"/>
  <c r="AK229" i="17"/>
  <c r="AK147" i="17"/>
  <c r="AK154" i="17"/>
  <c r="AK227" i="17"/>
  <c r="AK216" i="17"/>
  <c r="AK155" i="17"/>
  <c r="AK234" i="17"/>
  <c r="AK210" i="17"/>
  <c r="AK205" i="17"/>
  <c r="AK220" i="17"/>
  <c r="AK209" i="17"/>
  <c r="AK198" i="17"/>
  <c r="AK186" i="17"/>
  <c r="AK175" i="17"/>
  <c r="AK179" i="17"/>
  <c r="AK246" i="17"/>
  <c r="AK187" i="17"/>
  <c r="AK237" i="17"/>
  <c r="AK231" i="17"/>
  <c r="AK158" i="17"/>
  <c r="AK233" i="17"/>
  <c r="AK256" i="17"/>
  <c r="AK196" i="17"/>
  <c r="AK206" i="17"/>
  <c r="AK191" i="17"/>
  <c r="AK218" i="17"/>
  <c r="AK259" i="17"/>
  <c r="AK235" i="17"/>
  <c r="AK148" i="17"/>
  <c r="AK243" i="17"/>
  <c r="AK190" i="17"/>
  <c r="AK224" i="17"/>
  <c r="AK163" i="17"/>
  <c r="AK192" i="17"/>
  <c r="AK238" i="17"/>
  <c r="AK170" i="17"/>
  <c r="AK252" i="17"/>
  <c r="AK253" i="17"/>
  <c r="AK257" i="17"/>
  <c r="AK164" i="17"/>
  <c r="AK149" i="17"/>
  <c r="AK151" i="17"/>
  <c r="AK184" i="17"/>
  <c r="AK245" i="17"/>
  <c r="AK214" i="17"/>
  <c r="AK212" i="17"/>
  <c r="AK157" i="17"/>
  <c r="AK249" i="17"/>
  <c r="AK242" i="17"/>
  <c r="AK181" i="17"/>
  <c r="AK223" i="17"/>
  <c r="AK228" i="17"/>
  <c r="AK173" i="17"/>
  <c r="AK178" i="17"/>
  <c r="AK232" i="17"/>
  <c r="AK241" i="17"/>
  <c r="AK156" i="17"/>
  <c r="AK189" i="17"/>
  <c r="AK174" i="17"/>
  <c r="AK201" i="17"/>
  <c r="AK188" i="17"/>
  <c r="AK258" i="17"/>
  <c r="AK168" i="17"/>
  <c r="AK225" i="17"/>
  <c r="AK152" i="17"/>
  <c r="AK239" i="17"/>
  <c r="AK247" i="17"/>
  <c r="AK146" i="17"/>
  <c r="AK183" i="17"/>
  <c r="AK150" i="17"/>
  <c r="AK221" i="17"/>
  <c r="AK203" i="17"/>
  <c r="AK260" i="17"/>
  <c r="AK222" i="17"/>
  <c r="AK204" i="17"/>
  <c r="AK211" i="17"/>
  <c r="AK248" i="17"/>
  <c r="AK230" i="17"/>
  <c r="AK236" i="17"/>
  <c r="AK197" i="17"/>
  <c r="AK159" i="17"/>
  <c r="AK161" i="17"/>
  <c r="AK207" i="17"/>
  <c r="AK195" i="17"/>
  <c r="AM16" i="20"/>
  <c r="AH19" i="20"/>
  <c r="L13" i="2"/>
  <c r="I13" i="2"/>
  <c r="F13" i="21" s="1"/>
  <c r="AJ67" i="15"/>
  <c r="AJ99" i="15"/>
  <c r="AJ79" i="15"/>
  <c r="AJ128" i="15"/>
  <c r="AJ85" i="15"/>
  <c r="AJ82" i="15"/>
  <c r="AJ61" i="15"/>
  <c r="AJ120" i="15"/>
  <c r="AJ111" i="15"/>
  <c r="AJ78" i="15"/>
  <c r="AJ46" i="15"/>
  <c r="AJ139" i="15"/>
  <c r="AJ83" i="15"/>
  <c r="E14" i="21"/>
  <c r="J14" i="21" s="1"/>
  <c r="D62" i="9"/>
  <c r="H14" i="2"/>
  <c r="AK31" i="24"/>
  <c r="AK32" i="24"/>
  <c r="AK36" i="24"/>
  <c r="AN386" i="17"/>
  <c r="AN291" i="17"/>
  <c r="AN328" i="17"/>
  <c r="AN313" i="17"/>
  <c r="AN333" i="17"/>
  <c r="AN280" i="17"/>
  <c r="AN331" i="17"/>
  <c r="AN380" i="17"/>
  <c r="AN353" i="17"/>
  <c r="AN290" i="17"/>
  <c r="AN334" i="17"/>
  <c r="AN387" i="17"/>
  <c r="AN371" i="17"/>
  <c r="AN340" i="17"/>
  <c r="AN329" i="17"/>
  <c r="AN305" i="17"/>
  <c r="AN373" i="17"/>
  <c r="AN344" i="17"/>
  <c r="AN312" i="17"/>
  <c r="AN325" i="17"/>
  <c r="AN389" i="17"/>
  <c r="AN357" i="17"/>
  <c r="AN356" i="17"/>
  <c r="AN362" i="17"/>
  <c r="AN286" i="17"/>
  <c r="AN308" i="17"/>
  <c r="AN294" i="17"/>
  <c r="AN319" i="17"/>
  <c r="AN284" i="17"/>
  <c r="AN281" i="17"/>
  <c r="AN354" i="17"/>
  <c r="AN366" i="17"/>
  <c r="AN298" i="17"/>
  <c r="AN297" i="17"/>
  <c r="AN348" i="17"/>
  <c r="AN393" i="17"/>
  <c r="AN365" i="17"/>
  <c r="AN341" i="17"/>
  <c r="AN336" i="17"/>
  <c r="AN283" i="17"/>
  <c r="AN326" i="17"/>
  <c r="AN323" i="17"/>
  <c r="AN369" i="17"/>
  <c r="AN301" i="17"/>
  <c r="AN278" i="17"/>
  <c r="AN372" i="17"/>
  <c r="AN292" i="17"/>
  <c r="AN375" i="17"/>
  <c r="AN293" i="17"/>
  <c r="AN306" i="17"/>
  <c r="AN346" i="17"/>
  <c r="AN318" i="17"/>
  <c r="AN352" i="17"/>
  <c r="AN335" i="17"/>
  <c r="AN363" i="17"/>
  <c r="AN302" i="17"/>
  <c r="AN304" i="17"/>
  <c r="AN359" i="17"/>
  <c r="AN355" i="17"/>
  <c r="AN321" i="17"/>
  <c r="AN345" i="17"/>
  <c r="AN320" i="17"/>
  <c r="AN289" i="17"/>
  <c r="AN287" i="17"/>
  <c r="AN349" i="17"/>
  <c r="AN391" i="17"/>
  <c r="AN310" i="17"/>
  <c r="AN314" i="17"/>
  <c r="AN279" i="17"/>
  <c r="AN342" i="17"/>
  <c r="AN377" i="17"/>
  <c r="AN343" i="17"/>
  <c r="AN378" i="17"/>
  <c r="AN295" i="17"/>
  <c r="AN327" i="17"/>
  <c r="AN376" i="17"/>
  <c r="AN374" i="17"/>
  <c r="AN315" i="17"/>
  <c r="AN307" i="17"/>
  <c r="AN299" i="17"/>
  <c r="AN360" i="17"/>
  <c r="AN385" i="17"/>
  <c r="AN361" i="17"/>
  <c r="AN337" i="17"/>
  <c r="AN288" i="17"/>
  <c r="AN367" i="17"/>
  <c r="AN390" i="17"/>
  <c r="AN382" i="17"/>
  <c r="AN392" i="17"/>
  <c r="AN351" i="17"/>
  <c r="AN347" i="17"/>
  <c r="AN309" i="17"/>
  <c r="AN282" i="17"/>
  <c r="AN384" i="17"/>
  <c r="AN381" i="17"/>
  <c r="AN322" i="17"/>
  <c r="AN388" i="17"/>
  <c r="AN383" i="17"/>
  <c r="AN370" i="17"/>
  <c r="AN330" i="17"/>
  <c r="AN364" i="17"/>
  <c r="AN277" i="17"/>
  <c r="AN311" i="17"/>
  <c r="AN338" i="17"/>
  <c r="AN317" i="17"/>
  <c r="AN300" i="17"/>
  <c r="AN339" i="17"/>
  <c r="AN316" i="17"/>
  <c r="AN303" i="17"/>
  <c r="AN368" i="17"/>
  <c r="AN285" i="17"/>
  <c r="AN358" i="17"/>
  <c r="AN379" i="17"/>
  <c r="AN332" i="17"/>
  <c r="AN324" i="17"/>
  <c r="AN350" i="17"/>
  <c r="AN296" i="17"/>
  <c r="AP386" i="17"/>
  <c r="AP291" i="17"/>
  <c r="AP331" i="17"/>
  <c r="AP290" i="17"/>
  <c r="AP334" i="17"/>
  <c r="AP300" i="17"/>
  <c r="AP369" i="17"/>
  <c r="AP357" i="17"/>
  <c r="AP362" i="17"/>
  <c r="AP332" i="17"/>
  <c r="AP286" i="17"/>
  <c r="AP376" i="17"/>
  <c r="AP293" i="17"/>
  <c r="AP349" i="17"/>
  <c r="AP294" i="17"/>
  <c r="AP307" i="17"/>
  <c r="AP360" i="17"/>
  <c r="AP354" i="17"/>
  <c r="AP366" i="17"/>
  <c r="AP298" i="17"/>
  <c r="AP316" i="17"/>
  <c r="AP335" i="17"/>
  <c r="AP328" i="17"/>
  <c r="AP313" i="17"/>
  <c r="AP280" i="17"/>
  <c r="AP380" i="17"/>
  <c r="AP340" i="17"/>
  <c r="AP329" i="17"/>
  <c r="AP283" i="17"/>
  <c r="AP326" i="17"/>
  <c r="AP317" i="17"/>
  <c r="AP344" i="17"/>
  <c r="AP312" i="17"/>
  <c r="AP356" i="17"/>
  <c r="AP321" i="17"/>
  <c r="AP278" i="17"/>
  <c r="AP339" i="17"/>
  <c r="AP289" i="17"/>
  <c r="AP375" i="17"/>
  <c r="AP308" i="17"/>
  <c r="AP287" i="17"/>
  <c r="AP306" i="17"/>
  <c r="AP346" i="17"/>
  <c r="AP392" i="17"/>
  <c r="AP284" i="17"/>
  <c r="AP318" i="17"/>
  <c r="AP281" i="17"/>
  <c r="AP297" i="17"/>
  <c r="AP348" i="17"/>
  <c r="AP363" i="17"/>
  <c r="AP302" i="17"/>
  <c r="AP333" i="17"/>
  <c r="AP393" i="17"/>
  <c r="AP341" i="17"/>
  <c r="AP359" i="17"/>
  <c r="AP336" i="17"/>
  <c r="AP387" i="17"/>
  <c r="AP355" i="17"/>
  <c r="AP373" i="17"/>
  <c r="AP325" i="17"/>
  <c r="AP309" i="17"/>
  <c r="AP372" i="17"/>
  <c r="AP292" i="17"/>
  <c r="AP391" i="17"/>
  <c r="AP310" i="17"/>
  <c r="AP314" i="17"/>
  <c r="AP352" i="17"/>
  <c r="AP279" i="17"/>
  <c r="AP342" i="17"/>
  <c r="AP343" i="17"/>
  <c r="AP371" i="17"/>
  <c r="AP305" i="17"/>
  <c r="AP378" i="17"/>
  <c r="AP295" i="17"/>
  <c r="AP301" i="17"/>
  <c r="AP347" i="17"/>
  <c r="AP345" i="17"/>
  <c r="AP327" i="17"/>
  <c r="AP320" i="17"/>
  <c r="AP374" i="17"/>
  <c r="AP324" i="17"/>
  <c r="AP285" i="17"/>
  <c r="AP296" i="17"/>
  <c r="AP390" i="17"/>
  <c r="AP364" i="17"/>
  <c r="AP382" i="17"/>
  <c r="AP277" i="17"/>
  <c r="AP381" i="17"/>
  <c r="AP337" i="17"/>
  <c r="AP368" i="17"/>
  <c r="AP350" i="17"/>
  <c r="AP282" i="17"/>
  <c r="AP377" i="17"/>
  <c r="AP303" i="17"/>
  <c r="AP361" i="17"/>
  <c r="AP322" i="17"/>
  <c r="AP288" i="17"/>
  <c r="AP383" i="17"/>
  <c r="AP365" i="17"/>
  <c r="AP353" i="17"/>
  <c r="AP370" i="17"/>
  <c r="AP315" i="17"/>
  <c r="AP299" i="17"/>
  <c r="AP330" i="17"/>
  <c r="AP385" i="17"/>
  <c r="AP367" i="17"/>
  <c r="AP304" i="17"/>
  <c r="AP311" i="17"/>
  <c r="AP338" i="17"/>
  <c r="AP389" i="17"/>
  <c r="AP379" i="17"/>
  <c r="AP319" i="17"/>
  <c r="AP384" i="17"/>
  <c r="AP351" i="17"/>
  <c r="AP388" i="17"/>
  <c r="AP323" i="17"/>
  <c r="AP358" i="17"/>
  <c r="AM291" i="17"/>
  <c r="AM386" i="17"/>
  <c r="AM343" i="17"/>
  <c r="AM311" i="17"/>
  <c r="AM300" i="17"/>
  <c r="AM369" i="17"/>
  <c r="AM295" i="17"/>
  <c r="AM347" i="17"/>
  <c r="AM357" i="17"/>
  <c r="AM339" i="17"/>
  <c r="AM327" i="17"/>
  <c r="AM362" i="17"/>
  <c r="AM379" i="17"/>
  <c r="AM332" i="17"/>
  <c r="AM376" i="17"/>
  <c r="AM315" i="17"/>
  <c r="AM293" i="17"/>
  <c r="AM349" i="17"/>
  <c r="AM307" i="17"/>
  <c r="AM299" i="17"/>
  <c r="AM360" i="17"/>
  <c r="AM310" i="17"/>
  <c r="AM392" i="17"/>
  <c r="AM298" i="17"/>
  <c r="AM316" i="17"/>
  <c r="AM328" i="17"/>
  <c r="AM313" i="17"/>
  <c r="AM280" i="17"/>
  <c r="AM393" i="17"/>
  <c r="AM331" i="17"/>
  <c r="AM380" i="17"/>
  <c r="AM334" i="17"/>
  <c r="AM387" i="17"/>
  <c r="AM371" i="17"/>
  <c r="AM340" i="17"/>
  <c r="AM329" i="17"/>
  <c r="AM338" i="17"/>
  <c r="AM317" i="17"/>
  <c r="AM344" i="17"/>
  <c r="AM312" i="17"/>
  <c r="AM370" i="17"/>
  <c r="AM356" i="17"/>
  <c r="AM321" i="17"/>
  <c r="AM289" i="17"/>
  <c r="AM286" i="17"/>
  <c r="AM374" i="17"/>
  <c r="AM308" i="17"/>
  <c r="AM294" i="17"/>
  <c r="AM319" i="17"/>
  <c r="AM346" i="17"/>
  <c r="AM284" i="17"/>
  <c r="AM281" i="17"/>
  <c r="AM366" i="17"/>
  <c r="AM297" i="17"/>
  <c r="AM348" i="17"/>
  <c r="AM333" i="17"/>
  <c r="AM341" i="17"/>
  <c r="AM290" i="17"/>
  <c r="AM336" i="17"/>
  <c r="AM283" i="17"/>
  <c r="AM323" i="17"/>
  <c r="AM373" i="17"/>
  <c r="AM325" i="17"/>
  <c r="AM278" i="17"/>
  <c r="AM309" i="17"/>
  <c r="AM372" i="17"/>
  <c r="AM292" i="17"/>
  <c r="AM358" i="17"/>
  <c r="AM375" i="17"/>
  <c r="AM314" i="17"/>
  <c r="AM318" i="17"/>
  <c r="AM354" i="17"/>
  <c r="AM352" i="17"/>
  <c r="AM335" i="17"/>
  <c r="AM363" i="17"/>
  <c r="AM302" i="17"/>
  <c r="AM305" i="17"/>
  <c r="AM378" i="17"/>
  <c r="AM301" i="17"/>
  <c r="AM345" i="17"/>
  <c r="AM320" i="17"/>
  <c r="AM287" i="17"/>
  <c r="AM330" i="17"/>
  <c r="AM342" i="17"/>
  <c r="AM377" i="17"/>
  <c r="AM324" i="17"/>
  <c r="AM351" i="17"/>
  <c r="AM285" i="17"/>
  <c r="AM350" i="17"/>
  <c r="AM296" i="17"/>
  <c r="AM364" i="17"/>
  <c r="AM277" i="17"/>
  <c r="AM381" i="17"/>
  <c r="AM337" i="17"/>
  <c r="AM368" i="17"/>
  <c r="AM383" i="17"/>
  <c r="AM359" i="17"/>
  <c r="AM326" i="17"/>
  <c r="AM306" i="17"/>
  <c r="AM282" i="17"/>
  <c r="AM279" i="17"/>
  <c r="AM361" i="17"/>
  <c r="AM288" i="17"/>
  <c r="AM367" i="17"/>
  <c r="AM390" i="17"/>
  <c r="AM382" i="17"/>
  <c r="AM353" i="17"/>
  <c r="AM391" i="17"/>
  <c r="AM385" i="17"/>
  <c r="AM303" i="17"/>
  <c r="AM322" i="17"/>
  <c r="AM304" i="17"/>
  <c r="AM355" i="17"/>
  <c r="AM389" i="17"/>
  <c r="AM384" i="17"/>
  <c r="AM388" i="17"/>
  <c r="AM365" i="17"/>
  <c r="AK20" i="20"/>
  <c r="AO17" i="20"/>
  <c r="AM17" i="20"/>
  <c r="AJ84" i="15"/>
  <c r="AJ129" i="15"/>
  <c r="AJ59" i="15"/>
  <c r="AJ101" i="15"/>
  <c r="AJ94" i="15"/>
  <c r="AJ76" i="15"/>
  <c r="AJ117" i="15"/>
  <c r="AJ122" i="15"/>
  <c r="AJ53" i="15"/>
  <c r="AJ34" i="15"/>
  <c r="AJ26" i="15"/>
  <c r="AJ96" i="15"/>
  <c r="AJ127" i="15"/>
  <c r="AJ131" i="15"/>
  <c r="AJ130" i="15"/>
  <c r="AJ43" i="15"/>
  <c r="AJ114" i="15"/>
  <c r="AJ23" i="15"/>
  <c r="AJ29" i="15"/>
  <c r="AJ77" i="15"/>
  <c r="AJ36" i="15"/>
  <c r="AJ95" i="15"/>
  <c r="AJ86" i="15"/>
  <c r="AJ72" i="15"/>
  <c r="AJ110" i="15"/>
  <c r="AJ103" i="15"/>
  <c r="AJ104" i="15"/>
  <c r="AJ60" i="15"/>
  <c r="AJ132" i="15"/>
  <c r="AR517" i="17"/>
  <c r="AR422" i="17"/>
  <c r="AR429" i="17"/>
  <c r="AR435" i="17"/>
  <c r="AR501" i="17"/>
  <c r="AR491" i="17"/>
  <c r="AR415" i="17"/>
  <c r="AR425" i="17"/>
  <c r="AR446" i="17"/>
  <c r="AR483" i="17"/>
  <c r="AR468" i="17"/>
  <c r="AR471" i="17"/>
  <c r="AR432" i="17"/>
  <c r="AR424" i="17"/>
  <c r="AR484" i="17"/>
  <c r="AR522" i="17"/>
  <c r="AR504" i="17"/>
  <c r="AR488" i="17"/>
  <c r="AR508" i="17"/>
  <c r="AR474" i="17"/>
  <c r="AR421" i="17"/>
  <c r="AR512" i="17"/>
  <c r="AR518" i="17"/>
  <c r="AR410" i="17"/>
  <c r="AR515" i="17"/>
  <c r="AR503" i="17"/>
  <c r="AR418" i="17"/>
  <c r="AR414" i="17"/>
  <c r="AR478" i="17"/>
  <c r="AR450" i="17"/>
  <c r="AR498" i="17"/>
  <c r="AR431" i="17"/>
  <c r="AR514" i="17"/>
  <c r="AR513" i="17"/>
  <c r="AR516" i="17"/>
  <c r="AR499" i="17"/>
  <c r="AR416" i="17"/>
  <c r="AR436" i="17"/>
  <c r="AR509" i="17"/>
  <c r="AR520" i="17"/>
  <c r="AR473" i="17"/>
  <c r="AR434" i="17"/>
  <c r="AR451" i="17"/>
  <c r="AR475" i="17"/>
  <c r="AR430" i="17"/>
  <c r="AR476" i="17"/>
  <c r="AR524" i="17"/>
  <c r="AR441" i="17"/>
  <c r="AR453" i="17"/>
  <c r="AR462" i="17"/>
  <c r="AR413" i="17"/>
  <c r="AR523" i="17"/>
  <c r="AR466" i="17"/>
  <c r="AR419" i="17"/>
  <c r="AR444" i="17"/>
  <c r="AR423" i="17"/>
  <c r="AR437" i="17"/>
  <c r="AR440" i="17"/>
  <c r="AR490" i="17"/>
  <c r="AR519" i="17"/>
  <c r="AR469" i="17"/>
  <c r="AR427" i="17"/>
  <c r="AR457" i="17"/>
  <c r="AR495" i="17"/>
  <c r="AR408" i="17"/>
  <c r="AR511" i="17"/>
  <c r="AR482" i="17"/>
  <c r="AR443" i="17"/>
  <c r="AR455" i="17"/>
  <c r="AR465" i="17"/>
  <c r="AR492" i="17"/>
  <c r="AR428" i="17"/>
  <c r="AR507" i="17"/>
  <c r="AR409" i="17"/>
  <c r="AR477" i="17"/>
  <c r="AR452" i="17"/>
  <c r="AR510" i="17"/>
  <c r="AR472" i="17"/>
  <c r="AR459" i="17"/>
  <c r="AR502" i="17"/>
  <c r="AR464" i="17"/>
  <c r="AR493" i="17"/>
  <c r="AR420" i="17"/>
  <c r="AR454" i="17"/>
  <c r="AR479" i="17"/>
  <c r="AR447" i="17"/>
  <c r="AR485" i="17"/>
  <c r="AR458" i="17"/>
  <c r="AR417" i="17"/>
  <c r="AR467" i="17"/>
  <c r="AR505" i="17"/>
  <c r="AR433" i="17"/>
  <c r="AR463" i="17"/>
  <c r="AR500" i="17"/>
  <c r="AR521" i="17"/>
  <c r="AR445" i="17"/>
  <c r="AR497" i="17"/>
  <c r="AR442" i="17"/>
  <c r="AR439" i="17"/>
  <c r="AR480" i="17"/>
  <c r="AR426" i="17"/>
  <c r="AR506" i="17"/>
  <c r="AR456" i="17"/>
  <c r="AR481" i="17"/>
  <c r="AR412" i="17"/>
  <c r="AR494" i="17"/>
  <c r="AR460" i="17"/>
  <c r="AR489" i="17"/>
  <c r="AR470" i="17"/>
  <c r="AR496" i="17"/>
  <c r="AR448" i="17"/>
  <c r="AR449" i="17"/>
  <c r="AR461" i="17"/>
  <c r="AR486" i="17"/>
  <c r="AR438" i="17"/>
  <c r="AR411" i="17"/>
  <c r="AR487" i="17"/>
  <c r="AQ422" i="17"/>
  <c r="AQ517" i="17"/>
  <c r="AQ435" i="17"/>
  <c r="AQ518" i="17"/>
  <c r="AQ453" i="17"/>
  <c r="AQ491" i="17"/>
  <c r="AQ413" i="17"/>
  <c r="AQ444" i="17"/>
  <c r="AQ437" i="17"/>
  <c r="AQ463" i="17"/>
  <c r="AQ478" i="17"/>
  <c r="AQ496" i="17"/>
  <c r="AQ440" i="17"/>
  <c r="AQ483" i="17"/>
  <c r="AQ471" i="17"/>
  <c r="AQ516" i="17"/>
  <c r="AQ416" i="17"/>
  <c r="AQ519" i="17"/>
  <c r="AQ469" i="17"/>
  <c r="AQ457" i="17"/>
  <c r="AQ504" i="17"/>
  <c r="AQ510" i="17"/>
  <c r="AQ495" i="17"/>
  <c r="AQ511" i="17"/>
  <c r="AQ430" i="17"/>
  <c r="AQ512" i="17"/>
  <c r="AQ465" i="17"/>
  <c r="AQ492" i="17"/>
  <c r="AQ524" i="17"/>
  <c r="AQ428" i="17"/>
  <c r="AQ409" i="17"/>
  <c r="AQ477" i="17"/>
  <c r="AQ411" i="17"/>
  <c r="AQ505" i="17"/>
  <c r="AQ462" i="17"/>
  <c r="AQ452" i="17"/>
  <c r="AQ433" i="17"/>
  <c r="AQ418" i="17"/>
  <c r="AQ450" i="17"/>
  <c r="AQ481" i="17"/>
  <c r="AQ522" i="17"/>
  <c r="AQ520" i="17"/>
  <c r="AQ434" i="17"/>
  <c r="AQ451" i="17"/>
  <c r="AQ521" i="17"/>
  <c r="AQ448" i="17"/>
  <c r="AQ475" i="17"/>
  <c r="AQ507" i="17"/>
  <c r="AQ429" i="17"/>
  <c r="AQ501" i="17"/>
  <c r="AQ523" i="17"/>
  <c r="AQ515" i="17"/>
  <c r="AQ466" i="17"/>
  <c r="AQ419" i="17"/>
  <c r="AQ423" i="17"/>
  <c r="AQ414" i="17"/>
  <c r="AQ425" i="17"/>
  <c r="AQ468" i="17"/>
  <c r="AQ498" i="17"/>
  <c r="AQ500" i="17"/>
  <c r="AQ432" i="17"/>
  <c r="AQ514" i="17"/>
  <c r="AQ424" i="17"/>
  <c r="AQ484" i="17"/>
  <c r="AQ490" i="17"/>
  <c r="AQ427" i="17"/>
  <c r="AQ408" i="17"/>
  <c r="AQ412" i="17"/>
  <c r="AQ494" i="17"/>
  <c r="AQ482" i="17"/>
  <c r="AQ443" i="17"/>
  <c r="AQ488" i="17"/>
  <c r="AQ474" i="17"/>
  <c r="AQ421" i="17"/>
  <c r="AQ455" i="17"/>
  <c r="AQ415" i="17"/>
  <c r="AQ503" i="17"/>
  <c r="AQ431" i="17"/>
  <c r="AQ441" i="17"/>
  <c r="AQ449" i="17"/>
  <c r="AQ459" i="17"/>
  <c r="AQ461" i="17"/>
  <c r="AQ458" i="17"/>
  <c r="AQ502" i="17"/>
  <c r="AQ454" i="17"/>
  <c r="AQ456" i="17"/>
  <c r="AQ445" i="17"/>
  <c r="AQ497" i="17"/>
  <c r="AQ480" i="17"/>
  <c r="AQ467" i="17"/>
  <c r="AQ410" i="17"/>
  <c r="AQ473" i="17"/>
  <c r="AQ479" i="17"/>
  <c r="AQ447" i="17"/>
  <c r="AQ485" i="17"/>
  <c r="AQ439" i="17"/>
  <c r="AQ460" i="17"/>
  <c r="AQ489" i="17"/>
  <c r="AQ426" i="17"/>
  <c r="AQ417" i="17"/>
  <c r="AQ506" i="17"/>
  <c r="AQ446" i="17"/>
  <c r="AQ513" i="17"/>
  <c r="AQ499" i="17"/>
  <c r="AQ509" i="17"/>
  <c r="AQ487" i="17"/>
  <c r="AQ436" i="17"/>
  <c r="AQ508" i="17"/>
  <c r="AQ476" i="17"/>
  <c r="AQ472" i="17"/>
  <c r="AQ442" i="17"/>
  <c r="AQ464" i="17"/>
  <c r="AQ486" i="17"/>
  <c r="AQ493" i="17"/>
  <c r="AQ420" i="17"/>
  <c r="AQ438" i="17"/>
  <c r="AQ470" i="17"/>
  <c r="AL386" i="17"/>
  <c r="AL291" i="17"/>
  <c r="AL365" i="17"/>
  <c r="AL304" i="17"/>
  <c r="AL343" i="17"/>
  <c r="AL353" i="17"/>
  <c r="AL359" i="17"/>
  <c r="AL338" i="17"/>
  <c r="AQ338" i="17" s="1"/>
  <c r="AL323" i="17"/>
  <c r="AL305" i="17"/>
  <c r="AL378" i="17"/>
  <c r="AL295" i="17"/>
  <c r="AQ295" i="17" s="1"/>
  <c r="AL301" i="17"/>
  <c r="AL347" i="17"/>
  <c r="AL389" i="17"/>
  <c r="AL370" i="17"/>
  <c r="AQ370" i="17" s="1"/>
  <c r="AL345" i="17"/>
  <c r="AL320" i="17"/>
  <c r="AL358" i="17"/>
  <c r="AL379" i="17"/>
  <c r="AQ379" i="17" s="1"/>
  <c r="AL374" i="17"/>
  <c r="AL315" i="17"/>
  <c r="AL391" i="17"/>
  <c r="AL299" i="17"/>
  <c r="AQ299" i="17" s="1"/>
  <c r="AL319" i="17"/>
  <c r="AL282" i="17"/>
  <c r="AL330" i="17"/>
  <c r="AL279" i="17"/>
  <c r="AQ279" i="17" s="1"/>
  <c r="AL377" i="17"/>
  <c r="AL393" i="17"/>
  <c r="AL331" i="17"/>
  <c r="AL290" i="17"/>
  <c r="AQ290" i="17" s="1"/>
  <c r="AL334" i="17"/>
  <c r="AL355" i="17"/>
  <c r="AL300" i="17"/>
  <c r="AL369" i="17"/>
  <c r="AL357" i="17"/>
  <c r="AL327" i="17"/>
  <c r="AL362" i="17"/>
  <c r="AL332" i="17"/>
  <c r="AQ332" i="17" s="1"/>
  <c r="AL375" i="17"/>
  <c r="AL286" i="17"/>
  <c r="AL376" i="17"/>
  <c r="AL293" i="17"/>
  <c r="AL349" i="17"/>
  <c r="AL294" i="17"/>
  <c r="AL360" i="17"/>
  <c r="AL354" i="17"/>
  <c r="AQ354" i="17" s="1"/>
  <c r="AL366" i="17"/>
  <c r="AL298" i="17"/>
  <c r="AL335" i="17"/>
  <c r="AL328" i="17"/>
  <c r="AQ328" i="17" s="1"/>
  <c r="AL313" i="17"/>
  <c r="AL280" i="17"/>
  <c r="AL380" i="17"/>
  <c r="AL311" i="17"/>
  <c r="AL340" i="17"/>
  <c r="AL329" i="17"/>
  <c r="AL283" i="17"/>
  <c r="AL326" i="17"/>
  <c r="AL317" i="17"/>
  <c r="AL344" i="17"/>
  <c r="AL312" i="17"/>
  <c r="AL356" i="17"/>
  <c r="AQ356" i="17" s="1"/>
  <c r="AL321" i="17"/>
  <c r="AL278" i="17"/>
  <c r="AL339" i="17"/>
  <c r="AL289" i="17"/>
  <c r="AL308" i="17"/>
  <c r="AL287" i="17"/>
  <c r="AL307" i="17"/>
  <c r="AL306" i="17"/>
  <c r="AL346" i="17"/>
  <c r="AL392" i="17"/>
  <c r="AL284" i="17"/>
  <c r="AL318" i="17"/>
  <c r="AQ318" i="17" s="1"/>
  <c r="AL281" i="17"/>
  <c r="AL297" i="17"/>
  <c r="AL363" i="17"/>
  <c r="AL387" i="17"/>
  <c r="AQ387" i="17" s="1"/>
  <c r="AL309" i="17"/>
  <c r="AL292" i="17"/>
  <c r="AL352" i="17"/>
  <c r="AL316" i="17"/>
  <c r="AL381" i="17"/>
  <c r="AL385" i="17"/>
  <c r="AL337" i="17"/>
  <c r="AL368" i="17"/>
  <c r="AL350" i="17"/>
  <c r="AL367" i="17"/>
  <c r="AL384" i="17"/>
  <c r="AL351" i="17"/>
  <c r="AL371" i="17"/>
  <c r="AL372" i="17"/>
  <c r="AL324" i="17"/>
  <c r="AL285" i="17"/>
  <c r="AQ285" i="17" s="1"/>
  <c r="AL296" i="17"/>
  <c r="AL390" i="17"/>
  <c r="AL364" i="17"/>
  <c r="AL382" i="17"/>
  <c r="AL277" i="17"/>
  <c r="AL348" i="17"/>
  <c r="AL341" i="17"/>
  <c r="AL310" i="17"/>
  <c r="AQ310" i="17" s="1"/>
  <c r="AL314" i="17"/>
  <c r="AL388" i="17"/>
  <c r="AL302" i="17"/>
  <c r="AL333" i="17"/>
  <c r="AQ333" i="17" s="1"/>
  <c r="AL336" i="17"/>
  <c r="AL325" i="17"/>
  <c r="AL342" i="17"/>
  <c r="AL303" i="17"/>
  <c r="AL361" i="17"/>
  <c r="AL322" i="17"/>
  <c r="AL288" i="17"/>
  <c r="AL383" i="17"/>
  <c r="AQ383" i="17" s="1"/>
  <c r="AL373" i="17"/>
  <c r="AJ160" i="17"/>
  <c r="AJ255" i="17"/>
  <c r="AJ185" i="17"/>
  <c r="AN185" i="17" s="1"/>
  <c r="AJ250" i="17"/>
  <c r="AJ167" i="17"/>
  <c r="AJ226" i="17"/>
  <c r="AJ166" i="17"/>
  <c r="AN166" i="17" s="1"/>
  <c r="AJ245" i="17"/>
  <c r="AJ162" i="17"/>
  <c r="AJ217" i="17"/>
  <c r="AJ177" i="17"/>
  <c r="AN177" i="17" s="1"/>
  <c r="AJ219" i="17"/>
  <c r="AJ244" i="17"/>
  <c r="AJ251" i="17"/>
  <c r="AJ262" i="17"/>
  <c r="AN262" i="17" s="1"/>
  <c r="AJ254" i="17"/>
  <c r="AJ199" i="17"/>
  <c r="AJ154" i="17"/>
  <c r="AJ152" i="17"/>
  <c r="AJ234" i="17"/>
  <c r="AJ210" i="17"/>
  <c r="AJ205" i="17"/>
  <c r="AJ171" i="17"/>
  <c r="AN171" i="17" s="1"/>
  <c r="AJ220" i="17"/>
  <c r="AJ209" i="17"/>
  <c r="AJ186" i="17"/>
  <c r="AJ181" i="17"/>
  <c r="AN181" i="17" s="1"/>
  <c r="AJ237" i="17"/>
  <c r="AJ233" i="17"/>
  <c r="AJ184" i="17"/>
  <c r="AJ215" i="17"/>
  <c r="AN215" i="17" s="1"/>
  <c r="AJ200" i="17"/>
  <c r="AJ196" i="17"/>
  <c r="AJ182" i="17"/>
  <c r="AJ218" i="17"/>
  <c r="AJ248" i="17"/>
  <c r="AJ147" i="17"/>
  <c r="AJ227" i="17"/>
  <c r="AJ155" i="17"/>
  <c r="AN155" i="17" s="1"/>
  <c r="AJ148" i="17"/>
  <c r="AJ198" i="17"/>
  <c r="AJ175" i="17"/>
  <c r="AJ213" i="17"/>
  <c r="AN213" i="17" s="1"/>
  <c r="AJ170" i="17"/>
  <c r="AJ252" i="17"/>
  <c r="AJ179" i="17"/>
  <c r="AJ246" i="17"/>
  <c r="AN246" i="17" s="1"/>
  <c r="AJ253" i="17"/>
  <c r="AJ187" i="17"/>
  <c r="AJ231" i="17"/>
  <c r="AJ257" i="17"/>
  <c r="AJ158" i="17"/>
  <c r="AJ164" i="17"/>
  <c r="AJ197" i="17"/>
  <c r="AJ240" i="17"/>
  <c r="AJ225" i="17"/>
  <c r="AJ206" i="17"/>
  <c r="AJ191" i="17"/>
  <c r="AJ259" i="17"/>
  <c r="AJ176" i="17"/>
  <c r="AJ212" i="17"/>
  <c r="AJ235" i="17"/>
  <c r="AJ157" i="17"/>
  <c r="AJ243" i="17"/>
  <c r="AJ249" i="17"/>
  <c r="AJ190" i="17"/>
  <c r="AJ236" i="17"/>
  <c r="AN236" i="17" s="1"/>
  <c r="AJ163" i="17"/>
  <c r="AJ242" i="17"/>
  <c r="AJ238" i="17"/>
  <c r="AJ261" i="17"/>
  <c r="AN261" i="17" s="1"/>
  <c r="AJ228" i="17"/>
  <c r="AJ146" i="17"/>
  <c r="AJ151" i="17"/>
  <c r="AJ256" i="17"/>
  <c r="AN256" i="17" s="1"/>
  <c r="AJ230" i="17"/>
  <c r="AJ239" i="17"/>
  <c r="AJ247" i="17"/>
  <c r="AJ153" i="17"/>
  <c r="AJ208" i="17"/>
  <c r="AJ232" i="17"/>
  <c r="AJ221" i="17"/>
  <c r="AJ260" i="17"/>
  <c r="AJ174" i="17"/>
  <c r="AJ156" i="17"/>
  <c r="AJ168" i="17"/>
  <c r="AJ211" i="17"/>
  <c r="AN211" i="17" s="1"/>
  <c r="AJ202" i="17"/>
  <c r="AJ216" i="17"/>
  <c r="AJ150" i="17"/>
  <c r="AJ203" i="17"/>
  <c r="AN203" i="17" s="1"/>
  <c r="AJ161" i="17"/>
  <c r="AJ193" i="17"/>
  <c r="AJ180" i="17"/>
  <c r="AJ172" i="17"/>
  <c r="AJ224" i="17"/>
  <c r="AJ223" i="17"/>
  <c r="AJ222" i="17"/>
  <c r="AJ178" i="17"/>
  <c r="AN178" i="17" s="1"/>
  <c r="AJ241" i="17"/>
  <c r="AJ195" i="17"/>
  <c r="AJ201" i="17"/>
  <c r="AJ258" i="17"/>
  <c r="AN258" i="17" s="1"/>
  <c r="AJ214" i="17"/>
  <c r="AJ165" i="17"/>
  <c r="AJ229" i="17"/>
  <c r="AJ169" i="17"/>
  <c r="AN169" i="17" s="1"/>
  <c r="AJ194" i="17"/>
  <c r="AJ149" i="17"/>
  <c r="AJ173" i="17"/>
  <c r="AJ183" i="17"/>
  <c r="AN183" i="17" s="1"/>
  <c r="AJ204" i="17"/>
  <c r="AJ159" i="17"/>
  <c r="AJ207" i="17"/>
  <c r="AJ192" i="17"/>
  <c r="AN192" i="17" s="1"/>
  <c r="AJ189" i="17"/>
  <c r="AJ188" i="17"/>
  <c r="AJ75" i="15"/>
  <c r="AJ73" i="15"/>
  <c r="AJ80" i="15"/>
  <c r="C14" i="21"/>
  <c r="B62" i="9"/>
  <c r="C22" i="11" s="1"/>
  <c r="J14" i="2"/>
  <c r="F14" i="2"/>
  <c r="B22" i="11"/>
  <c r="D22" i="11" s="1"/>
  <c r="E22" i="11" s="1"/>
  <c r="F22" i="11" s="1"/>
  <c r="F62" i="9"/>
  <c r="AK33" i="24"/>
  <c r="AK34" i="24"/>
  <c r="AK26" i="24"/>
  <c r="AK25" i="24"/>
  <c r="AP422" i="17"/>
  <c r="AP517" i="17"/>
  <c r="AP411" i="17"/>
  <c r="AP470" i="17"/>
  <c r="AP410" i="17"/>
  <c r="AP505" i="17"/>
  <c r="AP413" i="17"/>
  <c r="AP415" i="17"/>
  <c r="AP419" i="17"/>
  <c r="AP423" i="17"/>
  <c r="AP446" i="17"/>
  <c r="AP440" i="17"/>
  <c r="AP500" i="17"/>
  <c r="AP416" i="17"/>
  <c r="AP427" i="17"/>
  <c r="AP504" i="17"/>
  <c r="AP509" i="17"/>
  <c r="AP495" i="17"/>
  <c r="AP408" i="17"/>
  <c r="AP473" i="17"/>
  <c r="AP521" i="17"/>
  <c r="AP448" i="17"/>
  <c r="AP443" i="17"/>
  <c r="AP455" i="17"/>
  <c r="AP512" i="17"/>
  <c r="AP441" i="17"/>
  <c r="AP409" i="17"/>
  <c r="AP467" i="17"/>
  <c r="AP518" i="17"/>
  <c r="AP453" i="17"/>
  <c r="AP437" i="17"/>
  <c r="AP463" i="17"/>
  <c r="AP478" i="17"/>
  <c r="AP432" i="17"/>
  <c r="AP469" i="17"/>
  <c r="AP457" i="17"/>
  <c r="AP510" i="17"/>
  <c r="AP430" i="17"/>
  <c r="AP508" i="17"/>
  <c r="AP465" i="17"/>
  <c r="AP477" i="17"/>
  <c r="AP435" i="17"/>
  <c r="AP491" i="17"/>
  <c r="AP462" i="17"/>
  <c r="AP515" i="17"/>
  <c r="AP433" i="17"/>
  <c r="AP503" i="17"/>
  <c r="AP418" i="17"/>
  <c r="AP450" i="17"/>
  <c r="AP496" i="17"/>
  <c r="AP483" i="17"/>
  <c r="AP468" i="17"/>
  <c r="AP471" i="17"/>
  <c r="AP481" i="17"/>
  <c r="AP513" i="17"/>
  <c r="AP424" i="17"/>
  <c r="AP484" i="17"/>
  <c r="AP516" i="17"/>
  <c r="AP499" i="17"/>
  <c r="AP522" i="17"/>
  <c r="AP436" i="17"/>
  <c r="AP520" i="17"/>
  <c r="AP412" i="17"/>
  <c r="AP434" i="17"/>
  <c r="AP488" i="17"/>
  <c r="AP476" i="17"/>
  <c r="AP524" i="17"/>
  <c r="AP429" i="17"/>
  <c r="AP501" i="17"/>
  <c r="AP519" i="17"/>
  <c r="AP511" i="17"/>
  <c r="AP494" i="17"/>
  <c r="AP479" i="17"/>
  <c r="AP460" i="17"/>
  <c r="AP456" i="17"/>
  <c r="AP475" i="17"/>
  <c r="AP447" i="17"/>
  <c r="AP445" i="17"/>
  <c r="AP442" i="17"/>
  <c r="AP486" i="17"/>
  <c r="AP506" i="17"/>
  <c r="AP466" i="17"/>
  <c r="AP425" i="17"/>
  <c r="AP498" i="17"/>
  <c r="AP431" i="17"/>
  <c r="AP490" i="17"/>
  <c r="AP428" i="17"/>
  <c r="AP507" i="17"/>
  <c r="AP449" i="17"/>
  <c r="AP487" i="17"/>
  <c r="AP461" i="17"/>
  <c r="AP458" i="17"/>
  <c r="AP502" i="17"/>
  <c r="AP464" i="17"/>
  <c r="AP454" i="17"/>
  <c r="AP426" i="17"/>
  <c r="AP523" i="17"/>
  <c r="AP452" i="17"/>
  <c r="AP414" i="17"/>
  <c r="AP474" i="17"/>
  <c r="AP492" i="17"/>
  <c r="AP439" i="17"/>
  <c r="AP493" i="17"/>
  <c r="AP438" i="17"/>
  <c r="AP482" i="17"/>
  <c r="AP451" i="17"/>
  <c r="AP421" i="17"/>
  <c r="AP472" i="17"/>
  <c r="AP459" i="17"/>
  <c r="AP485" i="17"/>
  <c r="AP497" i="17"/>
  <c r="AP480" i="17"/>
  <c r="AP420" i="17"/>
  <c r="AP489" i="17"/>
  <c r="AP417" i="17"/>
  <c r="AP444" i="17"/>
  <c r="AP514" i="17"/>
  <c r="AO422" i="17"/>
  <c r="AO517" i="17"/>
  <c r="AO411" i="17"/>
  <c r="AO470" i="17"/>
  <c r="AO415" i="17"/>
  <c r="AO419" i="17"/>
  <c r="AO444" i="17"/>
  <c r="AO423" i="17"/>
  <c r="AO446" i="17"/>
  <c r="AO496" i="17"/>
  <c r="AO440" i="17"/>
  <c r="AO513" i="17"/>
  <c r="AO427" i="17"/>
  <c r="AO509" i="17"/>
  <c r="AO495" i="17"/>
  <c r="AO408" i="17"/>
  <c r="AO443" i="17"/>
  <c r="AO455" i="17"/>
  <c r="AO465" i="17"/>
  <c r="AO492" i="17"/>
  <c r="AO428" i="17"/>
  <c r="AO477" i="17"/>
  <c r="AO467" i="17"/>
  <c r="AO452" i="17"/>
  <c r="AO433" i="17"/>
  <c r="AO414" i="17"/>
  <c r="AO463" i="17"/>
  <c r="AO478" i="17"/>
  <c r="AO481" i="17"/>
  <c r="AO500" i="17"/>
  <c r="AO473" i="17"/>
  <c r="AO412" i="17"/>
  <c r="AO448" i="17"/>
  <c r="AO430" i="17"/>
  <c r="AO421" i="17"/>
  <c r="AO429" i="17"/>
  <c r="AO435" i="17"/>
  <c r="AO518" i="17"/>
  <c r="AO501" i="17"/>
  <c r="AO491" i="17"/>
  <c r="AO505" i="17"/>
  <c r="AO462" i="17"/>
  <c r="AO413" i="17"/>
  <c r="AO515" i="17"/>
  <c r="AO503" i="17"/>
  <c r="AO418" i="17"/>
  <c r="AO450" i="17"/>
  <c r="AO483" i="17"/>
  <c r="AO468" i="17"/>
  <c r="AO471" i="17"/>
  <c r="AO432" i="17"/>
  <c r="AO424" i="17"/>
  <c r="AO484" i="17"/>
  <c r="AO499" i="17"/>
  <c r="AO522" i="17"/>
  <c r="AO504" i="17"/>
  <c r="AO510" i="17"/>
  <c r="AO434" i="17"/>
  <c r="AO521" i="17"/>
  <c r="AO488" i="17"/>
  <c r="AO508" i="17"/>
  <c r="AO512" i="17"/>
  <c r="AO437" i="17"/>
  <c r="AO514" i="17"/>
  <c r="AO469" i="17"/>
  <c r="AO457" i="17"/>
  <c r="AO482" i="17"/>
  <c r="AO451" i="17"/>
  <c r="AO476" i="17"/>
  <c r="AO441" i="17"/>
  <c r="AO409" i="17"/>
  <c r="AO479" i="17"/>
  <c r="AO449" i="17"/>
  <c r="AO485" i="17"/>
  <c r="AO461" i="17"/>
  <c r="AO497" i="17"/>
  <c r="AO456" i="17"/>
  <c r="AO442" i="17"/>
  <c r="AO480" i="17"/>
  <c r="AO523" i="17"/>
  <c r="AO516" i="17"/>
  <c r="AO416" i="17"/>
  <c r="AO436" i="17"/>
  <c r="AO475" i="17"/>
  <c r="AO474" i="17"/>
  <c r="AO487" i="17"/>
  <c r="AO458" i="17"/>
  <c r="AO460" i="17"/>
  <c r="AO454" i="17"/>
  <c r="AO417" i="17"/>
  <c r="AO410" i="17"/>
  <c r="AO431" i="17"/>
  <c r="AO490" i="17"/>
  <c r="AO524" i="17"/>
  <c r="AO439" i="17"/>
  <c r="AO486" i="17"/>
  <c r="AO438" i="17"/>
  <c r="AO498" i="17"/>
  <c r="AO519" i="17"/>
  <c r="AO511" i="17"/>
  <c r="AO494" i="17"/>
  <c r="AO447" i="17"/>
  <c r="AO445" i="17"/>
  <c r="AO472" i="17"/>
  <c r="AO459" i="17"/>
  <c r="AO502" i="17"/>
  <c r="AO464" i="17"/>
  <c r="AO493" i="17"/>
  <c r="AO420" i="17"/>
  <c r="AO489" i="17"/>
  <c r="AO426" i="17"/>
  <c r="AO453" i="17"/>
  <c r="AO466" i="17"/>
  <c r="AO425" i="17"/>
  <c r="AO520" i="17"/>
  <c r="AO507" i="17"/>
  <c r="AO506" i="17"/>
  <c r="AO18" i="20"/>
  <c r="AO16" i="20"/>
  <c r="AN18" i="20"/>
  <c r="G21" i="11"/>
  <c r="AJ121" i="15"/>
  <c r="AJ51" i="15"/>
  <c r="AJ112" i="15"/>
  <c r="AJ115" i="15"/>
  <c r="AJ102" i="15"/>
  <c r="AJ57" i="15"/>
  <c r="AJ24" i="15"/>
  <c r="AJ125" i="15"/>
  <c r="AJ116" i="15"/>
  <c r="AJ134" i="15"/>
  <c r="AJ88" i="15"/>
  <c r="AJ93" i="15"/>
  <c r="AJ90" i="15"/>
  <c r="AJ32" i="15"/>
  <c r="AJ100" i="15"/>
  <c r="AJ138" i="15"/>
  <c r="AJ106" i="15"/>
  <c r="AJ68" i="15"/>
  <c r="AJ31" i="15"/>
  <c r="AJ89" i="15"/>
  <c r="AJ44" i="15"/>
  <c r="AJ50" i="15"/>
  <c r="AJ33" i="15"/>
  <c r="AJ49" i="15"/>
  <c r="AJ28" i="15"/>
  <c r="AJ63" i="15"/>
  <c r="AJ58" i="15"/>
  <c r="AJ38" i="15"/>
  <c r="AJ30" i="15"/>
  <c r="AJ37" i="15"/>
  <c r="A15" i="21"/>
  <c r="B15" i="2"/>
  <c r="A63" i="9"/>
  <c r="A23" i="11" s="1"/>
  <c r="N15" i="2"/>
  <c r="E63" i="9" s="1"/>
  <c r="E15" i="2"/>
  <c r="A16" i="2"/>
  <c r="P15" i="2"/>
  <c r="C15" i="2"/>
  <c r="D15" i="2"/>
  <c r="K15" i="2" s="1"/>
  <c r="AF124" i="17"/>
  <c r="AF29" i="17"/>
  <c r="AH29" i="17" s="1"/>
  <c r="AF130" i="17"/>
  <c r="AF108" i="17"/>
  <c r="AF119" i="17"/>
  <c r="AF27" i="17"/>
  <c r="AH27" i="17" s="1"/>
  <c r="AF32" i="17"/>
  <c r="AF60" i="17"/>
  <c r="AF110" i="17"/>
  <c r="AF84" i="17"/>
  <c r="AF22" i="17"/>
  <c r="AF52" i="17"/>
  <c r="AF65" i="17"/>
  <c r="AF93" i="17"/>
  <c r="AH93" i="17" s="1"/>
  <c r="AF43" i="17"/>
  <c r="AF120" i="17"/>
  <c r="AF122" i="17"/>
  <c r="AF28" i="17"/>
  <c r="AH28" i="17" s="1"/>
  <c r="AF66" i="17"/>
  <c r="AF75" i="17"/>
  <c r="AF95" i="17"/>
  <c r="AF20" i="17"/>
  <c r="AH20" i="17" s="1"/>
  <c r="AF80" i="17"/>
  <c r="AF91" i="17"/>
  <c r="AF17" i="17"/>
  <c r="AF77" i="17"/>
  <c r="AH77" i="17" s="1"/>
  <c r="AF99" i="17"/>
  <c r="AF105" i="17"/>
  <c r="AF34" i="17"/>
  <c r="AF72" i="17"/>
  <c r="AF25" i="17"/>
  <c r="AF57" i="17"/>
  <c r="AF88" i="17"/>
  <c r="AF61" i="17"/>
  <c r="AH61" i="17" s="1"/>
  <c r="AF107" i="17"/>
  <c r="AF35" i="17"/>
  <c r="AF115" i="17"/>
  <c r="AF86" i="17"/>
  <c r="AF94" i="17"/>
  <c r="AF101" i="17"/>
  <c r="AF123" i="17"/>
  <c r="AF18" i="17"/>
  <c r="AH18" i="17" s="1"/>
  <c r="AF131" i="17"/>
  <c r="AF48" i="17"/>
  <c r="AF109" i="17"/>
  <c r="AF54" i="17"/>
  <c r="AH54" i="17" s="1"/>
  <c r="AF47" i="17"/>
  <c r="AF106" i="17"/>
  <c r="AF44" i="17"/>
  <c r="AF121" i="17"/>
  <c r="AF15" i="17"/>
  <c r="AF98" i="17"/>
  <c r="AF30" i="17"/>
  <c r="AF117" i="17"/>
  <c r="AF113" i="17"/>
  <c r="AF114" i="17"/>
  <c r="AF16" i="17"/>
  <c r="AF76" i="17"/>
  <c r="AF64" i="17"/>
  <c r="AF37" i="17"/>
  <c r="AF128" i="17"/>
  <c r="AF70" i="17"/>
  <c r="AH70" i="17" s="1"/>
  <c r="AF63" i="17"/>
  <c r="AF46" i="17"/>
  <c r="AF71" i="17"/>
  <c r="AF69" i="17"/>
  <c r="AH69" i="17" s="1"/>
  <c r="AF103" i="17"/>
  <c r="AF62" i="17"/>
  <c r="AF41" i="17"/>
  <c r="AF26" i="17"/>
  <c r="AH26" i="17" s="1"/>
  <c r="AF126" i="17"/>
  <c r="AF129" i="17"/>
  <c r="AF36" i="17"/>
  <c r="AF49" i="17"/>
  <c r="AH49" i="17" s="1"/>
  <c r="AF78" i="17"/>
  <c r="AF100" i="17"/>
  <c r="AF58" i="17"/>
  <c r="AF45" i="17"/>
  <c r="AH45" i="17" s="1"/>
  <c r="AF116" i="17"/>
  <c r="AF112" i="17"/>
  <c r="AF40" i="17"/>
  <c r="AF89" i="17"/>
  <c r="AH89" i="17" s="1"/>
  <c r="AF23" i="17"/>
  <c r="AF102" i="17"/>
  <c r="AF53" i="17"/>
  <c r="AF42" i="17"/>
  <c r="AF59" i="17"/>
  <c r="AF90" i="17"/>
  <c r="AF104" i="17"/>
  <c r="AF125" i="17"/>
  <c r="AH125" i="17" s="1"/>
  <c r="AF83" i="17"/>
  <c r="AF55" i="17"/>
  <c r="AF38" i="17"/>
  <c r="AF50" i="17"/>
  <c r="AH50" i="17" s="1"/>
  <c r="AF127" i="17"/>
  <c r="AF92" i="17"/>
  <c r="AF97" i="17"/>
  <c r="AF82" i="17"/>
  <c r="AF33" i="17"/>
  <c r="AF24" i="17"/>
  <c r="AF87" i="17"/>
  <c r="AF118" i="17"/>
  <c r="AH118" i="17" s="1"/>
  <c r="AF81" i="17"/>
  <c r="AF56" i="17"/>
  <c r="AF68" i="17"/>
  <c r="AF74" i="17"/>
  <c r="AH74" i="17" s="1"/>
  <c r="AF51" i="17"/>
  <c r="AF39" i="17"/>
  <c r="AF85" i="17"/>
  <c r="AF19" i="17"/>
  <c r="AH19" i="17" s="1"/>
  <c r="AF73" i="17"/>
  <c r="AF79" i="17"/>
  <c r="AF67" i="17"/>
  <c r="AF111" i="17"/>
  <c r="AF31" i="17"/>
  <c r="AF21" i="17"/>
  <c r="AF96" i="17"/>
  <c r="AN422" i="17"/>
  <c r="AT422" i="17" s="1"/>
  <c r="AN517" i="17"/>
  <c r="AN411" i="17"/>
  <c r="AN470" i="17"/>
  <c r="AN467" i="17"/>
  <c r="AT467" i="17" s="1"/>
  <c r="AN410" i="17"/>
  <c r="AN505" i="17"/>
  <c r="AN452" i="17"/>
  <c r="AN433" i="17"/>
  <c r="AT433" i="17" s="1"/>
  <c r="AN414" i="17"/>
  <c r="AN463" i="17"/>
  <c r="AN478" i="17"/>
  <c r="AN496" i="17"/>
  <c r="AN481" i="17"/>
  <c r="AN500" i="17"/>
  <c r="AN412" i="17"/>
  <c r="AN521" i="17"/>
  <c r="AT521" i="17" s="1"/>
  <c r="AN448" i="17"/>
  <c r="AN479" i="17"/>
  <c r="AN429" i="17"/>
  <c r="AN435" i="17"/>
  <c r="AT435" i="17" s="1"/>
  <c r="AN501" i="17"/>
  <c r="AN491" i="17"/>
  <c r="AN415" i="17"/>
  <c r="AN515" i="17"/>
  <c r="AN503" i="17"/>
  <c r="AN425" i="17"/>
  <c r="AN446" i="17"/>
  <c r="AN483" i="17"/>
  <c r="AN468" i="17"/>
  <c r="AN471" i="17"/>
  <c r="AN432" i="17"/>
  <c r="AN424" i="17"/>
  <c r="AN484" i="17"/>
  <c r="AN499" i="17"/>
  <c r="AN504" i="17"/>
  <c r="AN488" i="17"/>
  <c r="AT488" i="17" s="1"/>
  <c r="AN508" i="17"/>
  <c r="AN421" i="17"/>
  <c r="AN512" i="17"/>
  <c r="AN462" i="17"/>
  <c r="AT462" i="17" s="1"/>
  <c r="AN523" i="17"/>
  <c r="AN418" i="17"/>
  <c r="AN450" i="17"/>
  <c r="AN498" i="17"/>
  <c r="AT498" i="17" s="1"/>
  <c r="AN431" i="17"/>
  <c r="AN513" i="17"/>
  <c r="AN516" i="17"/>
  <c r="AN490" i="17"/>
  <c r="AN416" i="17"/>
  <c r="AN519" i="17"/>
  <c r="AN436" i="17"/>
  <c r="AN509" i="17"/>
  <c r="AT509" i="17" s="1"/>
  <c r="AN520" i="17"/>
  <c r="AN473" i="17"/>
  <c r="AN511" i="17"/>
  <c r="AN434" i="17"/>
  <c r="AT434" i="17" s="1"/>
  <c r="AN451" i="17"/>
  <c r="AN475" i="17"/>
  <c r="AN430" i="17"/>
  <c r="AN474" i="17"/>
  <c r="AT474" i="17" s="1"/>
  <c r="AN476" i="17"/>
  <c r="AN524" i="17"/>
  <c r="AN507" i="17"/>
  <c r="AN441" i="17"/>
  <c r="AT441" i="17" s="1"/>
  <c r="AN453" i="17"/>
  <c r="AN413" i="17"/>
  <c r="AN444" i="17"/>
  <c r="AN437" i="17"/>
  <c r="AN440" i="17"/>
  <c r="AN457" i="17"/>
  <c r="AN510" i="17"/>
  <c r="AN495" i="17"/>
  <c r="AT495" i="17" s="1"/>
  <c r="AN494" i="17"/>
  <c r="AN443" i="17"/>
  <c r="AN409" i="17"/>
  <c r="AN447" i="17"/>
  <c r="AT447" i="17" s="1"/>
  <c r="AN487" i="17"/>
  <c r="AN485" i="17"/>
  <c r="AN458" i="17"/>
  <c r="AN460" i="17"/>
  <c r="AT460" i="17" s="1"/>
  <c r="AN489" i="17"/>
  <c r="AN417" i="17"/>
  <c r="AN438" i="17"/>
  <c r="AN456" i="17"/>
  <c r="AT456" i="17" s="1"/>
  <c r="AN514" i="17"/>
  <c r="AN427" i="17"/>
  <c r="AN482" i="17"/>
  <c r="AN465" i="17"/>
  <c r="AT465" i="17" s="1"/>
  <c r="AN428" i="17"/>
  <c r="AN477" i="17"/>
  <c r="AN472" i="17"/>
  <c r="AN459" i="17"/>
  <c r="AN464" i="17"/>
  <c r="AN493" i="17"/>
  <c r="AN420" i="17"/>
  <c r="AN454" i="17"/>
  <c r="AT454" i="17" s="1"/>
  <c r="AN426" i="17"/>
  <c r="AN506" i="17"/>
  <c r="AN469" i="17"/>
  <c r="AN492" i="17"/>
  <c r="AT492" i="17" s="1"/>
  <c r="AN449" i="17"/>
  <c r="AN461" i="17"/>
  <c r="AN502" i="17"/>
  <c r="AN419" i="17"/>
  <c r="AN423" i="17"/>
  <c r="AN408" i="17"/>
  <c r="AN455" i="17"/>
  <c r="AN445" i="17"/>
  <c r="AT445" i="17" s="1"/>
  <c r="AN497" i="17"/>
  <c r="AN442" i="17"/>
  <c r="AN439" i="17"/>
  <c r="AN480" i="17"/>
  <c r="AN518" i="17"/>
  <c r="AN466" i="17"/>
  <c r="AN522" i="17"/>
  <c r="AN486" i="17"/>
  <c r="AT486" i="17" s="1"/>
  <c r="AL160" i="17"/>
  <c r="AL255" i="17"/>
  <c r="AL250" i="17"/>
  <c r="AL226" i="17"/>
  <c r="AL245" i="17"/>
  <c r="AL162" i="17"/>
  <c r="AL196" i="17"/>
  <c r="AL182" i="17"/>
  <c r="AL219" i="17"/>
  <c r="AL259" i="17"/>
  <c r="AL251" i="17"/>
  <c r="AL147" i="17"/>
  <c r="AL193" i="17"/>
  <c r="AL157" i="17"/>
  <c r="AL154" i="17"/>
  <c r="AL152" i="17"/>
  <c r="AL239" i="17"/>
  <c r="AL148" i="17"/>
  <c r="AL234" i="17"/>
  <c r="AL210" i="17"/>
  <c r="AL198" i="17"/>
  <c r="AL163" i="17"/>
  <c r="AL186" i="17"/>
  <c r="AL247" i="17"/>
  <c r="AL169" i="17"/>
  <c r="AL181" i="17"/>
  <c r="AL252" i="17"/>
  <c r="AL179" i="17"/>
  <c r="AL246" i="17"/>
  <c r="AL223" i="17"/>
  <c r="AL158" i="17"/>
  <c r="AL164" i="17"/>
  <c r="AL173" i="17"/>
  <c r="AL197" i="17"/>
  <c r="AL184" i="17"/>
  <c r="AL153" i="17"/>
  <c r="AL183" i="17"/>
  <c r="AL200" i="17"/>
  <c r="AL185" i="17"/>
  <c r="AL167" i="17"/>
  <c r="AL217" i="17"/>
  <c r="AL206" i="17"/>
  <c r="AL177" i="17"/>
  <c r="AL218" i="17"/>
  <c r="AL165" i="17"/>
  <c r="AL248" i="17"/>
  <c r="AL212" i="17"/>
  <c r="AL199" i="17"/>
  <c r="AL155" i="17"/>
  <c r="AL243" i="17"/>
  <c r="AL190" i="17"/>
  <c r="AL209" i="17"/>
  <c r="AL236" i="17"/>
  <c r="AL213" i="17"/>
  <c r="AL238" i="17"/>
  <c r="AL170" i="17"/>
  <c r="AL261" i="17"/>
  <c r="AL187" i="17"/>
  <c r="AL228" i="17"/>
  <c r="AL233" i="17"/>
  <c r="AL240" i="17"/>
  <c r="AL215" i="17"/>
  <c r="AL211" i="17"/>
  <c r="AL214" i="17"/>
  <c r="AL176" i="17"/>
  <c r="AL229" i="17"/>
  <c r="AL230" i="17"/>
  <c r="AL180" i="17"/>
  <c r="AL172" i="17"/>
  <c r="AL205" i="17"/>
  <c r="AL171" i="17"/>
  <c r="AL242" i="17"/>
  <c r="AL175" i="17"/>
  <c r="AL237" i="17"/>
  <c r="AL231" i="17"/>
  <c r="AL257" i="17"/>
  <c r="AL146" i="17"/>
  <c r="AL256" i="17"/>
  <c r="AL166" i="17"/>
  <c r="AL244" i="17"/>
  <c r="AL254" i="17"/>
  <c r="AL227" i="17"/>
  <c r="AL151" i="17"/>
  <c r="AL208" i="17"/>
  <c r="AL150" i="17"/>
  <c r="AL232" i="17"/>
  <c r="AL241" i="17"/>
  <c r="AL201" i="17"/>
  <c r="AL258" i="17"/>
  <c r="AL202" i="17"/>
  <c r="AL262" i="17"/>
  <c r="AL235" i="17"/>
  <c r="AL216" i="17"/>
  <c r="AL204" i="17"/>
  <c r="AL189" i="17"/>
  <c r="AL195" i="17"/>
  <c r="AL188" i="17"/>
  <c r="AL225" i="17"/>
  <c r="AL224" i="17"/>
  <c r="AL149" i="17"/>
  <c r="AL159" i="17"/>
  <c r="AL174" i="17"/>
  <c r="AL191" i="17"/>
  <c r="AL249" i="17"/>
  <c r="AL220" i="17"/>
  <c r="AL194" i="17"/>
  <c r="AL253" i="17"/>
  <c r="AL222" i="17"/>
  <c r="AL221" i="17"/>
  <c r="AL203" i="17"/>
  <c r="AL156" i="17"/>
  <c r="AL161" i="17"/>
  <c r="AL192" i="17"/>
  <c r="AL178" i="17"/>
  <c r="AL207" i="17"/>
  <c r="AL260" i="17"/>
  <c r="AL168" i="17"/>
  <c r="AJ48" i="15"/>
  <c r="AJ40" i="15"/>
  <c r="AJ54" i="15"/>
  <c r="AJ98" i="15"/>
  <c r="AJ137" i="15"/>
  <c r="AJ118" i="15"/>
  <c r="AJ81" i="15"/>
  <c r="AJ39" i="15"/>
  <c r="AJ47" i="15"/>
  <c r="AJ133" i="15"/>
  <c r="AJ56" i="15"/>
  <c r="AJ41" i="15"/>
  <c r="D14" i="21"/>
  <c r="I14" i="21" s="1"/>
  <c r="C62" i="9"/>
  <c r="G14" i="2"/>
  <c r="AK23" i="24"/>
  <c r="AK28" i="24"/>
  <c r="AK37" i="24"/>
  <c r="AG124" i="17"/>
  <c r="AG29" i="17"/>
  <c r="AG109" i="17"/>
  <c r="AG112" i="17"/>
  <c r="AG19" i="17"/>
  <c r="AG62" i="17"/>
  <c r="AG40" i="17"/>
  <c r="AG23" i="17"/>
  <c r="AG34" i="17"/>
  <c r="AG113" i="17"/>
  <c r="AG87" i="17"/>
  <c r="AG36" i="17"/>
  <c r="AG22" i="17"/>
  <c r="AG79" i="17"/>
  <c r="AG67" i="17"/>
  <c r="AG111" i="17"/>
  <c r="AG101" i="17"/>
  <c r="AG123" i="17"/>
  <c r="AG18" i="17"/>
  <c r="AG31" i="17"/>
  <c r="AG81" i="17"/>
  <c r="AG108" i="17"/>
  <c r="AG119" i="17"/>
  <c r="AG41" i="17"/>
  <c r="AG89" i="17"/>
  <c r="AG126" i="17"/>
  <c r="AG27" i="17"/>
  <c r="AG32" i="17"/>
  <c r="AG98" i="17"/>
  <c r="AG60" i="17"/>
  <c r="AG110" i="17"/>
  <c r="AG117" i="17"/>
  <c r="AG114" i="17"/>
  <c r="AG73" i="17"/>
  <c r="AG37" i="17"/>
  <c r="AG84" i="17"/>
  <c r="AG52" i="17"/>
  <c r="AG43" i="17"/>
  <c r="AG120" i="17"/>
  <c r="AG86" i="17"/>
  <c r="AG28" i="17"/>
  <c r="AG75" i="17"/>
  <c r="AG95" i="17"/>
  <c r="AG131" i="17"/>
  <c r="AG69" i="17"/>
  <c r="AG20" i="17"/>
  <c r="AG80" i="17"/>
  <c r="AG91" i="17"/>
  <c r="AG54" i="17"/>
  <c r="AG99" i="17"/>
  <c r="AG106" i="17"/>
  <c r="AG72" i="17"/>
  <c r="AG65" i="17"/>
  <c r="AG88" i="17"/>
  <c r="AG93" i="17"/>
  <c r="AG128" i="17"/>
  <c r="AG70" i="17"/>
  <c r="AG107" i="17"/>
  <c r="AG35" i="17"/>
  <c r="AG53" i="17"/>
  <c r="AG115" i="17"/>
  <c r="AG122" i="17"/>
  <c r="AG94" i="17"/>
  <c r="AG48" i="17"/>
  <c r="AG105" i="17"/>
  <c r="AG102" i="17"/>
  <c r="AG30" i="17"/>
  <c r="AG76" i="17"/>
  <c r="AG66" i="17"/>
  <c r="AG118" i="17"/>
  <c r="AG92" i="17"/>
  <c r="AG58" i="17"/>
  <c r="AG96" i="17"/>
  <c r="AG50" i="17"/>
  <c r="AG24" i="17"/>
  <c r="AG42" i="17"/>
  <c r="AG51" i="17"/>
  <c r="AG17" i="17"/>
  <c r="AG77" i="17"/>
  <c r="AG121" i="17"/>
  <c r="AG64" i="17"/>
  <c r="AG61" i="17"/>
  <c r="AG71" i="17"/>
  <c r="AG103" i="17"/>
  <c r="AG90" i="17"/>
  <c r="AG97" i="17"/>
  <c r="AG78" i="17"/>
  <c r="AG100" i="17"/>
  <c r="AG116" i="17"/>
  <c r="AG38" i="17"/>
  <c r="AG33" i="17"/>
  <c r="AG85" i="17"/>
  <c r="AG127" i="17"/>
  <c r="AG47" i="17"/>
  <c r="AG26" i="17"/>
  <c r="AG129" i="17"/>
  <c r="AG125" i="17"/>
  <c r="AG130" i="17"/>
  <c r="AG44" i="17"/>
  <c r="AG15" i="17"/>
  <c r="AG16" i="17"/>
  <c r="AG25" i="17"/>
  <c r="AG63" i="17"/>
  <c r="AG59" i="17"/>
  <c r="AG74" i="17"/>
  <c r="AG104" i="17"/>
  <c r="AG49" i="17"/>
  <c r="AG83" i="17"/>
  <c r="AG21" i="17"/>
  <c r="AG45" i="17"/>
  <c r="AG55" i="17"/>
  <c r="AG82" i="17"/>
  <c r="AG57" i="17"/>
  <c r="AG46" i="17"/>
  <c r="AG56" i="17"/>
  <c r="AG68" i="17"/>
  <c r="AG39" i="17"/>
  <c r="AS517" i="17"/>
  <c r="AS422" i="17"/>
  <c r="AS429" i="17"/>
  <c r="AS467" i="17"/>
  <c r="AS452" i="17"/>
  <c r="AS425" i="17"/>
  <c r="AS463" i="17"/>
  <c r="AS478" i="17"/>
  <c r="AS500" i="17"/>
  <c r="AS469" i="17"/>
  <c r="AS412" i="17"/>
  <c r="AS448" i="17"/>
  <c r="AS430" i="17"/>
  <c r="AS409" i="17"/>
  <c r="AS479" i="17"/>
  <c r="AS435" i="17"/>
  <c r="AS453" i="17"/>
  <c r="AS501" i="17"/>
  <c r="AS491" i="17"/>
  <c r="AS462" i="17"/>
  <c r="AS515" i="17"/>
  <c r="AS503" i="17"/>
  <c r="AS418" i="17"/>
  <c r="AS450" i="17"/>
  <c r="AS483" i="17"/>
  <c r="AS468" i="17"/>
  <c r="AS471" i="17"/>
  <c r="AS432" i="17"/>
  <c r="AS424" i="17"/>
  <c r="AS484" i="17"/>
  <c r="AS499" i="17"/>
  <c r="AS504" i="17"/>
  <c r="AS473" i="17"/>
  <c r="AS434" i="17"/>
  <c r="AS488" i="17"/>
  <c r="AS508" i="17"/>
  <c r="AS512" i="17"/>
  <c r="AS441" i="17"/>
  <c r="AS518" i="17"/>
  <c r="AS410" i="17"/>
  <c r="AS505" i="17"/>
  <c r="AS413" i="17"/>
  <c r="AS523" i="17"/>
  <c r="AS466" i="17"/>
  <c r="AS437" i="17"/>
  <c r="AS431" i="17"/>
  <c r="AS513" i="17"/>
  <c r="AS516" i="17"/>
  <c r="AS490" i="17"/>
  <c r="AS416" i="17"/>
  <c r="AS519" i="17"/>
  <c r="AS522" i="17"/>
  <c r="AS457" i="17"/>
  <c r="AS436" i="17"/>
  <c r="AS509" i="17"/>
  <c r="AS510" i="17"/>
  <c r="AS520" i="17"/>
  <c r="AS511" i="17"/>
  <c r="AS494" i="17"/>
  <c r="AS482" i="17"/>
  <c r="AS451" i="17"/>
  <c r="AS521" i="17"/>
  <c r="AS475" i="17"/>
  <c r="AS474" i="17"/>
  <c r="AS421" i="17"/>
  <c r="AS465" i="17"/>
  <c r="AS476" i="17"/>
  <c r="AS524" i="17"/>
  <c r="AS507" i="17"/>
  <c r="AS477" i="17"/>
  <c r="AS470" i="17"/>
  <c r="AS446" i="17"/>
  <c r="AS427" i="17"/>
  <c r="AS428" i="17"/>
  <c r="AS445" i="17"/>
  <c r="AS487" i="17"/>
  <c r="AS458" i="17"/>
  <c r="AS460" i="17"/>
  <c r="AS493" i="17"/>
  <c r="AS454" i="17"/>
  <c r="AS443" i="17"/>
  <c r="AS506" i="17"/>
  <c r="AS415" i="17"/>
  <c r="AS433" i="17"/>
  <c r="AS419" i="17"/>
  <c r="AS423" i="17"/>
  <c r="AS414" i="17"/>
  <c r="AS498" i="17"/>
  <c r="AS408" i="17"/>
  <c r="AS455" i="17"/>
  <c r="AS447" i="17"/>
  <c r="AS472" i="17"/>
  <c r="AS459" i="17"/>
  <c r="AS485" i="17"/>
  <c r="AS497" i="17"/>
  <c r="AS464" i="17"/>
  <c r="AS420" i="17"/>
  <c r="AS426" i="17"/>
  <c r="AS444" i="17"/>
  <c r="AS440" i="17"/>
  <c r="AS514" i="17"/>
  <c r="AS489" i="17"/>
  <c r="AS456" i="17"/>
  <c r="AS411" i="17"/>
  <c r="AS496" i="17"/>
  <c r="AS492" i="17"/>
  <c r="AS449" i="17"/>
  <c r="AS461" i="17"/>
  <c r="AS442" i="17"/>
  <c r="AS502" i="17"/>
  <c r="AS439" i="17"/>
  <c r="AS486" i="17"/>
  <c r="AS480" i="17"/>
  <c r="AS438" i="17"/>
  <c r="AS481" i="17"/>
  <c r="AS495" i="17"/>
  <c r="AS417" i="17"/>
  <c r="AO291" i="17"/>
  <c r="AO386" i="17"/>
  <c r="AO328" i="17"/>
  <c r="AO313" i="17"/>
  <c r="AO280" i="17"/>
  <c r="AO329" i="17"/>
  <c r="AO283" i="17"/>
  <c r="AO326" i="17"/>
  <c r="AO323" i="17"/>
  <c r="AO317" i="17"/>
  <c r="AO344" i="17"/>
  <c r="AO300" i="17"/>
  <c r="AO312" i="17"/>
  <c r="AO321" i="17"/>
  <c r="AO278" i="17"/>
  <c r="AO289" i="17"/>
  <c r="AO332" i="17"/>
  <c r="AO375" i="17"/>
  <c r="AO308" i="17"/>
  <c r="AO306" i="17"/>
  <c r="AO346" i="17"/>
  <c r="AO318" i="17"/>
  <c r="AO281" i="17"/>
  <c r="AO316" i="17"/>
  <c r="AO297" i="17"/>
  <c r="AO335" i="17"/>
  <c r="AO363" i="17"/>
  <c r="AO302" i="17"/>
  <c r="AO333" i="17"/>
  <c r="AO393" i="17"/>
  <c r="AO380" i="17"/>
  <c r="AO341" i="17"/>
  <c r="AO359" i="17"/>
  <c r="AO355" i="17"/>
  <c r="AO373" i="17"/>
  <c r="AO325" i="17"/>
  <c r="AO356" i="17"/>
  <c r="AO309" i="17"/>
  <c r="AO372" i="17"/>
  <c r="AO287" i="17"/>
  <c r="AO391" i="17"/>
  <c r="AO310" i="17"/>
  <c r="AO284" i="17"/>
  <c r="AO314" i="17"/>
  <c r="AO279" i="17"/>
  <c r="AO342" i="17"/>
  <c r="AO348" i="17"/>
  <c r="AO365" i="17"/>
  <c r="AO343" i="17"/>
  <c r="AO353" i="17"/>
  <c r="AO336" i="17"/>
  <c r="AO311" i="17"/>
  <c r="AO340" i="17"/>
  <c r="AO338" i="17"/>
  <c r="AO305" i="17"/>
  <c r="AO378" i="17"/>
  <c r="AO295" i="17"/>
  <c r="AO301" i="17"/>
  <c r="AO347" i="17"/>
  <c r="AO389" i="17"/>
  <c r="AO370" i="17"/>
  <c r="AO345" i="17"/>
  <c r="AO339" i="17"/>
  <c r="AO327" i="17"/>
  <c r="AO358" i="17"/>
  <c r="AO379" i="17"/>
  <c r="AO374" i="17"/>
  <c r="AO315" i="17"/>
  <c r="AO307" i="17"/>
  <c r="AO299" i="17"/>
  <c r="AO282" i="17"/>
  <c r="AO392" i="17"/>
  <c r="AO352" i="17"/>
  <c r="AO330" i="17"/>
  <c r="AO377" i="17"/>
  <c r="AO304" i="17"/>
  <c r="AO371" i="17"/>
  <c r="AO362" i="17"/>
  <c r="AO292" i="17"/>
  <c r="AO376" i="17"/>
  <c r="AO360" i="17"/>
  <c r="AO366" i="17"/>
  <c r="AO324" i="17"/>
  <c r="AO361" i="17"/>
  <c r="AO322" i="17"/>
  <c r="AO364" i="17"/>
  <c r="AO367" i="17"/>
  <c r="AO382" i="17"/>
  <c r="AO277" i="17"/>
  <c r="AO290" i="17"/>
  <c r="AO286" i="17"/>
  <c r="AO293" i="17"/>
  <c r="AO319" i="17"/>
  <c r="AO354" i="17"/>
  <c r="AO298" i="17"/>
  <c r="AO303" i="17"/>
  <c r="AO288" i="17"/>
  <c r="AO383" i="17"/>
  <c r="AO387" i="17"/>
  <c r="AO296" i="17"/>
  <c r="AO390" i="17"/>
  <c r="AO331" i="17"/>
  <c r="AO334" i="17"/>
  <c r="AO369" i="17"/>
  <c r="AO357" i="17"/>
  <c r="AO320" i="17"/>
  <c r="AO349" i="17"/>
  <c r="AO294" i="17"/>
  <c r="AO384" i="17"/>
  <c r="AO381" i="17"/>
  <c r="AO385" i="17"/>
  <c r="AO351" i="17"/>
  <c r="AO337" i="17"/>
  <c r="AO350" i="17"/>
  <c r="AO388" i="17"/>
  <c r="AO368" i="17"/>
  <c r="AO285" i="17"/>
  <c r="AM160" i="17"/>
  <c r="AM255" i="17"/>
  <c r="AM245" i="17"/>
  <c r="AM202" i="17"/>
  <c r="AM219" i="17"/>
  <c r="AM244" i="17"/>
  <c r="AM251" i="17"/>
  <c r="AM193" i="17"/>
  <c r="AM254" i="17"/>
  <c r="AM230" i="17"/>
  <c r="AM157" i="17"/>
  <c r="AM152" i="17"/>
  <c r="AM171" i="17"/>
  <c r="AM220" i="17"/>
  <c r="AM175" i="17"/>
  <c r="AM169" i="17"/>
  <c r="AM181" i="17"/>
  <c r="AM194" i="17"/>
  <c r="AM231" i="17"/>
  <c r="AM173" i="17"/>
  <c r="AM197" i="17"/>
  <c r="AM184" i="17"/>
  <c r="AM153" i="17"/>
  <c r="AM200" i="17"/>
  <c r="AM185" i="17"/>
  <c r="AM250" i="17"/>
  <c r="AM226" i="17"/>
  <c r="AM162" i="17"/>
  <c r="AM217" i="17"/>
  <c r="AM196" i="17"/>
  <c r="AM191" i="17"/>
  <c r="AM214" i="17"/>
  <c r="AM177" i="17"/>
  <c r="AM165" i="17"/>
  <c r="AM248" i="17"/>
  <c r="AM262" i="17"/>
  <c r="AM147" i="17"/>
  <c r="AM154" i="17"/>
  <c r="AM227" i="17"/>
  <c r="AM155" i="17"/>
  <c r="AM148" i="17"/>
  <c r="AM234" i="17"/>
  <c r="AM210" i="17"/>
  <c r="AM209" i="17"/>
  <c r="AM186" i="17"/>
  <c r="AM213" i="17"/>
  <c r="AM252" i="17"/>
  <c r="AM179" i="17"/>
  <c r="AM261" i="17"/>
  <c r="AM187" i="17"/>
  <c r="AM158" i="17"/>
  <c r="AM233" i="17"/>
  <c r="AM164" i="17"/>
  <c r="AM151" i="17"/>
  <c r="AM240" i="17"/>
  <c r="AM166" i="17"/>
  <c r="AM206" i="17"/>
  <c r="AM218" i="17"/>
  <c r="AM259" i="17"/>
  <c r="AM176" i="17"/>
  <c r="AM229" i="17"/>
  <c r="AM212" i="17"/>
  <c r="AM235" i="17"/>
  <c r="AM239" i="17"/>
  <c r="AM243" i="17"/>
  <c r="AM190" i="17"/>
  <c r="AM205" i="17"/>
  <c r="AM198" i="17"/>
  <c r="AM236" i="17"/>
  <c r="AM163" i="17"/>
  <c r="AM247" i="17"/>
  <c r="AM238" i="17"/>
  <c r="AM170" i="17"/>
  <c r="AM223" i="17"/>
  <c r="AM228" i="17"/>
  <c r="AM237" i="17"/>
  <c r="AM257" i="17"/>
  <c r="AM256" i="17"/>
  <c r="AM225" i="17"/>
  <c r="AM216" i="17"/>
  <c r="AM146" i="17"/>
  <c r="AM178" i="17"/>
  <c r="AM232" i="17"/>
  <c r="AM241" i="17"/>
  <c r="AM260" i="17"/>
  <c r="AM174" i="17"/>
  <c r="AM201" i="17"/>
  <c r="AM258" i="17"/>
  <c r="AM149" i="17"/>
  <c r="AM222" i="17"/>
  <c r="AM150" i="17"/>
  <c r="AM156" i="17"/>
  <c r="AM168" i="17"/>
  <c r="AM182" i="17"/>
  <c r="AM199" i="17"/>
  <c r="AM208" i="17"/>
  <c r="AM159" i="17"/>
  <c r="AM203" i="17"/>
  <c r="AM207" i="17"/>
  <c r="AM189" i="17"/>
  <c r="AM249" i="17"/>
  <c r="AM242" i="17"/>
  <c r="AM195" i="17"/>
  <c r="AM167" i="17"/>
  <c r="AM211" i="17"/>
  <c r="AM180" i="17"/>
  <c r="AM172" i="17"/>
  <c r="AM224" i="17"/>
  <c r="AM192" i="17"/>
  <c r="AM246" i="17"/>
  <c r="AM253" i="17"/>
  <c r="AM215" i="17"/>
  <c r="AM204" i="17"/>
  <c r="AM221" i="17"/>
  <c r="AM161" i="17"/>
  <c r="AM183" i="17"/>
  <c r="AM188" i="17"/>
  <c r="AI132" i="15"/>
  <c r="AI37" i="15"/>
  <c r="AI126" i="15"/>
  <c r="AI92" i="15"/>
  <c r="AI30" i="15"/>
  <c r="AI60" i="15"/>
  <c r="AI81" i="15"/>
  <c r="AI83" i="15"/>
  <c r="AI108" i="15"/>
  <c r="AI38" i="15"/>
  <c r="AI95" i="15"/>
  <c r="AI104" i="15"/>
  <c r="AI127" i="15"/>
  <c r="AI80" i="15"/>
  <c r="AI133" i="15"/>
  <c r="AI97" i="15"/>
  <c r="AI113" i="15"/>
  <c r="AI124" i="15"/>
  <c r="AI58" i="15"/>
  <c r="AI129" i="15"/>
  <c r="AI139" i="15"/>
  <c r="AI42" i="15"/>
  <c r="AI53" i="15"/>
  <c r="AI110" i="15"/>
  <c r="AI47" i="15"/>
  <c r="AI28" i="15"/>
  <c r="AI55" i="15"/>
  <c r="AI31" i="15"/>
  <c r="AI72" i="15"/>
  <c r="AI46" i="15"/>
  <c r="AI23" i="15"/>
  <c r="AI135" i="15"/>
  <c r="AI39" i="15"/>
  <c r="AI70" i="15"/>
  <c r="AI86" i="15"/>
  <c r="AI56" i="15"/>
  <c r="AI61" i="15"/>
  <c r="AI109" i="15"/>
  <c r="AI91" i="15"/>
  <c r="AI78" i="15"/>
  <c r="AI45" i="15"/>
  <c r="AI50" i="15"/>
  <c r="AI36" i="15"/>
  <c r="AI107" i="15"/>
  <c r="AI44" i="15"/>
  <c r="AI62" i="15"/>
  <c r="AI93" i="15"/>
  <c r="AI85" i="15"/>
  <c r="AI57" i="15"/>
  <c r="AI68" i="15"/>
  <c r="AI114" i="15"/>
  <c r="AI120" i="15"/>
  <c r="AI27" i="15"/>
  <c r="AI106" i="15"/>
  <c r="AI43" i="15"/>
  <c r="AI123" i="15"/>
  <c r="AI138" i="15"/>
  <c r="AI130" i="15"/>
  <c r="AI100" i="15"/>
  <c r="AI131" i="15"/>
  <c r="AI118" i="15"/>
  <c r="AI79" i="15"/>
  <c r="AI32" i="15"/>
  <c r="AI82" i="15"/>
  <c r="AI90" i="15"/>
  <c r="AI103" i="15"/>
  <c r="AI77" i="15"/>
  <c r="AI96" i="15"/>
  <c r="AI29" i="15"/>
  <c r="AI136" i="15"/>
  <c r="AI41" i="15"/>
  <c r="AI25" i="15"/>
  <c r="AI26" i="15"/>
  <c r="AI88" i="15"/>
  <c r="AI105" i="15"/>
  <c r="AI34" i="15"/>
  <c r="AI24" i="15"/>
  <c r="AI76" i="15"/>
  <c r="AI66" i="15"/>
  <c r="AI65" i="15"/>
  <c r="AI134" i="15"/>
  <c r="AI63" i="15"/>
  <c r="AI128" i="15"/>
  <c r="AI35" i="15"/>
  <c r="AI116" i="15"/>
  <c r="AI122" i="15"/>
  <c r="AI87" i="15"/>
  <c r="AI101" i="15"/>
  <c r="AI52" i="15"/>
  <c r="AI121" i="15"/>
  <c r="AI94" i="15"/>
  <c r="AI48" i="15"/>
  <c r="AI125" i="15"/>
  <c r="AI49" i="15"/>
  <c r="AI64" i="15"/>
  <c r="AI112" i="15"/>
  <c r="AI33" i="15"/>
  <c r="AI67" i="15"/>
  <c r="AI99" i="15"/>
  <c r="AI102" i="15"/>
  <c r="AI40" i="15"/>
  <c r="AI119" i="15"/>
  <c r="AI115" i="15"/>
  <c r="AI71" i="15"/>
  <c r="AI98" i="15"/>
  <c r="AI84" i="15"/>
  <c r="AI59" i="15"/>
  <c r="AI54" i="15"/>
  <c r="AI89" i="15"/>
  <c r="AI74" i="15"/>
  <c r="AI73" i="15"/>
  <c r="AI117" i="15"/>
  <c r="AI69" i="15"/>
  <c r="AI51" i="15"/>
  <c r="AI111" i="15"/>
  <c r="AI75" i="15"/>
  <c r="AI137" i="15"/>
  <c r="AJ19" i="20"/>
  <c r="AN17" i="20"/>
  <c r="AN28" i="20" s="1"/>
  <c r="AM18" i="20"/>
  <c r="H13" i="21"/>
  <c r="G13" i="21"/>
  <c r="AH37" i="15"/>
  <c r="AH132" i="15"/>
  <c r="AK132" i="15" s="1"/>
  <c r="AH56" i="15"/>
  <c r="AH92" i="15"/>
  <c r="AK92" i="15" s="1"/>
  <c r="AH60" i="15"/>
  <c r="AH81" i="15"/>
  <c r="AH83" i="15"/>
  <c r="AH118" i="15"/>
  <c r="AK118" i="15" s="1"/>
  <c r="AH95" i="15"/>
  <c r="AK95" i="15" s="1"/>
  <c r="AH127" i="15"/>
  <c r="AK127" i="15" s="1"/>
  <c r="AH133" i="15"/>
  <c r="AK133" i="15" s="1"/>
  <c r="AH97" i="15"/>
  <c r="AK97" i="15" s="1"/>
  <c r="AH113" i="15"/>
  <c r="AH58" i="15"/>
  <c r="AK58" i="15" s="1"/>
  <c r="AH129" i="15"/>
  <c r="AH139" i="15"/>
  <c r="AK139" i="15" s="1"/>
  <c r="AH42" i="15"/>
  <c r="AH136" i="15"/>
  <c r="AH53" i="15"/>
  <c r="AK53" i="15" s="1"/>
  <c r="AH47" i="15"/>
  <c r="AK47" i="15" s="1"/>
  <c r="AH28" i="15"/>
  <c r="AH55" i="15"/>
  <c r="AH31" i="15"/>
  <c r="AH23" i="15"/>
  <c r="AK23" i="15" s="1"/>
  <c r="AH135" i="15"/>
  <c r="AH39" i="15"/>
  <c r="AK39" i="15" s="1"/>
  <c r="AH116" i="15"/>
  <c r="AK116" i="15" s="1"/>
  <c r="AH61" i="15"/>
  <c r="AK61" i="15" s="1"/>
  <c r="AH30" i="15"/>
  <c r="AK30" i="15" s="1"/>
  <c r="AH109" i="15"/>
  <c r="AH112" i="15"/>
  <c r="AH91" i="15"/>
  <c r="AH108" i="15"/>
  <c r="AH38" i="15"/>
  <c r="AH45" i="15"/>
  <c r="AH32" i="15"/>
  <c r="AK32" i="15" s="1"/>
  <c r="AH50" i="15"/>
  <c r="AH36" i="15"/>
  <c r="AK36" i="15" s="1"/>
  <c r="AH107" i="15"/>
  <c r="AH124" i="15"/>
  <c r="AH44" i="15"/>
  <c r="AK44" i="15" s="1"/>
  <c r="AH96" i="15"/>
  <c r="AK96" i="15" s="1"/>
  <c r="AH134" i="15"/>
  <c r="AH93" i="15"/>
  <c r="AK93" i="15" s="1"/>
  <c r="AH128" i="15"/>
  <c r="AK128" i="15" s="1"/>
  <c r="AH85" i="15"/>
  <c r="AH46" i="15"/>
  <c r="AH88" i="15"/>
  <c r="AK88" i="15" s="1"/>
  <c r="AH70" i="15"/>
  <c r="AH57" i="15"/>
  <c r="AH68" i="15"/>
  <c r="AH114" i="15"/>
  <c r="AK114" i="15" s="1"/>
  <c r="AH126" i="15"/>
  <c r="AK126" i="15" s="1"/>
  <c r="AH27" i="15"/>
  <c r="AH86" i="15"/>
  <c r="AH106" i="15"/>
  <c r="AK106" i="15" s="1"/>
  <c r="AH43" i="15"/>
  <c r="AK43" i="15" s="1"/>
  <c r="AH24" i="15"/>
  <c r="AK24" i="15" s="1"/>
  <c r="AH123" i="15"/>
  <c r="AH138" i="15"/>
  <c r="AK138" i="15" s="1"/>
  <c r="AH130" i="15"/>
  <c r="AH64" i="15"/>
  <c r="AH100" i="15"/>
  <c r="AK100" i="15" s="1"/>
  <c r="AH131" i="15"/>
  <c r="AK131" i="15" s="1"/>
  <c r="AH79" i="15"/>
  <c r="AH104" i="15"/>
  <c r="AH78" i="15"/>
  <c r="AH82" i="15"/>
  <c r="AK82" i="15" s="1"/>
  <c r="AH90" i="15"/>
  <c r="AK90" i="15" s="1"/>
  <c r="AH103" i="15"/>
  <c r="AH77" i="15"/>
  <c r="AK77" i="15" s="1"/>
  <c r="AH62" i="15"/>
  <c r="AK62" i="15" s="1"/>
  <c r="AH29" i="15"/>
  <c r="AH110" i="15"/>
  <c r="AK110" i="15" s="1"/>
  <c r="AH41" i="15"/>
  <c r="AK41" i="15" s="1"/>
  <c r="AH25" i="15"/>
  <c r="AK25" i="15" s="1"/>
  <c r="AH26" i="15"/>
  <c r="AH105" i="15"/>
  <c r="AK105" i="15" s="1"/>
  <c r="AH34" i="15"/>
  <c r="AH94" i="15"/>
  <c r="AK94" i="15" s="1"/>
  <c r="AH49" i="15"/>
  <c r="AH66" i="15"/>
  <c r="AK66" i="15" s="1"/>
  <c r="AH65" i="15"/>
  <c r="AH80" i="15"/>
  <c r="AK80" i="15" s="1"/>
  <c r="AH63" i="15"/>
  <c r="AH35" i="15"/>
  <c r="AH120" i="15"/>
  <c r="AH87" i="15"/>
  <c r="AK87" i="15" s="1"/>
  <c r="AH54" i="15"/>
  <c r="AH101" i="15"/>
  <c r="AK101" i="15" s="1"/>
  <c r="AH40" i="15"/>
  <c r="AK40" i="15" s="1"/>
  <c r="AH52" i="15"/>
  <c r="AK52" i="15" s="1"/>
  <c r="AH121" i="15"/>
  <c r="AH122" i="15"/>
  <c r="AH33" i="15"/>
  <c r="AK33" i="15" s="1"/>
  <c r="AH67" i="15"/>
  <c r="AK67" i="15" s="1"/>
  <c r="AH99" i="15"/>
  <c r="AK99" i="15" s="1"/>
  <c r="AH119" i="15"/>
  <c r="AH115" i="15"/>
  <c r="AK115" i="15" s="1"/>
  <c r="AH71" i="15"/>
  <c r="AH76" i="15"/>
  <c r="AH111" i="15"/>
  <c r="AH59" i="15"/>
  <c r="AH75" i="15"/>
  <c r="AK75" i="15" s="1"/>
  <c r="AH137" i="15"/>
  <c r="AK137" i="15" s="1"/>
  <c r="AH102" i="15"/>
  <c r="AK102" i="15" s="1"/>
  <c r="AH125" i="15"/>
  <c r="AK125" i="15" s="1"/>
  <c r="AH98" i="15"/>
  <c r="AK98" i="15" s="1"/>
  <c r="AH84" i="15"/>
  <c r="AH89" i="15"/>
  <c r="AK89" i="15" s="1"/>
  <c r="AH72" i="15"/>
  <c r="AK72" i="15" s="1"/>
  <c r="AH74" i="15"/>
  <c r="AK74" i="15" s="1"/>
  <c r="AH48" i="15"/>
  <c r="AH73" i="15"/>
  <c r="AH117" i="15"/>
  <c r="AH69" i="15"/>
  <c r="AK69" i="15" s="1"/>
  <c r="AH51" i="15"/>
  <c r="AJ119" i="15"/>
  <c r="AJ74" i="15"/>
  <c r="AJ64" i="15"/>
  <c r="AJ69" i="15"/>
  <c r="AJ87" i="15"/>
  <c r="AJ66" i="15"/>
  <c r="AJ71" i="15"/>
  <c r="AJ52" i="15"/>
  <c r="AJ35" i="15"/>
  <c r="AJ113" i="15"/>
  <c r="AJ135" i="15"/>
  <c r="AJ136" i="15"/>
  <c r="AJ97" i="15"/>
  <c r="AJ45" i="15"/>
  <c r="AJ109" i="15"/>
  <c r="AJ123" i="15"/>
  <c r="AJ27" i="15"/>
  <c r="AJ105" i="15"/>
  <c r="AJ55" i="15"/>
  <c r="AJ62" i="15"/>
  <c r="AJ107" i="15"/>
  <c r="AJ65" i="15"/>
  <c r="AJ91" i="15"/>
  <c r="AJ70" i="15"/>
  <c r="AJ25" i="15"/>
  <c r="AJ42" i="15"/>
  <c r="AJ124" i="15"/>
  <c r="AJ108" i="15"/>
  <c r="AK124" i="15" l="1"/>
  <c r="AT480" i="17"/>
  <c r="AT459" i="17"/>
  <c r="AT437" i="17"/>
  <c r="AT490" i="17"/>
  <c r="AT515" i="17"/>
  <c r="AH42" i="17"/>
  <c r="C15" i="21"/>
  <c r="B63" i="9"/>
  <c r="C23" i="11" s="1"/>
  <c r="F15" i="2"/>
  <c r="J15" i="2"/>
  <c r="AN172" i="17"/>
  <c r="AN260" i="17"/>
  <c r="AN153" i="17"/>
  <c r="AN240" i="17"/>
  <c r="AN152" i="17"/>
  <c r="AQ351" i="17"/>
  <c r="AQ316" i="17"/>
  <c r="AQ306" i="17"/>
  <c r="AQ326" i="17"/>
  <c r="AQ304" i="17"/>
  <c r="AM27" i="20"/>
  <c r="AP27" i="20" s="1"/>
  <c r="AM28" i="20"/>
  <c r="AM23" i="20"/>
  <c r="AM30" i="20"/>
  <c r="AM26" i="20"/>
  <c r="AP26" i="20" s="1"/>
  <c r="AM25" i="20"/>
  <c r="AM29" i="20"/>
  <c r="AM24" i="20"/>
  <c r="AK117" i="15"/>
  <c r="AK59" i="15"/>
  <c r="AK120" i="15"/>
  <c r="AK65" i="15"/>
  <c r="AK34" i="15"/>
  <c r="AK78" i="15"/>
  <c r="AK123" i="15"/>
  <c r="AK86" i="15"/>
  <c r="AK68" i="15"/>
  <c r="AK46" i="15"/>
  <c r="AK134" i="15"/>
  <c r="AK107" i="15"/>
  <c r="AK45" i="15"/>
  <c r="AK112" i="15"/>
  <c r="AK31" i="15"/>
  <c r="AK129" i="15"/>
  <c r="AK83" i="15"/>
  <c r="AK56" i="15"/>
  <c r="AT522" i="17"/>
  <c r="AT439" i="17"/>
  <c r="AT455" i="17"/>
  <c r="AT502" i="17"/>
  <c r="AT469" i="17"/>
  <c r="AT420" i="17"/>
  <c r="AT472" i="17"/>
  <c r="AT482" i="17"/>
  <c r="AT438" i="17"/>
  <c r="AT458" i="17"/>
  <c r="AT409" i="17"/>
  <c r="AT510" i="17"/>
  <c r="AT444" i="17"/>
  <c r="AT507" i="17"/>
  <c r="AT430" i="17"/>
  <c r="AT511" i="17"/>
  <c r="AT436" i="17"/>
  <c r="AT516" i="17"/>
  <c r="AT450" i="17"/>
  <c r="AT512" i="17"/>
  <c r="AT504" i="17"/>
  <c r="AT432" i="17"/>
  <c r="AT446" i="17"/>
  <c r="AT415" i="17"/>
  <c r="AT429" i="17"/>
  <c r="AT412" i="17"/>
  <c r="AT478" i="17"/>
  <c r="AT452" i="17"/>
  <c r="AT470" i="17"/>
  <c r="AH96" i="17"/>
  <c r="AH67" i="17"/>
  <c r="AH85" i="17"/>
  <c r="AH68" i="17"/>
  <c r="AH87" i="17"/>
  <c r="AH97" i="17"/>
  <c r="AH38" i="17"/>
  <c r="AH104" i="17"/>
  <c r="AH53" i="17"/>
  <c r="AH40" i="17"/>
  <c r="AH58" i="17"/>
  <c r="AH36" i="17"/>
  <c r="AH41" i="17"/>
  <c r="AH71" i="17"/>
  <c r="AH128" i="17"/>
  <c r="AH16" i="17"/>
  <c r="AH30" i="17"/>
  <c r="AH44" i="17"/>
  <c r="AH109" i="17"/>
  <c r="AH123" i="17"/>
  <c r="AH115" i="17"/>
  <c r="AH88" i="17"/>
  <c r="AH34" i="17"/>
  <c r="AH17" i="17"/>
  <c r="AH95" i="17"/>
  <c r="AH122" i="17"/>
  <c r="AH65" i="17"/>
  <c r="AH110" i="17"/>
  <c r="AH119" i="17"/>
  <c r="AH124" i="17"/>
  <c r="J16" i="2"/>
  <c r="G22" i="11"/>
  <c r="AN207" i="17"/>
  <c r="AN173" i="17"/>
  <c r="AN229" i="17"/>
  <c r="AN201" i="17"/>
  <c r="AN222" i="17"/>
  <c r="AN180" i="17"/>
  <c r="AN150" i="17"/>
  <c r="AN168" i="17"/>
  <c r="AN221" i="17"/>
  <c r="AN247" i="17"/>
  <c r="AN151" i="17"/>
  <c r="AN238" i="17"/>
  <c r="AN190" i="17"/>
  <c r="AN235" i="17"/>
  <c r="AN191" i="17"/>
  <c r="AN197" i="17"/>
  <c r="AN231" i="17"/>
  <c r="AN179" i="17"/>
  <c r="AN175" i="17"/>
  <c r="AN227" i="17"/>
  <c r="AN182" i="17"/>
  <c r="AN184" i="17"/>
  <c r="AN186" i="17"/>
  <c r="AN205" i="17"/>
  <c r="AN154" i="17"/>
  <c r="AN251" i="17"/>
  <c r="AN217" i="17"/>
  <c r="AN226" i="17"/>
  <c r="AN255" i="17"/>
  <c r="AQ288" i="17"/>
  <c r="AQ342" i="17"/>
  <c r="AQ302" i="17"/>
  <c r="AQ341" i="17"/>
  <c r="AQ364" i="17"/>
  <c r="AQ324" i="17"/>
  <c r="AQ384" i="17"/>
  <c r="AQ337" i="17"/>
  <c r="AQ352" i="17"/>
  <c r="AQ363" i="17"/>
  <c r="AQ284" i="17"/>
  <c r="AQ307" i="17"/>
  <c r="AQ339" i="17"/>
  <c r="AQ312" i="17"/>
  <c r="AQ283" i="17"/>
  <c r="AQ380" i="17"/>
  <c r="AQ335" i="17"/>
  <c r="AQ360" i="17"/>
  <c r="AQ376" i="17"/>
  <c r="AQ362" i="17"/>
  <c r="AQ300" i="17"/>
  <c r="AQ331" i="17"/>
  <c r="AQ330" i="17"/>
  <c r="AQ391" i="17"/>
  <c r="AQ358" i="17"/>
  <c r="AQ389" i="17"/>
  <c r="AQ378" i="17"/>
  <c r="AQ359" i="17"/>
  <c r="AQ365" i="17"/>
  <c r="AN29" i="20"/>
  <c r="AN30" i="20"/>
  <c r="AT483" i="17"/>
  <c r="AH111" i="17"/>
  <c r="AH121" i="17"/>
  <c r="AN259" i="17"/>
  <c r="AQ303" i="17"/>
  <c r="AQ382" i="17"/>
  <c r="AQ289" i="17"/>
  <c r="AQ311" i="17"/>
  <c r="AQ293" i="17"/>
  <c r="AK111" i="15"/>
  <c r="AK122" i="15"/>
  <c r="AK35" i="15"/>
  <c r="AK104" i="15"/>
  <c r="AK64" i="15"/>
  <c r="AK57" i="15"/>
  <c r="AK38" i="15"/>
  <c r="AI19" i="24"/>
  <c r="AN18" i="24"/>
  <c r="AM17" i="24"/>
  <c r="AJ19" i="24"/>
  <c r="AM16" i="24"/>
  <c r="AH19" i="24"/>
  <c r="AK20" i="24"/>
  <c r="AO18" i="24"/>
  <c r="AO17" i="24"/>
  <c r="AO16" i="24"/>
  <c r="AM18" i="24"/>
  <c r="AN17" i="24"/>
  <c r="AN16" i="24"/>
  <c r="AT466" i="17"/>
  <c r="AT442" i="17"/>
  <c r="AT408" i="17"/>
  <c r="AT461" i="17"/>
  <c r="AT506" i="17"/>
  <c r="AT493" i="17"/>
  <c r="AT477" i="17"/>
  <c r="AT427" i="17"/>
  <c r="AT417" i="17"/>
  <c r="AT485" i="17"/>
  <c r="AT443" i="17"/>
  <c r="AT457" i="17"/>
  <c r="AT413" i="17"/>
  <c r="AT524" i="17"/>
  <c r="AT475" i="17"/>
  <c r="AT473" i="17"/>
  <c r="AT519" i="17"/>
  <c r="AT513" i="17"/>
  <c r="AT418" i="17"/>
  <c r="AT421" i="17"/>
  <c r="AT499" i="17"/>
  <c r="AT471" i="17"/>
  <c r="AT425" i="17"/>
  <c r="AT491" i="17"/>
  <c r="AT479" i="17"/>
  <c r="AT500" i="17"/>
  <c r="AT463" i="17"/>
  <c r="AT505" i="17"/>
  <c r="AT411" i="17"/>
  <c r="AH21" i="17"/>
  <c r="AH79" i="17"/>
  <c r="AH39" i="17"/>
  <c r="AH56" i="17"/>
  <c r="AH24" i="17"/>
  <c r="AH92" i="17"/>
  <c r="AH55" i="17"/>
  <c r="AH90" i="17"/>
  <c r="AH102" i="17"/>
  <c r="AH112" i="17"/>
  <c r="AH100" i="17"/>
  <c r="AH129" i="17"/>
  <c r="AH62" i="17"/>
  <c r="AH46" i="17"/>
  <c r="AH37" i="17"/>
  <c r="AH114" i="17"/>
  <c r="AH98" i="17"/>
  <c r="AH106" i="17"/>
  <c r="AH48" i="17"/>
  <c r="AH101" i="17"/>
  <c r="AH35" i="17"/>
  <c r="AH57" i="17"/>
  <c r="AH105" i="17"/>
  <c r="AH91" i="17"/>
  <c r="AH75" i="17"/>
  <c r="AH120" i="17"/>
  <c r="AH52" i="17"/>
  <c r="AH60" i="17"/>
  <c r="AH108" i="17"/>
  <c r="A16" i="21"/>
  <c r="A64" i="9"/>
  <c r="A24" i="11" s="1"/>
  <c r="P16" i="2"/>
  <c r="C16" i="2"/>
  <c r="B16" i="2"/>
  <c r="A17" i="2"/>
  <c r="N16" i="2"/>
  <c r="E64" i="9" s="1"/>
  <c r="E16" i="2"/>
  <c r="D16" i="2"/>
  <c r="AO27" i="20"/>
  <c r="AO26" i="20"/>
  <c r="AO23" i="20"/>
  <c r="AO30" i="20"/>
  <c r="AO25" i="20"/>
  <c r="AO29" i="20"/>
  <c r="AO24" i="20"/>
  <c r="AO28" i="20"/>
  <c r="I14" i="2"/>
  <c r="F14" i="21" s="1"/>
  <c r="L14" i="2"/>
  <c r="G14" i="21"/>
  <c r="H14" i="21"/>
  <c r="AN188" i="17"/>
  <c r="AN159" i="17"/>
  <c r="AN149" i="17"/>
  <c r="AN165" i="17"/>
  <c r="AN195" i="17"/>
  <c r="AN223" i="17"/>
  <c r="AN193" i="17"/>
  <c r="AN216" i="17"/>
  <c r="AN156" i="17"/>
  <c r="AN232" i="17"/>
  <c r="AN239" i="17"/>
  <c r="AN146" i="17"/>
  <c r="AN242" i="17"/>
  <c r="AN249" i="17"/>
  <c r="AN212" i="17"/>
  <c r="AN206" i="17"/>
  <c r="AN164" i="17"/>
  <c r="AN187" i="17"/>
  <c r="AN252" i="17"/>
  <c r="AN198" i="17"/>
  <c r="AN147" i="17"/>
  <c r="AN196" i="17"/>
  <c r="AN233" i="17"/>
  <c r="AN209" i="17"/>
  <c r="AN210" i="17"/>
  <c r="AN199" i="17"/>
  <c r="AN244" i="17"/>
  <c r="AN162" i="17"/>
  <c r="AN167" i="17"/>
  <c r="AN160" i="17"/>
  <c r="AQ322" i="17"/>
  <c r="AQ325" i="17"/>
  <c r="AQ388" i="17"/>
  <c r="AQ348" i="17"/>
  <c r="AQ390" i="17"/>
  <c r="AQ372" i="17"/>
  <c r="AQ367" i="17"/>
  <c r="AQ385" i="17"/>
  <c r="AQ292" i="17"/>
  <c r="AQ297" i="17"/>
  <c r="AQ392" i="17"/>
  <c r="AQ287" i="17"/>
  <c r="AQ278" i="17"/>
  <c r="AQ344" i="17"/>
  <c r="AQ329" i="17"/>
  <c r="AQ280" i="17"/>
  <c r="AQ298" i="17"/>
  <c r="AQ294" i="17"/>
  <c r="AQ286" i="17"/>
  <c r="AQ327" i="17"/>
  <c r="AQ355" i="17"/>
  <c r="AQ393" i="17"/>
  <c r="AQ282" i="17"/>
  <c r="AQ315" i="17"/>
  <c r="AQ320" i="17"/>
  <c r="AQ347" i="17"/>
  <c r="AQ305" i="17"/>
  <c r="AQ353" i="17"/>
  <c r="AQ291" i="17"/>
  <c r="AN25" i="20"/>
  <c r="AN27" i="20"/>
  <c r="AK71" i="15"/>
  <c r="AK91" i="15"/>
  <c r="AT419" i="17"/>
  <c r="AT424" i="17"/>
  <c r="AT496" i="17"/>
  <c r="AH82" i="17"/>
  <c r="AH76" i="17"/>
  <c r="AH117" i="17"/>
  <c r="AH86" i="17"/>
  <c r="AH72" i="17"/>
  <c r="AH84" i="17"/>
  <c r="B23" i="11"/>
  <c r="D23" i="11" s="1"/>
  <c r="E23" i="11" s="1"/>
  <c r="F23" i="11" s="1"/>
  <c r="F63" i="9"/>
  <c r="AN157" i="17"/>
  <c r="AN257" i="17"/>
  <c r="AN218" i="17"/>
  <c r="AQ368" i="17"/>
  <c r="AQ369" i="17"/>
  <c r="AK73" i="15"/>
  <c r="AK119" i="15"/>
  <c r="AK103" i="15"/>
  <c r="AK27" i="15"/>
  <c r="AN18" i="15" s="1"/>
  <c r="AK85" i="15"/>
  <c r="AK109" i="15"/>
  <c r="AK55" i="15"/>
  <c r="AK136" i="15"/>
  <c r="AK81" i="15"/>
  <c r="AK51" i="15"/>
  <c r="AK48" i="15"/>
  <c r="AK84" i="15"/>
  <c r="AK76" i="15"/>
  <c r="AK121" i="15"/>
  <c r="AK54" i="15"/>
  <c r="AK63" i="15"/>
  <c r="AK49" i="15"/>
  <c r="AH19" i="15" s="1"/>
  <c r="AK26" i="15"/>
  <c r="AI19" i="15" s="1"/>
  <c r="AK29" i="15"/>
  <c r="AK79" i="15"/>
  <c r="AK130" i="15"/>
  <c r="AK70" i="15"/>
  <c r="AK50" i="15"/>
  <c r="AK108" i="15"/>
  <c r="AK135" i="15"/>
  <c r="AK28" i="15"/>
  <c r="AK42" i="15"/>
  <c r="AK113" i="15"/>
  <c r="AK60" i="15"/>
  <c r="AK37" i="15"/>
  <c r="AT518" i="17"/>
  <c r="AT497" i="17"/>
  <c r="AT423" i="17"/>
  <c r="AT449" i="17"/>
  <c r="AT426" i="17"/>
  <c r="AT464" i="17"/>
  <c r="AT428" i="17"/>
  <c r="AT514" i="17"/>
  <c r="AT489" i="17"/>
  <c r="AT487" i="17"/>
  <c r="AT494" i="17"/>
  <c r="AT440" i="17"/>
  <c r="AT453" i="17"/>
  <c r="AT476" i="17"/>
  <c r="AT451" i="17"/>
  <c r="AT520" i="17"/>
  <c r="AT416" i="17"/>
  <c r="AT431" i="17"/>
  <c r="AT523" i="17"/>
  <c r="AT508" i="17"/>
  <c r="AT484" i="17"/>
  <c r="AT468" i="17"/>
  <c r="AT503" i="17"/>
  <c r="AT501" i="17"/>
  <c r="AT448" i="17"/>
  <c r="AT481" i="17"/>
  <c r="AT414" i="17"/>
  <c r="AT410" i="17"/>
  <c r="AT517" i="17"/>
  <c r="AH31" i="17"/>
  <c r="AH73" i="17"/>
  <c r="AH51" i="17"/>
  <c r="AH81" i="17"/>
  <c r="AH33" i="17"/>
  <c r="AH127" i="17"/>
  <c r="AH83" i="17"/>
  <c r="AH59" i="17"/>
  <c r="AH23" i="17"/>
  <c r="AH116" i="17"/>
  <c r="AH78" i="17"/>
  <c r="AH126" i="17"/>
  <c r="AH103" i="17"/>
  <c r="AH63" i="17"/>
  <c r="AH64" i="17"/>
  <c r="AH113" i="17"/>
  <c r="AH15" i="17"/>
  <c r="AH47" i="17"/>
  <c r="AH131" i="17"/>
  <c r="AH94" i="17"/>
  <c r="AH107" i="17"/>
  <c r="AH25" i="17"/>
  <c r="AH99" i="17"/>
  <c r="AH80" i="17"/>
  <c r="AH66" i="17"/>
  <c r="AH43" i="17"/>
  <c r="AH22" i="17"/>
  <c r="AH32" i="17"/>
  <c r="AH130" i="17"/>
  <c r="D15" i="21"/>
  <c r="I15" i="21" s="1"/>
  <c r="C63" i="9"/>
  <c r="G15" i="2"/>
  <c r="E15" i="21"/>
  <c r="J15" i="21" s="1"/>
  <c r="D63" i="9"/>
  <c r="H15" i="2"/>
  <c r="A33" i="22"/>
  <c r="B15" i="21"/>
  <c r="O14" i="2"/>
  <c r="AN189" i="17"/>
  <c r="AN204" i="17"/>
  <c r="AN194" i="17"/>
  <c r="AN214" i="17"/>
  <c r="AN241" i="17"/>
  <c r="AN224" i="17"/>
  <c r="AN161" i="17"/>
  <c r="AN202" i="17"/>
  <c r="AN174" i="17"/>
  <c r="AN208" i="17"/>
  <c r="AN230" i="17"/>
  <c r="AN228" i="17"/>
  <c r="AN163" i="17"/>
  <c r="AN243" i="17"/>
  <c r="AN176" i="17"/>
  <c r="AN225" i="17"/>
  <c r="AN158" i="17"/>
  <c r="AN253" i="17"/>
  <c r="AN170" i="17"/>
  <c r="AN148" i="17"/>
  <c r="AN248" i="17"/>
  <c r="AN200" i="17"/>
  <c r="AN237" i="17"/>
  <c r="AN220" i="17"/>
  <c r="AN234" i="17"/>
  <c r="AN254" i="17"/>
  <c r="AN219" i="17"/>
  <c r="AN245" i="17"/>
  <c r="AN250" i="17"/>
  <c r="AQ373" i="17"/>
  <c r="AQ361" i="17"/>
  <c r="AQ336" i="17"/>
  <c r="AQ314" i="17"/>
  <c r="AQ277" i="17"/>
  <c r="AQ296" i="17"/>
  <c r="AQ371" i="17"/>
  <c r="AQ350" i="17"/>
  <c r="AQ381" i="17"/>
  <c r="AQ309" i="17"/>
  <c r="AQ281" i="17"/>
  <c r="AQ346" i="17"/>
  <c r="AQ308" i="17"/>
  <c r="AQ321" i="17"/>
  <c r="AQ317" i="17"/>
  <c r="AQ340" i="17"/>
  <c r="AQ313" i="17"/>
  <c r="AQ366" i="17"/>
  <c r="AQ349" i="17"/>
  <c r="AQ375" i="17"/>
  <c r="AQ357" i="17"/>
  <c r="AQ334" i="17"/>
  <c r="AQ377" i="17"/>
  <c r="AQ319" i="17"/>
  <c r="AQ374" i="17"/>
  <c r="AQ345" i="17"/>
  <c r="AQ301" i="17"/>
  <c r="AQ323" i="17"/>
  <c r="AQ343" i="17"/>
  <c r="AQ386" i="17"/>
  <c r="AN26" i="20"/>
  <c r="AN16" i="15" l="1"/>
  <c r="A34" i="22"/>
  <c r="B16" i="21"/>
  <c r="AT405" i="17"/>
  <c r="AQ404" i="17"/>
  <c r="AY403" i="17"/>
  <c r="BA402" i="17"/>
  <c r="AW402" i="17"/>
  <c r="AY401" i="17"/>
  <c r="AP404" i="17"/>
  <c r="AX403" i="17"/>
  <c r="AZ402" i="17"/>
  <c r="AV402" i="17"/>
  <c r="AR404" i="17"/>
  <c r="AZ403" i="17"/>
  <c r="AX402" i="17"/>
  <c r="AX401" i="17"/>
  <c r="AO404" i="17"/>
  <c r="AW403" i="17"/>
  <c r="AW401" i="17"/>
  <c r="AN404" i="17"/>
  <c r="AV403" i="17"/>
  <c r="BA401" i="17"/>
  <c r="AV401" i="17"/>
  <c r="AS404" i="17"/>
  <c r="BA403" i="17"/>
  <c r="AZ401" i="17"/>
  <c r="AY402" i="17"/>
  <c r="AM29" i="24"/>
  <c r="AM37" i="24"/>
  <c r="AP37" i="24" s="1"/>
  <c r="AM24" i="24"/>
  <c r="AM34" i="24"/>
  <c r="AM27" i="24"/>
  <c r="AM26" i="24"/>
  <c r="AM36" i="24"/>
  <c r="AM30" i="24"/>
  <c r="AM28" i="24"/>
  <c r="AM25" i="24"/>
  <c r="AM35" i="24"/>
  <c r="AM23" i="24"/>
  <c r="AM33" i="24"/>
  <c r="AM31" i="24"/>
  <c r="AM32" i="24"/>
  <c r="AJ19" i="15"/>
  <c r="AO17" i="15"/>
  <c r="AM17" i="15"/>
  <c r="E16" i="21"/>
  <c r="J16" i="21" s="1"/>
  <c r="D64" i="9"/>
  <c r="H16" i="2"/>
  <c r="C16" i="21"/>
  <c r="B64" i="9"/>
  <c r="C24" i="11" s="1"/>
  <c r="F16" i="2"/>
  <c r="AP24" i="20"/>
  <c r="AP30" i="20"/>
  <c r="AF11" i="17"/>
  <c r="AJ10" i="17"/>
  <c r="AJ8" i="17"/>
  <c r="AH12" i="17"/>
  <c r="AK9" i="17"/>
  <c r="AJ9" i="17"/>
  <c r="AK8" i="17"/>
  <c r="AG11" i="17"/>
  <c r="AK10" i="17"/>
  <c r="D16" i="21"/>
  <c r="I16" i="21" s="1"/>
  <c r="C64" i="9"/>
  <c r="G16" i="2"/>
  <c r="AK20" i="15"/>
  <c r="AO16" i="15"/>
  <c r="B24" i="11"/>
  <c r="D24" i="11" s="1"/>
  <c r="E24" i="11" s="1"/>
  <c r="F24" i="11" s="1"/>
  <c r="F64" i="9"/>
  <c r="AP29" i="20"/>
  <c r="AP23" i="20"/>
  <c r="G23" i="11"/>
  <c r="AO18" i="15"/>
  <c r="AN37" i="24"/>
  <c r="AN29" i="24"/>
  <c r="AN28" i="24"/>
  <c r="AN27" i="24"/>
  <c r="AN32" i="24"/>
  <c r="AN31" i="24"/>
  <c r="AN36" i="24"/>
  <c r="AN23" i="24"/>
  <c r="AN35" i="24"/>
  <c r="AN24" i="24"/>
  <c r="AN34" i="24"/>
  <c r="AN33" i="24"/>
  <c r="AN26" i="24"/>
  <c r="AN30" i="24"/>
  <c r="AN25" i="24"/>
  <c r="O16" i="2"/>
  <c r="I15" i="2"/>
  <c r="F15" i="21" s="1"/>
  <c r="L15" i="2"/>
  <c r="AN273" i="17"/>
  <c r="AU272" i="17"/>
  <c r="AV271" i="17"/>
  <c r="AW270" i="17"/>
  <c r="AS270" i="17"/>
  <c r="AM273" i="17"/>
  <c r="AT272" i="17"/>
  <c r="AU271" i="17"/>
  <c r="AV270" i="17"/>
  <c r="AQ274" i="17"/>
  <c r="AP273" i="17"/>
  <c r="AL273" i="17"/>
  <c r="AW272" i="17"/>
  <c r="AS272" i="17"/>
  <c r="AT271" i="17"/>
  <c r="AV272" i="17"/>
  <c r="AW271" i="17"/>
  <c r="AU270" i="17"/>
  <c r="AO273" i="17"/>
  <c r="AS271" i="17"/>
  <c r="AT270" i="17"/>
  <c r="AM16" i="15"/>
  <c r="AN17" i="15"/>
  <c r="AM18" i="15"/>
  <c r="AL142" i="17"/>
  <c r="AR141" i="17"/>
  <c r="AR140" i="17"/>
  <c r="AR139" i="17"/>
  <c r="AN143" i="17"/>
  <c r="AK142" i="17"/>
  <c r="AQ141" i="17"/>
  <c r="AQ140" i="17"/>
  <c r="AJ142" i="17"/>
  <c r="AP141" i="17"/>
  <c r="AS140" i="17"/>
  <c r="AS139" i="17"/>
  <c r="AP140" i="17"/>
  <c r="AQ139" i="17"/>
  <c r="AM142" i="17"/>
  <c r="AP139" i="17"/>
  <c r="AS141" i="17"/>
  <c r="A17" i="21"/>
  <c r="A65" i="9"/>
  <c r="A25" i="11" s="1"/>
  <c r="A18" i="2"/>
  <c r="D17" i="2"/>
  <c r="K17" i="2" s="1"/>
  <c r="P17" i="2"/>
  <c r="C17" i="2"/>
  <c r="B17" i="2"/>
  <c r="N17" i="2"/>
  <c r="E65" i="9" s="1"/>
  <c r="E17" i="2"/>
  <c r="AO37" i="24"/>
  <c r="AO29" i="24"/>
  <c r="AO35" i="24"/>
  <c r="AO34" i="24"/>
  <c r="AO27" i="24"/>
  <c r="AO25" i="24"/>
  <c r="AO31" i="24"/>
  <c r="AO24" i="24"/>
  <c r="AO23" i="24"/>
  <c r="AO28" i="24"/>
  <c r="AO32" i="24"/>
  <c r="AO30" i="24"/>
  <c r="AO33" i="24"/>
  <c r="AO26" i="24"/>
  <c r="AO36" i="24"/>
  <c r="K16" i="2"/>
  <c r="AP25" i="20"/>
  <c r="AP28" i="20"/>
  <c r="O15" i="2"/>
  <c r="H15" i="21"/>
  <c r="G15" i="21"/>
  <c r="AU386" i="17" l="1"/>
  <c r="AU291" i="17"/>
  <c r="AU328" i="17"/>
  <c r="AU313" i="17"/>
  <c r="AU280" i="17"/>
  <c r="AU380" i="17"/>
  <c r="AU387" i="17"/>
  <c r="AU371" i="17"/>
  <c r="AU340" i="17"/>
  <c r="AU329" i="17"/>
  <c r="AU283" i="17"/>
  <c r="AU326" i="17"/>
  <c r="AU317" i="17"/>
  <c r="AU344" i="17"/>
  <c r="AU312" i="17"/>
  <c r="AU356" i="17"/>
  <c r="AU321" i="17"/>
  <c r="AU278" i="17"/>
  <c r="AU289" i="17"/>
  <c r="AU375" i="17"/>
  <c r="AU308" i="17"/>
  <c r="AU306" i="17"/>
  <c r="AU346" i="17"/>
  <c r="AU392" i="17"/>
  <c r="AU284" i="17"/>
  <c r="AU318" i="17"/>
  <c r="AU281" i="17"/>
  <c r="AU297" i="17"/>
  <c r="AU348" i="17"/>
  <c r="AU363" i="17"/>
  <c r="AU302" i="17"/>
  <c r="AU333" i="17"/>
  <c r="AU341" i="17"/>
  <c r="AU359" i="17"/>
  <c r="AU336" i="17"/>
  <c r="AU323" i="17"/>
  <c r="AU373" i="17"/>
  <c r="AU325" i="17"/>
  <c r="AU309" i="17"/>
  <c r="AU372" i="17"/>
  <c r="AU292" i="17"/>
  <c r="AU391" i="17"/>
  <c r="AU310" i="17"/>
  <c r="AU314" i="17"/>
  <c r="AU352" i="17"/>
  <c r="AU279" i="17"/>
  <c r="AU342" i="17"/>
  <c r="AU393" i="17"/>
  <c r="AU365" i="17"/>
  <c r="AU304" i="17"/>
  <c r="AU343" i="17"/>
  <c r="AU353" i="17"/>
  <c r="AU311" i="17"/>
  <c r="AU355" i="17"/>
  <c r="AU338" i="17"/>
  <c r="AU305" i="17"/>
  <c r="AU378" i="17"/>
  <c r="AU295" i="17"/>
  <c r="AU301" i="17"/>
  <c r="AU347" i="17"/>
  <c r="AU389" i="17"/>
  <c r="AU370" i="17"/>
  <c r="AU345" i="17"/>
  <c r="AU327" i="17"/>
  <c r="AU320" i="17"/>
  <c r="AU358" i="17"/>
  <c r="AU379" i="17"/>
  <c r="AU374" i="17"/>
  <c r="AU315" i="17"/>
  <c r="AU299" i="17"/>
  <c r="AU319" i="17"/>
  <c r="AU282" i="17"/>
  <c r="AU330" i="17"/>
  <c r="AU377" i="17"/>
  <c r="AU362" i="17"/>
  <c r="AU376" i="17"/>
  <c r="AU307" i="17"/>
  <c r="AU360" i="17"/>
  <c r="AU366" i="17"/>
  <c r="AU303" i="17"/>
  <c r="AU361" i="17"/>
  <c r="AU322" i="17"/>
  <c r="AU288" i="17"/>
  <c r="AU383" i="17"/>
  <c r="AU316" i="17"/>
  <c r="AU324" i="17"/>
  <c r="AU390" i="17"/>
  <c r="AU382" i="17"/>
  <c r="AU277" i="17"/>
  <c r="AU335" i="17"/>
  <c r="AU290" i="17"/>
  <c r="AU286" i="17"/>
  <c r="AU293" i="17"/>
  <c r="AU287" i="17"/>
  <c r="AU354" i="17"/>
  <c r="AU298" i="17"/>
  <c r="AU384" i="17"/>
  <c r="AU388" i="17"/>
  <c r="AU367" i="17"/>
  <c r="AU331" i="17"/>
  <c r="AU332" i="17"/>
  <c r="AU285" i="17"/>
  <c r="AU334" i="17"/>
  <c r="AU300" i="17"/>
  <c r="AU369" i="17"/>
  <c r="AU357" i="17"/>
  <c r="AU339" i="17"/>
  <c r="AU349" i="17"/>
  <c r="AU294" i="17"/>
  <c r="AU381" i="17"/>
  <c r="AU385" i="17"/>
  <c r="AU351" i="17"/>
  <c r="AU337" i="17"/>
  <c r="AU368" i="17"/>
  <c r="AU350" i="17"/>
  <c r="AU296" i="17"/>
  <c r="AU364" i="17"/>
  <c r="H16" i="21"/>
  <c r="G16" i="21"/>
  <c r="AP31" i="24"/>
  <c r="E17" i="21"/>
  <c r="J17" i="21" s="1"/>
  <c r="D65" i="9"/>
  <c r="H17" i="2"/>
  <c r="A35" i="22"/>
  <c r="B17" i="21"/>
  <c r="AP255" i="17"/>
  <c r="AP160" i="17"/>
  <c r="AP250" i="17"/>
  <c r="AP226" i="17"/>
  <c r="AT226" i="17" s="1"/>
  <c r="AP245" i="17"/>
  <c r="AP162" i="17"/>
  <c r="AP225" i="17"/>
  <c r="AP182" i="17"/>
  <c r="AT182" i="17" s="1"/>
  <c r="AP176" i="17"/>
  <c r="AP147" i="17"/>
  <c r="AP180" i="17"/>
  <c r="AP157" i="17"/>
  <c r="AP154" i="17"/>
  <c r="AP227" i="17"/>
  <c r="AP155" i="17"/>
  <c r="AP234" i="17"/>
  <c r="AP249" i="17"/>
  <c r="AP210" i="17"/>
  <c r="AP198" i="17"/>
  <c r="AP186" i="17"/>
  <c r="AT186" i="17" s="1"/>
  <c r="AP175" i="17"/>
  <c r="AP181" i="17"/>
  <c r="AP252" i="17"/>
  <c r="AP179" i="17"/>
  <c r="AT179" i="17" s="1"/>
  <c r="AP246" i="17"/>
  <c r="AP187" i="17"/>
  <c r="AP231" i="17"/>
  <c r="AP158" i="17"/>
  <c r="AP173" i="17"/>
  <c r="AP197" i="17"/>
  <c r="AP256" i="17"/>
  <c r="AP206" i="17"/>
  <c r="AP191" i="17"/>
  <c r="AP218" i="17"/>
  <c r="AP165" i="17"/>
  <c r="AP259" i="17"/>
  <c r="AT259" i="17" s="1"/>
  <c r="AP244" i="17"/>
  <c r="AP193" i="17"/>
  <c r="AP235" i="17"/>
  <c r="AP216" i="17"/>
  <c r="AT216" i="17" s="1"/>
  <c r="AP243" i="17"/>
  <c r="AP190" i="17"/>
  <c r="AP224" i="17"/>
  <c r="AP236" i="17"/>
  <c r="AT236" i="17" s="1"/>
  <c r="AP163" i="17"/>
  <c r="AP192" i="17"/>
  <c r="AP213" i="17"/>
  <c r="AP169" i="17"/>
  <c r="AP238" i="17"/>
  <c r="AP170" i="17"/>
  <c r="AP261" i="17"/>
  <c r="AP151" i="17"/>
  <c r="AT151" i="17" s="1"/>
  <c r="AP185" i="17"/>
  <c r="AP211" i="17"/>
  <c r="AP217" i="17"/>
  <c r="AP196" i="17"/>
  <c r="AT196" i="17" s="1"/>
  <c r="AP214" i="17"/>
  <c r="AP177" i="17"/>
  <c r="AP229" i="17"/>
  <c r="AP230" i="17"/>
  <c r="AP152" i="17"/>
  <c r="AP239" i="17"/>
  <c r="AP148" i="17"/>
  <c r="AP172" i="17"/>
  <c r="AP205" i="17"/>
  <c r="AP209" i="17"/>
  <c r="AP242" i="17"/>
  <c r="AP247" i="17"/>
  <c r="AP223" i="17"/>
  <c r="AP237" i="17"/>
  <c r="AP233" i="17"/>
  <c r="AP146" i="17"/>
  <c r="AP184" i="17"/>
  <c r="AP200" i="17"/>
  <c r="AP202" i="17"/>
  <c r="AP251" i="17"/>
  <c r="AP262" i="17"/>
  <c r="AP199" i="17"/>
  <c r="AP253" i="17"/>
  <c r="AP153" i="17"/>
  <c r="AP208" i="17"/>
  <c r="AP183" i="17"/>
  <c r="AP150" i="17"/>
  <c r="AP203" i="17"/>
  <c r="AP178" i="17"/>
  <c r="AP161" i="17"/>
  <c r="AP167" i="17"/>
  <c r="AP219" i="17"/>
  <c r="AP194" i="17"/>
  <c r="AP257" i="17"/>
  <c r="AP164" i="17"/>
  <c r="AP240" i="17"/>
  <c r="AP215" i="17"/>
  <c r="AP204" i="17"/>
  <c r="AP159" i="17"/>
  <c r="AP241" i="17"/>
  <c r="AT241" i="17" s="1"/>
  <c r="AP207" i="17"/>
  <c r="AP189" i="17"/>
  <c r="AP260" i="17"/>
  <c r="AP201" i="17"/>
  <c r="AP168" i="17"/>
  <c r="AP188" i="17"/>
  <c r="AP166" i="17"/>
  <c r="AP248" i="17"/>
  <c r="AT248" i="17" s="1"/>
  <c r="AP212" i="17"/>
  <c r="AP228" i="17"/>
  <c r="AP258" i="17"/>
  <c r="AP171" i="17"/>
  <c r="AP220" i="17"/>
  <c r="AP149" i="17"/>
  <c r="AP222" i="17"/>
  <c r="AP232" i="17"/>
  <c r="AT232" i="17" s="1"/>
  <c r="AP221" i="17"/>
  <c r="AP156" i="17"/>
  <c r="AP195" i="17"/>
  <c r="AP254" i="17"/>
  <c r="AP174" i="17"/>
  <c r="AS255" i="17"/>
  <c r="AS160" i="17"/>
  <c r="AS200" i="17"/>
  <c r="AS196" i="17"/>
  <c r="AS182" i="17"/>
  <c r="AS218" i="17"/>
  <c r="AS165" i="17"/>
  <c r="AS248" i="17"/>
  <c r="AS147" i="17"/>
  <c r="AS227" i="17"/>
  <c r="AS155" i="17"/>
  <c r="AS148" i="17"/>
  <c r="AS198" i="17"/>
  <c r="AS175" i="17"/>
  <c r="AS170" i="17"/>
  <c r="AS252" i="17"/>
  <c r="AS179" i="17"/>
  <c r="AS246" i="17"/>
  <c r="AS261" i="17"/>
  <c r="AS253" i="17"/>
  <c r="AS187" i="17"/>
  <c r="AS231" i="17"/>
  <c r="AS257" i="17"/>
  <c r="AS158" i="17"/>
  <c r="AS164" i="17"/>
  <c r="AS173" i="17"/>
  <c r="AS240" i="17"/>
  <c r="AS208" i="17"/>
  <c r="AS225" i="17"/>
  <c r="AS206" i="17"/>
  <c r="AS191" i="17"/>
  <c r="AS259" i="17"/>
  <c r="AS176" i="17"/>
  <c r="AS229" i="17"/>
  <c r="AS212" i="17"/>
  <c r="AS235" i="17"/>
  <c r="AS157" i="17"/>
  <c r="AS243" i="17"/>
  <c r="AS249" i="17"/>
  <c r="AS190" i="17"/>
  <c r="AS236" i="17"/>
  <c r="AS163" i="17"/>
  <c r="AS242" i="17"/>
  <c r="AS238" i="17"/>
  <c r="AS228" i="17"/>
  <c r="AS146" i="17"/>
  <c r="AS149" i="17"/>
  <c r="AS151" i="17"/>
  <c r="AS256" i="17"/>
  <c r="AS245" i="17"/>
  <c r="AS211" i="17"/>
  <c r="AS214" i="17"/>
  <c r="AS202" i="17"/>
  <c r="AS193" i="17"/>
  <c r="AS230" i="17"/>
  <c r="AS180" i="17"/>
  <c r="AS216" i="17"/>
  <c r="AS239" i="17"/>
  <c r="AS172" i="17"/>
  <c r="AS205" i="17"/>
  <c r="AS224" i="17"/>
  <c r="AS192" i="17"/>
  <c r="AS247" i="17"/>
  <c r="AS169" i="17"/>
  <c r="AS181" i="17"/>
  <c r="AS194" i="17"/>
  <c r="AS223" i="17"/>
  <c r="AS237" i="17"/>
  <c r="AS185" i="17"/>
  <c r="AS167" i="17"/>
  <c r="AS217" i="17"/>
  <c r="AS219" i="17"/>
  <c r="AS154" i="17"/>
  <c r="AS197" i="17"/>
  <c r="AS215" i="17"/>
  <c r="AS150" i="17"/>
  <c r="AS203" i="17"/>
  <c r="AS161" i="17"/>
  <c r="AS153" i="17"/>
  <c r="AS232" i="17"/>
  <c r="AS260" i="17"/>
  <c r="AS174" i="17"/>
  <c r="AS166" i="17"/>
  <c r="AS177" i="17"/>
  <c r="AS254" i="17"/>
  <c r="AS171" i="17"/>
  <c r="AS220" i="17"/>
  <c r="AS184" i="17"/>
  <c r="AS183" i="17"/>
  <c r="AS204" i="17"/>
  <c r="AS159" i="17"/>
  <c r="AS207" i="17"/>
  <c r="AS168" i="17"/>
  <c r="AS258" i="17"/>
  <c r="AS244" i="17"/>
  <c r="AS199" i="17"/>
  <c r="AS213" i="17"/>
  <c r="AS221" i="17"/>
  <c r="AS250" i="17"/>
  <c r="AS162" i="17"/>
  <c r="AS262" i="17"/>
  <c r="AS234" i="17"/>
  <c r="AS209" i="17"/>
  <c r="AS186" i="17"/>
  <c r="AS233" i="17"/>
  <c r="AS222" i="17"/>
  <c r="AS178" i="17"/>
  <c r="AS241" i="17"/>
  <c r="AS156" i="17"/>
  <c r="AS189" i="17"/>
  <c r="AS195" i="17"/>
  <c r="AS201" i="17"/>
  <c r="AS188" i="17"/>
  <c r="AS226" i="17"/>
  <c r="AS251" i="17"/>
  <c r="AS152" i="17"/>
  <c r="AS210" i="17"/>
  <c r="AR255" i="17"/>
  <c r="AR160" i="17"/>
  <c r="AR200" i="17"/>
  <c r="AR185" i="17"/>
  <c r="AR250" i="17"/>
  <c r="AR217" i="17"/>
  <c r="AR196" i="17"/>
  <c r="AR206" i="17"/>
  <c r="AR177" i="17"/>
  <c r="AR202" i="17"/>
  <c r="AR165" i="17"/>
  <c r="AR248" i="17"/>
  <c r="AR147" i="17"/>
  <c r="AR154" i="17"/>
  <c r="AR227" i="17"/>
  <c r="AR155" i="17"/>
  <c r="AR148" i="17"/>
  <c r="AR190" i="17"/>
  <c r="AR209" i="17"/>
  <c r="AR186" i="17"/>
  <c r="AR175" i="17"/>
  <c r="AR213" i="17"/>
  <c r="AR238" i="17"/>
  <c r="AR252" i="17"/>
  <c r="AR179" i="17"/>
  <c r="AR261" i="17"/>
  <c r="AR187" i="17"/>
  <c r="AR231" i="17"/>
  <c r="AR233" i="17"/>
  <c r="AR164" i="17"/>
  <c r="AR240" i="17"/>
  <c r="AR208" i="17"/>
  <c r="AR191" i="17"/>
  <c r="AR214" i="17"/>
  <c r="AR218" i="17"/>
  <c r="AR259" i="17"/>
  <c r="AR176" i="17"/>
  <c r="AR229" i="17"/>
  <c r="AR212" i="17"/>
  <c r="AR235" i="17"/>
  <c r="AR230" i="17"/>
  <c r="AR243" i="17"/>
  <c r="AR234" i="17"/>
  <c r="AR205" i="17"/>
  <c r="AR236" i="17"/>
  <c r="AR163" i="17"/>
  <c r="AR242" i="17"/>
  <c r="AR194" i="17"/>
  <c r="AR228" i="17"/>
  <c r="AR237" i="17"/>
  <c r="AR257" i="17"/>
  <c r="AR146" i="17"/>
  <c r="AR151" i="17"/>
  <c r="AR256" i="17"/>
  <c r="AR226" i="17"/>
  <c r="AR166" i="17"/>
  <c r="AR211" i="17"/>
  <c r="AR162" i="17"/>
  <c r="AR225" i="17"/>
  <c r="AR262" i="17"/>
  <c r="AR254" i="17"/>
  <c r="AR180" i="17"/>
  <c r="AR216" i="17"/>
  <c r="AR239" i="17"/>
  <c r="AR249" i="17"/>
  <c r="AR172" i="17"/>
  <c r="AR224" i="17"/>
  <c r="AR192" i="17"/>
  <c r="AR247" i="17"/>
  <c r="AR253" i="17"/>
  <c r="AR223" i="17"/>
  <c r="AR149" i="17"/>
  <c r="AR245" i="17"/>
  <c r="AR193" i="17"/>
  <c r="AR199" i="17"/>
  <c r="AR157" i="17"/>
  <c r="AR220" i="17"/>
  <c r="AR170" i="17"/>
  <c r="AR181" i="17"/>
  <c r="AR246" i="17"/>
  <c r="AR197" i="17"/>
  <c r="AR184" i="17"/>
  <c r="AR183" i="17"/>
  <c r="AR203" i="17"/>
  <c r="AR189" i="17"/>
  <c r="AR153" i="17"/>
  <c r="AR150" i="17"/>
  <c r="AR232" i="17"/>
  <c r="AR167" i="17"/>
  <c r="AR251" i="17"/>
  <c r="AR210" i="17"/>
  <c r="AR198" i="17"/>
  <c r="AR215" i="17"/>
  <c r="AR222" i="17"/>
  <c r="AR204" i="17"/>
  <c r="AR159" i="17"/>
  <c r="AR221" i="17"/>
  <c r="AR161" i="17"/>
  <c r="AR207" i="17"/>
  <c r="AR258" i="17"/>
  <c r="AR188" i="17"/>
  <c r="AR171" i="17"/>
  <c r="AR169" i="17"/>
  <c r="AR241" i="17"/>
  <c r="AR260" i="17"/>
  <c r="AR201" i="17"/>
  <c r="AR219" i="17"/>
  <c r="AR244" i="17"/>
  <c r="AR152" i="17"/>
  <c r="AR158" i="17"/>
  <c r="AR173" i="17"/>
  <c r="AR178" i="17"/>
  <c r="AR156" i="17"/>
  <c r="AR195" i="17"/>
  <c r="AR174" i="17"/>
  <c r="AR168" i="17"/>
  <c r="AR182" i="17"/>
  <c r="AT291" i="17"/>
  <c r="AT386" i="17"/>
  <c r="AT297" i="17"/>
  <c r="AT335" i="17"/>
  <c r="AT328" i="17"/>
  <c r="AT363" i="17"/>
  <c r="AT302" i="17"/>
  <c r="AT333" i="17"/>
  <c r="AT280" i="17"/>
  <c r="AT393" i="17"/>
  <c r="AT341" i="17"/>
  <c r="AT359" i="17"/>
  <c r="AT355" i="17"/>
  <c r="AT373" i="17"/>
  <c r="AT344" i="17"/>
  <c r="AT300" i="17"/>
  <c r="AT312" i="17"/>
  <c r="AT325" i="17"/>
  <c r="AT309" i="17"/>
  <c r="AT320" i="17"/>
  <c r="AT332" i="17"/>
  <c r="AT287" i="17"/>
  <c r="AT391" i="17"/>
  <c r="AT310" i="17"/>
  <c r="AT314" i="17"/>
  <c r="AT352" i="17"/>
  <c r="AT279" i="17"/>
  <c r="AT342" i="17"/>
  <c r="AT316" i="17"/>
  <c r="AT365" i="17"/>
  <c r="AT304" i="17"/>
  <c r="AT380" i="17"/>
  <c r="AT343" i="17"/>
  <c r="AT353" i="17"/>
  <c r="AT336" i="17"/>
  <c r="AT311" i="17"/>
  <c r="AT338" i="17"/>
  <c r="AT305" i="17"/>
  <c r="AT378" i="17"/>
  <c r="AT295" i="17"/>
  <c r="AT301" i="17"/>
  <c r="AT347" i="17"/>
  <c r="AT389" i="17"/>
  <c r="AT370" i="17"/>
  <c r="AT345" i="17"/>
  <c r="AT339" i="17"/>
  <c r="AT327" i="17"/>
  <c r="AT358" i="17"/>
  <c r="AT379" i="17"/>
  <c r="AT374" i="17"/>
  <c r="AT315" i="17"/>
  <c r="AT307" i="17"/>
  <c r="AT299" i="17"/>
  <c r="AT282" i="17"/>
  <c r="AT284" i="17"/>
  <c r="AT330" i="17"/>
  <c r="AT377" i="17"/>
  <c r="AT348" i="17"/>
  <c r="AT331" i="17"/>
  <c r="AT290" i="17"/>
  <c r="AT334" i="17"/>
  <c r="AT387" i="17"/>
  <c r="AT371" i="17"/>
  <c r="AT340" i="17"/>
  <c r="AT369" i="17"/>
  <c r="AT357" i="17"/>
  <c r="AT356" i="17"/>
  <c r="AT362" i="17"/>
  <c r="AT286" i="17"/>
  <c r="AT293" i="17"/>
  <c r="AT308" i="17"/>
  <c r="AT349" i="17"/>
  <c r="AT294" i="17"/>
  <c r="AT319" i="17"/>
  <c r="AT392" i="17"/>
  <c r="AT354" i="17"/>
  <c r="AT366" i="17"/>
  <c r="AT298" i="17"/>
  <c r="AT326" i="17"/>
  <c r="AT278" i="17"/>
  <c r="AT372" i="17"/>
  <c r="AT303" i="17"/>
  <c r="AT364" i="17"/>
  <c r="AT383" i="17"/>
  <c r="AT283" i="17"/>
  <c r="AT321" i="17"/>
  <c r="AT289" i="17"/>
  <c r="AT324" i="17"/>
  <c r="AT381" i="17"/>
  <c r="AT385" i="17"/>
  <c r="AT351" i="17"/>
  <c r="AT337" i="17"/>
  <c r="AT368" i="17"/>
  <c r="AT350" i="17"/>
  <c r="AT382" i="17"/>
  <c r="AT277" i="17"/>
  <c r="AT317" i="17"/>
  <c r="AT292" i="17"/>
  <c r="AT376" i="17"/>
  <c r="AT360" i="17"/>
  <c r="AT318" i="17"/>
  <c r="AT281" i="17"/>
  <c r="AT361" i="17"/>
  <c r="AT322" i="17"/>
  <c r="AT313" i="17"/>
  <c r="AT329" i="17"/>
  <c r="AT323" i="17"/>
  <c r="AT375" i="17"/>
  <c r="AT306" i="17"/>
  <c r="AT346" i="17"/>
  <c r="AT288" i="17"/>
  <c r="AT285" i="17"/>
  <c r="AT367" i="17"/>
  <c r="AT390" i="17"/>
  <c r="AT384" i="17"/>
  <c r="AT388" i="17"/>
  <c r="AT296" i="17"/>
  <c r="AV386" i="17"/>
  <c r="AV291" i="17"/>
  <c r="AV328" i="17"/>
  <c r="AV313" i="17"/>
  <c r="AV280" i="17"/>
  <c r="AV331" i="17"/>
  <c r="AV380" i="17"/>
  <c r="AV290" i="17"/>
  <c r="AV387" i="17"/>
  <c r="AV371" i="17"/>
  <c r="AV340" i="17"/>
  <c r="AV329" i="17"/>
  <c r="AV317" i="17"/>
  <c r="AV344" i="17"/>
  <c r="AV312" i="17"/>
  <c r="AV356" i="17"/>
  <c r="AV321" i="17"/>
  <c r="AV289" i="17"/>
  <c r="AV358" i="17"/>
  <c r="AV374" i="17"/>
  <c r="AV308" i="17"/>
  <c r="AV319" i="17"/>
  <c r="AV284" i="17"/>
  <c r="AV314" i="17"/>
  <c r="AV281" i="17"/>
  <c r="AV354" i="17"/>
  <c r="AV297" i="17"/>
  <c r="AV348" i="17"/>
  <c r="AV302" i="17"/>
  <c r="AV333" i="17"/>
  <c r="AV393" i="17"/>
  <c r="AV341" i="17"/>
  <c r="AV336" i="17"/>
  <c r="AV334" i="17"/>
  <c r="AV283" i="17"/>
  <c r="AV323" i="17"/>
  <c r="AV373" i="17"/>
  <c r="AV378" i="17"/>
  <c r="AV325" i="17"/>
  <c r="AV309" i="17"/>
  <c r="AV372" i="17"/>
  <c r="AV292" i="17"/>
  <c r="AV375" i="17"/>
  <c r="AV286" i="17"/>
  <c r="AV294" i="17"/>
  <c r="AV306" i="17"/>
  <c r="AV282" i="17"/>
  <c r="AV352" i="17"/>
  <c r="AV330" i="17"/>
  <c r="AV335" i="17"/>
  <c r="AV363" i="17"/>
  <c r="AV365" i="17"/>
  <c r="AV304" i="17"/>
  <c r="AV353" i="17"/>
  <c r="AV359" i="17"/>
  <c r="AV355" i="17"/>
  <c r="AV326" i="17"/>
  <c r="AV305" i="17"/>
  <c r="AV301" i="17"/>
  <c r="AV389" i="17"/>
  <c r="AV345" i="17"/>
  <c r="AV278" i="17"/>
  <c r="AV362" i="17"/>
  <c r="AV320" i="17"/>
  <c r="AV287" i="17"/>
  <c r="AV391" i="17"/>
  <c r="AV366" i="17"/>
  <c r="AV298" i="17"/>
  <c r="AV279" i="17"/>
  <c r="AV377" i="17"/>
  <c r="AV343" i="17"/>
  <c r="AV295" i="17"/>
  <c r="AV327" i="17"/>
  <c r="AV376" i="17"/>
  <c r="AV315" i="17"/>
  <c r="AV307" i="17"/>
  <c r="AV299" i="17"/>
  <c r="AV360" i="17"/>
  <c r="AV318" i="17"/>
  <c r="AV361" i="17"/>
  <c r="AV288" i="17"/>
  <c r="AV367" i="17"/>
  <c r="AV392" i="17"/>
  <c r="AV316" i="17"/>
  <c r="AV285" i="17"/>
  <c r="AV382" i="17"/>
  <c r="AV347" i="17"/>
  <c r="AV293" i="17"/>
  <c r="AV346" i="17"/>
  <c r="AV384" i="17"/>
  <c r="AV322" i="17"/>
  <c r="AV350" i="17"/>
  <c r="AV388" i="17"/>
  <c r="AV390" i="17"/>
  <c r="AV370" i="17"/>
  <c r="AV379" i="17"/>
  <c r="AV324" i="17"/>
  <c r="AV351" i="17"/>
  <c r="AV364" i="17"/>
  <c r="AV311" i="17"/>
  <c r="AV338" i="17"/>
  <c r="AV300" i="17"/>
  <c r="AV369" i="17"/>
  <c r="AV357" i="17"/>
  <c r="AV339" i="17"/>
  <c r="AV349" i="17"/>
  <c r="AV310" i="17"/>
  <c r="AV342" i="17"/>
  <c r="AV381" i="17"/>
  <c r="AV385" i="17"/>
  <c r="AV303" i="17"/>
  <c r="AV337" i="17"/>
  <c r="AV368" i="17"/>
  <c r="AV383" i="17"/>
  <c r="AV332" i="17"/>
  <c r="AV296" i="17"/>
  <c r="AV277" i="17"/>
  <c r="AS386" i="17"/>
  <c r="AS291" i="17"/>
  <c r="AS297" i="17"/>
  <c r="AS348" i="17"/>
  <c r="AS393" i="17"/>
  <c r="AS365" i="17"/>
  <c r="AS341" i="17"/>
  <c r="AX341" i="17" s="1"/>
  <c r="AS336" i="17"/>
  <c r="AS283" i="17"/>
  <c r="AS326" i="17"/>
  <c r="AS323" i="17"/>
  <c r="AS373" i="17"/>
  <c r="AS301" i="17"/>
  <c r="AS325" i="17"/>
  <c r="AS321" i="17"/>
  <c r="AX321" i="17" s="1"/>
  <c r="AS278" i="17"/>
  <c r="AS309" i="17"/>
  <c r="AS372" i="17"/>
  <c r="AS292" i="17"/>
  <c r="AS375" i="17"/>
  <c r="AS306" i="17"/>
  <c r="AS346" i="17"/>
  <c r="AS318" i="17"/>
  <c r="AX318" i="17" s="1"/>
  <c r="AS352" i="17"/>
  <c r="AS335" i="17"/>
  <c r="AS363" i="17"/>
  <c r="AS302" i="17"/>
  <c r="AX302" i="17" s="1"/>
  <c r="AS304" i="17"/>
  <c r="AS359" i="17"/>
  <c r="AS355" i="17"/>
  <c r="AS305" i="17"/>
  <c r="AX305" i="17" s="1"/>
  <c r="AS369" i="17"/>
  <c r="AS389" i="17"/>
  <c r="AS345" i="17"/>
  <c r="AS320" i="17"/>
  <c r="AS289" i="17"/>
  <c r="AS287" i="17"/>
  <c r="AS349" i="17"/>
  <c r="AS391" i="17"/>
  <c r="AX391" i="17" s="1"/>
  <c r="AS310" i="17"/>
  <c r="AS314" i="17"/>
  <c r="AS279" i="17"/>
  <c r="AS342" i="17"/>
  <c r="AX342" i="17" s="1"/>
  <c r="AS377" i="17"/>
  <c r="AS343" i="17"/>
  <c r="AS353" i="17"/>
  <c r="AS311" i="17"/>
  <c r="AX311" i="17" s="1"/>
  <c r="AS338" i="17"/>
  <c r="AS317" i="17"/>
  <c r="AS378" i="17"/>
  <c r="AS300" i="17"/>
  <c r="AX300" i="17" s="1"/>
  <c r="AS295" i="17"/>
  <c r="AS347" i="17"/>
  <c r="AS370" i="17"/>
  <c r="AS357" i="17"/>
  <c r="AX357" i="17" s="1"/>
  <c r="AS339" i="17"/>
  <c r="AS327" i="17"/>
  <c r="AS358" i="17"/>
  <c r="AS379" i="17"/>
  <c r="AX379" i="17" s="1"/>
  <c r="AS332" i="17"/>
  <c r="AS376" i="17"/>
  <c r="AS374" i="17"/>
  <c r="AS315" i="17"/>
  <c r="AX315" i="17" s="1"/>
  <c r="AS293" i="17"/>
  <c r="AS307" i="17"/>
  <c r="AS299" i="17"/>
  <c r="AS360" i="17"/>
  <c r="AX360" i="17" s="1"/>
  <c r="AS282" i="17"/>
  <c r="AS392" i="17"/>
  <c r="AS330" i="17"/>
  <c r="AS371" i="17"/>
  <c r="AX371" i="17" s="1"/>
  <c r="AS340" i="17"/>
  <c r="AS312" i="17"/>
  <c r="AS362" i="17"/>
  <c r="AS366" i="17"/>
  <c r="AX366" i="17" s="1"/>
  <c r="AS384" i="17"/>
  <c r="AS381" i="17"/>
  <c r="AS337" i="17"/>
  <c r="AS322" i="17"/>
  <c r="AX322" i="17" s="1"/>
  <c r="AS388" i="17"/>
  <c r="AS288" i="17"/>
  <c r="AS367" i="17"/>
  <c r="AS390" i="17"/>
  <c r="AX390" i="17" s="1"/>
  <c r="AS382" i="17"/>
  <c r="AS313" i="17"/>
  <c r="AS280" i="17"/>
  <c r="AS290" i="17"/>
  <c r="AS329" i="17"/>
  <c r="AS286" i="17"/>
  <c r="AS319" i="17"/>
  <c r="AS354" i="17"/>
  <c r="AS298" i="17"/>
  <c r="AS316" i="17"/>
  <c r="AS385" i="17"/>
  <c r="AS303" i="17"/>
  <c r="AX303" i="17" s="1"/>
  <c r="AS368" i="17"/>
  <c r="AS285" i="17"/>
  <c r="AS383" i="17"/>
  <c r="AS364" i="17"/>
  <c r="AX364" i="17" s="1"/>
  <c r="AS277" i="17"/>
  <c r="AS333" i="17"/>
  <c r="AS380" i="17"/>
  <c r="AS361" i="17"/>
  <c r="AX361" i="17" s="1"/>
  <c r="AS328" i="17"/>
  <c r="AS331" i="17"/>
  <c r="AS334" i="17"/>
  <c r="AS344" i="17"/>
  <c r="AX344" i="17" s="1"/>
  <c r="AS356" i="17"/>
  <c r="AS308" i="17"/>
  <c r="AS294" i="17"/>
  <c r="AS284" i="17"/>
  <c r="AX284" i="17" s="1"/>
  <c r="AS281" i="17"/>
  <c r="AS324" i="17"/>
  <c r="AS351" i="17"/>
  <c r="AS350" i="17"/>
  <c r="AX350" i="17" s="1"/>
  <c r="AS296" i="17"/>
  <c r="AS387" i="17"/>
  <c r="AK29" i="17"/>
  <c r="AK124" i="17"/>
  <c r="AK80" i="17"/>
  <c r="AK91" i="17"/>
  <c r="AK17" i="17"/>
  <c r="AK77" i="17"/>
  <c r="AK99" i="17"/>
  <c r="AK106" i="17"/>
  <c r="AK105" i="17"/>
  <c r="AK129" i="17"/>
  <c r="AK110" i="17"/>
  <c r="AK72" i="17"/>
  <c r="AK25" i="17"/>
  <c r="AK57" i="17"/>
  <c r="AK88" i="17"/>
  <c r="AK128" i="17"/>
  <c r="AK61" i="17"/>
  <c r="AK107" i="17"/>
  <c r="AK35" i="17"/>
  <c r="AK115" i="17"/>
  <c r="AK86" i="17"/>
  <c r="AK101" i="17"/>
  <c r="AK123" i="17"/>
  <c r="AK131" i="17"/>
  <c r="AK48" i="17"/>
  <c r="AK109" i="17"/>
  <c r="AK54" i="17"/>
  <c r="AK47" i="17"/>
  <c r="AK26" i="17"/>
  <c r="AK126" i="17"/>
  <c r="AK44" i="17"/>
  <c r="AK15" i="17"/>
  <c r="AK117" i="17"/>
  <c r="AK113" i="17"/>
  <c r="AK16" i="17"/>
  <c r="AK76" i="17"/>
  <c r="AK64" i="17"/>
  <c r="AK37" i="17"/>
  <c r="AK70" i="17"/>
  <c r="AK63" i="17"/>
  <c r="AK122" i="17"/>
  <c r="AK66" i="17"/>
  <c r="AK94" i="17"/>
  <c r="AK71" i="17"/>
  <c r="AK69" i="17"/>
  <c r="AK103" i="17"/>
  <c r="AK112" i="17"/>
  <c r="AK19" i="17"/>
  <c r="AK41" i="17"/>
  <c r="AK40" i="17"/>
  <c r="AK89" i="17"/>
  <c r="AK23" i="17"/>
  <c r="AK34" i="17"/>
  <c r="AK102" i="17"/>
  <c r="AK121" i="17"/>
  <c r="AK30" i="17"/>
  <c r="AK73" i="17"/>
  <c r="AK87" i="17"/>
  <c r="AK36" i="17"/>
  <c r="AK79" i="17"/>
  <c r="AK67" i="17"/>
  <c r="AK111" i="17"/>
  <c r="AK53" i="17"/>
  <c r="AK46" i="17"/>
  <c r="AK18" i="17"/>
  <c r="AK31" i="17"/>
  <c r="AK118" i="17"/>
  <c r="AK27" i="17"/>
  <c r="AK32" i="17"/>
  <c r="AK20" i="17"/>
  <c r="AK42" i="17"/>
  <c r="AK59" i="17"/>
  <c r="AK74" i="17"/>
  <c r="AK104" i="17"/>
  <c r="AK83" i="17"/>
  <c r="AK78" i="17"/>
  <c r="AK55" i="17"/>
  <c r="AK82" i="17"/>
  <c r="AK38" i="17"/>
  <c r="AK28" i="17"/>
  <c r="AK90" i="17"/>
  <c r="AK62" i="17"/>
  <c r="AK119" i="17"/>
  <c r="AK60" i="17"/>
  <c r="AK22" i="17"/>
  <c r="AK120" i="17"/>
  <c r="AK95" i="17"/>
  <c r="AK81" i="17"/>
  <c r="AK56" i="17"/>
  <c r="AK68" i="17"/>
  <c r="AK51" i="17"/>
  <c r="AK39" i="17"/>
  <c r="AK85" i="17"/>
  <c r="AK127" i="17"/>
  <c r="AK50" i="17"/>
  <c r="AK24" i="17"/>
  <c r="AK108" i="17"/>
  <c r="AK49" i="17"/>
  <c r="AK45" i="17"/>
  <c r="AK98" i="17"/>
  <c r="AK84" i="17"/>
  <c r="AK52" i="17"/>
  <c r="AK65" i="17"/>
  <c r="AK93" i="17"/>
  <c r="AK43" i="17"/>
  <c r="AK75" i="17"/>
  <c r="AK92" i="17"/>
  <c r="AK97" i="17"/>
  <c r="AK125" i="17"/>
  <c r="AK21" i="17"/>
  <c r="AK58" i="17"/>
  <c r="AK96" i="17"/>
  <c r="AK33" i="17"/>
  <c r="AK130" i="17"/>
  <c r="AK114" i="17"/>
  <c r="AK100" i="17"/>
  <c r="AK116" i="17"/>
  <c r="AJ124" i="17"/>
  <c r="AL124" i="17" s="1"/>
  <c r="AJ29" i="17"/>
  <c r="AL29" i="17" s="1"/>
  <c r="AJ91" i="17"/>
  <c r="AL91" i="17" s="1"/>
  <c r="AJ112" i="17"/>
  <c r="AL112" i="17" s="1"/>
  <c r="AJ47" i="17"/>
  <c r="AL47" i="17" s="1"/>
  <c r="AJ41" i="17"/>
  <c r="AL41" i="17" s="1"/>
  <c r="AJ40" i="17"/>
  <c r="AJ89" i="17"/>
  <c r="AL89" i="17" s="1"/>
  <c r="AJ15" i="17"/>
  <c r="AL15" i="17" s="1"/>
  <c r="AJ98" i="17"/>
  <c r="AJ110" i="17"/>
  <c r="AL110" i="17" s="1"/>
  <c r="AJ114" i="17"/>
  <c r="AL114" i="17" s="1"/>
  <c r="AJ73" i="17"/>
  <c r="AL73" i="17" s="1"/>
  <c r="AJ36" i="17"/>
  <c r="AL36" i="17" s="1"/>
  <c r="AJ128" i="17"/>
  <c r="AL128" i="17" s="1"/>
  <c r="AJ107" i="17"/>
  <c r="AJ63" i="17"/>
  <c r="AL63" i="17" s="1"/>
  <c r="AJ53" i="17"/>
  <c r="AL53" i="17" s="1"/>
  <c r="AJ86" i="17"/>
  <c r="AL86" i="17" s="1"/>
  <c r="AJ122" i="17"/>
  <c r="AL122" i="17" s="1"/>
  <c r="AJ71" i="17"/>
  <c r="AL71" i="17" s="1"/>
  <c r="AJ103" i="17"/>
  <c r="AJ42" i="17"/>
  <c r="AL42" i="17" s="1"/>
  <c r="AJ108" i="17"/>
  <c r="AL108" i="17" s="1"/>
  <c r="AJ54" i="17"/>
  <c r="AL54" i="17" s="1"/>
  <c r="AJ19" i="17"/>
  <c r="AJ106" i="17"/>
  <c r="AL106" i="17" s="1"/>
  <c r="AJ23" i="17"/>
  <c r="AJ126" i="17"/>
  <c r="AL126" i="17" s="1"/>
  <c r="AJ32" i="17"/>
  <c r="AL32" i="17" s="1"/>
  <c r="AJ60" i="17"/>
  <c r="AL60" i="17" s="1"/>
  <c r="AJ87" i="17"/>
  <c r="AJ84" i="17"/>
  <c r="AL84" i="17" s="1"/>
  <c r="AJ52" i="17"/>
  <c r="AJ79" i="17"/>
  <c r="AL79" i="17" s="1"/>
  <c r="AJ65" i="17"/>
  <c r="AL65" i="17" s="1"/>
  <c r="AJ67" i="17"/>
  <c r="AL67" i="17" s="1"/>
  <c r="AJ93" i="17"/>
  <c r="AJ111" i="17"/>
  <c r="AJ70" i="17"/>
  <c r="AL70" i="17" s="1"/>
  <c r="AJ120" i="17"/>
  <c r="AL120" i="17" s="1"/>
  <c r="AJ28" i="17"/>
  <c r="AJ94" i="17"/>
  <c r="AL94" i="17" s="1"/>
  <c r="AJ123" i="17"/>
  <c r="AL123" i="17" s="1"/>
  <c r="AJ131" i="17"/>
  <c r="AL131" i="17" s="1"/>
  <c r="AJ31" i="17"/>
  <c r="AJ20" i="17"/>
  <c r="AJ80" i="17"/>
  <c r="AL80" i="17" s="1"/>
  <c r="AJ17" i="17"/>
  <c r="AL17" i="17" s="1"/>
  <c r="AJ77" i="17"/>
  <c r="AJ119" i="17"/>
  <c r="AL119" i="17" s="1"/>
  <c r="AJ26" i="17"/>
  <c r="AL26" i="17" s="1"/>
  <c r="AJ105" i="17"/>
  <c r="AL105" i="17" s="1"/>
  <c r="AJ129" i="17"/>
  <c r="AJ102" i="17"/>
  <c r="AJ121" i="17"/>
  <c r="AL121" i="17" s="1"/>
  <c r="AJ30" i="17"/>
  <c r="AL30" i="17" s="1"/>
  <c r="AJ72" i="17"/>
  <c r="AJ25" i="17"/>
  <c r="AL25" i="17" s="1"/>
  <c r="AJ57" i="17"/>
  <c r="AJ88" i="17"/>
  <c r="AL88" i="17" s="1"/>
  <c r="AJ61" i="17"/>
  <c r="AL61" i="17" s="1"/>
  <c r="AJ66" i="17"/>
  <c r="AJ101" i="17"/>
  <c r="AJ46" i="17"/>
  <c r="AL46" i="17" s="1"/>
  <c r="AJ95" i="17"/>
  <c r="AL95" i="17" s="1"/>
  <c r="AJ48" i="17"/>
  <c r="AL48" i="17" s="1"/>
  <c r="AJ118" i="17"/>
  <c r="AL118" i="17" s="1"/>
  <c r="AJ130" i="17"/>
  <c r="AL130" i="17" s="1"/>
  <c r="AJ34" i="17"/>
  <c r="AL34" i="17" s="1"/>
  <c r="AJ117" i="17"/>
  <c r="AL117" i="17" s="1"/>
  <c r="AJ64" i="17"/>
  <c r="AL64" i="17" s="1"/>
  <c r="AJ69" i="17"/>
  <c r="AL69" i="17" s="1"/>
  <c r="AJ92" i="17"/>
  <c r="AL92" i="17" s="1"/>
  <c r="AJ59" i="17"/>
  <c r="AL59" i="17" s="1"/>
  <c r="AJ90" i="17"/>
  <c r="AL90" i="17" s="1"/>
  <c r="AJ97" i="17"/>
  <c r="AL97" i="17" s="1"/>
  <c r="AJ78" i="17"/>
  <c r="AJ51" i="17"/>
  <c r="AL51" i="17" s="1"/>
  <c r="AJ21" i="17"/>
  <c r="AJ96" i="17"/>
  <c r="AL96" i="17" s="1"/>
  <c r="AJ38" i="17"/>
  <c r="AL38" i="17" s="1"/>
  <c r="AJ33" i="17"/>
  <c r="AL33" i="17" s="1"/>
  <c r="AJ39" i="17"/>
  <c r="AJ24" i="17"/>
  <c r="AL24" i="17" s="1"/>
  <c r="AJ127" i="17"/>
  <c r="AJ68" i="17"/>
  <c r="AJ83" i="17"/>
  <c r="AL83" i="17" s="1"/>
  <c r="AJ50" i="17"/>
  <c r="AL50" i="17" s="1"/>
  <c r="AJ109" i="17"/>
  <c r="AJ27" i="17"/>
  <c r="AL27" i="17" s="1"/>
  <c r="AJ44" i="17"/>
  <c r="AL44" i="17" s="1"/>
  <c r="AJ113" i="17"/>
  <c r="AL113" i="17" s="1"/>
  <c r="AJ16" i="17"/>
  <c r="AL16" i="17" s="1"/>
  <c r="AJ18" i="17"/>
  <c r="AL18" i="17" s="1"/>
  <c r="AJ74" i="17"/>
  <c r="AL74" i="17" s="1"/>
  <c r="AJ49" i="17"/>
  <c r="AL49" i="17" s="1"/>
  <c r="AJ100" i="17"/>
  <c r="AJ45" i="17"/>
  <c r="AL45" i="17" s="1"/>
  <c r="AJ116" i="17"/>
  <c r="AL116" i="17" s="1"/>
  <c r="AJ82" i="17"/>
  <c r="AL82" i="17" s="1"/>
  <c r="AJ62" i="17"/>
  <c r="AJ99" i="17"/>
  <c r="AL99" i="17" s="1"/>
  <c r="AJ37" i="17"/>
  <c r="AJ35" i="17"/>
  <c r="AL35" i="17" s="1"/>
  <c r="AJ75" i="17"/>
  <c r="AJ56" i="17"/>
  <c r="AL56" i="17" s="1"/>
  <c r="AJ55" i="17"/>
  <c r="AL55" i="17" s="1"/>
  <c r="AJ85" i="17"/>
  <c r="AL85" i="17" s="1"/>
  <c r="AJ115" i="17"/>
  <c r="AL115" i="17" s="1"/>
  <c r="AJ81" i="17"/>
  <c r="AL81" i="17" s="1"/>
  <c r="AJ104" i="17"/>
  <c r="AJ125" i="17"/>
  <c r="AL125" i="17" s="1"/>
  <c r="AJ76" i="17"/>
  <c r="AL76" i="17" s="1"/>
  <c r="AJ22" i="17"/>
  <c r="AL22" i="17" s="1"/>
  <c r="AJ43" i="17"/>
  <c r="AL43" i="17" s="1"/>
  <c r="AJ58" i="17"/>
  <c r="AL58" i="17" s="1"/>
  <c r="I16" i="2"/>
  <c r="F16" i="21" s="1"/>
  <c r="L16" i="2"/>
  <c r="AP33" i="24"/>
  <c r="AP28" i="24"/>
  <c r="AP27" i="24"/>
  <c r="AP29" i="24"/>
  <c r="AX422" i="17"/>
  <c r="AX517" i="17"/>
  <c r="AX435" i="17"/>
  <c r="AX491" i="17"/>
  <c r="AX462" i="17"/>
  <c r="AX515" i="17"/>
  <c r="AX503" i="17"/>
  <c r="AX418" i="17"/>
  <c r="AX450" i="17"/>
  <c r="AX483" i="17"/>
  <c r="AX468" i="17"/>
  <c r="AX471" i="17"/>
  <c r="AX432" i="17"/>
  <c r="AX424" i="17"/>
  <c r="AX484" i="17"/>
  <c r="AX499" i="17"/>
  <c r="AX504" i="17"/>
  <c r="AX473" i="17"/>
  <c r="AX434" i="17"/>
  <c r="AX488" i="17"/>
  <c r="AX508" i="17"/>
  <c r="AX421" i="17"/>
  <c r="AX512" i="17"/>
  <c r="AX465" i="17"/>
  <c r="AX441" i="17"/>
  <c r="AX518" i="17"/>
  <c r="AX505" i="17"/>
  <c r="AX413" i="17"/>
  <c r="AX523" i="17"/>
  <c r="AX466" i="17"/>
  <c r="AX431" i="17"/>
  <c r="AX516" i="17"/>
  <c r="AX490" i="17"/>
  <c r="AX416" i="17"/>
  <c r="AX519" i="17"/>
  <c r="AX522" i="17"/>
  <c r="AX457" i="17"/>
  <c r="AX436" i="17"/>
  <c r="AX509" i="17"/>
  <c r="AX510" i="17"/>
  <c r="AX520" i="17"/>
  <c r="AX511" i="17"/>
  <c r="AX494" i="17"/>
  <c r="AX482" i="17"/>
  <c r="AX451" i="17"/>
  <c r="AX521" i="17"/>
  <c r="AX475" i="17"/>
  <c r="AX474" i="17"/>
  <c r="AX476" i="17"/>
  <c r="AX524" i="17"/>
  <c r="AX507" i="17"/>
  <c r="AX477" i="17"/>
  <c r="AX411" i="17"/>
  <c r="AX470" i="17"/>
  <c r="AX453" i="17"/>
  <c r="AX410" i="17"/>
  <c r="AX415" i="17"/>
  <c r="AX419" i="17"/>
  <c r="AX444" i="17"/>
  <c r="AX423" i="17"/>
  <c r="AX414" i="17"/>
  <c r="AX437" i="17"/>
  <c r="AX446" i="17"/>
  <c r="AX496" i="17"/>
  <c r="AX440" i="17"/>
  <c r="AX498" i="17"/>
  <c r="AX514" i="17"/>
  <c r="AX469" i="17"/>
  <c r="AX427" i="17"/>
  <c r="AX495" i="17"/>
  <c r="AX408" i="17"/>
  <c r="AX443" i="17"/>
  <c r="AX455" i="17"/>
  <c r="AX492" i="17"/>
  <c r="AX428" i="17"/>
  <c r="AX409" i="17"/>
  <c r="AX467" i="17"/>
  <c r="AX433" i="17"/>
  <c r="AX463" i="17"/>
  <c r="AX478" i="17"/>
  <c r="AX500" i="17"/>
  <c r="AX513" i="17"/>
  <c r="AX448" i="17"/>
  <c r="AX430" i="17"/>
  <c r="AX447" i="17"/>
  <c r="AX472" i="17"/>
  <c r="AX459" i="17"/>
  <c r="AX464" i="17"/>
  <c r="AX420" i="17"/>
  <c r="AX426" i="17"/>
  <c r="AX479" i="17"/>
  <c r="AX445" i="17"/>
  <c r="AX487" i="17"/>
  <c r="AX497" i="17"/>
  <c r="AX460" i="17"/>
  <c r="AX454" i="17"/>
  <c r="AX425" i="17"/>
  <c r="AX449" i="17"/>
  <c r="AX461" i="17"/>
  <c r="AX442" i="17"/>
  <c r="AX502" i="17"/>
  <c r="AX439" i="17"/>
  <c r="AX486" i="17"/>
  <c r="AX480" i="17"/>
  <c r="AX438" i="17"/>
  <c r="AX456" i="17"/>
  <c r="AX452" i="17"/>
  <c r="AX485" i="17"/>
  <c r="AX458" i="17"/>
  <c r="AX493" i="17"/>
  <c r="AX429" i="17"/>
  <c r="AX501" i="17"/>
  <c r="AX481" i="17"/>
  <c r="AX412" i="17"/>
  <c r="AX489" i="17"/>
  <c r="AX506" i="17"/>
  <c r="AX417" i="17"/>
  <c r="AY422" i="17"/>
  <c r="AY517" i="17"/>
  <c r="AY467" i="17"/>
  <c r="AY518" i="17"/>
  <c r="AY453" i="17"/>
  <c r="AY437" i="17"/>
  <c r="AY463" i="17"/>
  <c r="AY478" i="17"/>
  <c r="AY469" i="17"/>
  <c r="AY457" i="17"/>
  <c r="AY504" i="17"/>
  <c r="AY510" i="17"/>
  <c r="AY520" i="17"/>
  <c r="AY430" i="17"/>
  <c r="AY508" i="17"/>
  <c r="AY465" i="17"/>
  <c r="AY492" i="17"/>
  <c r="AY428" i="17"/>
  <c r="AY477" i="17"/>
  <c r="AY479" i="17"/>
  <c r="AY435" i="17"/>
  <c r="AY491" i="17"/>
  <c r="AY462" i="17"/>
  <c r="AY515" i="17"/>
  <c r="AY452" i="17"/>
  <c r="AY433" i="17"/>
  <c r="AY503" i="17"/>
  <c r="AY418" i="17"/>
  <c r="AY450" i="17"/>
  <c r="AY496" i="17"/>
  <c r="AY483" i="17"/>
  <c r="AY471" i="17"/>
  <c r="AY481" i="17"/>
  <c r="AY513" i="17"/>
  <c r="AY424" i="17"/>
  <c r="AY516" i="17"/>
  <c r="AY499" i="17"/>
  <c r="AY522" i="17"/>
  <c r="AY412" i="17"/>
  <c r="AY434" i="17"/>
  <c r="AY488" i="17"/>
  <c r="AY476" i="17"/>
  <c r="AY524" i="17"/>
  <c r="AY429" i="17"/>
  <c r="AY501" i="17"/>
  <c r="AY523" i="17"/>
  <c r="AY466" i="17"/>
  <c r="AY414" i="17"/>
  <c r="AY425" i="17"/>
  <c r="AY468" i="17"/>
  <c r="AY498" i="17"/>
  <c r="AY431" i="17"/>
  <c r="AY514" i="17"/>
  <c r="AY484" i="17"/>
  <c r="AY490" i="17"/>
  <c r="AY519" i="17"/>
  <c r="AY511" i="17"/>
  <c r="AY494" i="17"/>
  <c r="AY482" i="17"/>
  <c r="AY451" i="17"/>
  <c r="AY448" i="17"/>
  <c r="AY475" i="17"/>
  <c r="AY474" i="17"/>
  <c r="AY421" i="17"/>
  <c r="AY512" i="17"/>
  <c r="AY507" i="17"/>
  <c r="AY505" i="17"/>
  <c r="AY415" i="17"/>
  <c r="AY419" i="17"/>
  <c r="AY423" i="17"/>
  <c r="AY509" i="17"/>
  <c r="AY521" i="17"/>
  <c r="AY455" i="17"/>
  <c r="AY449" i="17"/>
  <c r="AY487" i="17"/>
  <c r="AY461" i="17"/>
  <c r="AY458" i="17"/>
  <c r="AY502" i="17"/>
  <c r="AY480" i="17"/>
  <c r="AY454" i="17"/>
  <c r="AY464" i="17"/>
  <c r="AY411" i="17"/>
  <c r="AY410" i="17"/>
  <c r="AY413" i="17"/>
  <c r="AY444" i="17"/>
  <c r="AY432" i="17"/>
  <c r="AY441" i="17"/>
  <c r="AY409" i="17"/>
  <c r="AY472" i="17"/>
  <c r="AY459" i="17"/>
  <c r="AY485" i="17"/>
  <c r="AY497" i="17"/>
  <c r="AY489" i="17"/>
  <c r="AY426" i="17"/>
  <c r="AY417" i="17"/>
  <c r="AY506" i="17"/>
  <c r="AY470" i="17"/>
  <c r="AY460" i="17"/>
  <c r="AY456" i="17"/>
  <c r="AY440" i="17"/>
  <c r="AY500" i="17"/>
  <c r="AY416" i="17"/>
  <c r="AY436" i="17"/>
  <c r="AY495" i="17"/>
  <c r="AY408" i="17"/>
  <c r="AY473" i="17"/>
  <c r="AY443" i="17"/>
  <c r="AY447" i="17"/>
  <c r="AY445" i="17"/>
  <c r="AY442" i="17"/>
  <c r="AY439" i="17"/>
  <c r="AY486" i="17"/>
  <c r="AY493" i="17"/>
  <c r="AY420" i="17"/>
  <c r="AY438" i="17"/>
  <c r="AY446" i="17"/>
  <c r="AY427" i="17"/>
  <c r="AN132" i="15"/>
  <c r="AN37" i="15"/>
  <c r="AN86" i="15"/>
  <c r="AN56" i="15"/>
  <c r="AN61" i="15"/>
  <c r="AN109" i="15"/>
  <c r="AN91" i="15"/>
  <c r="AN78" i="15"/>
  <c r="AN45" i="15"/>
  <c r="AN50" i="15"/>
  <c r="AN36" i="15"/>
  <c r="AN107" i="15"/>
  <c r="AN44" i="15"/>
  <c r="AN62" i="15"/>
  <c r="AN93" i="15"/>
  <c r="AN85" i="15"/>
  <c r="AN57" i="15"/>
  <c r="AN68" i="15"/>
  <c r="AN114" i="15"/>
  <c r="AN120" i="15"/>
  <c r="AN94" i="15"/>
  <c r="AN27" i="15"/>
  <c r="AN106" i="15"/>
  <c r="AN43" i="15"/>
  <c r="AN123" i="15"/>
  <c r="AN138" i="15"/>
  <c r="AN130" i="15"/>
  <c r="AN100" i="15"/>
  <c r="AN131" i="15"/>
  <c r="AN118" i="15"/>
  <c r="AN79" i="15"/>
  <c r="AN32" i="15"/>
  <c r="AN82" i="15"/>
  <c r="AN90" i="15"/>
  <c r="AN103" i="15"/>
  <c r="AN77" i="15"/>
  <c r="AN96" i="15"/>
  <c r="AN29" i="15"/>
  <c r="AN136" i="15"/>
  <c r="AN41" i="15"/>
  <c r="AN25" i="15"/>
  <c r="AN26" i="15"/>
  <c r="AN88" i="15"/>
  <c r="AN105" i="15"/>
  <c r="AN34" i="15"/>
  <c r="AN98" i="15"/>
  <c r="AN49" i="15"/>
  <c r="AN24" i="15"/>
  <c r="AN64" i="15"/>
  <c r="AN76" i="15"/>
  <c r="AN112" i="15"/>
  <c r="AN33" i="15"/>
  <c r="AN66" i="15"/>
  <c r="AN65" i="15"/>
  <c r="AN84" i="15"/>
  <c r="AN111" i="15"/>
  <c r="AN89" i="15"/>
  <c r="AN59" i="15"/>
  <c r="AN75" i="15"/>
  <c r="AN134" i="15"/>
  <c r="AN137" i="15"/>
  <c r="AN63" i="15"/>
  <c r="AN128" i="15"/>
  <c r="AN35" i="15"/>
  <c r="AN67" i="15"/>
  <c r="AN116" i="15"/>
  <c r="AN122" i="15"/>
  <c r="AN126" i="15"/>
  <c r="AN92" i="15"/>
  <c r="AN30" i="15"/>
  <c r="AN38" i="15"/>
  <c r="AN95" i="15"/>
  <c r="AN104" i="15"/>
  <c r="AN80" i="15"/>
  <c r="AN113" i="15"/>
  <c r="AN31" i="15"/>
  <c r="AN46" i="15"/>
  <c r="AN23" i="15"/>
  <c r="AN135" i="15"/>
  <c r="AN99" i="15"/>
  <c r="AN102" i="15"/>
  <c r="AN40" i="15"/>
  <c r="AN119" i="15"/>
  <c r="AN70" i="15"/>
  <c r="AN101" i="15"/>
  <c r="AN121" i="15"/>
  <c r="AN81" i="15"/>
  <c r="AN83" i="15"/>
  <c r="AN124" i="15"/>
  <c r="AN39" i="15"/>
  <c r="AN74" i="15"/>
  <c r="AN73" i="15"/>
  <c r="AN117" i="15"/>
  <c r="AN69" i="15"/>
  <c r="AN51" i="15"/>
  <c r="AN115" i="15"/>
  <c r="AN71" i="15"/>
  <c r="AN60" i="15"/>
  <c r="AN133" i="15"/>
  <c r="AN58" i="15"/>
  <c r="AN53" i="15"/>
  <c r="AN47" i="15"/>
  <c r="AN55" i="15"/>
  <c r="AN87" i="15"/>
  <c r="AN108" i="15"/>
  <c r="AN129" i="15"/>
  <c r="AN110" i="15"/>
  <c r="AN28" i="15"/>
  <c r="AN72" i="15"/>
  <c r="AN48" i="15"/>
  <c r="AN54" i="15"/>
  <c r="AN125" i="15"/>
  <c r="AN127" i="15"/>
  <c r="AN97" i="15"/>
  <c r="AN139" i="15"/>
  <c r="AN42" i="15"/>
  <c r="AN52" i="15"/>
  <c r="C17" i="21"/>
  <c r="B65" i="9"/>
  <c r="C25" i="11" s="1"/>
  <c r="F17" i="2"/>
  <c r="J17" i="2"/>
  <c r="AO19" i="20"/>
  <c r="AT18" i="20"/>
  <c r="AS17" i="20"/>
  <c r="AR16" i="20"/>
  <c r="AN19" i="20"/>
  <c r="AS18" i="20"/>
  <c r="AR17" i="20"/>
  <c r="AP20" i="20"/>
  <c r="AM19" i="20"/>
  <c r="AR18" i="20"/>
  <c r="AT16" i="20"/>
  <c r="AS16" i="20"/>
  <c r="AT17" i="20"/>
  <c r="D17" i="21"/>
  <c r="I17" i="21" s="1"/>
  <c r="C65" i="9"/>
  <c r="G17" i="2"/>
  <c r="AW291" i="17"/>
  <c r="AW386" i="17"/>
  <c r="AW335" i="17"/>
  <c r="AW363" i="17"/>
  <c r="AW302" i="17"/>
  <c r="AW393" i="17"/>
  <c r="AW304" i="17"/>
  <c r="AW353" i="17"/>
  <c r="AW359" i="17"/>
  <c r="AW355" i="17"/>
  <c r="AW305" i="17"/>
  <c r="AW389" i="17"/>
  <c r="AW345" i="17"/>
  <c r="AW320" i="17"/>
  <c r="AW287" i="17"/>
  <c r="AW391" i="17"/>
  <c r="AW310" i="17"/>
  <c r="AW314" i="17"/>
  <c r="AW279" i="17"/>
  <c r="AW342" i="17"/>
  <c r="AW377" i="17"/>
  <c r="AW365" i="17"/>
  <c r="AW343" i="17"/>
  <c r="AW311" i="17"/>
  <c r="AW338" i="17"/>
  <c r="AW378" i="17"/>
  <c r="AW300" i="17"/>
  <c r="AW369" i="17"/>
  <c r="AW295" i="17"/>
  <c r="AW347" i="17"/>
  <c r="AW370" i="17"/>
  <c r="AW357" i="17"/>
  <c r="AW339" i="17"/>
  <c r="AW327" i="17"/>
  <c r="AW358" i="17"/>
  <c r="AW379" i="17"/>
  <c r="AW332" i="17"/>
  <c r="AW376" i="17"/>
  <c r="AW374" i="17"/>
  <c r="AW315" i="17"/>
  <c r="AW293" i="17"/>
  <c r="AW307" i="17"/>
  <c r="AW299" i="17"/>
  <c r="AW360" i="17"/>
  <c r="AW282" i="17"/>
  <c r="AW392" i="17"/>
  <c r="AW330" i="17"/>
  <c r="AW328" i="17"/>
  <c r="AW313" i="17"/>
  <c r="AW333" i="17"/>
  <c r="AW280" i="17"/>
  <c r="AW331" i="17"/>
  <c r="AW380" i="17"/>
  <c r="AW290" i="17"/>
  <c r="AW334" i="17"/>
  <c r="AW387" i="17"/>
  <c r="AW371" i="17"/>
  <c r="AW340" i="17"/>
  <c r="AW329" i="17"/>
  <c r="AW317" i="17"/>
  <c r="AW344" i="17"/>
  <c r="AW301" i="17"/>
  <c r="AW312" i="17"/>
  <c r="AW356" i="17"/>
  <c r="AW321" i="17"/>
  <c r="AW362" i="17"/>
  <c r="AW289" i="17"/>
  <c r="AW286" i="17"/>
  <c r="AW308" i="17"/>
  <c r="AW294" i="17"/>
  <c r="AW319" i="17"/>
  <c r="AW284" i="17"/>
  <c r="AW281" i="17"/>
  <c r="AW354" i="17"/>
  <c r="AW366" i="17"/>
  <c r="AW298" i="17"/>
  <c r="AW326" i="17"/>
  <c r="AW325" i="17"/>
  <c r="AW278" i="17"/>
  <c r="AW372" i="17"/>
  <c r="AW316" i="17"/>
  <c r="AW385" i="17"/>
  <c r="AW303" i="17"/>
  <c r="AW337" i="17"/>
  <c r="AW368" i="17"/>
  <c r="AW285" i="17"/>
  <c r="AW383" i="17"/>
  <c r="AW318" i="17"/>
  <c r="AW384" i="17"/>
  <c r="AW297" i="17"/>
  <c r="AW341" i="17"/>
  <c r="AW336" i="17"/>
  <c r="AW283" i="17"/>
  <c r="AW373" i="17"/>
  <c r="AW324" i="17"/>
  <c r="AW351" i="17"/>
  <c r="AW350" i="17"/>
  <c r="AW296" i="17"/>
  <c r="AW364" i="17"/>
  <c r="AW277" i="17"/>
  <c r="AW382" i="17"/>
  <c r="AW292" i="17"/>
  <c r="AW349" i="17"/>
  <c r="AW322" i="17"/>
  <c r="AW388" i="17"/>
  <c r="AW323" i="17"/>
  <c r="AW309" i="17"/>
  <c r="AW375" i="17"/>
  <c r="AW306" i="17"/>
  <c r="AW346" i="17"/>
  <c r="AW352" i="17"/>
  <c r="AW381" i="17"/>
  <c r="AW361" i="17"/>
  <c r="AW288" i="17"/>
  <c r="AW367" i="17"/>
  <c r="AW390" i="17"/>
  <c r="AW348" i="17"/>
  <c r="AP23" i="24"/>
  <c r="AP30" i="24"/>
  <c r="AP34" i="24"/>
  <c r="AV517" i="17"/>
  <c r="AV422" i="17"/>
  <c r="AV505" i="17"/>
  <c r="BB505" i="17" s="1"/>
  <c r="AV462" i="17"/>
  <c r="AV415" i="17"/>
  <c r="AV515" i="17"/>
  <c r="AV452" i="17"/>
  <c r="BB452" i="17" s="1"/>
  <c r="AV433" i="17"/>
  <c r="AV419" i="17"/>
  <c r="AV418" i="17"/>
  <c r="AV423" i="17"/>
  <c r="BB423" i="17" s="1"/>
  <c r="AV450" i="17"/>
  <c r="AV481" i="17"/>
  <c r="AV499" i="17"/>
  <c r="AV416" i="17"/>
  <c r="AV522" i="17"/>
  <c r="AV427" i="17"/>
  <c r="AV495" i="17"/>
  <c r="AV511" i="17"/>
  <c r="BB511" i="17" s="1"/>
  <c r="AV434" i="17"/>
  <c r="AV521" i="17"/>
  <c r="AV448" i="17"/>
  <c r="AV475" i="17"/>
  <c r="BB475" i="17" s="1"/>
  <c r="AV455" i="17"/>
  <c r="AV429" i="17"/>
  <c r="AV467" i="17"/>
  <c r="AV501" i="17"/>
  <c r="AV523" i="17"/>
  <c r="AV466" i="17"/>
  <c r="AV503" i="17"/>
  <c r="AV414" i="17"/>
  <c r="BB414" i="17" s="1"/>
  <c r="AV425" i="17"/>
  <c r="AV463" i="17"/>
  <c r="AV468" i="17"/>
  <c r="AV498" i="17"/>
  <c r="BB498" i="17" s="1"/>
  <c r="AV500" i="17"/>
  <c r="AV432" i="17"/>
  <c r="AV514" i="17"/>
  <c r="AV424" i="17"/>
  <c r="BB424" i="17" s="1"/>
  <c r="AV484" i="17"/>
  <c r="AV490" i="17"/>
  <c r="AV494" i="17"/>
  <c r="AV482" i="17"/>
  <c r="AV488" i="17"/>
  <c r="AV474" i="17"/>
  <c r="AV421" i="17"/>
  <c r="AV507" i="17"/>
  <c r="BB507" i="17" s="1"/>
  <c r="AV411" i="17"/>
  <c r="AV435" i="17"/>
  <c r="AV470" i="17"/>
  <c r="AV410" i="17"/>
  <c r="AV491" i="17"/>
  <c r="AV446" i="17"/>
  <c r="AV483" i="17"/>
  <c r="AV471" i="17"/>
  <c r="AV513" i="17"/>
  <c r="AV519" i="17"/>
  <c r="AV436" i="17"/>
  <c r="AV504" i="17"/>
  <c r="BB504" i="17" s="1"/>
  <c r="AV509" i="17"/>
  <c r="AV408" i="17"/>
  <c r="AV473" i="17"/>
  <c r="AV508" i="17"/>
  <c r="BB508" i="17" s="1"/>
  <c r="AV512" i="17"/>
  <c r="AV476" i="17"/>
  <c r="AV441" i="17"/>
  <c r="AV453" i="17"/>
  <c r="BB453" i="17" s="1"/>
  <c r="AV413" i="17"/>
  <c r="AV444" i="17"/>
  <c r="AV437" i="17"/>
  <c r="AV440" i="17"/>
  <c r="BB440" i="17" s="1"/>
  <c r="AV457" i="17"/>
  <c r="AV510" i="17"/>
  <c r="AV412" i="17"/>
  <c r="AV451" i="17"/>
  <c r="AV524" i="17"/>
  <c r="AV409" i="17"/>
  <c r="AV459" i="17"/>
  <c r="AV485" i="17"/>
  <c r="AV460" i="17"/>
  <c r="AV489" i="17"/>
  <c r="AV426" i="17"/>
  <c r="AV417" i="17"/>
  <c r="AV449" i="17"/>
  <c r="AV502" i="17"/>
  <c r="AV454" i="17"/>
  <c r="AV518" i="17"/>
  <c r="BB518" i="17" s="1"/>
  <c r="AV516" i="17"/>
  <c r="AV430" i="17"/>
  <c r="AV465" i="17"/>
  <c r="AV428" i="17"/>
  <c r="BB428" i="17" s="1"/>
  <c r="AV477" i="17"/>
  <c r="AV479" i="17"/>
  <c r="AV472" i="17"/>
  <c r="AV487" i="17"/>
  <c r="BB487" i="17" s="1"/>
  <c r="AV442" i="17"/>
  <c r="AV464" i="17"/>
  <c r="AV486" i="17"/>
  <c r="AV493" i="17"/>
  <c r="BB493" i="17" s="1"/>
  <c r="AV420" i="17"/>
  <c r="AV438" i="17"/>
  <c r="AV506" i="17"/>
  <c r="AV431" i="17"/>
  <c r="BB431" i="17" s="1"/>
  <c r="AV469" i="17"/>
  <c r="AV492" i="17"/>
  <c r="AV458" i="17"/>
  <c r="AV439" i="17"/>
  <c r="BB439" i="17" s="1"/>
  <c r="AV456" i="17"/>
  <c r="AV478" i="17"/>
  <c r="AV496" i="17"/>
  <c r="AV520" i="17"/>
  <c r="BB520" i="17" s="1"/>
  <c r="AV443" i="17"/>
  <c r="AV447" i="17"/>
  <c r="AV445" i="17"/>
  <c r="AV497" i="17"/>
  <c r="BB497" i="17" s="1"/>
  <c r="AV480" i="17"/>
  <c r="AV461" i="17"/>
  <c r="AW422" i="17"/>
  <c r="AW517" i="17"/>
  <c r="AW470" i="17"/>
  <c r="AW415" i="17"/>
  <c r="AW515" i="17"/>
  <c r="AW503" i="17"/>
  <c r="AW446" i="17"/>
  <c r="AW431" i="17"/>
  <c r="AW514" i="17"/>
  <c r="AW513" i="17"/>
  <c r="AW516" i="17"/>
  <c r="AW499" i="17"/>
  <c r="AW416" i="17"/>
  <c r="AW522" i="17"/>
  <c r="AW436" i="17"/>
  <c r="AW509" i="17"/>
  <c r="AW520" i="17"/>
  <c r="AW473" i="17"/>
  <c r="AW451" i="17"/>
  <c r="AW475" i="17"/>
  <c r="AW476" i="17"/>
  <c r="AW524" i="17"/>
  <c r="AW441" i="17"/>
  <c r="AW447" i="17"/>
  <c r="AW445" i="17"/>
  <c r="AW411" i="17"/>
  <c r="AW453" i="17"/>
  <c r="AW413" i="17"/>
  <c r="AW523" i="17"/>
  <c r="AW419" i="17"/>
  <c r="AW444" i="17"/>
  <c r="AW418" i="17"/>
  <c r="AW423" i="17"/>
  <c r="AW437" i="17"/>
  <c r="AW478" i="17"/>
  <c r="AW450" i="17"/>
  <c r="AW440" i="17"/>
  <c r="AW519" i="17"/>
  <c r="AW469" i="17"/>
  <c r="AW427" i="17"/>
  <c r="AW457" i="17"/>
  <c r="AW495" i="17"/>
  <c r="AW408" i="17"/>
  <c r="AW511" i="17"/>
  <c r="AW434" i="17"/>
  <c r="AW430" i="17"/>
  <c r="AW443" i="17"/>
  <c r="AW455" i="17"/>
  <c r="AW465" i="17"/>
  <c r="AW492" i="17"/>
  <c r="AW428" i="17"/>
  <c r="AW507" i="17"/>
  <c r="AW409" i="17"/>
  <c r="AW477" i="17"/>
  <c r="AW467" i="17"/>
  <c r="AW518" i="17"/>
  <c r="AW505" i="17"/>
  <c r="AW462" i="17"/>
  <c r="AW466" i="17"/>
  <c r="AW452" i="17"/>
  <c r="AW433" i="17"/>
  <c r="AW463" i="17"/>
  <c r="AW496" i="17"/>
  <c r="AW481" i="17"/>
  <c r="AW500" i="17"/>
  <c r="AW510" i="17"/>
  <c r="AW412" i="17"/>
  <c r="AW482" i="17"/>
  <c r="AW521" i="17"/>
  <c r="AW448" i="17"/>
  <c r="AW491" i="17"/>
  <c r="AW425" i="17"/>
  <c r="AW483" i="17"/>
  <c r="AW468" i="17"/>
  <c r="AW432" i="17"/>
  <c r="AW424" i="17"/>
  <c r="AW504" i="17"/>
  <c r="AW488" i="17"/>
  <c r="AW421" i="17"/>
  <c r="AW497" i="17"/>
  <c r="AW439" i="17"/>
  <c r="AW480" i="17"/>
  <c r="AW508" i="17"/>
  <c r="AW472" i="17"/>
  <c r="AW459" i="17"/>
  <c r="AW442" i="17"/>
  <c r="AW493" i="17"/>
  <c r="AW420" i="17"/>
  <c r="AW435" i="17"/>
  <c r="AW410" i="17"/>
  <c r="AW449" i="17"/>
  <c r="AW461" i="17"/>
  <c r="AW458" i="17"/>
  <c r="AW438" i="17"/>
  <c r="AW456" i="17"/>
  <c r="AW426" i="17"/>
  <c r="AW506" i="17"/>
  <c r="AW417" i="17"/>
  <c r="AW429" i="17"/>
  <c r="AW501" i="17"/>
  <c r="AW414" i="17"/>
  <c r="AW471" i="17"/>
  <c r="AW484" i="17"/>
  <c r="AW490" i="17"/>
  <c r="AW512" i="17"/>
  <c r="AW494" i="17"/>
  <c r="AW474" i="17"/>
  <c r="AW479" i="17"/>
  <c r="AW487" i="17"/>
  <c r="AW485" i="17"/>
  <c r="AW502" i="17"/>
  <c r="AW460" i="17"/>
  <c r="AW486" i="17"/>
  <c r="AW489" i="17"/>
  <c r="AW454" i="17"/>
  <c r="AW498" i="17"/>
  <c r="AW464" i="17"/>
  <c r="AO37" i="15"/>
  <c r="AO132" i="15"/>
  <c r="AO86" i="15"/>
  <c r="AO56" i="15"/>
  <c r="AO81" i="15"/>
  <c r="AO79" i="15"/>
  <c r="AO78" i="15"/>
  <c r="AO50" i="15"/>
  <c r="AO36" i="15"/>
  <c r="AO97" i="15"/>
  <c r="AO44" i="15"/>
  <c r="AO103" i="15"/>
  <c r="AO62" i="15"/>
  <c r="AO35" i="15"/>
  <c r="AO105" i="15"/>
  <c r="AO68" i="15"/>
  <c r="AO114" i="15"/>
  <c r="AO120" i="15"/>
  <c r="AO94" i="15"/>
  <c r="AO106" i="15"/>
  <c r="AO138" i="15"/>
  <c r="AO130" i="15"/>
  <c r="AO100" i="15"/>
  <c r="AO83" i="15"/>
  <c r="AO118" i="15"/>
  <c r="AO32" i="15"/>
  <c r="AO82" i="15"/>
  <c r="AO90" i="15"/>
  <c r="AO139" i="15"/>
  <c r="AO111" i="15"/>
  <c r="AO96" i="15"/>
  <c r="AO137" i="15"/>
  <c r="AO136" i="15"/>
  <c r="AO53" i="15"/>
  <c r="AO63" i="15"/>
  <c r="AO26" i="15"/>
  <c r="AO88" i="15"/>
  <c r="AO57" i="15"/>
  <c r="AO34" i="15"/>
  <c r="AO98" i="15"/>
  <c r="AO24" i="15"/>
  <c r="AO61" i="15"/>
  <c r="AO64" i="15"/>
  <c r="AO76" i="15"/>
  <c r="AO112" i="15"/>
  <c r="AO91" i="15"/>
  <c r="AO66" i="15"/>
  <c r="AO95" i="15"/>
  <c r="AO45" i="15"/>
  <c r="AO127" i="15"/>
  <c r="AO133" i="15"/>
  <c r="AO107" i="15"/>
  <c r="AO113" i="15"/>
  <c r="AO84" i="15"/>
  <c r="AO129" i="15"/>
  <c r="AO59" i="15"/>
  <c r="AO75" i="15"/>
  <c r="AO134" i="15"/>
  <c r="AO41" i="15"/>
  <c r="AO47" i="15"/>
  <c r="AO93" i="15"/>
  <c r="AO128" i="15"/>
  <c r="AO25" i="15"/>
  <c r="AO85" i="15"/>
  <c r="AO55" i="15"/>
  <c r="AO31" i="15"/>
  <c r="AO23" i="15"/>
  <c r="AO135" i="15"/>
  <c r="AO39" i="15"/>
  <c r="AO67" i="15"/>
  <c r="AO116" i="15"/>
  <c r="AO122" i="15"/>
  <c r="AO60" i="15"/>
  <c r="AO109" i="15"/>
  <c r="AO33" i="15"/>
  <c r="AO80" i="15"/>
  <c r="AO46" i="15"/>
  <c r="AO102" i="15"/>
  <c r="AO117" i="15"/>
  <c r="AO40" i="15"/>
  <c r="AO71" i="15"/>
  <c r="AO119" i="15"/>
  <c r="AO126" i="15"/>
  <c r="AO43" i="15"/>
  <c r="AO92" i="15"/>
  <c r="AO30" i="15"/>
  <c r="AO131" i="15"/>
  <c r="AO38" i="15"/>
  <c r="AO104" i="15"/>
  <c r="AO124" i="15"/>
  <c r="AO89" i="15"/>
  <c r="AO29" i="15"/>
  <c r="AO74" i="15"/>
  <c r="AO125" i="15"/>
  <c r="AO108" i="15"/>
  <c r="AO65" i="15"/>
  <c r="AO77" i="15"/>
  <c r="AO42" i="15"/>
  <c r="AO70" i="15"/>
  <c r="AO69" i="15"/>
  <c r="AO51" i="15"/>
  <c r="AO52" i="15"/>
  <c r="AO115" i="15"/>
  <c r="AO27" i="15"/>
  <c r="AO123" i="15"/>
  <c r="AO110" i="15"/>
  <c r="AO28" i="15"/>
  <c r="AO72" i="15"/>
  <c r="AO99" i="15"/>
  <c r="AO87" i="15"/>
  <c r="AO48" i="15"/>
  <c r="AO73" i="15"/>
  <c r="AO54" i="15"/>
  <c r="AO101" i="15"/>
  <c r="AO121" i="15"/>
  <c r="AO49" i="15"/>
  <c r="AO58" i="15"/>
  <c r="AP25" i="24"/>
  <c r="AP26" i="24"/>
  <c r="F65" i="9"/>
  <c r="B25" i="11"/>
  <c r="D25" i="11" s="1"/>
  <c r="E25" i="11" s="1"/>
  <c r="F25" i="11" s="1"/>
  <c r="A18" i="21"/>
  <c r="A66" i="9"/>
  <c r="A26" i="11" s="1"/>
  <c r="A19" i="2"/>
  <c r="E18" i="2"/>
  <c r="P18" i="2"/>
  <c r="D18" i="2"/>
  <c r="C18" i="2"/>
  <c r="N18" i="2"/>
  <c r="E66" i="9" s="1"/>
  <c r="B18" i="2"/>
  <c r="AQ255" i="17"/>
  <c r="AQ160" i="17"/>
  <c r="AQ200" i="17"/>
  <c r="AQ185" i="17"/>
  <c r="AQ211" i="17"/>
  <c r="AQ217" i="17"/>
  <c r="AQ196" i="17"/>
  <c r="AQ206" i="17"/>
  <c r="AQ191" i="17"/>
  <c r="AQ177" i="17"/>
  <c r="AQ218" i="17"/>
  <c r="AQ165" i="17"/>
  <c r="AQ248" i="17"/>
  <c r="AQ148" i="17"/>
  <c r="AQ190" i="17"/>
  <c r="AQ209" i="17"/>
  <c r="AQ213" i="17"/>
  <c r="AQ238" i="17"/>
  <c r="AQ170" i="17"/>
  <c r="AQ252" i="17"/>
  <c r="AQ261" i="17"/>
  <c r="AQ231" i="17"/>
  <c r="AQ233" i="17"/>
  <c r="AQ164" i="17"/>
  <c r="AQ240" i="17"/>
  <c r="AQ208" i="17"/>
  <c r="AQ214" i="17"/>
  <c r="AQ219" i="17"/>
  <c r="AQ176" i="17"/>
  <c r="AQ251" i="17"/>
  <c r="AQ229" i="17"/>
  <c r="AQ212" i="17"/>
  <c r="AQ230" i="17"/>
  <c r="AQ239" i="17"/>
  <c r="AQ205" i="17"/>
  <c r="AQ171" i="17"/>
  <c r="AQ236" i="17"/>
  <c r="AQ242" i="17"/>
  <c r="AQ247" i="17"/>
  <c r="AQ223" i="17"/>
  <c r="AQ228" i="17"/>
  <c r="AQ237" i="17"/>
  <c r="AQ257" i="17"/>
  <c r="AQ146" i="17"/>
  <c r="AQ151" i="17"/>
  <c r="AQ256" i="17"/>
  <c r="AQ166" i="17"/>
  <c r="AQ225" i="17"/>
  <c r="AQ202" i="17"/>
  <c r="AQ262" i="17"/>
  <c r="AQ147" i="17"/>
  <c r="AQ254" i="17"/>
  <c r="AQ180" i="17"/>
  <c r="AQ227" i="17"/>
  <c r="AQ216" i="17"/>
  <c r="AQ155" i="17"/>
  <c r="AQ249" i="17"/>
  <c r="AQ172" i="17"/>
  <c r="AQ224" i="17"/>
  <c r="AQ192" i="17"/>
  <c r="AQ194" i="17"/>
  <c r="AQ179" i="17"/>
  <c r="AQ253" i="17"/>
  <c r="AQ187" i="17"/>
  <c r="AQ149" i="17"/>
  <c r="AQ215" i="17"/>
  <c r="AQ182" i="17"/>
  <c r="AQ154" i="17"/>
  <c r="AQ152" i="17"/>
  <c r="AQ243" i="17"/>
  <c r="AQ197" i="17"/>
  <c r="AQ153" i="17"/>
  <c r="AQ207" i="17"/>
  <c r="AQ189" i="17"/>
  <c r="AQ195" i="17"/>
  <c r="AQ150" i="17"/>
  <c r="AQ232" i="17"/>
  <c r="AQ201" i="17"/>
  <c r="AQ199" i="17"/>
  <c r="AQ220" i="17"/>
  <c r="AQ163" i="17"/>
  <c r="AQ246" i="17"/>
  <c r="AQ183" i="17"/>
  <c r="AQ222" i="17"/>
  <c r="AQ204" i="17"/>
  <c r="AQ221" i="17"/>
  <c r="AQ161" i="17"/>
  <c r="AQ168" i="17"/>
  <c r="AQ258" i="17"/>
  <c r="AQ226" i="17"/>
  <c r="AQ259" i="17"/>
  <c r="AQ157" i="17"/>
  <c r="AQ181" i="17"/>
  <c r="AQ184" i="17"/>
  <c r="AQ241" i="17"/>
  <c r="AQ250" i="17"/>
  <c r="AQ167" i="17"/>
  <c r="AQ162" i="17"/>
  <c r="AQ235" i="17"/>
  <c r="AQ234" i="17"/>
  <c r="AQ198" i="17"/>
  <c r="AQ186" i="17"/>
  <c r="AQ175" i="17"/>
  <c r="AQ169" i="17"/>
  <c r="AQ173" i="17"/>
  <c r="AQ178" i="17"/>
  <c r="AQ159" i="17"/>
  <c r="AQ203" i="17"/>
  <c r="AQ156" i="17"/>
  <c r="AQ174" i="17"/>
  <c r="AQ188" i="17"/>
  <c r="AQ245" i="17"/>
  <c r="AQ244" i="17"/>
  <c r="AQ193" i="17"/>
  <c r="AQ210" i="17"/>
  <c r="AQ158" i="17"/>
  <c r="AQ260" i="17"/>
  <c r="AM37" i="15"/>
  <c r="AP37" i="15" s="1"/>
  <c r="AM132" i="15"/>
  <c r="AM86" i="15"/>
  <c r="AP86" i="15" s="1"/>
  <c r="AM61" i="15"/>
  <c r="AM109" i="15"/>
  <c r="AP109" i="15" s="1"/>
  <c r="AM76" i="15"/>
  <c r="AM91" i="15"/>
  <c r="AP91" i="15" s="1"/>
  <c r="AM104" i="15"/>
  <c r="AP104" i="15" s="1"/>
  <c r="AM78" i="15"/>
  <c r="AM45" i="15"/>
  <c r="AP45" i="15" s="1"/>
  <c r="AM80" i="15"/>
  <c r="AP80" i="15" s="1"/>
  <c r="AM107" i="15"/>
  <c r="AM84" i="15"/>
  <c r="AP84" i="15" s="1"/>
  <c r="AM58" i="15"/>
  <c r="AM62" i="15"/>
  <c r="AP62" i="15" s="1"/>
  <c r="AM134" i="15"/>
  <c r="AM42" i="15"/>
  <c r="AM93" i="15"/>
  <c r="AP93" i="15" s="1"/>
  <c r="AM85" i="15"/>
  <c r="AP85" i="15" s="1"/>
  <c r="AM72" i="15"/>
  <c r="AM57" i="15"/>
  <c r="AP57" i="15" s="1"/>
  <c r="AM122" i="15"/>
  <c r="AM94" i="15"/>
  <c r="AP94" i="15" s="1"/>
  <c r="AM126" i="15"/>
  <c r="AM27" i="15"/>
  <c r="AM43" i="15"/>
  <c r="AM56" i="15"/>
  <c r="AP56" i="15" s="1"/>
  <c r="AM92" i="15"/>
  <c r="AP92" i="15" s="1"/>
  <c r="AM123" i="15"/>
  <c r="AP123" i="15" s="1"/>
  <c r="AM60" i="15"/>
  <c r="AP60" i="15" s="1"/>
  <c r="AM131" i="15"/>
  <c r="AP131" i="15" s="1"/>
  <c r="AM79" i="15"/>
  <c r="AM108" i="15"/>
  <c r="AP108" i="15" s="1"/>
  <c r="AM50" i="15"/>
  <c r="AM124" i="15"/>
  <c r="AP124" i="15" s="1"/>
  <c r="AM103" i="15"/>
  <c r="AM77" i="15"/>
  <c r="AM29" i="15"/>
  <c r="AM110" i="15"/>
  <c r="AP110" i="15" s="1"/>
  <c r="AM41" i="15"/>
  <c r="AM25" i="15"/>
  <c r="AP25" i="15" s="1"/>
  <c r="AM28" i="15"/>
  <c r="AM105" i="15"/>
  <c r="AP105" i="15" s="1"/>
  <c r="AM116" i="15"/>
  <c r="AP116" i="15" s="1"/>
  <c r="AM120" i="15"/>
  <c r="AM49" i="15"/>
  <c r="AM33" i="15"/>
  <c r="AP33" i="15" s="1"/>
  <c r="AM32" i="15"/>
  <c r="AM65" i="15"/>
  <c r="AM36" i="15"/>
  <c r="AP36" i="15" s="1"/>
  <c r="AM82" i="15"/>
  <c r="AP82" i="15" s="1"/>
  <c r="AM90" i="15"/>
  <c r="AM44" i="15"/>
  <c r="AP44" i="15" s="1"/>
  <c r="AM111" i="15"/>
  <c r="AM89" i="15"/>
  <c r="AP89" i="15" s="1"/>
  <c r="AM59" i="15"/>
  <c r="AM75" i="15"/>
  <c r="AP75" i="15" s="1"/>
  <c r="AM96" i="15"/>
  <c r="AP96" i="15" s="1"/>
  <c r="AM137" i="15"/>
  <c r="AP137" i="15" s="1"/>
  <c r="AM136" i="15"/>
  <c r="AP136" i="15" s="1"/>
  <c r="AM63" i="15"/>
  <c r="AP63" i="15" s="1"/>
  <c r="AM26" i="15"/>
  <c r="AM35" i="15"/>
  <c r="AP35" i="15" s="1"/>
  <c r="AM88" i="15"/>
  <c r="AP88" i="15" s="1"/>
  <c r="AM67" i="15"/>
  <c r="AP67" i="15" s="1"/>
  <c r="AM68" i="15"/>
  <c r="AM114" i="15"/>
  <c r="AP114" i="15" s="1"/>
  <c r="AM34" i="15"/>
  <c r="AP34" i="15" s="1"/>
  <c r="AM106" i="15"/>
  <c r="AM138" i="15"/>
  <c r="AP138" i="15" s="1"/>
  <c r="AM30" i="15"/>
  <c r="AP30" i="15" s="1"/>
  <c r="AM112" i="15"/>
  <c r="AP112" i="15" s="1"/>
  <c r="AM38" i="15"/>
  <c r="AM95" i="15"/>
  <c r="AM113" i="15"/>
  <c r="AP113" i="15" s="1"/>
  <c r="AM31" i="15"/>
  <c r="AM46" i="15"/>
  <c r="AP46" i="15" s="1"/>
  <c r="AM23" i="15"/>
  <c r="AP23" i="15" s="1"/>
  <c r="AM135" i="15"/>
  <c r="AP135" i="15" s="1"/>
  <c r="AM99" i="15"/>
  <c r="AM119" i="15"/>
  <c r="AP119" i="15" s="1"/>
  <c r="AM87" i="15"/>
  <c r="AM98" i="15"/>
  <c r="AP98" i="15" s="1"/>
  <c r="AM64" i="15"/>
  <c r="AP64" i="15" s="1"/>
  <c r="AM81" i="15"/>
  <c r="AP81" i="15" s="1"/>
  <c r="AM100" i="15"/>
  <c r="AM83" i="15"/>
  <c r="AP83" i="15" s="1"/>
  <c r="AM118" i="15"/>
  <c r="AP118" i="15" s="1"/>
  <c r="AM39" i="15"/>
  <c r="AP39" i="15" s="1"/>
  <c r="AM73" i="15"/>
  <c r="AM117" i="15"/>
  <c r="AP117" i="15" s="1"/>
  <c r="AM40" i="15"/>
  <c r="AM69" i="15"/>
  <c r="AM51" i="15"/>
  <c r="AP51" i="15" s="1"/>
  <c r="AM52" i="15"/>
  <c r="AP52" i="15" s="1"/>
  <c r="AM115" i="15"/>
  <c r="AM71" i="15"/>
  <c r="AP71" i="15" s="1"/>
  <c r="AM24" i="15"/>
  <c r="AM130" i="15"/>
  <c r="AP130" i="15" s="1"/>
  <c r="AM66" i="15"/>
  <c r="AP66" i="15" s="1"/>
  <c r="AM127" i="15"/>
  <c r="AP127" i="15" s="1"/>
  <c r="AM97" i="15"/>
  <c r="AP97" i="15" s="1"/>
  <c r="AM139" i="15"/>
  <c r="AP139" i="15" s="1"/>
  <c r="AM128" i="15"/>
  <c r="AM55" i="15"/>
  <c r="AP55" i="15" s="1"/>
  <c r="AM48" i="15"/>
  <c r="AP48" i="15" s="1"/>
  <c r="AM101" i="15"/>
  <c r="AP101" i="15" s="1"/>
  <c r="AM129" i="15"/>
  <c r="AP129" i="15" s="1"/>
  <c r="AM74" i="15"/>
  <c r="AP74" i="15" s="1"/>
  <c r="AM102" i="15"/>
  <c r="AM54" i="15"/>
  <c r="AP54" i="15" s="1"/>
  <c r="AM125" i="15"/>
  <c r="AM133" i="15"/>
  <c r="AP133" i="15" s="1"/>
  <c r="AM53" i="15"/>
  <c r="AP53" i="15" s="1"/>
  <c r="AM47" i="15"/>
  <c r="AP47" i="15" s="1"/>
  <c r="AM70" i="15"/>
  <c r="AM121" i="15"/>
  <c r="AP121" i="15" s="1"/>
  <c r="G24" i="11"/>
  <c r="AP32" i="24"/>
  <c r="AP35" i="24"/>
  <c r="AP36" i="24"/>
  <c r="AP24" i="24"/>
  <c r="AZ517" i="17"/>
  <c r="AZ422" i="17"/>
  <c r="AZ429" i="17"/>
  <c r="AZ411" i="17"/>
  <c r="AZ501" i="17"/>
  <c r="AZ491" i="17"/>
  <c r="AZ466" i="17"/>
  <c r="AZ419" i="17"/>
  <c r="AZ414" i="17"/>
  <c r="AZ425" i="17"/>
  <c r="AZ468" i="17"/>
  <c r="AZ498" i="17"/>
  <c r="AZ432" i="17"/>
  <c r="AZ514" i="17"/>
  <c r="AZ424" i="17"/>
  <c r="AZ484" i="17"/>
  <c r="AZ490" i="17"/>
  <c r="AZ499" i="17"/>
  <c r="AZ495" i="17"/>
  <c r="AZ520" i="17"/>
  <c r="AZ494" i="17"/>
  <c r="AZ482" i="17"/>
  <c r="AZ488" i="17"/>
  <c r="AZ474" i="17"/>
  <c r="AZ421" i="17"/>
  <c r="AZ455" i="17"/>
  <c r="AZ470" i="17"/>
  <c r="AZ467" i="17"/>
  <c r="AZ410" i="17"/>
  <c r="AZ515" i="17"/>
  <c r="AZ463" i="17"/>
  <c r="AZ446" i="17"/>
  <c r="AZ500" i="17"/>
  <c r="AZ513" i="17"/>
  <c r="AZ436" i="17"/>
  <c r="AZ509" i="17"/>
  <c r="AZ408" i="17"/>
  <c r="AZ473" i="17"/>
  <c r="AZ475" i="17"/>
  <c r="AZ476" i="17"/>
  <c r="AZ441" i="17"/>
  <c r="AZ435" i="17"/>
  <c r="AZ518" i="17"/>
  <c r="AZ453" i="17"/>
  <c r="AZ413" i="17"/>
  <c r="AZ415" i="17"/>
  <c r="AZ503" i="17"/>
  <c r="AZ444" i="17"/>
  <c r="AZ437" i="17"/>
  <c r="AZ478" i="17"/>
  <c r="AZ496" i="17"/>
  <c r="AZ440" i="17"/>
  <c r="AZ483" i="17"/>
  <c r="AZ471" i="17"/>
  <c r="AZ469" i="17"/>
  <c r="AZ427" i="17"/>
  <c r="AZ457" i="17"/>
  <c r="AZ510" i="17"/>
  <c r="AZ430" i="17"/>
  <c r="AZ443" i="17"/>
  <c r="AZ508" i="17"/>
  <c r="AZ465" i="17"/>
  <c r="AZ492" i="17"/>
  <c r="AZ428" i="17"/>
  <c r="AZ507" i="17"/>
  <c r="AZ409" i="17"/>
  <c r="AZ477" i="17"/>
  <c r="AZ452" i="17"/>
  <c r="AZ418" i="17"/>
  <c r="AZ516" i="17"/>
  <c r="AZ416" i="17"/>
  <c r="AZ511" i="17"/>
  <c r="AZ472" i="17"/>
  <c r="AZ459" i="17"/>
  <c r="AZ487" i="17"/>
  <c r="AZ442" i="17"/>
  <c r="AZ439" i="17"/>
  <c r="AZ464" i="17"/>
  <c r="AZ486" i="17"/>
  <c r="AZ493" i="17"/>
  <c r="AZ420" i="17"/>
  <c r="AZ438" i="17"/>
  <c r="AZ506" i="17"/>
  <c r="AZ447" i="17"/>
  <c r="AZ485" i="17"/>
  <c r="AZ489" i="17"/>
  <c r="AZ505" i="17"/>
  <c r="AZ433" i="17"/>
  <c r="AZ412" i="17"/>
  <c r="AZ434" i="17"/>
  <c r="AZ521" i="17"/>
  <c r="AZ445" i="17"/>
  <c r="AZ497" i="17"/>
  <c r="AZ480" i="17"/>
  <c r="AZ456" i="17"/>
  <c r="AZ423" i="17"/>
  <c r="AZ450" i="17"/>
  <c r="AZ519" i="17"/>
  <c r="AZ522" i="17"/>
  <c r="AZ504" i="17"/>
  <c r="AZ417" i="17"/>
  <c r="AZ462" i="17"/>
  <c r="AZ523" i="17"/>
  <c r="AZ431" i="17"/>
  <c r="AZ448" i="17"/>
  <c r="AZ512" i="17"/>
  <c r="AZ479" i="17"/>
  <c r="AZ449" i="17"/>
  <c r="AZ461" i="17"/>
  <c r="AZ458" i="17"/>
  <c r="AZ502" i="17"/>
  <c r="AZ454" i="17"/>
  <c r="AZ481" i="17"/>
  <c r="AZ451" i="17"/>
  <c r="AZ524" i="17"/>
  <c r="AZ460" i="17"/>
  <c r="AZ426" i="17"/>
  <c r="BA422" i="17"/>
  <c r="BA517" i="17"/>
  <c r="BA470" i="17"/>
  <c r="BA453" i="17"/>
  <c r="BA410" i="17"/>
  <c r="BA413" i="17"/>
  <c r="BA515" i="17"/>
  <c r="BA419" i="17"/>
  <c r="BA503" i="17"/>
  <c r="BA444" i="17"/>
  <c r="BA423" i="17"/>
  <c r="BA414" i="17"/>
  <c r="BA437" i="17"/>
  <c r="BA478" i="17"/>
  <c r="BA440" i="17"/>
  <c r="BA498" i="17"/>
  <c r="BA514" i="17"/>
  <c r="BA499" i="17"/>
  <c r="BA469" i="17"/>
  <c r="BA427" i="17"/>
  <c r="BA457" i="17"/>
  <c r="BA510" i="17"/>
  <c r="BA495" i="17"/>
  <c r="BA408" i="17"/>
  <c r="BA482" i="17"/>
  <c r="BA430" i="17"/>
  <c r="BA443" i="17"/>
  <c r="BA455" i="17"/>
  <c r="BA465" i="17"/>
  <c r="BA492" i="17"/>
  <c r="BA428" i="17"/>
  <c r="BA409" i="17"/>
  <c r="BA477" i="17"/>
  <c r="BA467" i="17"/>
  <c r="BA505" i="17"/>
  <c r="BA462" i="17"/>
  <c r="BA523" i="17"/>
  <c r="BA415" i="17"/>
  <c r="BA466" i="17"/>
  <c r="BA452" i="17"/>
  <c r="BA433" i="17"/>
  <c r="BA463" i="17"/>
  <c r="BA450" i="17"/>
  <c r="BA496" i="17"/>
  <c r="BA481" i="17"/>
  <c r="BA500" i="17"/>
  <c r="BA519" i="17"/>
  <c r="BA511" i="17"/>
  <c r="BA412" i="17"/>
  <c r="BA521" i="17"/>
  <c r="BA448" i="17"/>
  <c r="BA507" i="17"/>
  <c r="BA429" i="17"/>
  <c r="BA411" i="17"/>
  <c r="BA435" i="17"/>
  <c r="BA518" i="17"/>
  <c r="BA501" i="17"/>
  <c r="BA491" i="17"/>
  <c r="BA425" i="17"/>
  <c r="BA483" i="17"/>
  <c r="BA468" i="17"/>
  <c r="BA471" i="17"/>
  <c r="BA432" i="17"/>
  <c r="BA424" i="17"/>
  <c r="BA484" i="17"/>
  <c r="BA490" i="17"/>
  <c r="BA504" i="17"/>
  <c r="BA494" i="17"/>
  <c r="BA488" i="17"/>
  <c r="BA508" i="17"/>
  <c r="BA474" i="17"/>
  <c r="BA421" i="17"/>
  <c r="BA512" i="17"/>
  <c r="BA473" i="17"/>
  <c r="BA524" i="17"/>
  <c r="BA445" i="17"/>
  <c r="BA449" i="17"/>
  <c r="BA461" i="17"/>
  <c r="BA458" i="17"/>
  <c r="BA456" i="17"/>
  <c r="BA506" i="17"/>
  <c r="BA441" i="17"/>
  <c r="BA497" i="17"/>
  <c r="BA502" i="17"/>
  <c r="BA486" i="17"/>
  <c r="BA480" i="17"/>
  <c r="BA438" i="17"/>
  <c r="BA516" i="17"/>
  <c r="BA416" i="17"/>
  <c r="BA436" i="17"/>
  <c r="BA451" i="17"/>
  <c r="BA476" i="17"/>
  <c r="BA479" i="17"/>
  <c r="BA487" i="17"/>
  <c r="BA485" i="17"/>
  <c r="BA460" i="17"/>
  <c r="BA489" i="17"/>
  <c r="BA454" i="17"/>
  <c r="BA426" i="17"/>
  <c r="BA417" i="17"/>
  <c r="BA418" i="17"/>
  <c r="BA431" i="17"/>
  <c r="BA520" i="17"/>
  <c r="BA439" i="17"/>
  <c r="BA446" i="17"/>
  <c r="BA513" i="17"/>
  <c r="BA522" i="17"/>
  <c r="BA509" i="17"/>
  <c r="BA434" i="17"/>
  <c r="BA475" i="17"/>
  <c r="BA447" i="17"/>
  <c r="BA472" i="17"/>
  <c r="BA459" i="17"/>
  <c r="BA442" i="17"/>
  <c r="BA464" i="17"/>
  <c r="BA493" i="17"/>
  <c r="BA420" i="17"/>
  <c r="BB417" i="17" l="1"/>
  <c r="BB451" i="17"/>
  <c r="BB471" i="17"/>
  <c r="BB501" i="17"/>
  <c r="AS27" i="20"/>
  <c r="AS28" i="20"/>
  <c r="AS30" i="20"/>
  <c r="AS25" i="20"/>
  <c r="AS29" i="20"/>
  <c r="AS24" i="20"/>
  <c r="AS26" i="20"/>
  <c r="AS23" i="20"/>
  <c r="AX290" i="17"/>
  <c r="AX320" i="17"/>
  <c r="AX297" i="17"/>
  <c r="AT171" i="17"/>
  <c r="AT201" i="17"/>
  <c r="AT240" i="17"/>
  <c r="AT219" i="17"/>
  <c r="AT203" i="17"/>
  <c r="AT153" i="17"/>
  <c r="AT251" i="17"/>
  <c r="AT146" i="17"/>
  <c r="AT247" i="17"/>
  <c r="AT172" i="17"/>
  <c r="AT230" i="17"/>
  <c r="AT169" i="17"/>
  <c r="AT206" i="17"/>
  <c r="AT158" i="17"/>
  <c r="AT234" i="17"/>
  <c r="AT157" i="17"/>
  <c r="AP102" i="15"/>
  <c r="AP24" i="15"/>
  <c r="AT18" i="15" s="1"/>
  <c r="AP73" i="15"/>
  <c r="AP100" i="15"/>
  <c r="AP87" i="15"/>
  <c r="AP95" i="15"/>
  <c r="AP68" i="15"/>
  <c r="AP26" i="15"/>
  <c r="AP111" i="15"/>
  <c r="AP49" i="15"/>
  <c r="AP28" i="15"/>
  <c r="AP29" i="15"/>
  <c r="AP50" i="15"/>
  <c r="AP43" i="15"/>
  <c r="AP122" i="15"/>
  <c r="AP58" i="15"/>
  <c r="AP76" i="15"/>
  <c r="AP132" i="15"/>
  <c r="A36" i="22"/>
  <c r="B18" i="21"/>
  <c r="BB445" i="17"/>
  <c r="BB496" i="17"/>
  <c r="BB458" i="17"/>
  <c r="BB506" i="17"/>
  <c r="BB486" i="17"/>
  <c r="BB472" i="17"/>
  <c r="BB465" i="17"/>
  <c r="BB454" i="17"/>
  <c r="BB426" i="17"/>
  <c r="BB459" i="17"/>
  <c r="BB412" i="17"/>
  <c r="BB437" i="17"/>
  <c r="BB441" i="17"/>
  <c r="BB473" i="17"/>
  <c r="BB436" i="17"/>
  <c r="BB483" i="17"/>
  <c r="BB470" i="17"/>
  <c r="BB421" i="17"/>
  <c r="BB494" i="17"/>
  <c r="BB514" i="17"/>
  <c r="BB468" i="17"/>
  <c r="BB503" i="17"/>
  <c r="BB467" i="17"/>
  <c r="BB448" i="17"/>
  <c r="BB495" i="17"/>
  <c r="BB499" i="17"/>
  <c r="BB418" i="17"/>
  <c r="BB515" i="17"/>
  <c r="BB422" i="17"/>
  <c r="AO19" i="24"/>
  <c r="AT18" i="24"/>
  <c r="AS17" i="24"/>
  <c r="AR16" i="24"/>
  <c r="AP20" i="24"/>
  <c r="AS18" i="24"/>
  <c r="AT17" i="24"/>
  <c r="AT16" i="24"/>
  <c r="AR18" i="24"/>
  <c r="AR17" i="24"/>
  <c r="AS16" i="24"/>
  <c r="AN19" i="24"/>
  <c r="AM19" i="24"/>
  <c r="AT27" i="20"/>
  <c r="AT25" i="20"/>
  <c r="AT29" i="20"/>
  <c r="AT26" i="20"/>
  <c r="AT23" i="20"/>
  <c r="AT28" i="20"/>
  <c r="AT30" i="20"/>
  <c r="AT24" i="20"/>
  <c r="G25" i="11"/>
  <c r="AL104" i="17"/>
  <c r="AL37" i="17"/>
  <c r="AL39" i="17"/>
  <c r="AL21" i="17"/>
  <c r="AL101" i="17"/>
  <c r="AL57" i="17"/>
  <c r="AL87" i="17"/>
  <c r="AL23" i="17"/>
  <c r="AL107" i="17"/>
  <c r="AX351" i="17"/>
  <c r="AX294" i="17"/>
  <c r="AX334" i="17"/>
  <c r="AX380" i="17"/>
  <c r="AX383" i="17"/>
  <c r="AX385" i="17"/>
  <c r="AX319" i="17"/>
  <c r="AX280" i="17"/>
  <c r="AX367" i="17"/>
  <c r="AX337" i="17"/>
  <c r="AX362" i="17"/>
  <c r="AX330" i="17"/>
  <c r="AX299" i="17"/>
  <c r="AX374" i="17"/>
  <c r="AX358" i="17"/>
  <c r="AX370" i="17"/>
  <c r="AX378" i="17"/>
  <c r="AX353" i="17"/>
  <c r="AX279" i="17"/>
  <c r="AX349" i="17"/>
  <c r="AX345" i="17"/>
  <c r="AX355" i="17"/>
  <c r="AX363" i="17"/>
  <c r="AX346" i="17"/>
  <c r="AX372" i="17"/>
  <c r="AX325" i="17"/>
  <c r="AX326" i="17"/>
  <c r="AX365" i="17"/>
  <c r="AX291" i="17"/>
  <c r="AT195" i="17"/>
  <c r="AT222" i="17"/>
  <c r="AT258" i="17"/>
  <c r="AT166" i="17"/>
  <c r="AT260" i="17"/>
  <c r="AT159" i="17"/>
  <c r="AT164" i="17"/>
  <c r="AT167" i="17"/>
  <c r="AT150" i="17"/>
  <c r="AT253" i="17"/>
  <c r="AT202" i="17"/>
  <c r="AT233" i="17"/>
  <c r="AT242" i="17"/>
  <c r="AT148" i="17"/>
  <c r="AT229" i="17"/>
  <c r="AT217" i="17"/>
  <c r="AT261" i="17"/>
  <c r="AT213" i="17"/>
  <c r="AT224" i="17"/>
  <c r="AT235" i="17"/>
  <c r="AT165" i="17"/>
  <c r="AT256" i="17"/>
  <c r="AT231" i="17"/>
  <c r="AT252" i="17"/>
  <c r="AT198" i="17"/>
  <c r="AT155" i="17"/>
  <c r="AT180" i="17"/>
  <c r="AT225" i="17"/>
  <c r="AT250" i="17"/>
  <c r="AR27" i="20"/>
  <c r="AR30" i="20"/>
  <c r="AU30" i="20" s="1"/>
  <c r="AR28" i="20"/>
  <c r="AU28" i="20" s="1"/>
  <c r="AR23" i="20"/>
  <c r="AR25" i="20"/>
  <c r="AR29" i="20"/>
  <c r="AU29" i="20" s="1"/>
  <c r="AR24" i="20"/>
  <c r="AU24" i="20" s="1"/>
  <c r="AR26" i="20"/>
  <c r="AU26" i="20" s="1"/>
  <c r="AX323" i="17"/>
  <c r="AT254" i="17"/>
  <c r="AP38" i="15"/>
  <c r="AP120" i="15"/>
  <c r="AP42" i="15"/>
  <c r="E18" i="21"/>
  <c r="J18" i="21" s="1"/>
  <c r="D66" i="9"/>
  <c r="H18" i="2"/>
  <c r="BB461" i="17"/>
  <c r="BB447" i="17"/>
  <c r="BB478" i="17"/>
  <c r="BB492" i="17"/>
  <c r="BB438" i="17"/>
  <c r="BB464" i="17"/>
  <c r="BB479" i="17"/>
  <c r="BB430" i="17"/>
  <c r="BB502" i="17"/>
  <c r="BB489" i="17"/>
  <c r="BB409" i="17"/>
  <c r="BB510" i="17"/>
  <c r="BB444" i="17"/>
  <c r="BB476" i="17"/>
  <c r="BB408" i="17"/>
  <c r="BB519" i="17"/>
  <c r="BB446" i="17"/>
  <c r="BB435" i="17"/>
  <c r="BB474" i="17"/>
  <c r="BB490" i="17"/>
  <c r="BB432" i="17"/>
  <c r="BB463" i="17"/>
  <c r="BB466" i="17"/>
  <c r="BB429" i="17"/>
  <c r="BB521" i="17"/>
  <c r="BB427" i="17"/>
  <c r="BB481" i="17"/>
  <c r="BB419" i="17"/>
  <c r="BB415" i="17"/>
  <c r="BB517" i="17"/>
  <c r="O17" i="2"/>
  <c r="H17" i="21"/>
  <c r="G17" i="21"/>
  <c r="AL68" i="17"/>
  <c r="AL66" i="17"/>
  <c r="AL102" i="17"/>
  <c r="AL20" i="17"/>
  <c r="AO10" i="17" s="1"/>
  <c r="AL111" i="17"/>
  <c r="AL40" i="17"/>
  <c r="AX387" i="17"/>
  <c r="AX324" i="17"/>
  <c r="AX308" i="17"/>
  <c r="AX331" i="17"/>
  <c r="AX333" i="17"/>
  <c r="AX285" i="17"/>
  <c r="AX316" i="17"/>
  <c r="AX286" i="17"/>
  <c r="AX313" i="17"/>
  <c r="AX288" i="17"/>
  <c r="AX381" i="17"/>
  <c r="AX312" i="17"/>
  <c r="AX392" i="17"/>
  <c r="AX307" i="17"/>
  <c r="AX376" i="17"/>
  <c r="AX327" i="17"/>
  <c r="AX347" i="17"/>
  <c r="AX317" i="17"/>
  <c r="AX343" i="17"/>
  <c r="AX314" i="17"/>
  <c r="AX287" i="17"/>
  <c r="AX389" i="17"/>
  <c r="AX359" i="17"/>
  <c r="AX335" i="17"/>
  <c r="AX306" i="17"/>
  <c r="AX309" i="17"/>
  <c r="AX301" i="17"/>
  <c r="AX283" i="17"/>
  <c r="AX393" i="17"/>
  <c r="AX386" i="17"/>
  <c r="AT156" i="17"/>
  <c r="AT149" i="17"/>
  <c r="AT228" i="17"/>
  <c r="AT188" i="17"/>
  <c r="AT189" i="17"/>
  <c r="AT204" i="17"/>
  <c r="AT257" i="17"/>
  <c r="AT161" i="17"/>
  <c r="AT183" i="17"/>
  <c r="AT199" i="17"/>
  <c r="AT200" i="17"/>
  <c r="AT237" i="17"/>
  <c r="AT209" i="17"/>
  <c r="AT239" i="17"/>
  <c r="AT177" i="17"/>
  <c r="AT211" i="17"/>
  <c r="AT170" i="17"/>
  <c r="AT192" i="17"/>
  <c r="AT190" i="17"/>
  <c r="AT193" i="17"/>
  <c r="AT218" i="17"/>
  <c r="AT197" i="17"/>
  <c r="AT187" i="17"/>
  <c r="AT181" i="17"/>
  <c r="AT210" i="17"/>
  <c r="AT227" i="17"/>
  <c r="AT147" i="17"/>
  <c r="AT162" i="17"/>
  <c r="AT160" i="17"/>
  <c r="D18" i="21"/>
  <c r="I18" i="21" s="1"/>
  <c r="C66" i="9"/>
  <c r="G18" i="2"/>
  <c r="K18" i="2"/>
  <c r="BB485" i="17"/>
  <c r="BB410" i="17"/>
  <c r="BB482" i="17"/>
  <c r="BB416" i="17"/>
  <c r="AX354" i="17"/>
  <c r="AX292" i="17"/>
  <c r="AP69" i="15"/>
  <c r="AP106" i="15"/>
  <c r="AP65" i="15"/>
  <c r="AP77" i="15"/>
  <c r="AP27" i="15"/>
  <c r="AP78" i="15"/>
  <c r="B26" i="11"/>
  <c r="D26" i="11" s="1"/>
  <c r="E26" i="11" s="1"/>
  <c r="F26" i="11" s="1"/>
  <c r="F66" i="9"/>
  <c r="AP70" i="15"/>
  <c r="AP125" i="15"/>
  <c r="AP128" i="15"/>
  <c r="AP115" i="15"/>
  <c r="AP40" i="15"/>
  <c r="AP99" i="15"/>
  <c r="AP31" i="15"/>
  <c r="AN19" i="15" s="1"/>
  <c r="AP59" i="15"/>
  <c r="AP90" i="15"/>
  <c r="AP32" i="15"/>
  <c r="AP41" i="15"/>
  <c r="AP103" i="15"/>
  <c r="AP79" i="15"/>
  <c r="AP126" i="15"/>
  <c r="AP72" i="15"/>
  <c r="AP134" i="15"/>
  <c r="AP107" i="15"/>
  <c r="AP61" i="15"/>
  <c r="C18" i="21"/>
  <c r="B66" i="9"/>
  <c r="C26" i="11" s="1"/>
  <c r="F18" i="2"/>
  <c r="J18" i="2"/>
  <c r="A19" i="21"/>
  <c r="A20" i="2"/>
  <c r="E19" i="2"/>
  <c r="P19" i="2"/>
  <c r="D19" i="2"/>
  <c r="K19" i="2" s="1"/>
  <c r="A67" i="9"/>
  <c r="A27" i="11" s="1"/>
  <c r="C19" i="2"/>
  <c r="N19" i="2"/>
  <c r="E67" i="9" s="1"/>
  <c r="B19" i="2"/>
  <c r="BB480" i="17"/>
  <c r="BB443" i="17"/>
  <c r="BB456" i="17"/>
  <c r="BB469" i="17"/>
  <c r="BB420" i="17"/>
  <c r="BB442" i="17"/>
  <c r="BB477" i="17"/>
  <c r="BB516" i="17"/>
  <c r="BB449" i="17"/>
  <c r="BB460" i="17"/>
  <c r="BB524" i="17"/>
  <c r="BB457" i="17"/>
  <c r="BB413" i="17"/>
  <c r="BB512" i="17"/>
  <c r="BB509" i="17"/>
  <c r="BB513" i="17"/>
  <c r="BB491" i="17"/>
  <c r="BB411" i="17"/>
  <c r="BB488" i="17"/>
  <c r="BB484" i="17"/>
  <c r="BB500" i="17"/>
  <c r="BB425" i="17"/>
  <c r="BB523" i="17"/>
  <c r="BB455" i="17"/>
  <c r="BB434" i="17"/>
  <c r="BB522" i="17"/>
  <c r="BB450" i="17"/>
  <c r="BB433" i="17"/>
  <c r="BB462" i="17"/>
  <c r="L17" i="2"/>
  <c r="I17" i="2"/>
  <c r="F17" i="21" s="1"/>
  <c r="AL75" i="17"/>
  <c r="AL62" i="17"/>
  <c r="AL100" i="17"/>
  <c r="AL109" i="17"/>
  <c r="AL127" i="17"/>
  <c r="AL78" i="17"/>
  <c r="AL72" i="17"/>
  <c r="AL129" i="17"/>
  <c r="AL77" i="17"/>
  <c r="AL31" i="17"/>
  <c r="AL28" i="17"/>
  <c r="AL93" i="17"/>
  <c r="AL52" i="17"/>
  <c r="AL19" i="17"/>
  <c r="AL12" i="17" s="1"/>
  <c r="AL103" i="17"/>
  <c r="AL98" i="17"/>
  <c r="AX296" i="17"/>
  <c r="AX281" i="17"/>
  <c r="AX356" i="17"/>
  <c r="AX328" i="17"/>
  <c r="AX277" i="17"/>
  <c r="AX368" i="17"/>
  <c r="AX298" i="17"/>
  <c r="AX329" i="17"/>
  <c r="AX382" i="17"/>
  <c r="AX388" i="17"/>
  <c r="AX384" i="17"/>
  <c r="AX340" i="17"/>
  <c r="AX282" i="17"/>
  <c r="AX293" i="17"/>
  <c r="AX332" i="17"/>
  <c r="AX339" i="17"/>
  <c r="AX295" i="17"/>
  <c r="AX338" i="17"/>
  <c r="AX377" i="17"/>
  <c r="AX310" i="17"/>
  <c r="AX289" i="17"/>
  <c r="AX369" i="17"/>
  <c r="AX304" i="17"/>
  <c r="AX352" i="17"/>
  <c r="AX375" i="17"/>
  <c r="AX278" i="17"/>
  <c r="AX373" i="17"/>
  <c r="AX336" i="17"/>
  <c r="AX348" i="17"/>
  <c r="AT174" i="17"/>
  <c r="AT221" i="17"/>
  <c r="AT220" i="17"/>
  <c r="AT212" i="17"/>
  <c r="AT168" i="17"/>
  <c r="AT207" i="17"/>
  <c r="AT215" i="17"/>
  <c r="AT194" i="17"/>
  <c r="AT178" i="17"/>
  <c r="AT208" i="17"/>
  <c r="AT262" i="17"/>
  <c r="AT184" i="17"/>
  <c r="AT223" i="17"/>
  <c r="AT205" i="17"/>
  <c r="AT152" i="17"/>
  <c r="AT214" i="17"/>
  <c r="AT185" i="17"/>
  <c r="AT238" i="17"/>
  <c r="AT163" i="17"/>
  <c r="AT243" i="17"/>
  <c r="AT244" i="17"/>
  <c r="AT191" i="17"/>
  <c r="AT173" i="17"/>
  <c r="AT246" i="17"/>
  <c r="AT175" i="17"/>
  <c r="AT249" i="17"/>
  <c r="AT154" i="17"/>
  <c r="AT176" i="17"/>
  <c r="AT245" i="17"/>
  <c r="AT255" i="17"/>
  <c r="G18" i="21" l="1"/>
  <c r="H18" i="21"/>
  <c r="BA404" i="17"/>
  <c r="AW404" i="17"/>
  <c r="BI403" i="17"/>
  <c r="BE403" i="17"/>
  <c r="BG402" i="17"/>
  <c r="BI401" i="17"/>
  <c r="BE401" i="17"/>
  <c r="AZ404" i="17"/>
  <c r="AV404" i="17"/>
  <c r="BH403" i="17"/>
  <c r="BD403" i="17"/>
  <c r="BF402" i="17"/>
  <c r="BB405" i="17"/>
  <c r="BH402" i="17"/>
  <c r="BF401" i="17"/>
  <c r="AY404" i="17"/>
  <c r="BG403" i="17"/>
  <c r="BE402" i="17"/>
  <c r="BD401" i="17"/>
  <c r="AX404" i="17"/>
  <c r="BF403" i="17"/>
  <c r="BD402" i="17"/>
  <c r="BH401" i="17"/>
  <c r="BG401" i="17"/>
  <c r="BI402" i="17"/>
  <c r="AR37" i="24"/>
  <c r="AR29" i="24"/>
  <c r="AR35" i="24"/>
  <c r="AR23" i="24"/>
  <c r="AU23" i="24" s="1"/>
  <c r="AR33" i="24"/>
  <c r="AR26" i="24"/>
  <c r="AR31" i="24"/>
  <c r="AR32" i="24"/>
  <c r="AU32" i="24" s="1"/>
  <c r="AR28" i="24"/>
  <c r="AR34" i="24"/>
  <c r="AR25" i="24"/>
  <c r="AR24" i="24"/>
  <c r="AR27" i="24"/>
  <c r="AR36" i="24"/>
  <c r="AR30" i="24"/>
  <c r="AT17" i="15"/>
  <c r="AM19" i="15"/>
  <c r="AT143" i="17"/>
  <c r="AR142" i="17"/>
  <c r="AX141" i="17"/>
  <c r="AX140" i="17"/>
  <c r="AX139" i="17"/>
  <c r="AQ142" i="17"/>
  <c r="AW141" i="17"/>
  <c r="AW140" i="17"/>
  <c r="AV140" i="17"/>
  <c r="AV139" i="17"/>
  <c r="AS142" i="17"/>
  <c r="AY141" i="17"/>
  <c r="AP142" i="17"/>
  <c r="AV141" i="17"/>
  <c r="AY139" i="17"/>
  <c r="AY140" i="17"/>
  <c r="AW139" i="17"/>
  <c r="AN8" i="17"/>
  <c r="E19" i="21"/>
  <c r="J19" i="21" s="1"/>
  <c r="D67" i="9"/>
  <c r="H19" i="2"/>
  <c r="I18" i="2"/>
  <c r="F18" i="21" s="1"/>
  <c r="L18" i="2"/>
  <c r="AS37" i="24"/>
  <c r="AS29" i="24"/>
  <c r="AS25" i="24"/>
  <c r="AS36" i="24"/>
  <c r="AS27" i="24"/>
  <c r="AS28" i="24"/>
  <c r="AS34" i="24"/>
  <c r="AS33" i="24"/>
  <c r="AS24" i="24"/>
  <c r="AS23" i="24"/>
  <c r="AS35" i="24"/>
  <c r="AS26" i="24"/>
  <c r="AS31" i="24"/>
  <c r="AS32" i="24"/>
  <c r="AS30" i="24"/>
  <c r="AS16" i="15"/>
  <c r="AP20" i="15"/>
  <c r="AR16" i="15"/>
  <c r="AN10" i="17"/>
  <c r="AK11" i="17"/>
  <c r="B27" i="11"/>
  <c r="D27" i="11" s="1"/>
  <c r="E27" i="11" s="1"/>
  <c r="F27" i="11" s="1"/>
  <c r="F67" i="9"/>
  <c r="AO19" i="15"/>
  <c r="C19" i="21"/>
  <c r="B67" i="9"/>
  <c r="C27" i="11" s="1"/>
  <c r="G27" i="11" s="1"/>
  <c r="F19" i="2"/>
  <c r="J19" i="2"/>
  <c r="AT273" i="17"/>
  <c r="BA272" i="17"/>
  <c r="BB271" i="17"/>
  <c r="BC270" i="17"/>
  <c r="AX274" i="17"/>
  <c r="AW273" i="17"/>
  <c r="AS273" i="17"/>
  <c r="BD272" i="17"/>
  <c r="AZ272" i="17"/>
  <c r="BA271" i="17"/>
  <c r="BB270" i="17"/>
  <c r="AV273" i="17"/>
  <c r="BC272" i="17"/>
  <c r="BD271" i="17"/>
  <c r="AZ271" i="17"/>
  <c r="AU273" i="17"/>
  <c r="BD270" i="17"/>
  <c r="BA270" i="17"/>
  <c r="AZ270" i="17"/>
  <c r="BB272" i="17"/>
  <c r="BC271" i="17"/>
  <c r="A20" i="21"/>
  <c r="A21" i="2"/>
  <c r="E20" i="2"/>
  <c r="P20" i="2"/>
  <c r="D20" i="2"/>
  <c r="C20" i="2"/>
  <c r="B20" i="2"/>
  <c r="A68" i="9"/>
  <c r="A28" i="11" s="1"/>
  <c r="N20" i="2"/>
  <c r="E68" i="9" s="1"/>
  <c r="AU25" i="20"/>
  <c r="AU27" i="20"/>
  <c r="AT16" i="15"/>
  <c r="AR17" i="15"/>
  <c r="AS17" i="15"/>
  <c r="AJ11" i="17"/>
  <c r="AN9" i="17"/>
  <c r="O18" i="2"/>
  <c r="M18" i="2"/>
  <c r="AT29" i="24"/>
  <c r="AT37" i="24"/>
  <c r="AT31" i="24"/>
  <c r="AT32" i="24"/>
  <c r="AT30" i="24"/>
  <c r="AT25" i="24"/>
  <c r="AT34" i="24"/>
  <c r="AT26" i="24"/>
  <c r="AT28" i="24"/>
  <c r="AT35" i="24"/>
  <c r="AT24" i="24"/>
  <c r="AT23" i="24"/>
  <c r="AT27" i="24"/>
  <c r="AT33" i="24"/>
  <c r="AT36" i="24"/>
  <c r="D19" i="21"/>
  <c r="I19" i="21" s="1"/>
  <c r="C67" i="9"/>
  <c r="G19" i="2"/>
  <c r="A37" i="22"/>
  <c r="B19" i="21"/>
  <c r="G26" i="11"/>
  <c r="AU23" i="20"/>
  <c r="AR18" i="15"/>
  <c r="AS18" i="15"/>
  <c r="AO9" i="17"/>
  <c r="AO8" i="17"/>
  <c r="AT37" i="15" l="1"/>
  <c r="AT132" i="15"/>
  <c r="AT106" i="15"/>
  <c r="AT138" i="15"/>
  <c r="AT130" i="15"/>
  <c r="AT109" i="15"/>
  <c r="AT100" i="15"/>
  <c r="AT83" i="15"/>
  <c r="AT118" i="15"/>
  <c r="AT32" i="15"/>
  <c r="AT82" i="15"/>
  <c r="AT113" i="15"/>
  <c r="AT90" i="15"/>
  <c r="AT129" i="15"/>
  <c r="AT96" i="15"/>
  <c r="AT136" i="15"/>
  <c r="AT41" i="15"/>
  <c r="AT25" i="15"/>
  <c r="AT26" i="15"/>
  <c r="AT88" i="15"/>
  <c r="AT57" i="15"/>
  <c r="AT34" i="15"/>
  <c r="AT98" i="15"/>
  <c r="AT49" i="15"/>
  <c r="AT24" i="15"/>
  <c r="AT64" i="15"/>
  <c r="AT76" i="15"/>
  <c r="AT112" i="15"/>
  <c r="AT91" i="15"/>
  <c r="AT79" i="15"/>
  <c r="AT66" i="15"/>
  <c r="AT84" i="15"/>
  <c r="AT103" i="15"/>
  <c r="AT139" i="15"/>
  <c r="AT89" i="15"/>
  <c r="AT134" i="15"/>
  <c r="AT53" i="15"/>
  <c r="AT128" i="15"/>
  <c r="AT116" i="15"/>
  <c r="AT122" i="15"/>
  <c r="AT126" i="15"/>
  <c r="AT27" i="15"/>
  <c r="AT43" i="15"/>
  <c r="AT61" i="15"/>
  <c r="AT92" i="15"/>
  <c r="AT30" i="15"/>
  <c r="AT60" i="15"/>
  <c r="AT81" i="15"/>
  <c r="AT33" i="15"/>
  <c r="AT108" i="15"/>
  <c r="AT38" i="15"/>
  <c r="AT104" i="15"/>
  <c r="AT45" i="15"/>
  <c r="AT65" i="15"/>
  <c r="AT80" i="15"/>
  <c r="AT107" i="15"/>
  <c r="AT97" i="15"/>
  <c r="AT124" i="15"/>
  <c r="AT58" i="15"/>
  <c r="AT111" i="15"/>
  <c r="AT42" i="15"/>
  <c r="AT63" i="15"/>
  <c r="AT110" i="15"/>
  <c r="AT93" i="15"/>
  <c r="AT28" i="15"/>
  <c r="AT85" i="15"/>
  <c r="AT72" i="15"/>
  <c r="AT46" i="15"/>
  <c r="AT70" i="15"/>
  <c r="AT105" i="15"/>
  <c r="AT131" i="15"/>
  <c r="AT78" i="15"/>
  <c r="AT23" i="15"/>
  <c r="AT67" i="15"/>
  <c r="AT94" i="15"/>
  <c r="AT74" i="15"/>
  <c r="AT119" i="15"/>
  <c r="AT121" i="15"/>
  <c r="AT87" i="15"/>
  <c r="AT101" i="15"/>
  <c r="AT69" i="15"/>
  <c r="AT86" i="15"/>
  <c r="AT123" i="15"/>
  <c r="AT36" i="15"/>
  <c r="AT44" i="15"/>
  <c r="AT77" i="15"/>
  <c r="AT59" i="15"/>
  <c r="AT75" i="15"/>
  <c r="AT137" i="15"/>
  <c r="AT135" i="15"/>
  <c r="AT39" i="15"/>
  <c r="AT114" i="15"/>
  <c r="AT120" i="15"/>
  <c r="AT99" i="15"/>
  <c r="AT48" i="15"/>
  <c r="AT73" i="15"/>
  <c r="AT117" i="15"/>
  <c r="AT54" i="15"/>
  <c r="AT71" i="15"/>
  <c r="AT95" i="15"/>
  <c r="AT50" i="15"/>
  <c r="AT133" i="15"/>
  <c r="AT62" i="15"/>
  <c r="AT31" i="15"/>
  <c r="AT68" i="15"/>
  <c r="AT56" i="15"/>
  <c r="AT47" i="15"/>
  <c r="AT55" i="15"/>
  <c r="AT35" i="15"/>
  <c r="AT51" i="15"/>
  <c r="AT52" i="15"/>
  <c r="AT125" i="15"/>
  <c r="AT127" i="15"/>
  <c r="AT29" i="15"/>
  <c r="AT102" i="15"/>
  <c r="AT40" i="15"/>
  <c r="AT115" i="15"/>
  <c r="BA386" i="17"/>
  <c r="BA291" i="17"/>
  <c r="BA297" i="17"/>
  <c r="BA348" i="17"/>
  <c r="BA333" i="17"/>
  <c r="BA341" i="17"/>
  <c r="BA290" i="17"/>
  <c r="BA336" i="17"/>
  <c r="BA283" i="17"/>
  <c r="BA323" i="17"/>
  <c r="BA373" i="17"/>
  <c r="BA325" i="17"/>
  <c r="BA309" i="17"/>
  <c r="BA372" i="17"/>
  <c r="BA292" i="17"/>
  <c r="BA358" i="17"/>
  <c r="BA375" i="17"/>
  <c r="BA374" i="17"/>
  <c r="BA346" i="17"/>
  <c r="BA282" i="17"/>
  <c r="BA318" i="17"/>
  <c r="BA354" i="17"/>
  <c r="BA352" i="17"/>
  <c r="BA330" i="17"/>
  <c r="BA335" i="17"/>
  <c r="BA363" i="17"/>
  <c r="BA302" i="17"/>
  <c r="BA365" i="17"/>
  <c r="BA304" i="17"/>
  <c r="BA353" i="17"/>
  <c r="BA359" i="17"/>
  <c r="BA355" i="17"/>
  <c r="BA305" i="17"/>
  <c r="BA378" i="17"/>
  <c r="BA301" i="17"/>
  <c r="BA389" i="17"/>
  <c r="BA345" i="17"/>
  <c r="BA320" i="17"/>
  <c r="BA287" i="17"/>
  <c r="BA391" i="17"/>
  <c r="BA294" i="17"/>
  <c r="BA306" i="17"/>
  <c r="BA279" i="17"/>
  <c r="BA377" i="17"/>
  <c r="BA343" i="17"/>
  <c r="BA311" i="17"/>
  <c r="BA326" i="17"/>
  <c r="BA300" i="17"/>
  <c r="BA369" i="17"/>
  <c r="BA295" i="17"/>
  <c r="BA347" i="17"/>
  <c r="BA357" i="17"/>
  <c r="BA278" i="17"/>
  <c r="BA339" i="17"/>
  <c r="BA327" i="17"/>
  <c r="BA379" i="17"/>
  <c r="BA332" i="17"/>
  <c r="BA376" i="17"/>
  <c r="BA315" i="17"/>
  <c r="BA293" i="17"/>
  <c r="BA349" i="17"/>
  <c r="BA307" i="17"/>
  <c r="BA299" i="17"/>
  <c r="BA360" i="17"/>
  <c r="BA392" i="17"/>
  <c r="BA280" i="17"/>
  <c r="BA393" i="17"/>
  <c r="BA362" i="17"/>
  <c r="BA286" i="17"/>
  <c r="BA319" i="17"/>
  <c r="BA366" i="17"/>
  <c r="BA384" i="17"/>
  <c r="BA388" i="17"/>
  <c r="BA281" i="17"/>
  <c r="BA288" i="17"/>
  <c r="BA367" i="17"/>
  <c r="BA328" i="17"/>
  <c r="BA331" i="17"/>
  <c r="BA334" i="17"/>
  <c r="BA338" i="17"/>
  <c r="BA344" i="17"/>
  <c r="BA356" i="17"/>
  <c r="BA321" i="17"/>
  <c r="BA289" i="17"/>
  <c r="BA308" i="17"/>
  <c r="BA310" i="17"/>
  <c r="BA284" i="17"/>
  <c r="BA342" i="17"/>
  <c r="BA381" i="17"/>
  <c r="BA385" i="17"/>
  <c r="BA303" i="17"/>
  <c r="BA337" i="17"/>
  <c r="BA322" i="17"/>
  <c r="BA368" i="17"/>
  <c r="BA390" i="17"/>
  <c r="BA383" i="17"/>
  <c r="BA277" i="17"/>
  <c r="BA371" i="17"/>
  <c r="BA312" i="17"/>
  <c r="BA314" i="17"/>
  <c r="BA361" i="17"/>
  <c r="BA313" i="17"/>
  <c r="BA380" i="17"/>
  <c r="BA387" i="17"/>
  <c r="BA329" i="17"/>
  <c r="BA370" i="17"/>
  <c r="BA298" i="17"/>
  <c r="BA316" i="17"/>
  <c r="BA324" i="17"/>
  <c r="BA351" i="17"/>
  <c r="BA285" i="17"/>
  <c r="BA350" i="17"/>
  <c r="BA296" i="17"/>
  <c r="BA364" i="17"/>
  <c r="BA340" i="17"/>
  <c r="BA317" i="17"/>
  <c r="BA382" i="17"/>
  <c r="AU24" i="24"/>
  <c r="AO124" i="17"/>
  <c r="AO29" i="17"/>
  <c r="AO130" i="17"/>
  <c r="AO108" i="17"/>
  <c r="AO54" i="17"/>
  <c r="AO19" i="17"/>
  <c r="AO106" i="17"/>
  <c r="AO32" i="17"/>
  <c r="AO60" i="17"/>
  <c r="AO84" i="17"/>
  <c r="AO52" i="17"/>
  <c r="AO65" i="17"/>
  <c r="AO67" i="17"/>
  <c r="AO93" i="17"/>
  <c r="AO70" i="17"/>
  <c r="AO120" i="17"/>
  <c r="AO28" i="17"/>
  <c r="AO94" i="17"/>
  <c r="AO95" i="17"/>
  <c r="AO131" i="17"/>
  <c r="AO20" i="17"/>
  <c r="AO80" i="17"/>
  <c r="AO17" i="17"/>
  <c r="AO77" i="17"/>
  <c r="AO26" i="17"/>
  <c r="AO105" i="17"/>
  <c r="AO27" i="17"/>
  <c r="AO102" i="17"/>
  <c r="AO30" i="17"/>
  <c r="AO72" i="17"/>
  <c r="AO25" i="17"/>
  <c r="AO57" i="17"/>
  <c r="AO88" i="17"/>
  <c r="AO61" i="17"/>
  <c r="AO43" i="17"/>
  <c r="AO66" i="17"/>
  <c r="AO101" i="17"/>
  <c r="AO123" i="17"/>
  <c r="AO75" i="17"/>
  <c r="AO46" i="17"/>
  <c r="AO71" i="17"/>
  <c r="AO48" i="17"/>
  <c r="AO103" i="17"/>
  <c r="AO91" i="17"/>
  <c r="AO109" i="17"/>
  <c r="AO47" i="17"/>
  <c r="AO62" i="17"/>
  <c r="AO99" i="17"/>
  <c r="AO23" i="17"/>
  <c r="AO126" i="17"/>
  <c r="AO129" i="17"/>
  <c r="AO34" i="17"/>
  <c r="AO44" i="17"/>
  <c r="AO121" i="17"/>
  <c r="AO15" i="17"/>
  <c r="AO117" i="17"/>
  <c r="AO113" i="17"/>
  <c r="AO16" i="17"/>
  <c r="AO76" i="17"/>
  <c r="AO87" i="17"/>
  <c r="AO64" i="17"/>
  <c r="AO37" i="17"/>
  <c r="AO22" i="17"/>
  <c r="AO107" i="17"/>
  <c r="AO63" i="17"/>
  <c r="AO35" i="17"/>
  <c r="AO115" i="17"/>
  <c r="AO18" i="17"/>
  <c r="AO69" i="17"/>
  <c r="AO98" i="17"/>
  <c r="AO73" i="17"/>
  <c r="AO79" i="17"/>
  <c r="AO111" i="17"/>
  <c r="AO31" i="17"/>
  <c r="AO42" i="17"/>
  <c r="AO74" i="17"/>
  <c r="AO49" i="17"/>
  <c r="AO100" i="17"/>
  <c r="AO45" i="17"/>
  <c r="AO55" i="17"/>
  <c r="AO116" i="17"/>
  <c r="AO82" i="17"/>
  <c r="AO86" i="17"/>
  <c r="AO92" i="17"/>
  <c r="AO97" i="17"/>
  <c r="AO78" i="17"/>
  <c r="AO51" i="17"/>
  <c r="AO21" i="17"/>
  <c r="AO33" i="17"/>
  <c r="AO24" i="17"/>
  <c r="AO41" i="17"/>
  <c r="AO114" i="17"/>
  <c r="AO36" i="17"/>
  <c r="AO118" i="17"/>
  <c r="AO81" i="17"/>
  <c r="AO104" i="17"/>
  <c r="AO125" i="17"/>
  <c r="AO39" i="17"/>
  <c r="AO85" i="17"/>
  <c r="AO110" i="17"/>
  <c r="AO90" i="17"/>
  <c r="AO96" i="17"/>
  <c r="AO127" i="17"/>
  <c r="AO112" i="17"/>
  <c r="AO40" i="17"/>
  <c r="AO89" i="17"/>
  <c r="AO128" i="17"/>
  <c r="AO53" i="17"/>
  <c r="AO122" i="17"/>
  <c r="AO56" i="17"/>
  <c r="AO59" i="17"/>
  <c r="AO68" i="17"/>
  <c r="AO83" i="17"/>
  <c r="AO58" i="17"/>
  <c r="AO50" i="17"/>
  <c r="AO119" i="17"/>
  <c r="AO38" i="17"/>
  <c r="BD291" i="17"/>
  <c r="BD386" i="17"/>
  <c r="BD331" i="17"/>
  <c r="BD365" i="17"/>
  <c r="BD304" i="17"/>
  <c r="BD353" i="17"/>
  <c r="BD355" i="17"/>
  <c r="BD338" i="17"/>
  <c r="BD305" i="17"/>
  <c r="BD378" i="17"/>
  <c r="BD301" i="17"/>
  <c r="BD389" i="17"/>
  <c r="BD370" i="17"/>
  <c r="BD345" i="17"/>
  <c r="BD327" i="17"/>
  <c r="BD320" i="17"/>
  <c r="BD358" i="17"/>
  <c r="BD374" i="17"/>
  <c r="BD282" i="17"/>
  <c r="BD330" i="17"/>
  <c r="BD377" i="17"/>
  <c r="BD335" i="17"/>
  <c r="BD343" i="17"/>
  <c r="BD290" i="17"/>
  <c r="BD334" i="17"/>
  <c r="BD311" i="17"/>
  <c r="BD283" i="17"/>
  <c r="BD300" i="17"/>
  <c r="BD369" i="17"/>
  <c r="BD295" i="17"/>
  <c r="BD357" i="17"/>
  <c r="BD339" i="17"/>
  <c r="BD362" i="17"/>
  <c r="BD332" i="17"/>
  <c r="BD286" i="17"/>
  <c r="BD376" i="17"/>
  <c r="BD293" i="17"/>
  <c r="BD287" i="17"/>
  <c r="BD349" i="17"/>
  <c r="BD391" i="17"/>
  <c r="BD294" i="17"/>
  <c r="BD307" i="17"/>
  <c r="BD360" i="17"/>
  <c r="BD354" i="17"/>
  <c r="BD366" i="17"/>
  <c r="BD298" i="17"/>
  <c r="BD328" i="17"/>
  <c r="BD363" i="17"/>
  <c r="BD313" i="17"/>
  <c r="BD280" i="17"/>
  <c r="BD380" i="17"/>
  <c r="BD359" i="17"/>
  <c r="BD387" i="17"/>
  <c r="BD371" i="17"/>
  <c r="BD340" i="17"/>
  <c r="BD329" i="17"/>
  <c r="BD326" i="17"/>
  <c r="BD317" i="17"/>
  <c r="BD344" i="17"/>
  <c r="BD312" i="17"/>
  <c r="BD356" i="17"/>
  <c r="BD321" i="17"/>
  <c r="BD278" i="17"/>
  <c r="BD289" i="17"/>
  <c r="BD308" i="17"/>
  <c r="BD306" i="17"/>
  <c r="BD346" i="17"/>
  <c r="BD392" i="17"/>
  <c r="BD284" i="17"/>
  <c r="BD318" i="17"/>
  <c r="BD281" i="17"/>
  <c r="BD323" i="17"/>
  <c r="BD372" i="17"/>
  <c r="BD315" i="17"/>
  <c r="BD299" i="17"/>
  <c r="BD381" i="17"/>
  <c r="BD385" i="17"/>
  <c r="BD337" i="17"/>
  <c r="BD368" i="17"/>
  <c r="BD350" i="17"/>
  <c r="BD352" i="17"/>
  <c r="BD279" i="17"/>
  <c r="BD388" i="17"/>
  <c r="BD302" i="17"/>
  <c r="BD333" i="17"/>
  <c r="BD393" i="17"/>
  <c r="BD336" i="17"/>
  <c r="BD325" i="17"/>
  <c r="BD347" i="17"/>
  <c r="BD342" i="17"/>
  <c r="BD316" i="17"/>
  <c r="BD324" i="17"/>
  <c r="BD303" i="17"/>
  <c r="BD285" i="17"/>
  <c r="BD296" i="17"/>
  <c r="BD390" i="17"/>
  <c r="BD364" i="17"/>
  <c r="BD383" i="17"/>
  <c r="BD382" i="17"/>
  <c r="BD277" i="17"/>
  <c r="BD292" i="17"/>
  <c r="BD375" i="17"/>
  <c r="BD319" i="17"/>
  <c r="BD384" i="17"/>
  <c r="BD367" i="17"/>
  <c r="BD348" i="17"/>
  <c r="BD341" i="17"/>
  <c r="BD373" i="17"/>
  <c r="BD310" i="17"/>
  <c r="BD314" i="17"/>
  <c r="BD361" i="17"/>
  <c r="BD351" i="17"/>
  <c r="BD322" i="17"/>
  <c r="BD288" i="17"/>
  <c r="BD297" i="17"/>
  <c r="BD309" i="17"/>
  <c r="BD379" i="17"/>
  <c r="AS37" i="15"/>
  <c r="AS132" i="15"/>
  <c r="AS27" i="15"/>
  <c r="AS106" i="15"/>
  <c r="AS43" i="15"/>
  <c r="AS123" i="15"/>
  <c r="AS138" i="15"/>
  <c r="AS130" i="15"/>
  <c r="AS100" i="15"/>
  <c r="AS131" i="15"/>
  <c r="AS118" i="15"/>
  <c r="AS79" i="15"/>
  <c r="AS32" i="15"/>
  <c r="AS82" i="15"/>
  <c r="AS90" i="15"/>
  <c r="AS103" i="15"/>
  <c r="AS77" i="15"/>
  <c r="AS96" i="15"/>
  <c r="AS29" i="15"/>
  <c r="AS136" i="15"/>
  <c r="AS41" i="15"/>
  <c r="AS25" i="15"/>
  <c r="AS26" i="15"/>
  <c r="AS88" i="15"/>
  <c r="AS105" i="15"/>
  <c r="AS34" i="15"/>
  <c r="AS98" i="15"/>
  <c r="AS49" i="15"/>
  <c r="AS24" i="15"/>
  <c r="AS64" i="15"/>
  <c r="AS76" i="15"/>
  <c r="AS112" i="15"/>
  <c r="AS33" i="15"/>
  <c r="AS66" i="15"/>
  <c r="AS65" i="15"/>
  <c r="AS84" i="15"/>
  <c r="AS111" i="15"/>
  <c r="AS89" i="15"/>
  <c r="AS59" i="15"/>
  <c r="AS75" i="15"/>
  <c r="AS134" i="15"/>
  <c r="AS137" i="15"/>
  <c r="AS63" i="15"/>
  <c r="AS128" i="15"/>
  <c r="AS35" i="15"/>
  <c r="AS67" i="15"/>
  <c r="AS116" i="15"/>
  <c r="AS122" i="15"/>
  <c r="AS126" i="15"/>
  <c r="AS92" i="15"/>
  <c r="AS30" i="15"/>
  <c r="AS60" i="15"/>
  <c r="AS81" i="15"/>
  <c r="AS83" i="15"/>
  <c r="AS108" i="15"/>
  <c r="AS38" i="15"/>
  <c r="AS95" i="15"/>
  <c r="AS104" i="15"/>
  <c r="AS127" i="15"/>
  <c r="AS80" i="15"/>
  <c r="AS133" i="15"/>
  <c r="AS97" i="15"/>
  <c r="AS113" i="15"/>
  <c r="AS124" i="15"/>
  <c r="AS58" i="15"/>
  <c r="AS129" i="15"/>
  <c r="AS139" i="15"/>
  <c r="AS42" i="15"/>
  <c r="AS53" i="15"/>
  <c r="AS110" i="15"/>
  <c r="AS47" i="15"/>
  <c r="AS28" i="15"/>
  <c r="AS55" i="15"/>
  <c r="AS31" i="15"/>
  <c r="AS72" i="15"/>
  <c r="AS46" i="15"/>
  <c r="AS23" i="15"/>
  <c r="AS135" i="15"/>
  <c r="AS39" i="15"/>
  <c r="AS70" i="15"/>
  <c r="AS86" i="15"/>
  <c r="AS61" i="15"/>
  <c r="AS45" i="15"/>
  <c r="AS36" i="15"/>
  <c r="AS44" i="15"/>
  <c r="AS85" i="15"/>
  <c r="AS57" i="15"/>
  <c r="AS114" i="15"/>
  <c r="AS120" i="15"/>
  <c r="AS74" i="15"/>
  <c r="AS73" i="15"/>
  <c r="AS117" i="15"/>
  <c r="AS69" i="15"/>
  <c r="AS51" i="15"/>
  <c r="AS115" i="15"/>
  <c r="AS71" i="15"/>
  <c r="AS99" i="15"/>
  <c r="AS102" i="15"/>
  <c r="AS40" i="15"/>
  <c r="AS56" i="15"/>
  <c r="AS107" i="15"/>
  <c r="AS48" i="15"/>
  <c r="AS54" i="15"/>
  <c r="AS125" i="15"/>
  <c r="AS109" i="15"/>
  <c r="AS119" i="15"/>
  <c r="AS50" i="15"/>
  <c r="AS62" i="15"/>
  <c r="AS93" i="15"/>
  <c r="AS68" i="15"/>
  <c r="AS94" i="15"/>
  <c r="AS87" i="15"/>
  <c r="AS101" i="15"/>
  <c r="AS52" i="15"/>
  <c r="AS121" i="15"/>
  <c r="AS91" i="15"/>
  <c r="AS78" i="15"/>
  <c r="AN29" i="17"/>
  <c r="AP29" i="17" s="1"/>
  <c r="AN124" i="17"/>
  <c r="AN109" i="17"/>
  <c r="AP109" i="17" s="1"/>
  <c r="AN19" i="17"/>
  <c r="AP19" i="17" s="1"/>
  <c r="AN62" i="17"/>
  <c r="AP62" i="17" s="1"/>
  <c r="AN23" i="17"/>
  <c r="AN129" i="17"/>
  <c r="AP129" i="17" s="1"/>
  <c r="AN34" i="17"/>
  <c r="AP34" i="17" s="1"/>
  <c r="AN32" i="17"/>
  <c r="AP32" i="17" s="1"/>
  <c r="AN44" i="17"/>
  <c r="AN117" i="17"/>
  <c r="AP117" i="17" s="1"/>
  <c r="AN113" i="17"/>
  <c r="AN76" i="17"/>
  <c r="AP76" i="17" s="1"/>
  <c r="AN87" i="17"/>
  <c r="AP87" i="17" s="1"/>
  <c r="AN37" i="17"/>
  <c r="AP37" i="17" s="1"/>
  <c r="AN36" i="17"/>
  <c r="AN22" i="17"/>
  <c r="AP22" i="17" s="1"/>
  <c r="AN79" i="17"/>
  <c r="AP79" i="17" s="1"/>
  <c r="AN67" i="17"/>
  <c r="AP67" i="17" s="1"/>
  <c r="AN111" i="17"/>
  <c r="AN123" i="17"/>
  <c r="AP123" i="17" s="1"/>
  <c r="AN18" i="17"/>
  <c r="AP18" i="17" s="1"/>
  <c r="AN131" i="17"/>
  <c r="AP131" i="17" s="1"/>
  <c r="AN69" i="17"/>
  <c r="AN31" i="17"/>
  <c r="AP31" i="17" s="1"/>
  <c r="AN81" i="17"/>
  <c r="AP81" i="17" s="1"/>
  <c r="AN80" i="17"/>
  <c r="AP80" i="17" s="1"/>
  <c r="AN119" i="17"/>
  <c r="AP119" i="17" s="1"/>
  <c r="AN41" i="17"/>
  <c r="AP41" i="17" s="1"/>
  <c r="AN40" i="17"/>
  <c r="AN89" i="17"/>
  <c r="AP89" i="17" s="1"/>
  <c r="AN27" i="17"/>
  <c r="AP27" i="17" s="1"/>
  <c r="AN98" i="17"/>
  <c r="AP98" i="17" s="1"/>
  <c r="AN110" i="17"/>
  <c r="AP110" i="17" s="1"/>
  <c r="AN114" i="17"/>
  <c r="AP114" i="17" s="1"/>
  <c r="AN73" i="17"/>
  <c r="AP73" i="17" s="1"/>
  <c r="AN84" i="17"/>
  <c r="AP84" i="17" s="1"/>
  <c r="AN52" i="17"/>
  <c r="AP52" i="17" s="1"/>
  <c r="AN128" i="17"/>
  <c r="AP128" i="17" s="1"/>
  <c r="AN43" i="17"/>
  <c r="AP43" i="17" s="1"/>
  <c r="AN53" i="17"/>
  <c r="AP53" i="17" s="1"/>
  <c r="AN86" i="17"/>
  <c r="AP86" i="17" s="1"/>
  <c r="AN75" i="17"/>
  <c r="AP75" i="17" s="1"/>
  <c r="AN95" i="17"/>
  <c r="AP95" i="17" s="1"/>
  <c r="AN48" i="17"/>
  <c r="AP48" i="17" s="1"/>
  <c r="AN20" i="17"/>
  <c r="AN130" i="17"/>
  <c r="AP130" i="17" s="1"/>
  <c r="AN91" i="17"/>
  <c r="AP91" i="17" s="1"/>
  <c r="AN108" i="17"/>
  <c r="AP108" i="17" s="1"/>
  <c r="AN54" i="17"/>
  <c r="AN99" i="17"/>
  <c r="AP99" i="17" s="1"/>
  <c r="AN106" i="17"/>
  <c r="AP106" i="17" s="1"/>
  <c r="AN126" i="17"/>
  <c r="AP126" i="17" s="1"/>
  <c r="AN60" i="17"/>
  <c r="AN16" i="17"/>
  <c r="AP16" i="17" s="1"/>
  <c r="AN64" i="17"/>
  <c r="AN65" i="17"/>
  <c r="AP65" i="17" s="1"/>
  <c r="AN93" i="17"/>
  <c r="AP93" i="17" s="1"/>
  <c r="AN70" i="17"/>
  <c r="AP70" i="17" s="1"/>
  <c r="AN107" i="17"/>
  <c r="AP107" i="17" s="1"/>
  <c r="AN120" i="17"/>
  <c r="AP120" i="17" s="1"/>
  <c r="AN35" i="17"/>
  <c r="AP35" i="17" s="1"/>
  <c r="AN115" i="17"/>
  <c r="AP115" i="17" s="1"/>
  <c r="AN28" i="17"/>
  <c r="AN94" i="17"/>
  <c r="AP94" i="17" s="1"/>
  <c r="AN112" i="17"/>
  <c r="AP112" i="17" s="1"/>
  <c r="AN15" i="17"/>
  <c r="AP15" i="17" s="1"/>
  <c r="AN25" i="17"/>
  <c r="AP25" i="17" s="1"/>
  <c r="AN88" i="17"/>
  <c r="AN101" i="17"/>
  <c r="AN46" i="17"/>
  <c r="AP46" i="17" s="1"/>
  <c r="AN118" i="17"/>
  <c r="AP118" i="17" s="1"/>
  <c r="AN56" i="17"/>
  <c r="AP56" i="17" s="1"/>
  <c r="AN58" i="17"/>
  <c r="AP58" i="17" s="1"/>
  <c r="AN50" i="17"/>
  <c r="AP50" i="17" s="1"/>
  <c r="AN85" i="17"/>
  <c r="AP85" i="17" s="1"/>
  <c r="AN63" i="17"/>
  <c r="AN68" i="17"/>
  <c r="AP68" i="17" s="1"/>
  <c r="AN51" i="17"/>
  <c r="AP51" i="17" s="1"/>
  <c r="AN96" i="17"/>
  <c r="AP96" i="17" s="1"/>
  <c r="AN47" i="17"/>
  <c r="AP47" i="17" s="1"/>
  <c r="AN26" i="17"/>
  <c r="AN121" i="17"/>
  <c r="AP121" i="17" s="1"/>
  <c r="AN30" i="17"/>
  <c r="AN57" i="17"/>
  <c r="AP57" i="17" s="1"/>
  <c r="AN66" i="17"/>
  <c r="AP66" i="17" s="1"/>
  <c r="AN92" i="17"/>
  <c r="AP92" i="17" s="1"/>
  <c r="AN90" i="17"/>
  <c r="AN97" i="17"/>
  <c r="AN78" i="17"/>
  <c r="AP78" i="17" s="1"/>
  <c r="AN100" i="17"/>
  <c r="AP100" i="17" s="1"/>
  <c r="AN21" i="17"/>
  <c r="AP21" i="17" s="1"/>
  <c r="AN116" i="17"/>
  <c r="AN38" i="17"/>
  <c r="AN33" i="17"/>
  <c r="AP33" i="17" s="1"/>
  <c r="AN24" i="17"/>
  <c r="AP24" i="17" s="1"/>
  <c r="AN127" i="17"/>
  <c r="AP127" i="17" s="1"/>
  <c r="AN17" i="17"/>
  <c r="AP17" i="17" s="1"/>
  <c r="AN105" i="17"/>
  <c r="AP105" i="17" s="1"/>
  <c r="AN72" i="17"/>
  <c r="AP72" i="17" s="1"/>
  <c r="AN122" i="17"/>
  <c r="AN104" i="17"/>
  <c r="AP104" i="17" s="1"/>
  <c r="AN102" i="17"/>
  <c r="AP102" i="17" s="1"/>
  <c r="AN61" i="17"/>
  <c r="AP61" i="17" s="1"/>
  <c r="AN71" i="17"/>
  <c r="AN103" i="17"/>
  <c r="AP103" i="17" s="1"/>
  <c r="AN59" i="17"/>
  <c r="AP59" i="17" s="1"/>
  <c r="AN74" i="17"/>
  <c r="AP74" i="17" s="1"/>
  <c r="AN125" i="17"/>
  <c r="AN49" i="17"/>
  <c r="AN83" i="17"/>
  <c r="AP83" i="17" s="1"/>
  <c r="AN45" i="17"/>
  <c r="AP45" i="17" s="1"/>
  <c r="AN55" i="17"/>
  <c r="AP55" i="17" s="1"/>
  <c r="AN82" i="17"/>
  <c r="AP82" i="17" s="1"/>
  <c r="AN77" i="17"/>
  <c r="AP77" i="17" s="1"/>
  <c r="AN42" i="17"/>
  <c r="AP42" i="17" s="1"/>
  <c r="AN39" i="17"/>
  <c r="AP39" i="17" s="1"/>
  <c r="AV160" i="17"/>
  <c r="AV255" i="17"/>
  <c r="AZ255" i="17" s="1"/>
  <c r="AV200" i="17"/>
  <c r="AV167" i="17"/>
  <c r="AV211" i="17"/>
  <c r="AV214" i="17"/>
  <c r="AZ214" i="17" s="1"/>
  <c r="AV248" i="17"/>
  <c r="AV229" i="17"/>
  <c r="AV212" i="17"/>
  <c r="AV199" i="17"/>
  <c r="AV230" i="17"/>
  <c r="AV155" i="17"/>
  <c r="AV205" i="17"/>
  <c r="AV236" i="17"/>
  <c r="AZ236" i="17" s="1"/>
  <c r="AV163" i="17"/>
  <c r="AV242" i="17"/>
  <c r="AV187" i="17"/>
  <c r="AV228" i="17"/>
  <c r="AV237" i="17"/>
  <c r="AV257" i="17"/>
  <c r="AV146" i="17"/>
  <c r="AV240" i="17"/>
  <c r="AV215" i="17"/>
  <c r="AV208" i="17"/>
  <c r="AV166" i="17"/>
  <c r="AV225" i="17"/>
  <c r="AZ225" i="17" s="1"/>
  <c r="AV202" i="17"/>
  <c r="AV176" i="17"/>
  <c r="AV262" i="17"/>
  <c r="AV254" i="17"/>
  <c r="AZ254" i="17" s="1"/>
  <c r="AV235" i="17"/>
  <c r="AV180" i="17"/>
  <c r="AV249" i="17"/>
  <c r="AV172" i="17"/>
  <c r="AV171" i="17"/>
  <c r="AV175" i="17"/>
  <c r="AV194" i="17"/>
  <c r="AV253" i="17"/>
  <c r="AZ253" i="17" s="1"/>
  <c r="AV231" i="17"/>
  <c r="AV149" i="17"/>
  <c r="AV256" i="17"/>
  <c r="AV250" i="17"/>
  <c r="AZ250" i="17" s="1"/>
  <c r="AV226" i="17"/>
  <c r="AV245" i="17"/>
  <c r="AV162" i="17"/>
  <c r="AV191" i="17"/>
  <c r="AV182" i="17"/>
  <c r="AV244" i="17"/>
  <c r="AV147" i="17"/>
  <c r="AV193" i="17"/>
  <c r="AV157" i="17"/>
  <c r="AV154" i="17"/>
  <c r="AV227" i="17"/>
  <c r="AV216" i="17"/>
  <c r="AZ216" i="17" s="1"/>
  <c r="AV234" i="17"/>
  <c r="AV210" i="17"/>
  <c r="AV220" i="17"/>
  <c r="AV198" i="17"/>
  <c r="AZ198" i="17" s="1"/>
  <c r="AV224" i="17"/>
  <c r="AV192" i="17"/>
  <c r="AV186" i="17"/>
  <c r="AV169" i="17"/>
  <c r="AZ169" i="17" s="1"/>
  <c r="AV181" i="17"/>
  <c r="AV179" i="17"/>
  <c r="AV246" i="17"/>
  <c r="AV158" i="17"/>
  <c r="AZ158" i="17" s="1"/>
  <c r="AV151" i="17"/>
  <c r="AV173" i="17"/>
  <c r="AV197" i="17"/>
  <c r="AV185" i="17"/>
  <c r="AZ185" i="17" s="1"/>
  <c r="AV217" i="17"/>
  <c r="AV261" i="17"/>
  <c r="AV164" i="17"/>
  <c r="AV222" i="17"/>
  <c r="AZ222" i="17" s="1"/>
  <c r="AV204" i="17"/>
  <c r="AV221" i="17"/>
  <c r="AV203" i="17"/>
  <c r="AV161" i="17"/>
  <c r="AZ161" i="17" s="1"/>
  <c r="AV195" i="17"/>
  <c r="AV153" i="17"/>
  <c r="AV177" i="17"/>
  <c r="AV251" i="17"/>
  <c r="AV213" i="17"/>
  <c r="AV252" i="17"/>
  <c r="AV178" i="17"/>
  <c r="AV156" i="17"/>
  <c r="AZ156" i="17" s="1"/>
  <c r="AV174" i="17"/>
  <c r="AV188" i="17"/>
  <c r="AV258" i="17"/>
  <c r="AV201" i="17"/>
  <c r="AZ201" i="17" s="1"/>
  <c r="AV168" i="17"/>
  <c r="AV152" i="17"/>
  <c r="AV148" i="17"/>
  <c r="AV243" i="17"/>
  <c r="AV184" i="17"/>
  <c r="AV232" i="17"/>
  <c r="AV196" i="17"/>
  <c r="AV219" i="17"/>
  <c r="AV218" i="17"/>
  <c r="AV259" i="17"/>
  <c r="AV209" i="17"/>
  <c r="AV170" i="17"/>
  <c r="AZ170" i="17" s="1"/>
  <c r="AV223" i="17"/>
  <c r="AV233" i="17"/>
  <c r="AV159" i="17"/>
  <c r="AV150" i="17"/>
  <c r="AV241" i="17"/>
  <c r="AV207" i="17"/>
  <c r="AV260" i="17"/>
  <c r="AV206" i="17"/>
  <c r="AV165" i="17"/>
  <c r="AV239" i="17"/>
  <c r="AV190" i="17"/>
  <c r="AV247" i="17"/>
  <c r="AV238" i="17"/>
  <c r="AV183" i="17"/>
  <c r="AV189" i="17"/>
  <c r="AU30" i="24"/>
  <c r="AU25" i="24"/>
  <c r="AU31" i="24"/>
  <c r="AU35" i="24"/>
  <c r="BG517" i="17"/>
  <c r="BG422" i="17"/>
  <c r="BG518" i="17"/>
  <c r="BG505" i="17"/>
  <c r="BG413" i="17"/>
  <c r="BG523" i="17"/>
  <c r="BG466" i="17"/>
  <c r="BG433" i="17"/>
  <c r="BG481" i="17"/>
  <c r="BG431" i="17"/>
  <c r="BG516" i="17"/>
  <c r="BG490" i="17"/>
  <c r="BG416" i="17"/>
  <c r="BG519" i="17"/>
  <c r="BG522" i="17"/>
  <c r="BG436" i="17"/>
  <c r="BG509" i="17"/>
  <c r="BG510" i="17"/>
  <c r="BG520" i="17"/>
  <c r="BG511" i="17"/>
  <c r="BG494" i="17"/>
  <c r="BG482" i="17"/>
  <c r="BG451" i="17"/>
  <c r="BG521" i="17"/>
  <c r="BG475" i="17"/>
  <c r="BG474" i="17"/>
  <c r="BG421" i="17"/>
  <c r="BG476" i="17"/>
  <c r="BG524" i="17"/>
  <c r="BG507" i="17"/>
  <c r="BG447" i="17"/>
  <c r="BG429" i="17"/>
  <c r="BG411" i="17"/>
  <c r="BG470" i="17"/>
  <c r="BG410" i="17"/>
  <c r="BG415" i="17"/>
  <c r="BG419" i="17"/>
  <c r="BG444" i="17"/>
  <c r="BG423" i="17"/>
  <c r="BG414" i="17"/>
  <c r="BG446" i="17"/>
  <c r="BG496" i="17"/>
  <c r="BG440" i="17"/>
  <c r="BG498" i="17"/>
  <c r="BG514" i="17"/>
  <c r="BG427" i="17"/>
  <c r="BG457" i="17"/>
  <c r="BG495" i="17"/>
  <c r="BG408" i="17"/>
  <c r="BG443" i="17"/>
  <c r="BG455" i="17"/>
  <c r="BG492" i="17"/>
  <c r="BG428" i="17"/>
  <c r="BG441" i="17"/>
  <c r="BG409" i="17"/>
  <c r="BG467" i="17"/>
  <c r="BG453" i="17"/>
  <c r="BG501" i="17"/>
  <c r="BG452" i="17"/>
  <c r="BG425" i="17"/>
  <c r="BG437" i="17"/>
  <c r="BG463" i="17"/>
  <c r="BG478" i="17"/>
  <c r="BG500" i="17"/>
  <c r="BG513" i="17"/>
  <c r="BG469" i="17"/>
  <c r="BG412" i="17"/>
  <c r="BG448" i="17"/>
  <c r="BG430" i="17"/>
  <c r="BG435" i="17"/>
  <c r="BG462" i="17"/>
  <c r="BG473" i="17"/>
  <c r="BG477" i="17"/>
  <c r="BG442" i="17"/>
  <c r="BG502" i="17"/>
  <c r="BG439" i="17"/>
  <c r="BG486" i="17"/>
  <c r="BG480" i="17"/>
  <c r="BG438" i="17"/>
  <c r="BG417" i="17"/>
  <c r="BG449" i="17"/>
  <c r="BG459" i="17"/>
  <c r="BG461" i="17"/>
  <c r="BG426" i="17"/>
  <c r="BG450" i="17"/>
  <c r="BG499" i="17"/>
  <c r="BG508" i="17"/>
  <c r="BG512" i="17"/>
  <c r="BG445" i="17"/>
  <c r="BG493" i="17"/>
  <c r="BG489" i="17"/>
  <c r="BG456" i="17"/>
  <c r="BG506" i="17"/>
  <c r="BG491" i="17"/>
  <c r="BG483" i="17"/>
  <c r="BG468" i="17"/>
  <c r="BG465" i="17"/>
  <c r="BG464" i="17"/>
  <c r="BG420" i="17"/>
  <c r="BG515" i="17"/>
  <c r="BG503" i="17"/>
  <c r="BG418" i="17"/>
  <c r="BG471" i="17"/>
  <c r="BG484" i="17"/>
  <c r="BG488" i="17"/>
  <c r="BG479" i="17"/>
  <c r="BG487" i="17"/>
  <c r="BG497" i="17"/>
  <c r="BG458" i="17"/>
  <c r="BG460" i="17"/>
  <c r="BG454" i="17"/>
  <c r="BG432" i="17"/>
  <c r="BG424" i="17"/>
  <c r="BG504" i="17"/>
  <c r="BG434" i="17"/>
  <c r="BG472" i="17"/>
  <c r="BG485" i="17"/>
  <c r="F68" i="9"/>
  <c r="B28" i="11"/>
  <c r="D28" i="11" s="1"/>
  <c r="E28" i="11" s="1"/>
  <c r="F28" i="11" s="1"/>
  <c r="AY255" i="17"/>
  <c r="AY160" i="17"/>
  <c r="AY206" i="17"/>
  <c r="AY191" i="17"/>
  <c r="AY218" i="17"/>
  <c r="AY165" i="17"/>
  <c r="AY259" i="17"/>
  <c r="AY193" i="17"/>
  <c r="AY235" i="17"/>
  <c r="AY216" i="17"/>
  <c r="AY148" i="17"/>
  <c r="AY243" i="17"/>
  <c r="AY190" i="17"/>
  <c r="AY224" i="17"/>
  <c r="AY163" i="17"/>
  <c r="AY192" i="17"/>
  <c r="AY213" i="17"/>
  <c r="AY169" i="17"/>
  <c r="AY238" i="17"/>
  <c r="AY170" i="17"/>
  <c r="AY261" i="17"/>
  <c r="AY228" i="17"/>
  <c r="AY164" i="17"/>
  <c r="AY151" i="17"/>
  <c r="AY153" i="17"/>
  <c r="AY185" i="17"/>
  <c r="AY211" i="17"/>
  <c r="AY217" i="17"/>
  <c r="AY214" i="17"/>
  <c r="AY177" i="17"/>
  <c r="AY229" i="17"/>
  <c r="AY212" i="17"/>
  <c r="AY230" i="17"/>
  <c r="AY152" i="17"/>
  <c r="AY239" i="17"/>
  <c r="AY205" i="17"/>
  <c r="AY209" i="17"/>
  <c r="AY242" i="17"/>
  <c r="AY247" i="17"/>
  <c r="AY223" i="17"/>
  <c r="AY237" i="17"/>
  <c r="AY233" i="17"/>
  <c r="AY146" i="17"/>
  <c r="AY184" i="17"/>
  <c r="AY200" i="17"/>
  <c r="AY167" i="17"/>
  <c r="AY166" i="17"/>
  <c r="AY202" i="17"/>
  <c r="AY219" i="17"/>
  <c r="AY248" i="17"/>
  <c r="AY251" i="17"/>
  <c r="AY262" i="17"/>
  <c r="AY254" i="17"/>
  <c r="AY199" i="17"/>
  <c r="AY180" i="17"/>
  <c r="AY171" i="17"/>
  <c r="AY220" i="17"/>
  <c r="AY236" i="17"/>
  <c r="AY194" i="17"/>
  <c r="AY253" i="17"/>
  <c r="AY257" i="17"/>
  <c r="AY149" i="17"/>
  <c r="AY240" i="17"/>
  <c r="AY215" i="17"/>
  <c r="AY225" i="17"/>
  <c r="AY244" i="17"/>
  <c r="AY155" i="17"/>
  <c r="AY172" i="17"/>
  <c r="AY246" i="17"/>
  <c r="AY159" i="17"/>
  <c r="AY241" i="17"/>
  <c r="AY207" i="17"/>
  <c r="AY189" i="17"/>
  <c r="AY201" i="17"/>
  <c r="AY168" i="17"/>
  <c r="AY208" i="17"/>
  <c r="AY183" i="17"/>
  <c r="AY250" i="17"/>
  <c r="AY245" i="17"/>
  <c r="AY162" i="17"/>
  <c r="AY147" i="17"/>
  <c r="AY157" i="17"/>
  <c r="AY234" i="17"/>
  <c r="AY198" i="17"/>
  <c r="AY186" i="17"/>
  <c r="AY175" i="17"/>
  <c r="AY181" i="17"/>
  <c r="AY173" i="17"/>
  <c r="AY222" i="17"/>
  <c r="AY232" i="17"/>
  <c r="AY221" i="17"/>
  <c r="AY156" i="17"/>
  <c r="AY195" i="17"/>
  <c r="AY188" i="17"/>
  <c r="AY196" i="17"/>
  <c r="AY182" i="17"/>
  <c r="AY154" i="17"/>
  <c r="AY256" i="17"/>
  <c r="AY150" i="17"/>
  <c r="AY203" i="17"/>
  <c r="AY226" i="17"/>
  <c r="AY176" i="17"/>
  <c r="AY210" i="17"/>
  <c r="AY252" i="17"/>
  <c r="AY187" i="17"/>
  <c r="AY158" i="17"/>
  <c r="AY178" i="17"/>
  <c r="AY204" i="17"/>
  <c r="AY161" i="17"/>
  <c r="AY260" i="17"/>
  <c r="AY174" i="17"/>
  <c r="AY258" i="17"/>
  <c r="AY227" i="17"/>
  <c r="AY249" i="17"/>
  <c r="AY179" i="17"/>
  <c r="AY231" i="17"/>
  <c r="AY197" i="17"/>
  <c r="E20" i="21"/>
  <c r="J20" i="21" s="1"/>
  <c r="D68" i="9"/>
  <c r="H20" i="2"/>
  <c r="BC386" i="17"/>
  <c r="BC291" i="17"/>
  <c r="BC348" i="17"/>
  <c r="BC365" i="17"/>
  <c r="BC343" i="17"/>
  <c r="BC353" i="17"/>
  <c r="BC336" i="17"/>
  <c r="BC311" i="17"/>
  <c r="BC340" i="17"/>
  <c r="BC338" i="17"/>
  <c r="BC305" i="17"/>
  <c r="BC378" i="17"/>
  <c r="BC295" i="17"/>
  <c r="BC301" i="17"/>
  <c r="BC347" i="17"/>
  <c r="BC389" i="17"/>
  <c r="BC370" i="17"/>
  <c r="BC356" i="17"/>
  <c r="BC345" i="17"/>
  <c r="BC339" i="17"/>
  <c r="BC327" i="17"/>
  <c r="BC358" i="17"/>
  <c r="BC379" i="17"/>
  <c r="BC374" i="17"/>
  <c r="BC315" i="17"/>
  <c r="BC308" i="17"/>
  <c r="BC307" i="17"/>
  <c r="BC299" i="17"/>
  <c r="BC360" i="17"/>
  <c r="BC282" i="17"/>
  <c r="BC392" i="17"/>
  <c r="BC352" i="17"/>
  <c r="BC330" i="17"/>
  <c r="BC377" i="17"/>
  <c r="BC328" i="17"/>
  <c r="BC331" i="17"/>
  <c r="BC304" i="17"/>
  <c r="BC290" i="17"/>
  <c r="BC334" i="17"/>
  <c r="BC387" i="17"/>
  <c r="BC371" i="17"/>
  <c r="BC369" i="17"/>
  <c r="BC312" i="17"/>
  <c r="BC357" i="17"/>
  <c r="BC372" i="17"/>
  <c r="BC362" i="17"/>
  <c r="BC292" i="17"/>
  <c r="BC320" i="17"/>
  <c r="BC286" i="17"/>
  <c r="BC376" i="17"/>
  <c r="BC293" i="17"/>
  <c r="BC349" i="17"/>
  <c r="BC294" i="17"/>
  <c r="BC319" i="17"/>
  <c r="BC354" i="17"/>
  <c r="BC366" i="17"/>
  <c r="BC298" i="17"/>
  <c r="BC313" i="17"/>
  <c r="BC280" i="17"/>
  <c r="BC329" i="17"/>
  <c r="BC283" i="17"/>
  <c r="BC326" i="17"/>
  <c r="BC323" i="17"/>
  <c r="BC317" i="17"/>
  <c r="BC344" i="17"/>
  <c r="BC300" i="17"/>
  <c r="BC321" i="17"/>
  <c r="BC278" i="17"/>
  <c r="BC289" i="17"/>
  <c r="BC332" i="17"/>
  <c r="BC375" i="17"/>
  <c r="BC306" i="17"/>
  <c r="BC346" i="17"/>
  <c r="BC318" i="17"/>
  <c r="BC281" i="17"/>
  <c r="BC335" i="17"/>
  <c r="BC363" i="17"/>
  <c r="BC359" i="17"/>
  <c r="BC279" i="17"/>
  <c r="BC384" i="17"/>
  <c r="BC381" i="17"/>
  <c r="BC385" i="17"/>
  <c r="BC351" i="17"/>
  <c r="BC337" i="17"/>
  <c r="BC350" i="17"/>
  <c r="BC324" i="17"/>
  <c r="BC303" i="17"/>
  <c r="BC302" i="17"/>
  <c r="BC333" i="17"/>
  <c r="BC355" i="17"/>
  <c r="BC325" i="17"/>
  <c r="BC284" i="17"/>
  <c r="BC368" i="17"/>
  <c r="BC285" i="17"/>
  <c r="BC388" i="17"/>
  <c r="BC367" i="17"/>
  <c r="BC296" i="17"/>
  <c r="BC390" i="17"/>
  <c r="BC382" i="17"/>
  <c r="BC277" i="17"/>
  <c r="BC393" i="17"/>
  <c r="BC309" i="17"/>
  <c r="BC383" i="17"/>
  <c r="BC380" i="17"/>
  <c r="BC341" i="17"/>
  <c r="BC373" i="17"/>
  <c r="BC391" i="17"/>
  <c r="BC310" i="17"/>
  <c r="BC314" i="17"/>
  <c r="BC342" i="17"/>
  <c r="BC316" i="17"/>
  <c r="BC361" i="17"/>
  <c r="BC322" i="17"/>
  <c r="BC364" i="17"/>
  <c r="BC297" i="17"/>
  <c r="BC287" i="17"/>
  <c r="BC288" i="17"/>
  <c r="O19" i="2"/>
  <c r="M19" i="2"/>
  <c r="AW255" i="17"/>
  <c r="AW160" i="17"/>
  <c r="AW250" i="17"/>
  <c r="AW226" i="17"/>
  <c r="AW162" i="17"/>
  <c r="AW206" i="17"/>
  <c r="AW191" i="17"/>
  <c r="AW176" i="17"/>
  <c r="AW229" i="17"/>
  <c r="AW147" i="17"/>
  <c r="AW212" i="17"/>
  <c r="AW154" i="17"/>
  <c r="AW227" i="17"/>
  <c r="AW155" i="17"/>
  <c r="AW234" i="17"/>
  <c r="AW210" i="17"/>
  <c r="AW190" i="17"/>
  <c r="AW205" i="17"/>
  <c r="AW236" i="17"/>
  <c r="AW186" i="17"/>
  <c r="AW238" i="17"/>
  <c r="AW179" i="17"/>
  <c r="AW187" i="17"/>
  <c r="AW228" i="17"/>
  <c r="AW237" i="17"/>
  <c r="AW257" i="17"/>
  <c r="AW158" i="17"/>
  <c r="AW151" i="17"/>
  <c r="AW256" i="17"/>
  <c r="AW225" i="17"/>
  <c r="AW214" i="17"/>
  <c r="AW218" i="17"/>
  <c r="AW259" i="17"/>
  <c r="AW235" i="17"/>
  <c r="AW230" i="17"/>
  <c r="AW180" i="17"/>
  <c r="AW216" i="17"/>
  <c r="AW239" i="17"/>
  <c r="AW243" i="17"/>
  <c r="AW249" i="17"/>
  <c r="AW172" i="17"/>
  <c r="AW224" i="17"/>
  <c r="AW163" i="17"/>
  <c r="AW192" i="17"/>
  <c r="AW247" i="17"/>
  <c r="AW170" i="17"/>
  <c r="AW253" i="17"/>
  <c r="AW223" i="17"/>
  <c r="AW149" i="17"/>
  <c r="AW167" i="17"/>
  <c r="AW166" i="17"/>
  <c r="AW245" i="17"/>
  <c r="AW211" i="17"/>
  <c r="AW244" i="17"/>
  <c r="AW262" i="17"/>
  <c r="AW193" i="17"/>
  <c r="AW254" i="17"/>
  <c r="AW199" i="17"/>
  <c r="AW157" i="17"/>
  <c r="AW152" i="17"/>
  <c r="AW220" i="17"/>
  <c r="AW242" i="17"/>
  <c r="AW169" i="17"/>
  <c r="AW181" i="17"/>
  <c r="AW146" i="17"/>
  <c r="AW173" i="17"/>
  <c r="AW197" i="17"/>
  <c r="AW184" i="17"/>
  <c r="AW215" i="17"/>
  <c r="AW200" i="17"/>
  <c r="AW196" i="17"/>
  <c r="AW165" i="17"/>
  <c r="AW251" i="17"/>
  <c r="AW194" i="17"/>
  <c r="AW231" i="17"/>
  <c r="AW240" i="17"/>
  <c r="AW208" i="17"/>
  <c r="AW204" i="17"/>
  <c r="AW159" i="17"/>
  <c r="AW221" i="17"/>
  <c r="AW203" i="17"/>
  <c r="AW161" i="17"/>
  <c r="AW207" i="17"/>
  <c r="AW178" i="17"/>
  <c r="AW185" i="17"/>
  <c r="AW217" i="17"/>
  <c r="AW219" i="17"/>
  <c r="AW148" i="17"/>
  <c r="AW261" i="17"/>
  <c r="AW222" i="17"/>
  <c r="AW156" i="17"/>
  <c r="AW168" i="17"/>
  <c r="AW188" i="17"/>
  <c r="AW201" i="17"/>
  <c r="AW248" i="17"/>
  <c r="AW209" i="17"/>
  <c r="AW198" i="17"/>
  <c r="AW233" i="17"/>
  <c r="AW150" i="17"/>
  <c r="AW177" i="17"/>
  <c r="AW182" i="17"/>
  <c r="AW171" i="17"/>
  <c r="AW175" i="17"/>
  <c r="AW213" i="17"/>
  <c r="AW164" i="17"/>
  <c r="AW153" i="17"/>
  <c r="AW183" i="17"/>
  <c r="AW232" i="17"/>
  <c r="AW241" i="17"/>
  <c r="AW260" i="17"/>
  <c r="AW195" i="17"/>
  <c r="AW174" i="17"/>
  <c r="AW202" i="17"/>
  <c r="AW252" i="17"/>
  <c r="AW246" i="17"/>
  <c r="AW189" i="17"/>
  <c r="AW258" i="17"/>
  <c r="AX255" i="17"/>
  <c r="AX160" i="17"/>
  <c r="AX191" i="17"/>
  <c r="AX177" i="17"/>
  <c r="AX182" i="17"/>
  <c r="AX218" i="17"/>
  <c r="AX259" i="17"/>
  <c r="AX176" i="17"/>
  <c r="AX212" i="17"/>
  <c r="AX235" i="17"/>
  <c r="AX243" i="17"/>
  <c r="AX209" i="17"/>
  <c r="AX198" i="17"/>
  <c r="AX236" i="17"/>
  <c r="AX163" i="17"/>
  <c r="AX170" i="17"/>
  <c r="AX246" i="17"/>
  <c r="AX253" i="17"/>
  <c r="AX228" i="17"/>
  <c r="AX158" i="17"/>
  <c r="AX149" i="17"/>
  <c r="AX151" i="17"/>
  <c r="AX256" i="17"/>
  <c r="AX153" i="17"/>
  <c r="AX185" i="17"/>
  <c r="AX245" i="17"/>
  <c r="AX211" i="17"/>
  <c r="AX217" i="17"/>
  <c r="AX206" i="17"/>
  <c r="AX180" i="17"/>
  <c r="AX157" i="17"/>
  <c r="AX216" i="17"/>
  <c r="AX239" i="17"/>
  <c r="AX190" i="17"/>
  <c r="AX172" i="17"/>
  <c r="AX224" i="17"/>
  <c r="AX192" i="17"/>
  <c r="AX242" i="17"/>
  <c r="AX247" i="17"/>
  <c r="AX238" i="17"/>
  <c r="AX181" i="17"/>
  <c r="AX223" i="17"/>
  <c r="AX257" i="17"/>
  <c r="AX146" i="17"/>
  <c r="AX173" i="17"/>
  <c r="AX197" i="17"/>
  <c r="AX167" i="17"/>
  <c r="AX225" i="17"/>
  <c r="AX214" i="17"/>
  <c r="AX202" i="17"/>
  <c r="AX219" i="17"/>
  <c r="AX165" i="17"/>
  <c r="AX244" i="17"/>
  <c r="AX251" i="17"/>
  <c r="AX199" i="17"/>
  <c r="AX230" i="17"/>
  <c r="AX152" i="17"/>
  <c r="AX171" i="17"/>
  <c r="AX220" i="17"/>
  <c r="AX213" i="17"/>
  <c r="AX194" i="17"/>
  <c r="AX261" i="17"/>
  <c r="AX184" i="17"/>
  <c r="AX215" i="17"/>
  <c r="AX226" i="17"/>
  <c r="AX166" i="17"/>
  <c r="AX248" i="17"/>
  <c r="AX147" i="17"/>
  <c r="AX254" i="17"/>
  <c r="AX249" i="17"/>
  <c r="AX210" i="17"/>
  <c r="AX175" i="17"/>
  <c r="AX252" i="17"/>
  <c r="AX183" i="17"/>
  <c r="AX204" i="17"/>
  <c r="AX159" i="17"/>
  <c r="AX150" i="17"/>
  <c r="AX207" i="17"/>
  <c r="AX208" i="17"/>
  <c r="AX221" i="17"/>
  <c r="AX203" i="17"/>
  <c r="AX200" i="17"/>
  <c r="AX196" i="17"/>
  <c r="AX262" i="17"/>
  <c r="AX193" i="17"/>
  <c r="AX154" i="17"/>
  <c r="AX205" i="17"/>
  <c r="AX169" i="17"/>
  <c r="AX187" i="17"/>
  <c r="AX233" i="17"/>
  <c r="AX240" i="17"/>
  <c r="AX156" i="17"/>
  <c r="AX161" i="17"/>
  <c r="AX195" i="17"/>
  <c r="AX168" i="17"/>
  <c r="AX188" i="17"/>
  <c r="AX201" i="17"/>
  <c r="AX234" i="17"/>
  <c r="AX186" i="17"/>
  <c r="AX237" i="17"/>
  <c r="AX164" i="17"/>
  <c r="AX241" i="17"/>
  <c r="AX174" i="17"/>
  <c r="AX227" i="17"/>
  <c r="AX148" i="17"/>
  <c r="AX179" i="17"/>
  <c r="AX231" i="17"/>
  <c r="AX222" i="17"/>
  <c r="AX178" i="17"/>
  <c r="AX232" i="17"/>
  <c r="AX189" i="17"/>
  <c r="AX260" i="17"/>
  <c r="AX258" i="17"/>
  <c r="AX250" i="17"/>
  <c r="AX162" i="17"/>
  <c r="AX229" i="17"/>
  <c r="AX155" i="17"/>
  <c r="AU36" i="24"/>
  <c r="AU34" i="24"/>
  <c r="AY18" i="24" s="1"/>
  <c r="AU26" i="24"/>
  <c r="AS19" i="24" s="1"/>
  <c r="AU29" i="24"/>
  <c r="BH517" i="17"/>
  <c r="BH422" i="17"/>
  <c r="BH429" i="17"/>
  <c r="BH523" i="17"/>
  <c r="BH466" i="17"/>
  <c r="BH414" i="17"/>
  <c r="BH425" i="17"/>
  <c r="BH468" i="17"/>
  <c r="BH498" i="17"/>
  <c r="BH431" i="17"/>
  <c r="BH432" i="17"/>
  <c r="BH514" i="17"/>
  <c r="BH513" i="17"/>
  <c r="BH484" i="17"/>
  <c r="BH516" i="17"/>
  <c r="BH490" i="17"/>
  <c r="BH519" i="17"/>
  <c r="BH511" i="17"/>
  <c r="BH412" i="17"/>
  <c r="BH494" i="17"/>
  <c r="BH482" i="17"/>
  <c r="BH451" i="17"/>
  <c r="BH475" i="17"/>
  <c r="BH474" i="17"/>
  <c r="BH421" i="17"/>
  <c r="BH524" i="17"/>
  <c r="BH507" i="17"/>
  <c r="BH447" i="17"/>
  <c r="BH411" i="17"/>
  <c r="BH470" i="17"/>
  <c r="BH501" i="17"/>
  <c r="BH410" i="17"/>
  <c r="BH415" i="17"/>
  <c r="BH452" i="17"/>
  <c r="BH419" i="17"/>
  <c r="BH423" i="17"/>
  <c r="BH446" i="17"/>
  <c r="BH496" i="17"/>
  <c r="BH424" i="17"/>
  <c r="BH427" i="17"/>
  <c r="BH436" i="17"/>
  <c r="BH504" i="17"/>
  <c r="BH495" i="17"/>
  <c r="BH520" i="17"/>
  <c r="BH473" i="17"/>
  <c r="BH443" i="17"/>
  <c r="BH488" i="17"/>
  <c r="BH455" i="17"/>
  <c r="BH476" i="17"/>
  <c r="BH441" i="17"/>
  <c r="BH409" i="17"/>
  <c r="BH467" i="17"/>
  <c r="BH518" i="17"/>
  <c r="BH453" i="17"/>
  <c r="BH505" i="17"/>
  <c r="BH413" i="17"/>
  <c r="BH444" i="17"/>
  <c r="BH437" i="17"/>
  <c r="BH463" i="17"/>
  <c r="BH478" i="17"/>
  <c r="BH500" i="17"/>
  <c r="BH416" i="17"/>
  <c r="BH469" i="17"/>
  <c r="BH457" i="17"/>
  <c r="BH509" i="17"/>
  <c r="BH510" i="17"/>
  <c r="BH408" i="17"/>
  <c r="BH521" i="17"/>
  <c r="BH430" i="17"/>
  <c r="BH465" i="17"/>
  <c r="BH492" i="17"/>
  <c r="BH428" i="17"/>
  <c r="BH477" i="17"/>
  <c r="BH515" i="17"/>
  <c r="BH503" i="17"/>
  <c r="BH418" i="17"/>
  <c r="BH471" i="17"/>
  <c r="BH448" i="17"/>
  <c r="BH508" i="17"/>
  <c r="BH512" i="17"/>
  <c r="BH445" i="17"/>
  <c r="BH497" i="17"/>
  <c r="BH442" i="17"/>
  <c r="BH439" i="17"/>
  <c r="BH464" i="17"/>
  <c r="BH486" i="17"/>
  <c r="BH493" i="17"/>
  <c r="BH420" i="17"/>
  <c r="BH438" i="17"/>
  <c r="BH506" i="17"/>
  <c r="BH459" i="17"/>
  <c r="BH491" i="17"/>
  <c r="BH433" i="17"/>
  <c r="BH440" i="17"/>
  <c r="BH483" i="17"/>
  <c r="BH434" i="17"/>
  <c r="BH472" i="17"/>
  <c r="BH480" i="17"/>
  <c r="BH481" i="17"/>
  <c r="BH499" i="17"/>
  <c r="BH485" i="17"/>
  <c r="BH460" i="17"/>
  <c r="BH489" i="17"/>
  <c r="BH456" i="17"/>
  <c r="BH417" i="17"/>
  <c r="BH462" i="17"/>
  <c r="BH479" i="17"/>
  <c r="BH449" i="17"/>
  <c r="BH487" i="17"/>
  <c r="BH461" i="17"/>
  <c r="BH458" i="17"/>
  <c r="BH502" i="17"/>
  <c r="BH454" i="17"/>
  <c r="BH435" i="17"/>
  <c r="BH450" i="17"/>
  <c r="BH522" i="17"/>
  <c r="BH426" i="17"/>
  <c r="BD422" i="17"/>
  <c r="BJ422" i="17" s="1"/>
  <c r="BD517" i="17"/>
  <c r="BD435" i="17"/>
  <c r="BD491" i="17"/>
  <c r="BD462" i="17"/>
  <c r="BD515" i="17"/>
  <c r="BD433" i="17"/>
  <c r="BD503" i="17"/>
  <c r="BD418" i="17"/>
  <c r="BD450" i="17"/>
  <c r="BD483" i="17"/>
  <c r="BD468" i="17"/>
  <c r="BD471" i="17"/>
  <c r="BJ471" i="17" s="1"/>
  <c r="BD481" i="17"/>
  <c r="BD484" i="17"/>
  <c r="BD499" i="17"/>
  <c r="BD416" i="17"/>
  <c r="BD522" i="17"/>
  <c r="BD509" i="17"/>
  <c r="BD434" i="17"/>
  <c r="BD448" i="17"/>
  <c r="BD429" i="17"/>
  <c r="BD505" i="17"/>
  <c r="BD413" i="17"/>
  <c r="BD523" i="17"/>
  <c r="BJ523" i="17" s="1"/>
  <c r="BD466" i="17"/>
  <c r="BD414" i="17"/>
  <c r="BD425" i="17"/>
  <c r="BD498" i="17"/>
  <c r="BD431" i="17"/>
  <c r="BD432" i="17"/>
  <c r="BD514" i="17"/>
  <c r="BD424" i="17"/>
  <c r="BD516" i="17"/>
  <c r="BD490" i="17"/>
  <c r="BD519" i="17"/>
  <c r="BD436" i="17"/>
  <c r="BD504" i="17"/>
  <c r="BD511" i="17"/>
  <c r="BD494" i="17"/>
  <c r="BD482" i="17"/>
  <c r="BD451" i="17"/>
  <c r="BD521" i="17"/>
  <c r="BD475" i="17"/>
  <c r="BD488" i="17"/>
  <c r="BD508" i="17"/>
  <c r="BD474" i="17"/>
  <c r="BD421" i="17"/>
  <c r="BD512" i="17"/>
  <c r="BD507" i="17"/>
  <c r="BD411" i="17"/>
  <c r="BD470" i="17"/>
  <c r="BD410" i="17"/>
  <c r="BD415" i="17"/>
  <c r="BD419" i="17"/>
  <c r="BD423" i="17"/>
  <c r="BD446" i="17"/>
  <c r="BD440" i="17"/>
  <c r="BD427" i="17"/>
  <c r="BD495" i="17"/>
  <c r="BD520" i="17"/>
  <c r="BJ520" i="17" s="1"/>
  <c r="BD473" i="17"/>
  <c r="BD412" i="17"/>
  <c r="BD443" i="17"/>
  <c r="BD455" i="17"/>
  <c r="BD476" i="17"/>
  <c r="BD441" i="17"/>
  <c r="BD409" i="17"/>
  <c r="BD453" i="17"/>
  <c r="BD444" i="17"/>
  <c r="BD437" i="17"/>
  <c r="BD469" i="17"/>
  <c r="BD408" i="17"/>
  <c r="BD492" i="17"/>
  <c r="BD524" i="17"/>
  <c r="BD459" i="17"/>
  <c r="BD485" i="17"/>
  <c r="BD460" i="17"/>
  <c r="BD420" i="17"/>
  <c r="BD489" i="17"/>
  <c r="BD426" i="17"/>
  <c r="BJ426" i="17" s="1"/>
  <c r="BD417" i="17"/>
  <c r="BD479" i="17"/>
  <c r="BD449" i="17"/>
  <c r="BD472" i="17"/>
  <c r="BD458" i="17"/>
  <c r="BD454" i="17"/>
  <c r="BD518" i="17"/>
  <c r="BD496" i="17"/>
  <c r="BJ496" i="17" s="1"/>
  <c r="BD457" i="17"/>
  <c r="BD510" i="17"/>
  <c r="BD447" i="17"/>
  <c r="BD445" i="17"/>
  <c r="BJ445" i="17" s="1"/>
  <c r="BD442" i="17"/>
  <c r="BD439" i="17"/>
  <c r="BD464" i="17"/>
  <c r="BD486" i="17"/>
  <c r="BD493" i="17"/>
  <c r="BD438" i="17"/>
  <c r="BD506" i="17"/>
  <c r="BD456" i="17"/>
  <c r="BD500" i="17"/>
  <c r="BD461" i="17"/>
  <c r="BD497" i="17"/>
  <c r="BD501" i="17"/>
  <c r="BD452" i="17"/>
  <c r="BD463" i="17"/>
  <c r="BJ463" i="17" s="1"/>
  <c r="BD478" i="17"/>
  <c r="BD513" i="17"/>
  <c r="BD430" i="17"/>
  <c r="BD465" i="17"/>
  <c r="BD428" i="17"/>
  <c r="BD477" i="17"/>
  <c r="BD480" i="17"/>
  <c r="BD467" i="17"/>
  <c r="BJ467" i="17" s="1"/>
  <c r="BD487" i="17"/>
  <c r="BD502" i="17"/>
  <c r="BJ502" i="17" s="1"/>
  <c r="BF517" i="17"/>
  <c r="BF422" i="17"/>
  <c r="BF467" i="17"/>
  <c r="BF505" i="17"/>
  <c r="BF462" i="17"/>
  <c r="BF523" i="17"/>
  <c r="BF452" i="17"/>
  <c r="BF433" i="17"/>
  <c r="BF463" i="17"/>
  <c r="BF496" i="17"/>
  <c r="BF481" i="17"/>
  <c r="BF500" i="17"/>
  <c r="BF519" i="17"/>
  <c r="BF511" i="17"/>
  <c r="BF412" i="17"/>
  <c r="BF521" i="17"/>
  <c r="BF448" i="17"/>
  <c r="BF430" i="17"/>
  <c r="BF507" i="17"/>
  <c r="BF479" i="17"/>
  <c r="BF429" i="17"/>
  <c r="BF435" i="17"/>
  <c r="BF518" i="17"/>
  <c r="BF501" i="17"/>
  <c r="BF491" i="17"/>
  <c r="BF418" i="17"/>
  <c r="BF425" i="17"/>
  <c r="BF450" i="17"/>
  <c r="BF483" i="17"/>
  <c r="BF468" i="17"/>
  <c r="BF471" i="17"/>
  <c r="BF498" i="17"/>
  <c r="BF432" i="17"/>
  <c r="BF424" i="17"/>
  <c r="BF484" i="17"/>
  <c r="BF490" i="17"/>
  <c r="BF504" i="17"/>
  <c r="BF510" i="17"/>
  <c r="BF434" i="17"/>
  <c r="BF488" i="17"/>
  <c r="BF508" i="17"/>
  <c r="BF474" i="17"/>
  <c r="BF421" i="17"/>
  <c r="BF512" i="17"/>
  <c r="BF410" i="17"/>
  <c r="BF466" i="17"/>
  <c r="BF414" i="17"/>
  <c r="BF478" i="17"/>
  <c r="BF431" i="17"/>
  <c r="BF514" i="17"/>
  <c r="BF513" i="17"/>
  <c r="BF516" i="17"/>
  <c r="BF416" i="17"/>
  <c r="BF522" i="17"/>
  <c r="BF436" i="17"/>
  <c r="BF509" i="17"/>
  <c r="BF520" i="17"/>
  <c r="BF473" i="17"/>
  <c r="BF494" i="17"/>
  <c r="BF482" i="17"/>
  <c r="BF451" i="17"/>
  <c r="BF475" i="17"/>
  <c r="BF476" i="17"/>
  <c r="BF524" i="17"/>
  <c r="BF441" i="17"/>
  <c r="BF411" i="17"/>
  <c r="BF499" i="17"/>
  <c r="BF427" i="17"/>
  <c r="BF465" i="17"/>
  <c r="BF428" i="17"/>
  <c r="BF477" i="17"/>
  <c r="BF487" i="17"/>
  <c r="BF485" i="17"/>
  <c r="BF460" i="17"/>
  <c r="BF489" i="17"/>
  <c r="BF454" i="17"/>
  <c r="BF426" i="17"/>
  <c r="BF506" i="17"/>
  <c r="BF417" i="17"/>
  <c r="BF443" i="17"/>
  <c r="BF409" i="17"/>
  <c r="BF461" i="17"/>
  <c r="BF515" i="17"/>
  <c r="BF419" i="17"/>
  <c r="BF423" i="17"/>
  <c r="BF446" i="17"/>
  <c r="BF408" i="17"/>
  <c r="BF455" i="17"/>
  <c r="BF447" i="17"/>
  <c r="BF472" i="17"/>
  <c r="BF459" i="17"/>
  <c r="BF442" i="17"/>
  <c r="BF502" i="17"/>
  <c r="BF464" i="17"/>
  <c r="BF493" i="17"/>
  <c r="BF420" i="17"/>
  <c r="BF437" i="17"/>
  <c r="BF440" i="17"/>
  <c r="BF458" i="17"/>
  <c r="BF415" i="17"/>
  <c r="BF503" i="17"/>
  <c r="BF469" i="17"/>
  <c r="BF492" i="17"/>
  <c r="BF497" i="17"/>
  <c r="BF439" i="17"/>
  <c r="BF486" i="17"/>
  <c r="BF480" i="17"/>
  <c r="BF438" i="17"/>
  <c r="BF470" i="17"/>
  <c r="BF453" i="17"/>
  <c r="BF413" i="17"/>
  <c r="BF444" i="17"/>
  <c r="BF457" i="17"/>
  <c r="BF495" i="17"/>
  <c r="BF445" i="17"/>
  <c r="BF449" i="17"/>
  <c r="BF456" i="17"/>
  <c r="BE422" i="17"/>
  <c r="BE517" i="17"/>
  <c r="BE470" i="17"/>
  <c r="BE467" i="17"/>
  <c r="BE410" i="17"/>
  <c r="BE523" i="17"/>
  <c r="BE446" i="17"/>
  <c r="BE483" i="17"/>
  <c r="BE431" i="17"/>
  <c r="BE500" i="17"/>
  <c r="BE513" i="17"/>
  <c r="BE519" i="17"/>
  <c r="BE436" i="17"/>
  <c r="BE509" i="17"/>
  <c r="BE408" i="17"/>
  <c r="BE473" i="17"/>
  <c r="BE476" i="17"/>
  <c r="BE507" i="17"/>
  <c r="BE441" i="17"/>
  <c r="BE447" i="17"/>
  <c r="BE445" i="17"/>
  <c r="BE411" i="17"/>
  <c r="BE518" i="17"/>
  <c r="BE453" i="17"/>
  <c r="BE491" i="17"/>
  <c r="BE413" i="17"/>
  <c r="BE444" i="17"/>
  <c r="BE437" i="17"/>
  <c r="BE478" i="17"/>
  <c r="BE496" i="17"/>
  <c r="BE440" i="17"/>
  <c r="BE471" i="17"/>
  <c r="BE469" i="17"/>
  <c r="BE457" i="17"/>
  <c r="BE504" i="17"/>
  <c r="BE510" i="17"/>
  <c r="BE495" i="17"/>
  <c r="BE430" i="17"/>
  <c r="BE508" i="17"/>
  <c r="BE512" i="17"/>
  <c r="BE465" i="17"/>
  <c r="BE492" i="17"/>
  <c r="BE428" i="17"/>
  <c r="BE409" i="17"/>
  <c r="BE477" i="17"/>
  <c r="BE505" i="17"/>
  <c r="BE462" i="17"/>
  <c r="BE452" i="17"/>
  <c r="BE433" i="17"/>
  <c r="BE419" i="17"/>
  <c r="BE418" i="17"/>
  <c r="BE463" i="17"/>
  <c r="BE450" i="17"/>
  <c r="BE481" i="17"/>
  <c r="BE516" i="17"/>
  <c r="BE416" i="17"/>
  <c r="BE522" i="17"/>
  <c r="BE520" i="17"/>
  <c r="BE511" i="17"/>
  <c r="BE412" i="17"/>
  <c r="BE434" i="17"/>
  <c r="BE521" i="17"/>
  <c r="BE448" i="17"/>
  <c r="BE475" i="17"/>
  <c r="BE524" i="17"/>
  <c r="BE415" i="17"/>
  <c r="BE466" i="17"/>
  <c r="BE503" i="17"/>
  <c r="BE425" i="17"/>
  <c r="BE468" i="17"/>
  <c r="BE498" i="17"/>
  <c r="BE432" i="17"/>
  <c r="BE424" i="17"/>
  <c r="BE490" i="17"/>
  <c r="BE427" i="17"/>
  <c r="BE482" i="17"/>
  <c r="BE488" i="17"/>
  <c r="BE421" i="17"/>
  <c r="BE479" i="17"/>
  <c r="BE487" i="17"/>
  <c r="BE497" i="17"/>
  <c r="BE480" i="17"/>
  <c r="BE472" i="17"/>
  <c r="BE442" i="17"/>
  <c r="BE493" i="17"/>
  <c r="BE420" i="17"/>
  <c r="BE506" i="17"/>
  <c r="BE474" i="17"/>
  <c r="BE449" i="17"/>
  <c r="BE459" i="17"/>
  <c r="BE461" i="17"/>
  <c r="BE458" i="17"/>
  <c r="BE502" i="17"/>
  <c r="BE454" i="17"/>
  <c r="BE456" i="17"/>
  <c r="BE426" i="17"/>
  <c r="BE417" i="17"/>
  <c r="BE501" i="17"/>
  <c r="BE515" i="17"/>
  <c r="BE451" i="17"/>
  <c r="BE455" i="17"/>
  <c r="BE464" i="17"/>
  <c r="BE486" i="17"/>
  <c r="BE438" i="17"/>
  <c r="BE435" i="17"/>
  <c r="BE423" i="17"/>
  <c r="BE414" i="17"/>
  <c r="BE514" i="17"/>
  <c r="BE499" i="17"/>
  <c r="BE494" i="17"/>
  <c r="BE485" i="17"/>
  <c r="BE439" i="17"/>
  <c r="BE460" i="17"/>
  <c r="BE489" i="17"/>
  <c r="BE429" i="17"/>
  <c r="BE484" i="17"/>
  <c r="BE443" i="17"/>
  <c r="D20" i="21"/>
  <c r="I20" i="21" s="1"/>
  <c r="C68" i="9"/>
  <c r="G20" i="2"/>
  <c r="K20" i="2"/>
  <c r="A38" i="22"/>
  <c r="B20" i="21"/>
  <c r="I19" i="2"/>
  <c r="F19" i="21" s="1"/>
  <c r="L19" i="2"/>
  <c r="AY17" i="20"/>
  <c r="AX16" i="20"/>
  <c r="AU20" i="20"/>
  <c r="AT19" i="20"/>
  <c r="AY18" i="20"/>
  <c r="AX17" i="20"/>
  <c r="AW16" i="20"/>
  <c r="AS19" i="20"/>
  <c r="AX18" i="20"/>
  <c r="AW17" i="20"/>
  <c r="AW18" i="20"/>
  <c r="AY16" i="20"/>
  <c r="AR19" i="20"/>
  <c r="C20" i="21"/>
  <c r="B68" i="9"/>
  <c r="C28" i="11" s="1"/>
  <c r="G28" i="11" s="1"/>
  <c r="F20" i="2"/>
  <c r="A21" i="21"/>
  <c r="A69" i="9"/>
  <c r="A29" i="11" s="1"/>
  <c r="A22" i="2"/>
  <c r="E21" i="2"/>
  <c r="P21" i="2"/>
  <c r="D21" i="2"/>
  <c r="C21" i="2"/>
  <c r="N21" i="2"/>
  <c r="E69" i="9" s="1"/>
  <c r="B21" i="2"/>
  <c r="AZ291" i="17"/>
  <c r="AZ386" i="17"/>
  <c r="AZ297" i="17"/>
  <c r="BE297" i="17" s="1"/>
  <c r="AZ348" i="17"/>
  <c r="AZ363" i="17"/>
  <c r="BE363" i="17" s="1"/>
  <c r="AZ302" i="17"/>
  <c r="AZ333" i="17"/>
  <c r="AZ331" i="17"/>
  <c r="AZ341" i="17"/>
  <c r="AZ359" i="17"/>
  <c r="AZ336" i="17"/>
  <c r="BE336" i="17" s="1"/>
  <c r="AZ323" i="17"/>
  <c r="AZ373" i="17"/>
  <c r="AZ325" i="17"/>
  <c r="AZ347" i="17"/>
  <c r="BE347" i="17" s="1"/>
  <c r="AZ309" i="17"/>
  <c r="AZ372" i="17"/>
  <c r="AZ292" i="17"/>
  <c r="AZ391" i="17"/>
  <c r="BE391" i="17" s="1"/>
  <c r="AZ319" i="17"/>
  <c r="AZ310" i="17"/>
  <c r="AZ314" i="17"/>
  <c r="AZ352" i="17"/>
  <c r="BE352" i="17" s="1"/>
  <c r="AZ279" i="17"/>
  <c r="AZ342" i="17"/>
  <c r="AZ365" i="17"/>
  <c r="AZ304" i="17"/>
  <c r="BE304" i="17" s="1"/>
  <c r="AZ343" i="17"/>
  <c r="AZ353" i="17"/>
  <c r="AZ311" i="17"/>
  <c r="AZ355" i="17"/>
  <c r="BE355" i="17" s="1"/>
  <c r="AZ338" i="17"/>
  <c r="AZ305" i="17"/>
  <c r="AZ378" i="17"/>
  <c r="AZ295" i="17"/>
  <c r="BE295" i="17" s="1"/>
  <c r="AZ301" i="17"/>
  <c r="AZ389" i="17"/>
  <c r="BE389" i="17" s="1"/>
  <c r="AZ370" i="17"/>
  <c r="AZ345" i="17"/>
  <c r="BE345" i="17" s="1"/>
  <c r="AZ327" i="17"/>
  <c r="AZ320" i="17"/>
  <c r="AZ358" i="17"/>
  <c r="AZ374" i="17"/>
  <c r="AZ299" i="17"/>
  <c r="AZ282" i="17"/>
  <c r="AZ330" i="17"/>
  <c r="AZ377" i="17"/>
  <c r="BE377" i="17" s="1"/>
  <c r="AZ335" i="17"/>
  <c r="AZ290" i="17"/>
  <c r="AZ334" i="17"/>
  <c r="AZ283" i="17"/>
  <c r="AZ300" i="17"/>
  <c r="AZ369" i="17"/>
  <c r="AZ357" i="17"/>
  <c r="AZ339" i="17"/>
  <c r="BE339" i="17" s="1"/>
  <c r="AZ362" i="17"/>
  <c r="AZ379" i="17"/>
  <c r="BE379" i="17" s="1"/>
  <c r="AZ332" i="17"/>
  <c r="AZ286" i="17"/>
  <c r="BE286" i="17" s="1"/>
  <c r="AZ376" i="17"/>
  <c r="AZ315" i="17"/>
  <c r="BE315" i="17" s="1"/>
  <c r="AZ293" i="17"/>
  <c r="AZ287" i="17"/>
  <c r="BE287" i="17" s="1"/>
  <c r="AZ349" i="17"/>
  <c r="AZ294" i="17"/>
  <c r="AZ307" i="17"/>
  <c r="AZ360" i="17"/>
  <c r="BE360" i="17" s="1"/>
  <c r="AZ354" i="17"/>
  <c r="AZ366" i="17"/>
  <c r="AZ298" i="17"/>
  <c r="AZ280" i="17"/>
  <c r="BE280" i="17" s="1"/>
  <c r="AZ326" i="17"/>
  <c r="AZ278" i="17"/>
  <c r="AZ375" i="17"/>
  <c r="AZ384" i="17"/>
  <c r="BE384" i="17" s="1"/>
  <c r="AZ388" i="17"/>
  <c r="AZ367" i="17"/>
  <c r="AZ351" i="17"/>
  <c r="AZ328" i="17"/>
  <c r="BE328" i="17" s="1"/>
  <c r="AZ387" i="17"/>
  <c r="AZ344" i="17"/>
  <c r="BE344" i="17" s="1"/>
  <c r="AZ356" i="17"/>
  <c r="AZ321" i="17"/>
  <c r="BE321" i="17" s="1"/>
  <c r="AZ289" i="17"/>
  <c r="AZ308" i="17"/>
  <c r="AZ284" i="17"/>
  <c r="AZ381" i="17"/>
  <c r="BE381" i="17" s="1"/>
  <c r="AZ385" i="17"/>
  <c r="AZ337" i="17"/>
  <c r="BE337" i="17" s="1"/>
  <c r="AZ368" i="17"/>
  <c r="AZ350" i="17"/>
  <c r="BE350" i="17" s="1"/>
  <c r="AZ382" i="17"/>
  <c r="AZ277" i="17"/>
  <c r="AZ340" i="17"/>
  <c r="AZ317" i="17"/>
  <c r="BE317" i="17" s="1"/>
  <c r="AZ281" i="17"/>
  <c r="AZ361" i="17"/>
  <c r="BE361" i="17" s="1"/>
  <c r="AZ288" i="17"/>
  <c r="AZ313" i="17"/>
  <c r="BE313" i="17" s="1"/>
  <c r="AZ393" i="17"/>
  <c r="AZ380" i="17"/>
  <c r="BE380" i="17" s="1"/>
  <c r="AZ371" i="17"/>
  <c r="AZ329" i="17"/>
  <c r="BE329" i="17" s="1"/>
  <c r="AZ306" i="17"/>
  <c r="AZ346" i="17"/>
  <c r="AZ392" i="17"/>
  <c r="AZ316" i="17"/>
  <c r="BE316" i="17" s="1"/>
  <c r="AZ324" i="17"/>
  <c r="AZ303" i="17"/>
  <c r="BE303" i="17" s="1"/>
  <c r="AZ285" i="17"/>
  <c r="AZ296" i="17"/>
  <c r="BE296" i="17" s="1"/>
  <c r="AZ390" i="17"/>
  <c r="AZ364" i="17"/>
  <c r="AZ383" i="17"/>
  <c r="AZ312" i="17"/>
  <c r="AZ318" i="17"/>
  <c r="AZ322" i="17"/>
  <c r="BB291" i="17"/>
  <c r="BB386" i="17"/>
  <c r="BB393" i="17"/>
  <c r="BB365" i="17"/>
  <c r="BB343" i="17"/>
  <c r="BB311" i="17"/>
  <c r="BB338" i="17"/>
  <c r="BB378" i="17"/>
  <c r="BB300" i="17"/>
  <c r="BB369" i="17"/>
  <c r="BB295" i="17"/>
  <c r="BB301" i="17"/>
  <c r="BB347" i="17"/>
  <c r="BB370" i="17"/>
  <c r="BB357" i="17"/>
  <c r="BB339" i="17"/>
  <c r="BB327" i="17"/>
  <c r="BB358" i="17"/>
  <c r="BB379" i="17"/>
  <c r="BB332" i="17"/>
  <c r="BB376" i="17"/>
  <c r="BB374" i="17"/>
  <c r="BB315" i="17"/>
  <c r="BB293" i="17"/>
  <c r="BB307" i="17"/>
  <c r="BB299" i="17"/>
  <c r="BB360" i="17"/>
  <c r="BB282" i="17"/>
  <c r="BB392" i="17"/>
  <c r="BB330" i="17"/>
  <c r="BB316" i="17"/>
  <c r="BB328" i="17"/>
  <c r="BB280" i="17"/>
  <c r="BB331" i="17"/>
  <c r="BB380" i="17"/>
  <c r="BB290" i="17"/>
  <c r="BB334" i="17"/>
  <c r="BB387" i="17"/>
  <c r="BB371" i="17"/>
  <c r="BB340" i="17"/>
  <c r="BB344" i="17"/>
  <c r="BB312" i="17"/>
  <c r="BB356" i="17"/>
  <c r="BB321" i="17"/>
  <c r="BB362" i="17"/>
  <c r="BB289" i="17"/>
  <c r="BB286" i="17"/>
  <c r="BB308" i="17"/>
  <c r="BB349" i="17"/>
  <c r="BB294" i="17"/>
  <c r="BB319" i="17"/>
  <c r="BB284" i="17"/>
  <c r="BB354" i="17"/>
  <c r="BB366" i="17"/>
  <c r="BB298" i="17"/>
  <c r="BB377" i="17"/>
  <c r="BB297" i="17"/>
  <c r="BB348" i="17"/>
  <c r="BB313" i="17"/>
  <c r="BB341" i="17"/>
  <c r="BB336" i="17"/>
  <c r="BB283" i="17"/>
  <c r="BB326" i="17"/>
  <c r="BB323" i="17"/>
  <c r="BB317" i="17"/>
  <c r="BB373" i="17"/>
  <c r="BB325" i="17"/>
  <c r="BB278" i="17"/>
  <c r="BB309" i="17"/>
  <c r="BB372" i="17"/>
  <c r="BB292" i="17"/>
  <c r="BB375" i="17"/>
  <c r="BB306" i="17"/>
  <c r="BB346" i="17"/>
  <c r="BB318" i="17"/>
  <c r="BB281" i="17"/>
  <c r="BB352" i="17"/>
  <c r="BB335" i="17"/>
  <c r="BB363" i="17"/>
  <c r="BB359" i="17"/>
  <c r="BB329" i="17"/>
  <c r="BB279" i="17"/>
  <c r="BB324" i="17"/>
  <c r="BB381" i="17"/>
  <c r="BB361" i="17"/>
  <c r="BB351" i="17"/>
  <c r="BB350" i="17"/>
  <c r="BB296" i="17"/>
  <c r="BB364" i="17"/>
  <c r="BB277" i="17"/>
  <c r="BB385" i="17"/>
  <c r="BB368" i="17"/>
  <c r="BB302" i="17"/>
  <c r="BB333" i="17"/>
  <c r="BB353" i="17"/>
  <c r="BB355" i="17"/>
  <c r="BB345" i="17"/>
  <c r="BB288" i="17"/>
  <c r="BB285" i="17"/>
  <c r="BB367" i="17"/>
  <c r="BB390" i="17"/>
  <c r="BB382" i="17"/>
  <c r="BB389" i="17"/>
  <c r="BB287" i="17"/>
  <c r="BB303" i="17"/>
  <c r="BB383" i="17"/>
  <c r="BB304" i="17"/>
  <c r="BB305" i="17"/>
  <c r="BB391" i="17"/>
  <c r="BB310" i="17"/>
  <c r="BB314" i="17"/>
  <c r="BB342" i="17"/>
  <c r="BB384" i="17"/>
  <c r="BB322" i="17"/>
  <c r="BB388" i="17"/>
  <c r="BB320" i="17"/>
  <c r="BB337" i="17"/>
  <c r="H19" i="21"/>
  <c r="G19" i="21"/>
  <c r="AR37" i="15"/>
  <c r="AR132" i="15"/>
  <c r="AU132" i="15" s="1"/>
  <c r="AR27" i="15"/>
  <c r="AR43" i="15"/>
  <c r="AU43" i="15" s="1"/>
  <c r="AR56" i="15"/>
  <c r="AR123" i="15"/>
  <c r="AU123" i="15" s="1"/>
  <c r="AR100" i="15"/>
  <c r="AR131" i="15"/>
  <c r="AU131" i="15" s="1"/>
  <c r="AR79" i="15"/>
  <c r="AR104" i="15"/>
  <c r="AU104" i="15" s="1"/>
  <c r="AR58" i="15"/>
  <c r="AR103" i="15"/>
  <c r="AU103" i="15" s="1"/>
  <c r="AR77" i="15"/>
  <c r="AR29" i="15"/>
  <c r="AU29" i="15" s="1"/>
  <c r="AR42" i="15"/>
  <c r="AU42" i="15" s="1"/>
  <c r="AR41" i="15"/>
  <c r="AU41" i="15" s="1"/>
  <c r="AR25" i="15"/>
  <c r="AR105" i="15"/>
  <c r="AU105" i="15" s="1"/>
  <c r="AR122" i="15"/>
  <c r="AU122" i="15" s="1"/>
  <c r="AR49" i="15"/>
  <c r="AU49" i="15" s="1"/>
  <c r="AR30" i="15"/>
  <c r="AR76" i="15"/>
  <c r="AU76" i="15" s="1"/>
  <c r="AR118" i="15"/>
  <c r="AU118" i="15" s="1"/>
  <c r="AR33" i="15"/>
  <c r="AU33" i="15" s="1"/>
  <c r="AR32" i="15"/>
  <c r="AR65" i="15"/>
  <c r="AU65" i="15" s="1"/>
  <c r="AR50" i="15"/>
  <c r="AU50" i="15" s="1"/>
  <c r="AR84" i="15"/>
  <c r="AU84" i="15" s="1"/>
  <c r="AR111" i="15"/>
  <c r="AR89" i="15"/>
  <c r="AU89" i="15" s="1"/>
  <c r="AR59" i="15"/>
  <c r="AU59" i="15" s="1"/>
  <c r="AR75" i="15"/>
  <c r="AU75" i="15" s="1"/>
  <c r="AR96" i="15"/>
  <c r="AU96" i="15" s="1"/>
  <c r="AR137" i="15"/>
  <c r="AU137" i="15" s="1"/>
  <c r="AR63" i="15"/>
  <c r="AR35" i="15"/>
  <c r="AU35" i="15" s="1"/>
  <c r="AR88" i="15"/>
  <c r="AU88" i="15" s="1"/>
  <c r="AR70" i="15"/>
  <c r="AU70" i="15" s="1"/>
  <c r="AR67" i="15"/>
  <c r="AR116" i="15"/>
  <c r="AU116" i="15" s="1"/>
  <c r="AR120" i="15"/>
  <c r="AR24" i="15"/>
  <c r="AU24" i="15" s="1"/>
  <c r="AR92" i="15"/>
  <c r="AU92" i="15" s="1"/>
  <c r="AR60" i="15"/>
  <c r="AU60" i="15" s="1"/>
  <c r="AR64" i="15"/>
  <c r="AR81" i="15"/>
  <c r="AU81" i="15" s="1"/>
  <c r="AR83" i="15"/>
  <c r="AU83" i="15" s="1"/>
  <c r="AR108" i="15"/>
  <c r="AU108" i="15" s="1"/>
  <c r="AR38" i="15"/>
  <c r="AU38" i="15" s="1"/>
  <c r="AR95" i="15"/>
  <c r="AU95" i="15" s="1"/>
  <c r="AR78" i="15"/>
  <c r="AR127" i="15"/>
  <c r="AU127" i="15" s="1"/>
  <c r="AR82" i="15"/>
  <c r="AU82" i="15" s="1"/>
  <c r="AR133" i="15"/>
  <c r="AU133" i="15" s="1"/>
  <c r="AR97" i="15"/>
  <c r="AU97" i="15" s="1"/>
  <c r="AR113" i="15"/>
  <c r="AU113" i="15" s="1"/>
  <c r="AR124" i="15"/>
  <c r="AR90" i="15"/>
  <c r="AU90" i="15" s="1"/>
  <c r="AR129" i="15"/>
  <c r="AR139" i="15"/>
  <c r="AU139" i="15" s="1"/>
  <c r="AR134" i="15"/>
  <c r="AR136" i="15"/>
  <c r="AU136" i="15" s="1"/>
  <c r="AR53" i="15"/>
  <c r="AR47" i="15"/>
  <c r="AU47" i="15" s="1"/>
  <c r="AR26" i="15"/>
  <c r="AU26" i="15" s="1"/>
  <c r="AR28" i="15"/>
  <c r="AU28" i="15" s="1"/>
  <c r="AR55" i="15"/>
  <c r="AR31" i="15"/>
  <c r="AU31" i="15" s="1"/>
  <c r="AR46" i="15"/>
  <c r="AU46" i="15" s="1"/>
  <c r="AR23" i="15"/>
  <c r="AU23" i="15" s="1"/>
  <c r="AR135" i="15"/>
  <c r="AR39" i="15"/>
  <c r="AU39" i="15" s="1"/>
  <c r="AR114" i="15"/>
  <c r="AU114" i="15" s="1"/>
  <c r="AR34" i="15"/>
  <c r="AU34" i="15" s="1"/>
  <c r="AR98" i="15"/>
  <c r="AU98" i="15" s="1"/>
  <c r="AR86" i="15"/>
  <c r="AU86" i="15" s="1"/>
  <c r="AR130" i="15"/>
  <c r="AU130" i="15" s="1"/>
  <c r="AR107" i="15"/>
  <c r="AU107" i="15" s="1"/>
  <c r="AR102" i="15"/>
  <c r="AU102" i="15" s="1"/>
  <c r="AR73" i="15"/>
  <c r="AU73" i="15" s="1"/>
  <c r="AR117" i="15"/>
  <c r="AU117" i="15" s="1"/>
  <c r="AR54" i="15"/>
  <c r="AU54" i="15" s="1"/>
  <c r="AR40" i="15"/>
  <c r="AU40" i="15" s="1"/>
  <c r="AR69" i="15"/>
  <c r="AU69" i="15" s="1"/>
  <c r="AR51" i="15"/>
  <c r="AR115" i="15"/>
  <c r="AU115" i="15" s="1"/>
  <c r="AR71" i="15"/>
  <c r="AU71" i="15" s="1"/>
  <c r="AR57" i="15"/>
  <c r="AU57" i="15" s="1"/>
  <c r="AR106" i="15"/>
  <c r="AU106" i="15" s="1"/>
  <c r="AR138" i="15"/>
  <c r="AU138" i="15" s="1"/>
  <c r="AR110" i="15"/>
  <c r="AU110" i="15" s="1"/>
  <c r="AR93" i="15"/>
  <c r="AU93" i="15" s="1"/>
  <c r="AR72" i="15"/>
  <c r="AU72" i="15" s="1"/>
  <c r="AR68" i="15"/>
  <c r="AU68" i="15" s="1"/>
  <c r="AR125" i="15"/>
  <c r="AU125" i="15" s="1"/>
  <c r="AR36" i="15"/>
  <c r="AU36" i="15" s="1"/>
  <c r="AR44" i="15"/>
  <c r="AR85" i="15"/>
  <c r="AU85" i="15" s="1"/>
  <c r="AR126" i="15"/>
  <c r="AR109" i="15"/>
  <c r="AU109" i="15" s="1"/>
  <c r="AR91" i="15"/>
  <c r="AU91" i="15" s="1"/>
  <c r="AR66" i="15"/>
  <c r="AU66" i="15" s="1"/>
  <c r="AR62" i="15"/>
  <c r="AU62" i="15" s="1"/>
  <c r="AR128" i="15"/>
  <c r="AU128" i="15" s="1"/>
  <c r="AR94" i="15"/>
  <c r="AU94" i="15" s="1"/>
  <c r="AR87" i="15"/>
  <c r="AU87" i="15" s="1"/>
  <c r="AR74" i="15"/>
  <c r="AU74" i="15" s="1"/>
  <c r="AR48" i="15"/>
  <c r="AU48" i="15" s="1"/>
  <c r="AR101" i="15"/>
  <c r="AR52" i="15"/>
  <c r="AU52" i="15" s="1"/>
  <c r="AR121" i="15"/>
  <c r="AR61" i="15"/>
  <c r="AU61" i="15" s="1"/>
  <c r="AR112" i="15"/>
  <c r="AU112" i="15" s="1"/>
  <c r="AR45" i="15"/>
  <c r="AU45" i="15" s="1"/>
  <c r="AR80" i="15"/>
  <c r="AU80" i="15" s="1"/>
  <c r="AR99" i="15"/>
  <c r="AU99" i="15" s="1"/>
  <c r="AR119" i="15"/>
  <c r="AU119" i="15" s="1"/>
  <c r="AU27" i="24"/>
  <c r="AU20" i="24" s="1"/>
  <c r="AU28" i="24"/>
  <c r="AU33" i="24"/>
  <c r="AU37" i="24"/>
  <c r="BI422" i="17"/>
  <c r="BI517" i="17"/>
  <c r="BI518" i="17"/>
  <c r="BI453" i="17"/>
  <c r="BI413" i="17"/>
  <c r="BI523" i="17"/>
  <c r="BI444" i="17"/>
  <c r="BI437" i="17"/>
  <c r="BI478" i="17"/>
  <c r="BI496" i="17"/>
  <c r="BI440" i="17"/>
  <c r="BI500" i="17"/>
  <c r="BI469" i="17"/>
  <c r="BI457" i="17"/>
  <c r="BI510" i="17"/>
  <c r="BI408" i="17"/>
  <c r="BI451" i="17"/>
  <c r="BI475" i="17"/>
  <c r="BI430" i="17"/>
  <c r="BI465" i="17"/>
  <c r="BI492" i="17"/>
  <c r="BI428" i="17"/>
  <c r="BI409" i="17"/>
  <c r="BI477" i="17"/>
  <c r="BI479" i="17"/>
  <c r="BI505" i="17"/>
  <c r="BI462" i="17"/>
  <c r="BI415" i="17"/>
  <c r="BI452" i="17"/>
  <c r="BI433" i="17"/>
  <c r="BI419" i="17"/>
  <c r="BI503" i="17"/>
  <c r="BI418" i="17"/>
  <c r="BI423" i="17"/>
  <c r="BI450" i="17"/>
  <c r="BI481" i="17"/>
  <c r="BI431" i="17"/>
  <c r="BI499" i="17"/>
  <c r="BI522" i="17"/>
  <c r="BI427" i="17"/>
  <c r="BI434" i="17"/>
  <c r="BI521" i="17"/>
  <c r="BI448" i="17"/>
  <c r="BI443" i="17"/>
  <c r="BI508" i="17"/>
  <c r="BI455" i="17"/>
  <c r="BI507" i="17"/>
  <c r="BI429" i="17"/>
  <c r="BI467" i="17"/>
  <c r="BI501" i="17"/>
  <c r="BI515" i="17"/>
  <c r="BI466" i="17"/>
  <c r="BI414" i="17"/>
  <c r="BI425" i="17"/>
  <c r="BI463" i="17"/>
  <c r="BI468" i="17"/>
  <c r="BI498" i="17"/>
  <c r="BI432" i="17"/>
  <c r="BI514" i="17"/>
  <c r="BI424" i="17"/>
  <c r="BI484" i="17"/>
  <c r="BI516" i="17"/>
  <c r="BI490" i="17"/>
  <c r="BI416" i="17"/>
  <c r="BI519" i="17"/>
  <c r="BI504" i="17"/>
  <c r="BI495" i="17"/>
  <c r="BI511" i="17"/>
  <c r="BI494" i="17"/>
  <c r="BI482" i="17"/>
  <c r="BI488" i="17"/>
  <c r="BI474" i="17"/>
  <c r="BI421" i="17"/>
  <c r="BI512" i="17"/>
  <c r="BI524" i="17"/>
  <c r="BI410" i="17"/>
  <c r="BI483" i="17"/>
  <c r="BI520" i="17"/>
  <c r="BI473" i="17"/>
  <c r="BI447" i="17"/>
  <c r="BI445" i="17"/>
  <c r="BI449" i="17"/>
  <c r="BI461" i="17"/>
  <c r="BI458" i="17"/>
  <c r="BI502" i="17"/>
  <c r="BI439" i="17"/>
  <c r="BI454" i="17"/>
  <c r="BI456" i="17"/>
  <c r="BI480" i="17"/>
  <c r="BI411" i="17"/>
  <c r="BI435" i="17"/>
  <c r="BI436" i="17"/>
  <c r="BI476" i="17"/>
  <c r="BI485" i="17"/>
  <c r="BI460" i="17"/>
  <c r="BI489" i="17"/>
  <c r="BI426" i="17"/>
  <c r="BI417" i="17"/>
  <c r="BI506" i="17"/>
  <c r="BI412" i="17"/>
  <c r="BI441" i="17"/>
  <c r="BI497" i="17"/>
  <c r="BI470" i="17"/>
  <c r="BI491" i="17"/>
  <c r="BI446" i="17"/>
  <c r="BI471" i="17"/>
  <c r="BI513" i="17"/>
  <c r="BI509" i="17"/>
  <c r="BI472" i="17"/>
  <c r="BI487" i="17"/>
  <c r="BI442" i="17"/>
  <c r="BI464" i="17"/>
  <c r="BI486" i="17"/>
  <c r="BI493" i="17"/>
  <c r="BI420" i="17"/>
  <c r="BI438" i="17"/>
  <c r="BI459" i="17"/>
  <c r="J20" i="2"/>
  <c r="BE312" i="17" l="1"/>
  <c r="BE283" i="17"/>
  <c r="H20" i="21"/>
  <c r="G20" i="21"/>
  <c r="AX27" i="20"/>
  <c r="AX25" i="20"/>
  <c r="AX29" i="20"/>
  <c r="AX24" i="20"/>
  <c r="AX26" i="20"/>
  <c r="AX23" i="20"/>
  <c r="AX28" i="20"/>
  <c r="AX30" i="20"/>
  <c r="BJ513" i="17"/>
  <c r="BJ456" i="17"/>
  <c r="BJ472" i="17"/>
  <c r="BJ408" i="17"/>
  <c r="BJ512" i="17"/>
  <c r="BJ482" i="17"/>
  <c r="AX16" i="24"/>
  <c r="AZ247" i="17"/>
  <c r="AZ193" i="17"/>
  <c r="AZ228" i="17"/>
  <c r="AZ199" i="17"/>
  <c r="AU101" i="15"/>
  <c r="AU44" i="15"/>
  <c r="AU51" i="15"/>
  <c r="AU134" i="15"/>
  <c r="AU124" i="15"/>
  <c r="AU64" i="15"/>
  <c r="AU120" i="15"/>
  <c r="AU111" i="15"/>
  <c r="AU32" i="15"/>
  <c r="AU30" i="15"/>
  <c r="AU25" i="15"/>
  <c r="AU77" i="15"/>
  <c r="AU79" i="15"/>
  <c r="AU56" i="15"/>
  <c r="AU37" i="15"/>
  <c r="BE383" i="17"/>
  <c r="BE285" i="17"/>
  <c r="BE392" i="17"/>
  <c r="BE371" i="17"/>
  <c r="BE288" i="17"/>
  <c r="BE340" i="17"/>
  <c r="BE368" i="17"/>
  <c r="BE284" i="17"/>
  <c r="BE356" i="17"/>
  <c r="BE351" i="17"/>
  <c r="BE375" i="17"/>
  <c r="BE298" i="17"/>
  <c r="BE307" i="17"/>
  <c r="BE293" i="17"/>
  <c r="BE332" i="17"/>
  <c r="BE357" i="17"/>
  <c r="BE334" i="17"/>
  <c r="BE330" i="17"/>
  <c r="BE358" i="17"/>
  <c r="BE370" i="17"/>
  <c r="BE378" i="17"/>
  <c r="BE311" i="17"/>
  <c r="BE365" i="17"/>
  <c r="BE314" i="17"/>
  <c r="BE292" i="17"/>
  <c r="BE325" i="17"/>
  <c r="BE359" i="17"/>
  <c r="BE302" i="17"/>
  <c r="BE386" i="17"/>
  <c r="C21" i="21"/>
  <c r="B69" i="9"/>
  <c r="C29" i="11" s="1"/>
  <c r="F21" i="2"/>
  <c r="J21" i="2"/>
  <c r="A22" i="21"/>
  <c r="A70" i="9"/>
  <c r="A30" i="11" s="1"/>
  <c r="A23" i="2"/>
  <c r="E22" i="2"/>
  <c r="P22" i="2"/>
  <c r="D22" i="2"/>
  <c r="B22" i="2"/>
  <c r="C22" i="2"/>
  <c r="N22" i="2"/>
  <c r="E70" i="9" s="1"/>
  <c r="I20" i="2"/>
  <c r="F20" i="21" s="1"/>
  <c r="L20" i="2"/>
  <c r="BJ487" i="17"/>
  <c r="BJ428" i="17"/>
  <c r="BJ478" i="17"/>
  <c r="BJ497" i="17"/>
  <c r="BJ506" i="17"/>
  <c r="BJ464" i="17"/>
  <c r="BJ447" i="17"/>
  <c r="BJ518" i="17"/>
  <c r="BJ449" i="17"/>
  <c r="BJ489" i="17"/>
  <c r="BJ459" i="17"/>
  <c r="BJ469" i="17"/>
  <c r="BJ409" i="17"/>
  <c r="BJ443" i="17"/>
  <c r="BJ495" i="17"/>
  <c r="BJ423" i="17"/>
  <c r="BJ470" i="17"/>
  <c r="BJ421" i="17"/>
  <c r="BJ475" i="17"/>
  <c r="BJ494" i="17"/>
  <c r="BJ519" i="17"/>
  <c r="BJ514" i="17"/>
  <c r="BJ425" i="17"/>
  <c r="BJ413" i="17"/>
  <c r="BJ434" i="17"/>
  <c r="BJ499" i="17"/>
  <c r="BJ468" i="17"/>
  <c r="BJ503" i="17"/>
  <c r="BJ491" i="17"/>
  <c r="AW18" i="24"/>
  <c r="AY16" i="24"/>
  <c r="AR19" i="24"/>
  <c r="AY17" i="24"/>
  <c r="AZ189" i="17"/>
  <c r="AZ190" i="17"/>
  <c r="AZ260" i="17"/>
  <c r="AZ159" i="17"/>
  <c r="AZ209" i="17"/>
  <c r="AZ196" i="17"/>
  <c r="AZ148" i="17"/>
  <c r="AZ258" i="17"/>
  <c r="AZ178" i="17"/>
  <c r="AZ177" i="17"/>
  <c r="AZ203" i="17"/>
  <c r="AZ164" i="17"/>
  <c r="AZ197" i="17"/>
  <c r="AZ246" i="17"/>
  <c r="AZ186" i="17"/>
  <c r="AZ220" i="17"/>
  <c r="AZ227" i="17"/>
  <c r="AZ147" i="17"/>
  <c r="AZ162" i="17"/>
  <c r="AZ256" i="17"/>
  <c r="AZ194" i="17"/>
  <c r="AZ249" i="17"/>
  <c r="AZ262" i="17"/>
  <c r="AZ166" i="17"/>
  <c r="AZ146" i="17"/>
  <c r="AZ187" i="17"/>
  <c r="AZ205" i="17"/>
  <c r="AZ212" i="17"/>
  <c r="AZ211" i="17"/>
  <c r="AZ160" i="17"/>
  <c r="AP49" i="17"/>
  <c r="AP38" i="17"/>
  <c r="AP26" i="17"/>
  <c r="AP101" i="17"/>
  <c r="AP60" i="17"/>
  <c r="AP54" i="17"/>
  <c r="AP20" i="17"/>
  <c r="AR8" i="17" s="1"/>
  <c r="AP40" i="17"/>
  <c r="AP44" i="17"/>
  <c r="AP23" i="17"/>
  <c r="AP124" i="17"/>
  <c r="BE374" i="17"/>
  <c r="BE333" i="17"/>
  <c r="B29" i="11"/>
  <c r="D29" i="11" s="1"/>
  <c r="E29" i="11" s="1"/>
  <c r="F29" i="11" s="1"/>
  <c r="F69" i="9"/>
  <c r="BJ486" i="17"/>
  <c r="BJ455" i="17"/>
  <c r="BJ410" i="17"/>
  <c r="BJ436" i="17"/>
  <c r="BJ448" i="17"/>
  <c r="BJ418" i="17"/>
  <c r="AW17" i="24"/>
  <c r="AZ150" i="17"/>
  <c r="AZ243" i="17"/>
  <c r="AZ191" i="17"/>
  <c r="BE277" i="17"/>
  <c r="BE278" i="17"/>
  <c r="BE366" i="17"/>
  <c r="BE294" i="17"/>
  <c r="BE369" i="17"/>
  <c r="BE290" i="17"/>
  <c r="BE282" i="17"/>
  <c r="BE320" i="17"/>
  <c r="BE305" i="17"/>
  <c r="BE353" i="17"/>
  <c r="BE342" i="17"/>
  <c r="BE310" i="17"/>
  <c r="BE372" i="17"/>
  <c r="BE373" i="17"/>
  <c r="BE341" i="17"/>
  <c r="BE291" i="17"/>
  <c r="BJ465" i="17"/>
  <c r="BJ461" i="17"/>
  <c r="BJ439" i="17"/>
  <c r="BJ510" i="17"/>
  <c r="BJ454" i="17"/>
  <c r="BJ479" i="17"/>
  <c r="BJ524" i="17"/>
  <c r="BJ437" i="17"/>
  <c r="BJ441" i="17"/>
  <c r="BJ412" i="17"/>
  <c r="BJ427" i="17"/>
  <c r="BJ419" i="17"/>
  <c r="BJ411" i="17"/>
  <c r="BJ474" i="17"/>
  <c r="BJ521" i="17"/>
  <c r="BJ511" i="17"/>
  <c r="BJ490" i="17"/>
  <c r="BJ432" i="17"/>
  <c r="BJ414" i="17"/>
  <c r="BJ505" i="17"/>
  <c r="BJ509" i="17"/>
  <c r="BJ484" i="17"/>
  <c r="BJ483" i="17"/>
  <c r="BJ433" i="17"/>
  <c r="BJ435" i="17"/>
  <c r="AT19" i="24"/>
  <c r="AX17" i="24"/>
  <c r="AZ183" i="17"/>
  <c r="AZ239" i="17"/>
  <c r="AZ207" i="17"/>
  <c r="AZ233" i="17"/>
  <c r="AZ259" i="17"/>
  <c r="AZ232" i="17"/>
  <c r="AZ152" i="17"/>
  <c r="AZ188" i="17"/>
  <c r="AZ252" i="17"/>
  <c r="AZ153" i="17"/>
  <c r="AZ221" i="17"/>
  <c r="AZ261" i="17"/>
  <c r="AZ173" i="17"/>
  <c r="AZ179" i="17"/>
  <c r="AZ192" i="17"/>
  <c r="AZ210" i="17"/>
  <c r="AZ154" i="17"/>
  <c r="AZ244" i="17"/>
  <c r="AZ245" i="17"/>
  <c r="AZ149" i="17"/>
  <c r="AZ175" i="17"/>
  <c r="AZ180" i="17"/>
  <c r="AZ176" i="17"/>
  <c r="AZ208" i="17"/>
  <c r="AZ257" i="17"/>
  <c r="AZ242" i="17"/>
  <c r="AZ155" i="17"/>
  <c r="AZ229" i="17"/>
  <c r="AZ167" i="17"/>
  <c r="AP125" i="17"/>
  <c r="AP71" i="17"/>
  <c r="AP122" i="17"/>
  <c r="AP116" i="17"/>
  <c r="AP97" i="17"/>
  <c r="AP63" i="17"/>
  <c r="AP88" i="17"/>
  <c r="E21" i="21"/>
  <c r="J21" i="21" s="1"/>
  <c r="D69" i="9"/>
  <c r="H21" i="2"/>
  <c r="BJ477" i="17"/>
  <c r="BJ501" i="17"/>
  <c r="BJ485" i="17"/>
  <c r="BJ453" i="17"/>
  <c r="BJ446" i="17"/>
  <c r="BJ488" i="17"/>
  <c r="BJ424" i="17"/>
  <c r="BJ498" i="17"/>
  <c r="BJ416" i="17"/>
  <c r="BJ462" i="17"/>
  <c r="AZ206" i="17"/>
  <c r="AZ219" i="17"/>
  <c r="AZ251" i="17"/>
  <c r="AZ172" i="17"/>
  <c r="AZ240" i="17"/>
  <c r="O20" i="2"/>
  <c r="M20" i="2"/>
  <c r="BE322" i="17"/>
  <c r="BE364" i="17"/>
  <c r="BE346" i="17"/>
  <c r="BE308" i="17"/>
  <c r="BE367" i="17"/>
  <c r="D21" i="21"/>
  <c r="I21" i="21" s="1"/>
  <c r="C69" i="9"/>
  <c r="G21" i="2"/>
  <c r="K21" i="2"/>
  <c r="AY27" i="20"/>
  <c r="AY28" i="20"/>
  <c r="AY24" i="20"/>
  <c r="AY26" i="20"/>
  <c r="AY30" i="20"/>
  <c r="AY25" i="20"/>
  <c r="AY29" i="20"/>
  <c r="AY23" i="20"/>
  <c r="BJ438" i="17"/>
  <c r="BJ420" i="17"/>
  <c r="AU121" i="15"/>
  <c r="AU126" i="15"/>
  <c r="AU135" i="15"/>
  <c r="AU55" i="15"/>
  <c r="AU53" i="15"/>
  <c r="AU129" i="15"/>
  <c r="AU78" i="15"/>
  <c r="AY18" i="15" s="1"/>
  <c r="AU67" i="15"/>
  <c r="AU63" i="15"/>
  <c r="AU58" i="15"/>
  <c r="AU100" i="15"/>
  <c r="AU27" i="15"/>
  <c r="AX16" i="15" s="1"/>
  <c r="BE318" i="17"/>
  <c r="BE390" i="17"/>
  <c r="BE324" i="17"/>
  <c r="BE306" i="17"/>
  <c r="BE393" i="17"/>
  <c r="BE281" i="17"/>
  <c r="BE382" i="17"/>
  <c r="BE385" i="17"/>
  <c r="BE289" i="17"/>
  <c r="BE387" i="17"/>
  <c r="BE388" i="17"/>
  <c r="BE326" i="17"/>
  <c r="BE354" i="17"/>
  <c r="BE349" i="17"/>
  <c r="BE376" i="17"/>
  <c r="BE362" i="17"/>
  <c r="BE300" i="17"/>
  <c r="BE335" i="17"/>
  <c r="BE299" i="17"/>
  <c r="BE327" i="17"/>
  <c r="BE301" i="17"/>
  <c r="BE338" i="17"/>
  <c r="BE343" i="17"/>
  <c r="BE279" i="17"/>
  <c r="BE319" i="17"/>
  <c r="BE309" i="17"/>
  <c r="BE323" i="17"/>
  <c r="BE331" i="17"/>
  <c r="BE348" i="17"/>
  <c r="A39" i="22"/>
  <c r="B21" i="21"/>
  <c r="AW27" i="20"/>
  <c r="AZ27" i="20" s="1"/>
  <c r="AW25" i="20"/>
  <c r="AW29" i="20"/>
  <c r="AW24" i="20"/>
  <c r="AZ24" i="20" s="1"/>
  <c r="AW26" i="20"/>
  <c r="AZ26" i="20" s="1"/>
  <c r="AW23" i="20"/>
  <c r="AZ23" i="20" s="1"/>
  <c r="AW30" i="20"/>
  <c r="AZ30" i="20" s="1"/>
  <c r="AW28" i="20"/>
  <c r="AZ28" i="20" s="1"/>
  <c r="K22" i="2"/>
  <c r="BJ480" i="17"/>
  <c r="BJ430" i="17"/>
  <c r="BJ452" i="17"/>
  <c r="BJ500" i="17"/>
  <c r="BJ493" i="17"/>
  <c r="BJ442" i="17"/>
  <c r="BJ457" i="17"/>
  <c r="BJ458" i="17"/>
  <c r="BJ417" i="17"/>
  <c r="BJ460" i="17"/>
  <c r="BJ492" i="17"/>
  <c r="BJ444" i="17"/>
  <c r="BJ476" i="17"/>
  <c r="BJ473" i="17"/>
  <c r="BJ440" i="17"/>
  <c r="BJ415" i="17"/>
  <c r="BJ507" i="17"/>
  <c r="BJ508" i="17"/>
  <c r="BJ451" i="17"/>
  <c r="BJ504" i="17"/>
  <c r="BJ516" i="17"/>
  <c r="BJ431" i="17"/>
  <c r="BJ466" i="17"/>
  <c r="BJ429" i="17"/>
  <c r="BJ522" i="17"/>
  <c r="BJ481" i="17"/>
  <c r="BJ450" i="17"/>
  <c r="BJ515" i="17"/>
  <c r="BJ517" i="17"/>
  <c r="AW16" i="24"/>
  <c r="AX18" i="24"/>
  <c r="AZ238" i="17"/>
  <c r="AZ165" i="17"/>
  <c r="AZ241" i="17"/>
  <c r="AZ223" i="17"/>
  <c r="AZ218" i="17"/>
  <c r="AZ184" i="17"/>
  <c r="AZ168" i="17"/>
  <c r="AZ174" i="17"/>
  <c r="AZ213" i="17"/>
  <c r="AZ195" i="17"/>
  <c r="AZ204" i="17"/>
  <c r="AZ217" i="17"/>
  <c r="AZ151" i="17"/>
  <c r="AZ181" i="17"/>
  <c r="AZ224" i="17"/>
  <c r="AZ234" i="17"/>
  <c r="AZ157" i="17"/>
  <c r="AZ182" i="17"/>
  <c r="AZ226" i="17"/>
  <c r="AZ231" i="17"/>
  <c r="AZ171" i="17"/>
  <c r="AZ235" i="17"/>
  <c r="AZ202" i="17"/>
  <c r="AZ215" i="17"/>
  <c r="AZ237" i="17"/>
  <c r="AZ163" i="17"/>
  <c r="AZ230" i="17"/>
  <c r="AZ248" i="17"/>
  <c r="AZ200" i="17"/>
  <c r="AP90" i="17"/>
  <c r="AP30" i="17"/>
  <c r="AP28" i="17"/>
  <c r="AR10" i="17" s="1"/>
  <c r="AP64" i="17"/>
  <c r="AP69" i="17"/>
  <c r="AP111" i="17"/>
  <c r="AP36" i="17"/>
  <c r="AP113" i="17"/>
  <c r="AX98" i="15" l="1"/>
  <c r="AX49" i="15"/>
  <c r="AX76" i="15"/>
  <c r="AX112" i="15"/>
  <c r="AX65" i="15"/>
  <c r="AX84" i="15"/>
  <c r="AX59" i="15"/>
  <c r="AX75" i="15"/>
  <c r="AX63" i="15"/>
  <c r="AX128" i="15"/>
  <c r="AX116" i="15"/>
  <c r="AX122" i="15"/>
  <c r="AX30" i="15"/>
  <c r="AX60" i="15"/>
  <c r="AX108" i="15"/>
  <c r="AX38" i="15"/>
  <c r="AX127" i="15"/>
  <c r="AX80" i="15"/>
  <c r="AX113" i="15"/>
  <c r="AX124" i="15"/>
  <c r="AX139" i="15"/>
  <c r="AX42" i="15"/>
  <c r="AX47" i="15"/>
  <c r="AX28" i="15"/>
  <c r="AX72" i="15"/>
  <c r="AX46" i="15"/>
  <c r="AX39" i="15"/>
  <c r="AX70" i="15"/>
  <c r="AX61" i="15"/>
  <c r="AX109" i="15"/>
  <c r="AX45" i="15"/>
  <c r="AX50" i="15"/>
  <c r="AX44" i="15"/>
  <c r="AX62" i="15"/>
  <c r="AX57" i="15"/>
  <c r="AX68" i="15"/>
  <c r="AX94" i="15"/>
  <c r="AX123" i="15"/>
  <c r="AX90" i="15"/>
  <c r="AX48" i="15"/>
  <c r="AX73" i="15"/>
  <c r="AX130" i="15"/>
  <c r="AX88" i="15"/>
  <c r="AX87" i="15"/>
  <c r="AX121" i="15"/>
  <c r="AX77" i="15"/>
  <c r="AX74" i="15"/>
  <c r="AX117" i="15"/>
  <c r="AX106" i="15"/>
  <c r="AX43" i="15"/>
  <c r="AX131" i="15"/>
  <c r="AX79" i="15"/>
  <c r="AX105" i="15"/>
  <c r="AX99" i="15"/>
  <c r="AX119" i="15"/>
  <c r="AX27" i="15"/>
  <c r="AX34" i="15"/>
  <c r="AX115" i="15"/>
  <c r="AR29" i="17"/>
  <c r="AR126" i="17"/>
  <c r="AR60" i="17"/>
  <c r="AR52" i="17"/>
  <c r="AR86" i="17"/>
  <c r="AR95" i="17"/>
  <c r="AR80" i="17"/>
  <c r="AR99" i="17"/>
  <c r="AR113" i="17"/>
  <c r="AR93" i="17"/>
  <c r="AR115" i="17"/>
  <c r="AR130" i="17"/>
  <c r="AR44" i="17"/>
  <c r="AR16" i="17"/>
  <c r="AR63" i="17"/>
  <c r="AR71" i="17"/>
  <c r="AR87" i="17"/>
  <c r="AR65" i="17"/>
  <c r="AR100" i="17"/>
  <c r="AR50" i="17"/>
  <c r="AR105" i="17"/>
  <c r="AR111" i="17"/>
  <c r="AR74" i="17"/>
  <c r="AR45" i="17"/>
  <c r="AR39" i="17"/>
  <c r="AR92" i="17"/>
  <c r="AR18" i="17"/>
  <c r="AR68" i="17"/>
  <c r="AR49" i="17"/>
  <c r="AW18" i="15"/>
  <c r="AX18" i="15"/>
  <c r="AY17" i="15"/>
  <c r="AY37" i="24"/>
  <c r="AY29" i="24"/>
  <c r="AY27" i="24"/>
  <c r="AY32" i="24"/>
  <c r="AY30" i="24"/>
  <c r="AY33" i="24"/>
  <c r="AY31" i="24"/>
  <c r="AY28" i="24"/>
  <c r="AY35" i="24"/>
  <c r="AY23" i="24"/>
  <c r="AY24" i="24"/>
  <c r="AY34" i="24"/>
  <c r="AY25" i="24"/>
  <c r="AY26" i="24"/>
  <c r="AY36" i="24"/>
  <c r="A23" i="21"/>
  <c r="A24" i="2"/>
  <c r="E23" i="2"/>
  <c r="A71" i="9"/>
  <c r="A31" i="11" s="1"/>
  <c r="P23" i="2"/>
  <c r="D23" i="2"/>
  <c r="C23" i="2"/>
  <c r="N23" i="2"/>
  <c r="E71" i="9" s="1"/>
  <c r="B23" i="2"/>
  <c r="O21" i="2"/>
  <c r="M21" i="2"/>
  <c r="H21" i="21"/>
  <c r="G21" i="21"/>
  <c r="AO11" i="17"/>
  <c r="AZ29" i="20"/>
  <c r="BE274" i="17"/>
  <c r="BD273" i="17"/>
  <c r="AZ273" i="17"/>
  <c r="BK272" i="17"/>
  <c r="BG272" i="17"/>
  <c r="BH271" i="17"/>
  <c r="BI270" i="17"/>
  <c r="BC273" i="17"/>
  <c r="BJ272" i="17"/>
  <c r="BK271" i="17"/>
  <c r="BG271" i="17"/>
  <c r="BH270" i="17"/>
  <c r="BB273" i="17"/>
  <c r="BI272" i="17"/>
  <c r="BJ271" i="17"/>
  <c r="BG270" i="17"/>
  <c r="BH272" i="17"/>
  <c r="BI271" i="17"/>
  <c r="BK270" i="17"/>
  <c r="BJ270" i="17"/>
  <c r="BA273" i="17"/>
  <c r="AY16" i="15"/>
  <c r="AS19" i="15"/>
  <c r="AT19" i="15"/>
  <c r="AX142" i="17"/>
  <c r="BD141" i="17"/>
  <c r="BD140" i="17"/>
  <c r="BD139" i="17"/>
  <c r="AW142" i="17"/>
  <c r="BC141" i="17"/>
  <c r="BC140" i="17"/>
  <c r="AV142" i="17"/>
  <c r="BB141" i="17"/>
  <c r="BC139" i="17"/>
  <c r="AZ143" i="17"/>
  <c r="BE140" i="17"/>
  <c r="BB139" i="17"/>
  <c r="BB140" i="17"/>
  <c r="BE141" i="17"/>
  <c r="BE139" i="17"/>
  <c r="AY142" i="17"/>
  <c r="D22" i="21"/>
  <c r="I22" i="21" s="1"/>
  <c r="C70" i="9"/>
  <c r="G22" i="2"/>
  <c r="I21" i="2"/>
  <c r="F21" i="21" s="1"/>
  <c r="L21" i="2"/>
  <c r="AS10" i="17"/>
  <c r="AR9" i="17"/>
  <c r="AR108" i="17" s="1"/>
  <c r="AN11" i="17"/>
  <c r="BB18" i="20"/>
  <c r="BD16" i="20"/>
  <c r="AY19" i="20"/>
  <c r="BD18" i="20"/>
  <c r="AX19" i="20"/>
  <c r="BB17" i="20"/>
  <c r="AZ25" i="20"/>
  <c r="AZ20" i="20" s="1"/>
  <c r="AR19" i="15"/>
  <c r="AW16" i="15"/>
  <c r="AU20" i="15"/>
  <c r="F70" i="9"/>
  <c r="B30" i="11"/>
  <c r="D30" i="11" s="1"/>
  <c r="E30" i="11" s="1"/>
  <c r="F30" i="11" s="1"/>
  <c r="A40" i="22"/>
  <c r="B22" i="21"/>
  <c r="AS8" i="17"/>
  <c r="AS9" i="17"/>
  <c r="AX37" i="24"/>
  <c r="AX29" i="24"/>
  <c r="AX24" i="24"/>
  <c r="AX33" i="24"/>
  <c r="AX27" i="24"/>
  <c r="AX26" i="24"/>
  <c r="AX31" i="24"/>
  <c r="AX25" i="24"/>
  <c r="AX28" i="24"/>
  <c r="AX35" i="24"/>
  <c r="AX23" i="24"/>
  <c r="AX34" i="24"/>
  <c r="AX32" i="24"/>
  <c r="AX30" i="24"/>
  <c r="AX36" i="24"/>
  <c r="BG404" i="17"/>
  <c r="BO403" i="17"/>
  <c r="BQ402" i="17"/>
  <c r="BM402" i="17"/>
  <c r="BO401" i="17"/>
  <c r="BF404" i="17"/>
  <c r="BN403" i="17"/>
  <c r="BP402" i="17"/>
  <c r="BL402" i="17"/>
  <c r="BD404" i="17"/>
  <c r="BL403" i="17"/>
  <c r="BM401" i="17"/>
  <c r="BI404" i="17"/>
  <c r="BQ403" i="17"/>
  <c r="BO402" i="17"/>
  <c r="BQ401" i="17"/>
  <c r="BL401" i="17"/>
  <c r="BH404" i="17"/>
  <c r="BP403" i="17"/>
  <c r="BN402" i="17"/>
  <c r="BP401" i="17"/>
  <c r="BJ405" i="17"/>
  <c r="BM403" i="17"/>
  <c r="BE404" i="17"/>
  <c r="BN401" i="17"/>
  <c r="AW37" i="24"/>
  <c r="AW29" i="24"/>
  <c r="AZ29" i="24" s="1"/>
  <c r="AW26" i="24"/>
  <c r="AZ26" i="24" s="1"/>
  <c r="AW31" i="24"/>
  <c r="AZ31" i="24" s="1"/>
  <c r="AW36" i="24"/>
  <c r="AZ36" i="24" s="1"/>
  <c r="AW33" i="24"/>
  <c r="AW32" i="24"/>
  <c r="AW30" i="24"/>
  <c r="AZ30" i="24" s="1"/>
  <c r="AW28" i="24"/>
  <c r="AW35" i="24"/>
  <c r="AW24" i="24"/>
  <c r="AZ24" i="24" s="1"/>
  <c r="AW23" i="24"/>
  <c r="AZ23" i="24" s="1"/>
  <c r="AW34" i="24"/>
  <c r="AW27" i="24"/>
  <c r="AW25" i="24"/>
  <c r="AW17" i="15"/>
  <c r="AX17" i="15"/>
  <c r="AX37" i="15" s="1"/>
  <c r="C22" i="21"/>
  <c r="B70" i="9"/>
  <c r="C30" i="11" s="1"/>
  <c r="F22" i="2"/>
  <c r="J23" i="2"/>
  <c r="J22" i="2"/>
  <c r="E22" i="21"/>
  <c r="J22" i="21" s="1"/>
  <c r="D70" i="9"/>
  <c r="H22" i="2"/>
  <c r="G29" i="11"/>
  <c r="AP12" i="17"/>
  <c r="G22" i="21" l="1"/>
  <c r="H22" i="21"/>
  <c r="BC160" i="17"/>
  <c r="BC255" i="17"/>
  <c r="BC211" i="17"/>
  <c r="BC225" i="17"/>
  <c r="BC206" i="17"/>
  <c r="BC165" i="17"/>
  <c r="BC180" i="17"/>
  <c r="BC157" i="17"/>
  <c r="BC216" i="17"/>
  <c r="BC239" i="17"/>
  <c r="BC249" i="17"/>
  <c r="BC190" i="17"/>
  <c r="BC172" i="17"/>
  <c r="BC205" i="17"/>
  <c r="BC224" i="17"/>
  <c r="BC192" i="17"/>
  <c r="BC242" i="17"/>
  <c r="BC247" i="17"/>
  <c r="BC238" i="17"/>
  <c r="BC261" i="17"/>
  <c r="BC223" i="17"/>
  <c r="BC237" i="17"/>
  <c r="BC146" i="17"/>
  <c r="BC183" i="17"/>
  <c r="BC167" i="17"/>
  <c r="BC214" i="17"/>
  <c r="BC202" i="17"/>
  <c r="BC219" i="17"/>
  <c r="BC244" i="17"/>
  <c r="BC251" i="17"/>
  <c r="BC229" i="17"/>
  <c r="BC193" i="17"/>
  <c r="BC199" i="17"/>
  <c r="BC230" i="17"/>
  <c r="BC152" i="17"/>
  <c r="BC171" i="17"/>
  <c r="BC220" i="17"/>
  <c r="BC169" i="17"/>
  <c r="BC194" i="17"/>
  <c r="BC253" i="17"/>
  <c r="BC184" i="17"/>
  <c r="BC215" i="17"/>
  <c r="BC200" i="17"/>
  <c r="BC185" i="17"/>
  <c r="BC250" i="17"/>
  <c r="BC226" i="17"/>
  <c r="BC166" i="17"/>
  <c r="BC245" i="17"/>
  <c r="BC162" i="17"/>
  <c r="BC217" i="17"/>
  <c r="BC196" i="17"/>
  <c r="BC177" i="17"/>
  <c r="BC248" i="17"/>
  <c r="BC262" i="17"/>
  <c r="BC147" i="17"/>
  <c r="BC254" i="17"/>
  <c r="BC154" i="17"/>
  <c r="BC227" i="17"/>
  <c r="BC155" i="17"/>
  <c r="BC148" i="17"/>
  <c r="BC234" i="17"/>
  <c r="BC210" i="17"/>
  <c r="BC209" i="17"/>
  <c r="BC186" i="17"/>
  <c r="BC175" i="17"/>
  <c r="BC181" i="17"/>
  <c r="BC252" i="17"/>
  <c r="BC179" i="17"/>
  <c r="BC187" i="17"/>
  <c r="BC231" i="17"/>
  <c r="BC233" i="17"/>
  <c r="BC164" i="17"/>
  <c r="BC149" i="17"/>
  <c r="BC173" i="17"/>
  <c r="BC240" i="17"/>
  <c r="BC243" i="17"/>
  <c r="BC213" i="17"/>
  <c r="BC158" i="17"/>
  <c r="BC151" i="17"/>
  <c r="BC221" i="17"/>
  <c r="BC156" i="17"/>
  <c r="BC195" i="17"/>
  <c r="BC168" i="17"/>
  <c r="BC188" i="17"/>
  <c r="BC159" i="17"/>
  <c r="BC150" i="17"/>
  <c r="BC182" i="17"/>
  <c r="BC212" i="17"/>
  <c r="BC163" i="17"/>
  <c r="BC228" i="17"/>
  <c r="BC222" i="17"/>
  <c r="BC178" i="17"/>
  <c r="BC232" i="17"/>
  <c r="BC241" i="17"/>
  <c r="BC260" i="17"/>
  <c r="BC201" i="17"/>
  <c r="BC258" i="17"/>
  <c r="BC176" i="17"/>
  <c r="BC257" i="17"/>
  <c r="BC197" i="17"/>
  <c r="BC256" i="17"/>
  <c r="BC204" i="17"/>
  <c r="BC191" i="17"/>
  <c r="BC218" i="17"/>
  <c r="BC235" i="17"/>
  <c r="BC170" i="17"/>
  <c r="BC246" i="17"/>
  <c r="BC153" i="17"/>
  <c r="BC208" i="17"/>
  <c r="BC203" i="17"/>
  <c r="BC174" i="17"/>
  <c r="BC259" i="17"/>
  <c r="BC198" i="17"/>
  <c r="BC236" i="17"/>
  <c r="BC161" i="17"/>
  <c r="BC207" i="17"/>
  <c r="BC189" i="17"/>
  <c r="A41" i="22"/>
  <c r="B23" i="21"/>
  <c r="AT18" i="17"/>
  <c r="AT100" i="17"/>
  <c r="AT86" i="17"/>
  <c r="I22" i="2"/>
  <c r="F22" i="21" s="1"/>
  <c r="L22" i="2"/>
  <c r="BP422" i="17"/>
  <c r="BP517" i="17"/>
  <c r="BP467" i="17"/>
  <c r="BP410" i="17"/>
  <c r="BP452" i="17"/>
  <c r="BP463" i="17"/>
  <c r="BP478" i="17"/>
  <c r="BP498" i="17"/>
  <c r="BP500" i="17"/>
  <c r="BP514" i="17"/>
  <c r="BP457" i="17"/>
  <c r="BP412" i="17"/>
  <c r="BP448" i="17"/>
  <c r="BP430" i="17"/>
  <c r="BP409" i="17"/>
  <c r="BP477" i="17"/>
  <c r="BP479" i="17"/>
  <c r="BP435" i="17"/>
  <c r="BP453" i="17"/>
  <c r="BP491" i="17"/>
  <c r="BP462" i="17"/>
  <c r="BP515" i="17"/>
  <c r="BP503" i="17"/>
  <c r="BP418" i="17"/>
  <c r="BP437" i="17"/>
  <c r="BP450" i="17"/>
  <c r="BP483" i="17"/>
  <c r="BP468" i="17"/>
  <c r="BP471" i="17"/>
  <c r="BP432" i="17"/>
  <c r="BP513" i="17"/>
  <c r="BP424" i="17"/>
  <c r="BP484" i="17"/>
  <c r="BP499" i="17"/>
  <c r="BP469" i="17"/>
  <c r="BP504" i="17"/>
  <c r="BP434" i="17"/>
  <c r="BP488" i="17"/>
  <c r="BP508" i="17"/>
  <c r="BP512" i="17"/>
  <c r="BP429" i="17"/>
  <c r="BP523" i="17"/>
  <c r="BP466" i="17"/>
  <c r="BP433" i="17"/>
  <c r="BP425" i="17"/>
  <c r="BP481" i="17"/>
  <c r="BP431" i="17"/>
  <c r="BP516" i="17"/>
  <c r="BP490" i="17"/>
  <c r="BP416" i="17"/>
  <c r="BP519" i="17"/>
  <c r="BP436" i="17"/>
  <c r="BP520" i="17"/>
  <c r="BP511" i="17"/>
  <c r="BP494" i="17"/>
  <c r="BP482" i="17"/>
  <c r="BP451" i="17"/>
  <c r="BP475" i="17"/>
  <c r="BP474" i="17"/>
  <c r="BP476" i="17"/>
  <c r="BP524" i="17"/>
  <c r="BP507" i="17"/>
  <c r="BP518" i="17"/>
  <c r="BP415" i="17"/>
  <c r="BP419" i="17"/>
  <c r="BP423" i="17"/>
  <c r="BP522" i="17"/>
  <c r="BP408" i="17"/>
  <c r="BP455" i="17"/>
  <c r="BP441" i="17"/>
  <c r="BP449" i="17"/>
  <c r="BP487" i="17"/>
  <c r="BP461" i="17"/>
  <c r="BP458" i="17"/>
  <c r="BP460" i="17"/>
  <c r="BP454" i="17"/>
  <c r="BP506" i="17"/>
  <c r="BP502" i="17"/>
  <c r="BP411" i="17"/>
  <c r="BP501" i="17"/>
  <c r="BP496" i="17"/>
  <c r="BP510" i="17"/>
  <c r="BP473" i="17"/>
  <c r="BP465" i="17"/>
  <c r="BP492" i="17"/>
  <c r="BP472" i="17"/>
  <c r="BP459" i="17"/>
  <c r="BP497" i="17"/>
  <c r="BP464" i="17"/>
  <c r="BP420" i="17"/>
  <c r="BP489" i="17"/>
  <c r="BP426" i="17"/>
  <c r="BP470" i="17"/>
  <c r="BP446" i="17"/>
  <c r="BP427" i="17"/>
  <c r="BP421" i="17"/>
  <c r="BP428" i="17"/>
  <c r="BP505" i="17"/>
  <c r="BP444" i="17"/>
  <c r="BP414" i="17"/>
  <c r="BP440" i="17"/>
  <c r="BP495" i="17"/>
  <c r="BP521" i="17"/>
  <c r="BP443" i="17"/>
  <c r="BP447" i="17"/>
  <c r="BP445" i="17"/>
  <c r="BP485" i="17"/>
  <c r="BP442" i="17"/>
  <c r="BP439" i="17"/>
  <c r="BP486" i="17"/>
  <c r="BP493" i="17"/>
  <c r="BP480" i="17"/>
  <c r="BP438" i="17"/>
  <c r="BP417" i="17"/>
  <c r="BP413" i="17"/>
  <c r="BP509" i="17"/>
  <c r="BP456" i="17"/>
  <c r="BO517" i="17"/>
  <c r="BO422" i="17"/>
  <c r="BO429" i="17"/>
  <c r="BO435" i="17"/>
  <c r="BO518" i="17"/>
  <c r="BO501" i="17"/>
  <c r="BO491" i="17"/>
  <c r="BO418" i="17"/>
  <c r="BO425" i="17"/>
  <c r="BO478" i="17"/>
  <c r="BO450" i="17"/>
  <c r="BO483" i="17"/>
  <c r="BO468" i="17"/>
  <c r="BO471" i="17"/>
  <c r="BO498" i="17"/>
  <c r="BO432" i="17"/>
  <c r="BO424" i="17"/>
  <c r="BO484" i="17"/>
  <c r="BO504" i="17"/>
  <c r="BO510" i="17"/>
  <c r="BO434" i="17"/>
  <c r="BO430" i="17"/>
  <c r="BO488" i="17"/>
  <c r="BO508" i="17"/>
  <c r="BO421" i="17"/>
  <c r="BO512" i="17"/>
  <c r="BO410" i="17"/>
  <c r="BO462" i="17"/>
  <c r="BO466" i="17"/>
  <c r="BO414" i="17"/>
  <c r="BO431" i="17"/>
  <c r="BO514" i="17"/>
  <c r="BO513" i="17"/>
  <c r="BO516" i="17"/>
  <c r="BO416" i="17"/>
  <c r="BO522" i="17"/>
  <c r="BO436" i="17"/>
  <c r="BO509" i="17"/>
  <c r="BO520" i="17"/>
  <c r="BO473" i="17"/>
  <c r="BO482" i="17"/>
  <c r="BO451" i="17"/>
  <c r="BO475" i="17"/>
  <c r="BO476" i="17"/>
  <c r="BO524" i="17"/>
  <c r="BO441" i="17"/>
  <c r="BO411" i="17"/>
  <c r="BO453" i="17"/>
  <c r="BO413" i="17"/>
  <c r="BO415" i="17"/>
  <c r="BO515" i="17"/>
  <c r="BO419" i="17"/>
  <c r="BO503" i="17"/>
  <c r="BO444" i="17"/>
  <c r="BO423" i="17"/>
  <c r="BO437" i="17"/>
  <c r="BO440" i="17"/>
  <c r="BO490" i="17"/>
  <c r="BO499" i="17"/>
  <c r="BO469" i="17"/>
  <c r="BO427" i="17"/>
  <c r="BO457" i="17"/>
  <c r="BO495" i="17"/>
  <c r="BO408" i="17"/>
  <c r="BO494" i="17"/>
  <c r="BO443" i="17"/>
  <c r="BO474" i="17"/>
  <c r="BO455" i="17"/>
  <c r="BO465" i="17"/>
  <c r="BO492" i="17"/>
  <c r="BO428" i="17"/>
  <c r="BO409" i="17"/>
  <c r="BO477" i="17"/>
  <c r="BO467" i="17"/>
  <c r="BO505" i="17"/>
  <c r="BO433" i="17"/>
  <c r="BO463" i="17"/>
  <c r="BO500" i="17"/>
  <c r="BO521" i="17"/>
  <c r="BO479" i="17"/>
  <c r="BO447" i="17"/>
  <c r="BO472" i="17"/>
  <c r="BO459" i="17"/>
  <c r="BO458" i="17"/>
  <c r="BO502" i="17"/>
  <c r="BO464" i="17"/>
  <c r="BO493" i="17"/>
  <c r="BO420" i="17"/>
  <c r="BO438" i="17"/>
  <c r="BO487" i="17"/>
  <c r="BO485" i="17"/>
  <c r="BO460" i="17"/>
  <c r="BO470" i="17"/>
  <c r="BO496" i="17"/>
  <c r="BO519" i="17"/>
  <c r="BO448" i="17"/>
  <c r="BO497" i="17"/>
  <c r="BO439" i="17"/>
  <c r="BO486" i="17"/>
  <c r="BO480" i="17"/>
  <c r="BO454" i="17"/>
  <c r="BO426" i="17"/>
  <c r="BO456" i="17"/>
  <c r="BO523" i="17"/>
  <c r="BO452" i="17"/>
  <c r="BO417" i="17"/>
  <c r="BO481" i="17"/>
  <c r="BO511" i="17"/>
  <c r="BO412" i="17"/>
  <c r="BO507" i="17"/>
  <c r="BO445" i="17"/>
  <c r="BO449" i="17"/>
  <c r="BO461" i="17"/>
  <c r="BO442" i="17"/>
  <c r="BO446" i="17"/>
  <c r="BO489" i="17"/>
  <c r="BO506" i="17"/>
  <c r="AR25" i="17"/>
  <c r="AT25" i="17" s="1"/>
  <c r="AR36" i="17"/>
  <c r="AR33" i="17"/>
  <c r="AR59" i="17"/>
  <c r="AR19" i="17"/>
  <c r="AT19" i="17" s="1"/>
  <c r="AR78" i="17"/>
  <c r="AR46" i="17"/>
  <c r="AR30" i="17"/>
  <c r="AR48" i="17"/>
  <c r="AR88" i="17"/>
  <c r="AR41" i="17"/>
  <c r="AR42" i="17"/>
  <c r="AR53" i="17"/>
  <c r="AR98" i="17"/>
  <c r="AR124" i="17"/>
  <c r="O22" i="2"/>
  <c r="M22" i="2"/>
  <c r="AZ27" i="24"/>
  <c r="BD16" i="24" s="1"/>
  <c r="AZ35" i="24"/>
  <c r="AZ33" i="24"/>
  <c r="BQ517" i="17"/>
  <c r="BQ422" i="17"/>
  <c r="BQ467" i="17"/>
  <c r="BQ518" i="17"/>
  <c r="BQ453" i="17"/>
  <c r="BQ501" i="17"/>
  <c r="BQ452" i="17"/>
  <c r="BQ437" i="17"/>
  <c r="BQ463" i="17"/>
  <c r="BQ478" i="17"/>
  <c r="BQ496" i="17"/>
  <c r="BQ424" i="17"/>
  <c r="BQ469" i="17"/>
  <c r="BQ457" i="17"/>
  <c r="BQ510" i="17"/>
  <c r="BQ430" i="17"/>
  <c r="BQ488" i="17"/>
  <c r="BQ512" i="17"/>
  <c r="BQ465" i="17"/>
  <c r="BQ476" i="17"/>
  <c r="BQ477" i="17"/>
  <c r="BQ479" i="17"/>
  <c r="BQ435" i="17"/>
  <c r="BQ491" i="17"/>
  <c r="BQ505" i="17"/>
  <c r="BQ462" i="17"/>
  <c r="BQ413" i="17"/>
  <c r="BQ515" i="17"/>
  <c r="BQ433" i="17"/>
  <c r="BQ503" i="17"/>
  <c r="BQ418" i="17"/>
  <c r="BQ450" i="17"/>
  <c r="BQ483" i="17"/>
  <c r="BQ468" i="17"/>
  <c r="BQ471" i="17"/>
  <c r="BQ481" i="17"/>
  <c r="BQ500" i="17"/>
  <c r="BQ484" i="17"/>
  <c r="BQ499" i="17"/>
  <c r="BQ416" i="17"/>
  <c r="BQ522" i="17"/>
  <c r="BQ509" i="17"/>
  <c r="BQ408" i="17"/>
  <c r="BQ520" i="17"/>
  <c r="BQ434" i="17"/>
  <c r="BQ521" i="17"/>
  <c r="BQ448" i="17"/>
  <c r="BQ429" i="17"/>
  <c r="BQ523" i="17"/>
  <c r="BQ466" i="17"/>
  <c r="BQ444" i="17"/>
  <c r="BQ414" i="17"/>
  <c r="BQ425" i="17"/>
  <c r="BQ440" i="17"/>
  <c r="BQ498" i="17"/>
  <c r="BQ431" i="17"/>
  <c r="BQ432" i="17"/>
  <c r="BQ514" i="17"/>
  <c r="BQ490" i="17"/>
  <c r="BQ519" i="17"/>
  <c r="BQ436" i="17"/>
  <c r="BQ504" i="17"/>
  <c r="BQ511" i="17"/>
  <c r="BQ494" i="17"/>
  <c r="BQ482" i="17"/>
  <c r="BQ451" i="17"/>
  <c r="BQ475" i="17"/>
  <c r="BQ508" i="17"/>
  <c r="BQ474" i="17"/>
  <c r="BQ421" i="17"/>
  <c r="BQ507" i="17"/>
  <c r="BQ409" i="17"/>
  <c r="BQ411" i="17"/>
  <c r="BQ410" i="17"/>
  <c r="BQ441" i="17"/>
  <c r="BQ449" i="17"/>
  <c r="BQ472" i="17"/>
  <c r="BQ487" i="17"/>
  <c r="BQ461" i="17"/>
  <c r="BQ458" i="17"/>
  <c r="BQ502" i="17"/>
  <c r="BQ454" i="17"/>
  <c r="BQ455" i="17"/>
  <c r="BQ497" i="17"/>
  <c r="BQ480" i="17"/>
  <c r="BQ513" i="17"/>
  <c r="BQ495" i="17"/>
  <c r="BQ473" i="17"/>
  <c r="BQ412" i="17"/>
  <c r="BQ443" i="17"/>
  <c r="BQ492" i="17"/>
  <c r="BQ524" i="17"/>
  <c r="BQ459" i="17"/>
  <c r="BQ485" i="17"/>
  <c r="BQ420" i="17"/>
  <c r="BQ489" i="17"/>
  <c r="BQ426" i="17"/>
  <c r="BQ417" i="17"/>
  <c r="BQ456" i="17"/>
  <c r="BQ506" i="17"/>
  <c r="BQ415" i="17"/>
  <c r="BQ419" i="17"/>
  <c r="BQ423" i="17"/>
  <c r="BQ428" i="17"/>
  <c r="BQ460" i="17"/>
  <c r="BQ470" i="17"/>
  <c r="BQ446" i="17"/>
  <c r="BQ516" i="17"/>
  <c r="BQ427" i="17"/>
  <c r="BQ445" i="17"/>
  <c r="BQ442" i="17"/>
  <c r="BQ439" i="17"/>
  <c r="BQ464" i="17"/>
  <c r="BQ486" i="17"/>
  <c r="BQ493" i="17"/>
  <c r="BQ438" i="17"/>
  <c r="BQ447" i="17"/>
  <c r="BM422" i="17"/>
  <c r="BM517" i="17"/>
  <c r="BM411" i="17"/>
  <c r="BM470" i="17"/>
  <c r="BM410" i="17"/>
  <c r="BM505" i="17"/>
  <c r="BM415" i="17"/>
  <c r="BM419" i="17"/>
  <c r="BM423" i="17"/>
  <c r="BM446" i="17"/>
  <c r="BM500" i="17"/>
  <c r="BM432" i="17"/>
  <c r="BM427" i="17"/>
  <c r="BM504" i="17"/>
  <c r="BM495" i="17"/>
  <c r="BM473" i="17"/>
  <c r="BM521" i="17"/>
  <c r="BM443" i="17"/>
  <c r="BM455" i="17"/>
  <c r="BM512" i="17"/>
  <c r="BM524" i="17"/>
  <c r="BM441" i="17"/>
  <c r="BM467" i="17"/>
  <c r="BM518" i="17"/>
  <c r="BM453" i="17"/>
  <c r="BM452" i="17"/>
  <c r="BM437" i="17"/>
  <c r="BM463" i="17"/>
  <c r="BM478" i="17"/>
  <c r="BM424" i="17"/>
  <c r="BM516" i="17"/>
  <c r="BM469" i="17"/>
  <c r="BM457" i="17"/>
  <c r="BM510" i="17"/>
  <c r="BM520" i="17"/>
  <c r="BM412" i="17"/>
  <c r="BM448" i="17"/>
  <c r="BM430" i="17"/>
  <c r="BM488" i="17"/>
  <c r="BM465" i="17"/>
  <c r="BM476" i="17"/>
  <c r="BM409" i="17"/>
  <c r="BM477" i="17"/>
  <c r="BM435" i="17"/>
  <c r="BM501" i="17"/>
  <c r="BM491" i="17"/>
  <c r="BM462" i="17"/>
  <c r="BM413" i="17"/>
  <c r="BM515" i="17"/>
  <c r="BM433" i="17"/>
  <c r="BM503" i="17"/>
  <c r="BM444" i="17"/>
  <c r="BM418" i="17"/>
  <c r="BM450" i="17"/>
  <c r="BM496" i="17"/>
  <c r="BM483" i="17"/>
  <c r="BM468" i="17"/>
  <c r="BM471" i="17"/>
  <c r="BM481" i="17"/>
  <c r="BM513" i="17"/>
  <c r="BM484" i="17"/>
  <c r="BM499" i="17"/>
  <c r="BM522" i="17"/>
  <c r="BM408" i="17"/>
  <c r="BM434" i="17"/>
  <c r="BM492" i="17"/>
  <c r="BM428" i="17"/>
  <c r="BM466" i="17"/>
  <c r="BM425" i="17"/>
  <c r="BM498" i="17"/>
  <c r="BM431" i="17"/>
  <c r="BM490" i="17"/>
  <c r="BM507" i="17"/>
  <c r="BM447" i="17"/>
  <c r="BM445" i="17"/>
  <c r="BM486" i="17"/>
  <c r="BM493" i="17"/>
  <c r="BM438" i="17"/>
  <c r="BM416" i="17"/>
  <c r="BM482" i="17"/>
  <c r="BM451" i="17"/>
  <c r="BM508" i="17"/>
  <c r="BM421" i="17"/>
  <c r="BM479" i="17"/>
  <c r="BM449" i="17"/>
  <c r="BM472" i="17"/>
  <c r="BM487" i="17"/>
  <c r="BM461" i="17"/>
  <c r="BM458" i="17"/>
  <c r="BM502" i="17"/>
  <c r="BM464" i="17"/>
  <c r="BM480" i="17"/>
  <c r="BM454" i="17"/>
  <c r="BM426" i="17"/>
  <c r="BM417" i="17"/>
  <c r="BM519" i="17"/>
  <c r="BM494" i="17"/>
  <c r="BM442" i="17"/>
  <c r="BM439" i="17"/>
  <c r="BM460" i="17"/>
  <c r="BM523" i="17"/>
  <c r="BM414" i="17"/>
  <c r="BM514" i="17"/>
  <c r="BM509" i="17"/>
  <c r="BM475" i="17"/>
  <c r="BM474" i="17"/>
  <c r="BM459" i="17"/>
  <c r="BM485" i="17"/>
  <c r="BM497" i="17"/>
  <c r="BM420" i="17"/>
  <c r="BM489" i="17"/>
  <c r="BM429" i="17"/>
  <c r="BM440" i="17"/>
  <c r="BM436" i="17"/>
  <c r="BM511" i="17"/>
  <c r="BM456" i="17"/>
  <c r="BM506" i="17"/>
  <c r="AS29" i="17"/>
  <c r="AT29" i="17" s="1"/>
  <c r="AS124" i="17"/>
  <c r="AS112" i="17"/>
  <c r="AS119" i="17"/>
  <c r="AS41" i="17"/>
  <c r="AS89" i="17"/>
  <c r="AS126" i="17"/>
  <c r="AS27" i="17"/>
  <c r="AS98" i="17"/>
  <c r="AS110" i="17"/>
  <c r="AS114" i="17"/>
  <c r="AS73" i="17"/>
  <c r="AS128" i="17"/>
  <c r="AS43" i="17"/>
  <c r="AS120" i="17"/>
  <c r="AS53" i="17"/>
  <c r="AS86" i="17"/>
  <c r="AS122" i="17"/>
  <c r="AS123" i="17"/>
  <c r="AS75" i="17"/>
  <c r="AS95" i="17"/>
  <c r="AT95" i="17" s="1"/>
  <c r="AS42" i="17"/>
  <c r="AS91" i="17"/>
  <c r="AS54" i="17"/>
  <c r="AS99" i="17"/>
  <c r="AT99" i="17" s="1"/>
  <c r="AS106" i="17"/>
  <c r="AS32" i="17"/>
  <c r="AS44" i="17"/>
  <c r="AT44" i="17" s="1"/>
  <c r="AS72" i="17"/>
  <c r="AS76" i="17"/>
  <c r="AS65" i="17"/>
  <c r="AT65" i="17" s="1"/>
  <c r="AS88" i="17"/>
  <c r="AS93" i="17"/>
  <c r="AT93" i="17" s="1"/>
  <c r="AS70" i="17"/>
  <c r="AS107" i="17"/>
  <c r="AS35" i="17"/>
  <c r="AS115" i="17"/>
  <c r="AS94" i="17"/>
  <c r="AS80" i="17"/>
  <c r="AS130" i="17"/>
  <c r="AT130" i="17" s="1"/>
  <c r="AS17" i="17"/>
  <c r="AS77" i="17"/>
  <c r="AS47" i="17"/>
  <c r="AS26" i="17"/>
  <c r="AS105" i="17"/>
  <c r="AT105" i="17" s="1"/>
  <c r="AS102" i="17"/>
  <c r="AS121" i="17"/>
  <c r="AS15" i="17"/>
  <c r="AS30" i="17"/>
  <c r="AS25" i="17"/>
  <c r="AS57" i="17"/>
  <c r="AS36" i="17"/>
  <c r="AS61" i="17"/>
  <c r="AS63" i="17"/>
  <c r="AS66" i="17"/>
  <c r="AS101" i="17"/>
  <c r="AS46" i="17"/>
  <c r="AS71" i="17"/>
  <c r="AT71" i="17" s="1"/>
  <c r="AS131" i="17"/>
  <c r="AS48" i="17"/>
  <c r="AS103" i="17"/>
  <c r="AS118" i="17"/>
  <c r="AS40" i="17"/>
  <c r="AS60" i="17"/>
  <c r="AT60" i="17" s="1"/>
  <c r="AS64" i="17"/>
  <c r="AS90" i="17"/>
  <c r="AS97" i="17"/>
  <c r="AS78" i="17"/>
  <c r="AS21" i="17"/>
  <c r="AS96" i="17"/>
  <c r="AS38" i="17"/>
  <c r="AS33" i="17"/>
  <c r="AS18" i="17"/>
  <c r="AS116" i="17"/>
  <c r="AS85" i="17"/>
  <c r="AS62" i="17"/>
  <c r="AS23" i="17"/>
  <c r="AS129" i="17"/>
  <c r="AS16" i="17"/>
  <c r="AT16" i="17" s="1"/>
  <c r="AS87" i="17"/>
  <c r="AT87" i="17" s="1"/>
  <c r="AS37" i="17"/>
  <c r="AS22" i="17"/>
  <c r="AS20" i="17"/>
  <c r="AS59" i="17"/>
  <c r="AS68" i="17"/>
  <c r="AS74" i="17"/>
  <c r="AT74" i="17" s="1"/>
  <c r="AS104" i="17"/>
  <c r="AS125" i="17"/>
  <c r="AS49" i="17"/>
  <c r="AT49" i="17" s="1"/>
  <c r="AS83" i="17"/>
  <c r="AS45" i="17"/>
  <c r="AS55" i="17"/>
  <c r="AS82" i="17"/>
  <c r="AS109" i="17"/>
  <c r="AS19" i="17"/>
  <c r="AS113" i="17"/>
  <c r="AT113" i="17" s="1"/>
  <c r="AS52" i="17"/>
  <c r="AS100" i="17"/>
  <c r="AS127" i="17"/>
  <c r="AS108" i="17"/>
  <c r="AT108" i="17" s="1"/>
  <c r="AS34" i="17"/>
  <c r="AS117" i="17"/>
  <c r="AS79" i="17"/>
  <c r="AS67" i="17"/>
  <c r="AS111" i="17"/>
  <c r="AS28" i="17"/>
  <c r="AS69" i="17"/>
  <c r="AS31" i="17"/>
  <c r="AS81" i="17"/>
  <c r="AS56" i="17"/>
  <c r="AS92" i="17"/>
  <c r="AS51" i="17"/>
  <c r="AS39" i="17"/>
  <c r="AT39" i="17" s="1"/>
  <c r="AS84" i="17"/>
  <c r="AS58" i="17"/>
  <c r="AS50" i="17"/>
  <c r="AT50" i="17" s="1"/>
  <c r="AS24" i="17"/>
  <c r="BB16" i="20"/>
  <c r="BC16" i="20"/>
  <c r="AW19" i="20"/>
  <c r="BE255" i="17"/>
  <c r="BE160" i="17"/>
  <c r="BE166" i="17"/>
  <c r="BE225" i="17"/>
  <c r="BE202" i="17"/>
  <c r="BE176" i="17"/>
  <c r="BE262" i="17"/>
  <c r="BE254" i="17"/>
  <c r="BE180" i="17"/>
  <c r="BE227" i="17"/>
  <c r="BE243" i="17"/>
  <c r="BE249" i="17"/>
  <c r="BE172" i="17"/>
  <c r="BE175" i="17"/>
  <c r="BE194" i="17"/>
  <c r="BE253" i="17"/>
  <c r="BE231" i="17"/>
  <c r="BE149" i="17"/>
  <c r="BE256" i="17"/>
  <c r="BE250" i="17"/>
  <c r="BE226" i="17"/>
  <c r="BE245" i="17"/>
  <c r="BE211" i="17"/>
  <c r="BE162" i="17"/>
  <c r="BE191" i="17"/>
  <c r="BE182" i="17"/>
  <c r="BE219" i="17"/>
  <c r="BE259" i="17"/>
  <c r="BE244" i="17"/>
  <c r="BE251" i="17"/>
  <c r="BE193" i="17"/>
  <c r="BE235" i="17"/>
  <c r="BE157" i="17"/>
  <c r="BE154" i="17"/>
  <c r="BE216" i="17"/>
  <c r="BE234" i="17"/>
  <c r="BE210" i="17"/>
  <c r="BE220" i="17"/>
  <c r="BE198" i="17"/>
  <c r="BE224" i="17"/>
  <c r="BE163" i="17"/>
  <c r="BE192" i="17"/>
  <c r="BE186" i="17"/>
  <c r="BE169" i="17"/>
  <c r="BE181" i="17"/>
  <c r="BE246" i="17"/>
  <c r="BE158" i="17"/>
  <c r="BE151" i="17"/>
  <c r="BE173" i="17"/>
  <c r="BE197" i="17"/>
  <c r="BE185" i="17"/>
  <c r="BE217" i="17"/>
  <c r="BE196" i="17"/>
  <c r="BE206" i="17"/>
  <c r="BE177" i="17"/>
  <c r="BE218" i="17"/>
  <c r="BE165" i="17"/>
  <c r="BE152" i="17"/>
  <c r="BE239" i="17"/>
  <c r="BE148" i="17"/>
  <c r="BE190" i="17"/>
  <c r="BE209" i="17"/>
  <c r="BE247" i="17"/>
  <c r="BE213" i="17"/>
  <c r="BE238" i="17"/>
  <c r="BE170" i="17"/>
  <c r="BE252" i="17"/>
  <c r="BE261" i="17"/>
  <c r="BE187" i="17"/>
  <c r="BE223" i="17"/>
  <c r="BE233" i="17"/>
  <c r="BE164" i="17"/>
  <c r="BE184" i="17"/>
  <c r="BE214" i="17"/>
  <c r="BE248" i="17"/>
  <c r="BE236" i="17"/>
  <c r="BE242" i="17"/>
  <c r="BE179" i="17"/>
  <c r="BE178" i="17"/>
  <c r="BE203" i="17"/>
  <c r="BE156" i="17"/>
  <c r="BE174" i="17"/>
  <c r="BE188" i="17"/>
  <c r="BE258" i="17"/>
  <c r="BE215" i="17"/>
  <c r="BE208" i="17"/>
  <c r="BE221" i="17"/>
  <c r="BE161" i="17"/>
  <c r="BE200" i="17"/>
  <c r="BE205" i="17"/>
  <c r="BE146" i="17"/>
  <c r="BE159" i="17"/>
  <c r="BE150" i="17"/>
  <c r="BE241" i="17"/>
  <c r="BE207" i="17"/>
  <c r="BE260" i="17"/>
  <c r="BE201" i="17"/>
  <c r="BE168" i="17"/>
  <c r="BE167" i="17"/>
  <c r="BE229" i="17"/>
  <c r="BE171" i="17"/>
  <c r="BE204" i="17"/>
  <c r="BE147" i="17"/>
  <c r="BE212" i="17"/>
  <c r="BE199" i="17"/>
  <c r="BE230" i="17"/>
  <c r="BE155" i="17"/>
  <c r="BE228" i="17"/>
  <c r="BE240" i="17"/>
  <c r="BE153" i="17"/>
  <c r="BE183" i="17"/>
  <c r="BE232" i="17"/>
  <c r="BE189" i="17"/>
  <c r="BE195" i="17"/>
  <c r="BE237" i="17"/>
  <c r="BE257" i="17"/>
  <c r="BE222" i="17"/>
  <c r="BD160" i="17"/>
  <c r="BD255" i="17"/>
  <c r="BD185" i="17"/>
  <c r="BD211" i="17"/>
  <c r="BD217" i="17"/>
  <c r="BD214" i="17"/>
  <c r="BD177" i="17"/>
  <c r="BD244" i="17"/>
  <c r="BD229" i="17"/>
  <c r="BD230" i="17"/>
  <c r="BD152" i="17"/>
  <c r="BD239" i="17"/>
  <c r="BD205" i="17"/>
  <c r="BD220" i="17"/>
  <c r="BD209" i="17"/>
  <c r="BD242" i="17"/>
  <c r="BD247" i="17"/>
  <c r="BD223" i="17"/>
  <c r="BD237" i="17"/>
  <c r="BD233" i="17"/>
  <c r="BD146" i="17"/>
  <c r="BD256" i="17"/>
  <c r="BD240" i="17"/>
  <c r="BD184" i="17"/>
  <c r="BD208" i="17"/>
  <c r="BD183" i="17"/>
  <c r="BD167" i="17"/>
  <c r="BD166" i="17"/>
  <c r="BD196" i="17"/>
  <c r="BD202" i="17"/>
  <c r="BD219" i="17"/>
  <c r="BD176" i="17"/>
  <c r="BD248" i="17"/>
  <c r="BD251" i="17"/>
  <c r="BD262" i="17"/>
  <c r="BD254" i="17"/>
  <c r="BD199" i="17"/>
  <c r="BD148" i="17"/>
  <c r="BD171" i="17"/>
  <c r="BD224" i="17"/>
  <c r="BD192" i="17"/>
  <c r="BD252" i="17"/>
  <c r="BD194" i="17"/>
  <c r="BD253" i="17"/>
  <c r="BD257" i="17"/>
  <c r="BD164" i="17"/>
  <c r="BD149" i="17"/>
  <c r="BD215" i="17"/>
  <c r="BD200" i="17"/>
  <c r="BD250" i="17"/>
  <c r="BD226" i="17"/>
  <c r="BD245" i="17"/>
  <c r="BD162" i="17"/>
  <c r="BD225" i="17"/>
  <c r="BD182" i="17"/>
  <c r="BD147" i="17"/>
  <c r="BD212" i="17"/>
  <c r="BD157" i="17"/>
  <c r="BD154" i="17"/>
  <c r="BD227" i="17"/>
  <c r="BD155" i="17"/>
  <c r="BD234" i="17"/>
  <c r="BD249" i="17"/>
  <c r="BD210" i="17"/>
  <c r="BD198" i="17"/>
  <c r="BD236" i="17"/>
  <c r="BD186" i="17"/>
  <c r="BD175" i="17"/>
  <c r="BD181" i="17"/>
  <c r="BD179" i="17"/>
  <c r="BD246" i="17"/>
  <c r="BD187" i="17"/>
  <c r="BD228" i="17"/>
  <c r="BD231" i="17"/>
  <c r="BD158" i="17"/>
  <c r="BD173" i="17"/>
  <c r="BD197" i="17"/>
  <c r="BD165" i="17"/>
  <c r="BD259" i="17"/>
  <c r="BD169" i="17"/>
  <c r="BD222" i="17"/>
  <c r="BD221" i="17"/>
  <c r="BD260" i="17"/>
  <c r="BD195" i="17"/>
  <c r="BD159" i="17"/>
  <c r="BD207" i="17"/>
  <c r="BD218" i="17"/>
  <c r="BD193" i="17"/>
  <c r="BD180" i="17"/>
  <c r="BD243" i="17"/>
  <c r="BD172" i="17"/>
  <c r="BD170" i="17"/>
  <c r="BD261" i="17"/>
  <c r="BD151" i="17"/>
  <c r="BD178" i="17"/>
  <c r="BD232" i="17"/>
  <c r="BD161" i="17"/>
  <c r="BD174" i="17"/>
  <c r="BD168" i="17"/>
  <c r="BD258" i="17"/>
  <c r="BD241" i="17"/>
  <c r="BD156" i="17"/>
  <c r="BD201" i="17"/>
  <c r="BD206" i="17"/>
  <c r="BD216" i="17"/>
  <c r="BD190" i="17"/>
  <c r="BD163" i="17"/>
  <c r="BD213" i="17"/>
  <c r="BD238" i="17"/>
  <c r="BD153" i="17"/>
  <c r="BD204" i="17"/>
  <c r="BD150" i="17"/>
  <c r="BD203" i="17"/>
  <c r="BD191" i="17"/>
  <c r="BD235" i="17"/>
  <c r="BD189" i="17"/>
  <c r="BD188" i="17"/>
  <c r="BJ291" i="17"/>
  <c r="BJ386" i="17"/>
  <c r="BJ335" i="17"/>
  <c r="BJ363" i="17"/>
  <c r="BJ365" i="17"/>
  <c r="BJ304" i="17"/>
  <c r="BJ353" i="17"/>
  <c r="BJ359" i="17"/>
  <c r="BJ355" i="17"/>
  <c r="BJ326" i="17"/>
  <c r="BJ305" i="17"/>
  <c r="BJ301" i="17"/>
  <c r="BJ389" i="17"/>
  <c r="BJ345" i="17"/>
  <c r="BJ278" i="17"/>
  <c r="BJ362" i="17"/>
  <c r="BJ320" i="17"/>
  <c r="BJ287" i="17"/>
  <c r="BJ391" i="17"/>
  <c r="BJ306" i="17"/>
  <c r="BJ298" i="17"/>
  <c r="BJ279" i="17"/>
  <c r="BJ377" i="17"/>
  <c r="BJ343" i="17"/>
  <c r="BJ334" i="17"/>
  <c r="BJ311" i="17"/>
  <c r="BJ338" i="17"/>
  <c r="BJ300" i="17"/>
  <c r="BJ369" i="17"/>
  <c r="BJ295" i="17"/>
  <c r="BJ347" i="17"/>
  <c r="BJ357" i="17"/>
  <c r="BJ339" i="17"/>
  <c r="BJ327" i="17"/>
  <c r="BJ379" i="17"/>
  <c r="BJ332" i="17"/>
  <c r="BJ286" i="17"/>
  <c r="BJ376" i="17"/>
  <c r="BJ315" i="17"/>
  <c r="BJ293" i="17"/>
  <c r="BJ349" i="17"/>
  <c r="BJ307" i="17"/>
  <c r="BJ299" i="17"/>
  <c r="BJ360" i="17"/>
  <c r="BJ310" i="17"/>
  <c r="BJ346" i="17"/>
  <c r="BJ392" i="17"/>
  <c r="BJ366" i="17"/>
  <c r="BJ342" i="17"/>
  <c r="BJ328" i="17"/>
  <c r="BJ313" i="17"/>
  <c r="BJ280" i="17"/>
  <c r="BJ393" i="17"/>
  <c r="BJ331" i="17"/>
  <c r="BJ380" i="17"/>
  <c r="BJ290" i="17"/>
  <c r="BJ387" i="17"/>
  <c r="BJ371" i="17"/>
  <c r="BJ340" i="17"/>
  <c r="BJ329" i="17"/>
  <c r="BJ317" i="17"/>
  <c r="BJ344" i="17"/>
  <c r="BJ312" i="17"/>
  <c r="BJ370" i="17"/>
  <c r="BJ356" i="17"/>
  <c r="BJ321" i="17"/>
  <c r="BJ289" i="17"/>
  <c r="BJ358" i="17"/>
  <c r="BJ374" i="17"/>
  <c r="BJ308" i="17"/>
  <c r="BJ319" i="17"/>
  <c r="BJ284" i="17"/>
  <c r="BJ314" i="17"/>
  <c r="BJ318" i="17"/>
  <c r="BJ281" i="17"/>
  <c r="BJ354" i="17"/>
  <c r="BJ372" i="17"/>
  <c r="BJ282" i="17"/>
  <c r="BJ381" i="17"/>
  <c r="BJ385" i="17"/>
  <c r="BJ303" i="17"/>
  <c r="BJ337" i="17"/>
  <c r="BJ368" i="17"/>
  <c r="BJ350" i="17"/>
  <c r="BJ383" i="17"/>
  <c r="BJ390" i="17"/>
  <c r="BJ333" i="17"/>
  <c r="BJ336" i="17"/>
  <c r="BJ283" i="17"/>
  <c r="BJ325" i="17"/>
  <c r="BJ294" i="17"/>
  <c r="BJ316" i="17"/>
  <c r="BJ324" i="17"/>
  <c r="BJ351" i="17"/>
  <c r="BJ285" i="17"/>
  <c r="BJ296" i="17"/>
  <c r="BJ364" i="17"/>
  <c r="BJ382" i="17"/>
  <c r="BJ277" i="17"/>
  <c r="BJ378" i="17"/>
  <c r="BJ309" i="17"/>
  <c r="BJ292" i="17"/>
  <c r="BJ384" i="17"/>
  <c r="BJ388" i="17"/>
  <c r="BJ348" i="17"/>
  <c r="BJ341" i="17"/>
  <c r="BJ323" i="17"/>
  <c r="BJ373" i="17"/>
  <c r="BJ375" i="17"/>
  <c r="BJ352" i="17"/>
  <c r="BJ330" i="17"/>
  <c r="BJ361" i="17"/>
  <c r="BJ322" i="17"/>
  <c r="BJ288" i="17"/>
  <c r="BJ367" i="17"/>
  <c r="BJ297" i="17"/>
  <c r="BJ302" i="17"/>
  <c r="BG386" i="17"/>
  <c r="BL386" i="17" s="1"/>
  <c r="BG291" i="17"/>
  <c r="BG297" i="17"/>
  <c r="BG328" i="17"/>
  <c r="BG280" i="17"/>
  <c r="BG331" i="17"/>
  <c r="BG365" i="17"/>
  <c r="BG380" i="17"/>
  <c r="BG290" i="17"/>
  <c r="BL290" i="17" s="1"/>
  <c r="BG334" i="17"/>
  <c r="BG387" i="17"/>
  <c r="BG371" i="17"/>
  <c r="BG340" i="17"/>
  <c r="BG344" i="17"/>
  <c r="BG369" i="17"/>
  <c r="BG301" i="17"/>
  <c r="BG312" i="17"/>
  <c r="BG356" i="17"/>
  <c r="BG309" i="17"/>
  <c r="BG362" i="17"/>
  <c r="BG286" i="17"/>
  <c r="BG293" i="17"/>
  <c r="BG308" i="17"/>
  <c r="BG294" i="17"/>
  <c r="BG319" i="17"/>
  <c r="BG284" i="17"/>
  <c r="BG354" i="17"/>
  <c r="BG366" i="17"/>
  <c r="BG298" i="17"/>
  <c r="BG348" i="17"/>
  <c r="BG336" i="17"/>
  <c r="BG283" i="17"/>
  <c r="BG326" i="17"/>
  <c r="BG323" i="17"/>
  <c r="BG325" i="17"/>
  <c r="BG389" i="17"/>
  <c r="BG321" i="17"/>
  <c r="BG345" i="17"/>
  <c r="BG278" i="17"/>
  <c r="BG372" i="17"/>
  <c r="BG292" i="17"/>
  <c r="BG289" i="17"/>
  <c r="BG375" i="17"/>
  <c r="BG349" i="17"/>
  <c r="BG306" i="17"/>
  <c r="BG346" i="17"/>
  <c r="BG318" i="17"/>
  <c r="BG352" i="17"/>
  <c r="BG377" i="17"/>
  <c r="BG335" i="17"/>
  <c r="BG363" i="17"/>
  <c r="BG302" i="17"/>
  <c r="BG304" i="17"/>
  <c r="BG341" i="17"/>
  <c r="BG359" i="17"/>
  <c r="BG355" i="17"/>
  <c r="BG317" i="17"/>
  <c r="BG357" i="17"/>
  <c r="BG320" i="17"/>
  <c r="BG287" i="17"/>
  <c r="BG391" i="17"/>
  <c r="BG310" i="17"/>
  <c r="BG314" i="17"/>
  <c r="BG279" i="17"/>
  <c r="BG342" i="17"/>
  <c r="BG333" i="17"/>
  <c r="BG353" i="17"/>
  <c r="BG373" i="17"/>
  <c r="BG347" i="17"/>
  <c r="BL347" i="17" s="1"/>
  <c r="BG282" i="17"/>
  <c r="BG281" i="17"/>
  <c r="BG381" i="17"/>
  <c r="BG288" i="17"/>
  <c r="BG367" i="17"/>
  <c r="BG390" i="17"/>
  <c r="BG382" i="17"/>
  <c r="BG316" i="17"/>
  <c r="BG324" i="17"/>
  <c r="BG361" i="17"/>
  <c r="BG337" i="17"/>
  <c r="BG350" i="17"/>
  <c r="BL350" i="17" s="1"/>
  <c r="BG296" i="17"/>
  <c r="BG311" i="17"/>
  <c r="BG338" i="17"/>
  <c r="BG305" i="17"/>
  <c r="BG300" i="17"/>
  <c r="BG339" i="17"/>
  <c r="BG384" i="17"/>
  <c r="BG322" i="17"/>
  <c r="BG285" i="17"/>
  <c r="BG388" i="17"/>
  <c r="BG277" i="17"/>
  <c r="BG383" i="17"/>
  <c r="BG393" i="17"/>
  <c r="BG343" i="17"/>
  <c r="BG329" i="17"/>
  <c r="BG378" i="17"/>
  <c r="BG315" i="17"/>
  <c r="BG299" i="17"/>
  <c r="BG360" i="17"/>
  <c r="BG385" i="17"/>
  <c r="BL385" i="17" s="1"/>
  <c r="BG351" i="17"/>
  <c r="BG364" i="17"/>
  <c r="BG313" i="17"/>
  <c r="BG370" i="17"/>
  <c r="BG358" i="17"/>
  <c r="BG379" i="17"/>
  <c r="BG332" i="17"/>
  <c r="BG392" i="17"/>
  <c r="BG330" i="17"/>
  <c r="BG303" i="17"/>
  <c r="BG368" i="17"/>
  <c r="BG295" i="17"/>
  <c r="BG327" i="17"/>
  <c r="BG376" i="17"/>
  <c r="BG374" i="17"/>
  <c r="BG307" i="17"/>
  <c r="BH386" i="17"/>
  <c r="BH291" i="17"/>
  <c r="BH331" i="17"/>
  <c r="BH380" i="17"/>
  <c r="BH290" i="17"/>
  <c r="BH334" i="17"/>
  <c r="BH387" i="17"/>
  <c r="BH371" i="17"/>
  <c r="BH369" i="17"/>
  <c r="BH357" i="17"/>
  <c r="BH356" i="17"/>
  <c r="BH362" i="17"/>
  <c r="BH286" i="17"/>
  <c r="BH293" i="17"/>
  <c r="BH349" i="17"/>
  <c r="BH294" i="17"/>
  <c r="BH319" i="17"/>
  <c r="BH284" i="17"/>
  <c r="BH354" i="17"/>
  <c r="BH366" i="17"/>
  <c r="BH298" i="17"/>
  <c r="BH348" i="17"/>
  <c r="BH313" i="17"/>
  <c r="BH336" i="17"/>
  <c r="BH340" i="17"/>
  <c r="BH329" i="17"/>
  <c r="BH283" i="17"/>
  <c r="BH326" i="17"/>
  <c r="BH323" i="17"/>
  <c r="BH317" i="17"/>
  <c r="BH321" i="17"/>
  <c r="BH278" i="17"/>
  <c r="BH292" i="17"/>
  <c r="BH289" i="17"/>
  <c r="BH375" i="17"/>
  <c r="BH306" i="17"/>
  <c r="BH346" i="17"/>
  <c r="BH392" i="17"/>
  <c r="BH318" i="17"/>
  <c r="BH281" i="17"/>
  <c r="BH352" i="17"/>
  <c r="BH297" i="17"/>
  <c r="BH335" i="17"/>
  <c r="BH363" i="17"/>
  <c r="BH302" i="17"/>
  <c r="BH333" i="17"/>
  <c r="BH393" i="17"/>
  <c r="BH304" i="17"/>
  <c r="BH341" i="17"/>
  <c r="BH359" i="17"/>
  <c r="BH355" i="17"/>
  <c r="BH373" i="17"/>
  <c r="BH325" i="17"/>
  <c r="BH309" i="17"/>
  <c r="BH372" i="17"/>
  <c r="BH320" i="17"/>
  <c r="BH376" i="17"/>
  <c r="BH308" i="17"/>
  <c r="BH287" i="17"/>
  <c r="BH391" i="17"/>
  <c r="BH360" i="17"/>
  <c r="BH310" i="17"/>
  <c r="BH314" i="17"/>
  <c r="BH279" i="17"/>
  <c r="BH342" i="17"/>
  <c r="BH280" i="17"/>
  <c r="BH347" i="17"/>
  <c r="BH282" i="17"/>
  <c r="BH316" i="17"/>
  <c r="BH288" i="17"/>
  <c r="BH285" i="17"/>
  <c r="BH367" i="17"/>
  <c r="BH390" i="17"/>
  <c r="BH382" i="17"/>
  <c r="BH277" i="17"/>
  <c r="BH381" i="17"/>
  <c r="BH351" i="17"/>
  <c r="BH337" i="17"/>
  <c r="BH350" i="17"/>
  <c r="BH388" i="17"/>
  <c r="BH328" i="17"/>
  <c r="BH311" i="17"/>
  <c r="BH338" i="17"/>
  <c r="BH344" i="17"/>
  <c r="BH300" i="17"/>
  <c r="BH389" i="17"/>
  <c r="BH339" i="17"/>
  <c r="BH377" i="17"/>
  <c r="BH384" i="17"/>
  <c r="BH324" i="17"/>
  <c r="BH361" i="17"/>
  <c r="BH322" i="17"/>
  <c r="BH383" i="17"/>
  <c r="BH343" i="17"/>
  <c r="BH378" i="17"/>
  <c r="BH295" i="17"/>
  <c r="BH301" i="17"/>
  <c r="BH345" i="17"/>
  <c r="BH327" i="17"/>
  <c r="BH374" i="17"/>
  <c r="BH315" i="17"/>
  <c r="BH307" i="17"/>
  <c r="BH385" i="17"/>
  <c r="BH365" i="17"/>
  <c r="BH353" i="17"/>
  <c r="BH370" i="17"/>
  <c r="BH358" i="17"/>
  <c r="BH379" i="17"/>
  <c r="BH332" i="17"/>
  <c r="BH330" i="17"/>
  <c r="BH303" i="17"/>
  <c r="BH368" i="17"/>
  <c r="BH296" i="17"/>
  <c r="BH305" i="17"/>
  <c r="BH312" i="17"/>
  <c r="BH299" i="17"/>
  <c r="BH364" i="17"/>
  <c r="C23" i="21"/>
  <c r="B71" i="9"/>
  <c r="C31" i="11" s="1"/>
  <c r="F23" i="2"/>
  <c r="E23" i="21"/>
  <c r="J23" i="21" s="1"/>
  <c r="D71" i="9"/>
  <c r="H23" i="2"/>
  <c r="AR96" i="17"/>
  <c r="AT96" i="17" s="1"/>
  <c r="AR112" i="17"/>
  <c r="AT112" i="17" s="1"/>
  <c r="AR56" i="17"/>
  <c r="AT56" i="17" s="1"/>
  <c r="AR129" i="17"/>
  <c r="AT129" i="17" s="1"/>
  <c r="AR40" i="17"/>
  <c r="AT40" i="17" s="1"/>
  <c r="AR82" i="17"/>
  <c r="AT82" i="17" s="1"/>
  <c r="AR125" i="17"/>
  <c r="AT125" i="17" s="1"/>
  <c r="AR31" i="17"/>
  <c r="AR79" i="17"/>
  <c r="AT79" i="17" s="1"/>
  <c r="AR109" i="17"/>
  <c r="AT109" i="17" s="1"/>
  <c r="AR116" i="17"/>
  <c r="AT116" i="17" s="1"/>
  <c r="AR90" i="17"/>
  <c r="AT90" i="17" s="1"/>
  <c r="AR57" i="17"/>
  <c r="AT57" i="17" s="1"/>
  <c r="AR118" i="17"/>
  <c r="AT118" i="17" s="1"/>
  <c r="AR101" i="17"/>
  <c r="AT101" i="17" s="1"/>
  <c r="AR64" i="17"/>
  <c r="AT64" i="17" s="1"/>
  <c r="AR15" i="17"/>
  <c r="AR47" i="17"/>
  <c r="AT47" i="17" s="1"/>
  <c r="AR94" i="17"/>
  <c r="AT94" i="17" s="1"/>
  <c r="AR107" i="17"/>
  <c r="AT107" i="17" s="1"/>
  <c r="AR72" i="17"/>
  <c r="AT72" i="17" s="1"/>
  <c r="AR106" i="17"/>
  <c r="AT106" i="17" s="1"/>
  <c r="AR54" i="17"/>
  <c r="AT54" i="17" s="1"/>
  <c r="AR20" i="17"/>
  <c r="AT20" i="17" s="1"/>
  <c r="AR123" i="17"/>
  <c r="AT123" i="17" s="1"/>
  <c r="AR120" i="17"/>
  <c r="AT120" i="17" s="1"/>
  <c r="AR114" i="17"/>
  <c r="AT114" i="17" s="1"/>
  <c r="AR32" i="17"/>
  <c r="AT32" i="17" s="1"/>
  <c r="AR17" i="17"/>
  <c r="AT17" i="17" s="1"/>
  <c r="AX25" i="15"/>
  <c r="AX40" i="15"/>
  <c r="AX96" i="15"/>
  <c r="AX100" i="15"/>
  <c r="AX51" i="15"/>
  <c r="AX26" i="15"/>
  <c r="AX52" i="15"/>
  <c r="AX136" i="15"/>
  <c r="AX125" i="15"/>
  <c r="AX82" i="15"/>
  <c r="AX120" i="15"/>
  <c r="AX85" i="15"/>
  <c r="AX107" i="15"/>
  <c r="AX78" i="15"/>
  <c r="AX56" i="15"/>
  <c r="AX135" i="15"/>
  <c r="AX31" i="15"/>
  <c r="AX110" i="15"/>
  <c r="AX129" i="15"/>
  <c r="AX97" i="15"/>
  <c r="AX104" i="15"/>
  <c r="AX83" i="15"/>
  <c r="AX92" i="15"/>
  <c r="AX67" i="15"/>
  <c r="AX137" i="15"/>
  <c r="AX89" i="15"/>
  <c r="AX66" i="15"/>
  <c r="AX64" i="15"/>
  <c r="AX132" i="15"/>
  <c r="AW37" i="15"/>
  <c r="AZ37" i="15" s="1"/>
  <c r="AW132" i="15"/>
  <c r="AW126" i="15"/>
  <c r="AW49" i="15"/>
  <c r="AW86" i="15"/>
  <c r="AZ86" i="15" s="1"/>
  <c r="AW100" i="15"/>
  <c r="AW76" i="15"/>
  <c r="AW112" i="15"/>
  <c r="AW33" i="15"/>
  <c r="AZ33" i="15" s="1"/>
  <c r="AW78" i="15"/>
  <c r="AW65" i="15"/>
  <c r="AW82" i="15"/>
  <c r="AW80" i="15"/>
  <c r="AW90" i="15"/>
  <c r="AZ90" i="15" s="1"/>
  <c r="AW111" i="15"/>
  <c r="AW62" i="15"/>
  <c r="AW89" i="15"/>
  <c r="AZ89" i="15" s="1"/>
  <c r="AW59" i="15"/>
  <c r="AZ59" i="15" s="1"/>
  <c r="AW75" i="15"/>
  <c r="AW137" i="15"/>
  <c r="AW63" i="15"/>
  <c r="AW110" i="15"/>
  <c r="AW128" i="15"/>
  <c r="AW26" i="15"/>
  <c r="AW35" i="15"/>
  <c r="AZ35" i="15" s="1"/>
  <c r="AW72" i="15"/>
  <c r="AZ72" i="15" s="1"/>
  <c r="AW67" i="15"/>
  <c r="AW34" i="15"/>
  <c r="AW94" i="15"/>
  <c r="AZ94" i="15" s="1"/>
  <c r="AW98" i="15"/>
  <c r="AZ98" i="15" s="1"/>
  <c r="AW56" i="15"/>
  <c r="AW81" i="15"/>
  <c r="AW83" i="15"/>
  <c r="AZ83" i="15" s="1"/>
  <c r="AW66" i="15"/>
  <c r="AW95" i="15"/>
  <c r="AW104" i="15"/>
  <c r="AW127" i="15"/>
  <c r="AZ127" i="15" s="1"/>
  <c r="AW133" i="15"/>
  <c r="AW97" i="15"/>
  <c r="AW113" i="15"/>
  <c r="AW84" i="15"/>
  <c r="AZ84" i="15" s="1"/>
  <c r="AW129" i="15"/>
  <c r="AW139" i="15"/>
  <c r="AW53" i="15"/>
  <c r="AW47" i="15"/>
  <c r="AZ47" i="15" s="1"/>
  <c r="AW55" i="15"/>
  <c r="AW31" i="15"/>
  <c r="AW23" i="15"/>
  <c r="AW135" i="15"/>
  <c r="AZ135" i="15" s="1"/>
  <c r="AW39" i="15"/>
  <c r="AZ39" i="15" s="1"/>
  <c r="AW114" i="15"/>
  <c r="AW106" i="15"/>
  <c r="AW61" i="15"/>
  <c r="AZ61" i="15" s="1"/>
  <c r="AW92" i="15"/>
  <c r="AZ92" i="15" s="1"/>
  <c r="AW138" i="15"/>
  <c r="AW60" i="15"/>
  <c r="AW130" i="15"/>
  <c r="AZ130" i="15" s="1"/>
  <c r="AW109" i="15"/>
  <c r="AZ109" i="15" s="1"/>
  <c r="AW91" i="15"/>
  <c r="AW118" i="15"/>
  <c r="AW45" i="15"/>
  <c r="AZ45" i="15" s="1"/>
  <c r="AW32" i="15"/>
  <c r="AW107" i="15"/>
  <c r="AW58" i="15"/>
  <c r="AW96" i="15"/>
  <c r="AZ96" i="15" s="1"/>
  <c r="AW42" i="15"/>
  <c r="AZ42" i="15" s="1"/>
  <c r="AW93" i="15"/>
  <c r="AW28" i="15"/>
  <c r="AW85" i="15"/>
  <c r="AW88" i="15"/>
  <c r="AZ88" i="15" s="1"/>
  <c r="AW57" i="15"/>
  <c r="AW68" i="15"/>
  <c r="AW116" i="15"/>
  <c r="AW120" i="15"/>
  <c r="AW36" i="15"/>
  <c r="AW124" i="15"/>
  <c r="AW44" i="15"/>
  <c r="AZ44" i="15" s="1"/>
  <c r="AW122" i="15"/>
  <c r="AW74" i="15"/>
  <c r="AW125" i="15"/>
  <c r="AW73" i="15"/>
  <c r="AZ73" i="15" s="1"/>
  <c r="AW117" i="15"/>
  <c r="AW51" i="15"/>
  <c r="AW43" i="15"/>
  <c r="AW24" i="15"/>
  <c r="AW108" i="15"/>
  <c r="AW50" i="15"/>
  <c r="AW29" i="15"/>
  <c r="AW87" i="15"/>
  <c r="AZ87" i="15" s="1"/>
  <c r="AW102" i="15"/>
  <c r="AW101" i="15"/>
  <c r="AW40" i="15"/>
  <c r="AW121" i="15"/>
  <c r="AW123" i="15"/>
  <c r="AZ123" i="15" s="1"/>
  <c r="AW30" i="15"/>
  <c r="AW64" i="15"/>
  <c r="AW25" i="15"/>
  <c r="AW48" i="15"/>
  <c r="AW69" i="15"/>
  <c r="AW71" i="15"/>
  <c r="AW27" i="15"/>
  <c r="AZ27" i="15" s="1"/>
  <c r="AW131" i="15"/>
  <c r="AW79" i="15"/>
  <c r="AW103" i="15"/>
  <c r="AW134" i="15"/>
  <c r="AW136" i="15"/>
  <c r="AW70" i="15"/>
  <c r="AW105" i="15"/>
  <c r="AW99" i="15"/>
  <c r="AW54" i="15"/>
  <c r="AW119" i="15"/>
  <c r="AW52" i="15"/>
  <c r="AW38" i="15"/>
  <c r="AZ38" i="15" s="1"/>
  <c r="AW77" i="15"/>
  <c r="AW41" i="15"/>
  <c r="AW46" i="15"/>
  <c r="AW115" i="15"/>
  <c r="BD24" i="20"/>
  <c r="BD23" i="20"/>
  <c r="AY132" i="15"/>
  <c r="AY37" i="15"/>
  <c r="AY98" i="15"/>
  <c r="AY24" i="15"/>
  <c r="AY61" i="15"/>
  <c r="AY123" i="15"/>
  <c r="AY64" i="15"/>
  <c r="AY81" i="15"/>
  <c r="AY131" i="15"/>
  <c r="AY76" i="15"/>
  <c r="AY112" i="15"/>
  <c r="AY66" i="15"/>
  <c r="AY45" i="15"/>
  <c r="AY127" i="15"/>
  <c r="AY133" i="15"/>
  <c r="AY97" i="15"/>
  <c r="AY84" i="15"/>
  <c r="AY59" i="15"/>
  <c r="AY75" i="15"/>
  <c r="AY134" i="15"/>
  <c r="AY137" i="15"/>
  <c r="AY93" i="15"/>
  <c r="AY128" i="15"/>
  <c r="AY85" i="15"/>
  <c r="AY35" i="15"/>
  <c r="AY135" i="15"/>
  <c r="AY67" i="15"/>
  <c r="AY116" i="15"/>
  <c r="AY122" i="15"/>
  <c r="AY126" i="15"/>
  <c r="AY92" i="15"/>
  <c r="AY30" i="15"/>
  <c r="AY60" i="15"/>
  <c r="AY109" i="15"/>
  <c r="AY83" i="15"/>
  <c r="AY79" i="15"/>
  <c r="AY108" i="15"/>
  <c r="AY38" i="15"/>
  <c r="AY104" i="15"/>
  <c r="AY80" i="15"/>
  <c r="AY113" i="15"/>
  <c r="AY124" i="15"/>
  <c r="AY58" i="15"/>
  <c r="AY129" i="15"/>
  <c r="AY77" i="15"/>
  <c r="AY29" i="15"/>
  <c r="AY42" i="15"/>
  <c r="AY63" i="15"/>
  <c r="AY110" i="15"/>
  <c r="AY28" i="15"/>
  <c r="AY72" i="15"/>
  <c r="AY46" i="15"/>
  <c r="AY70" i="15"/>
  <c r="AY57" i="15"/>
  <c r="AY86" i="15"/>
  <c r="AY56" i="15"/>
  <c r="AY91" i="15"/>
  <c r="AY95" i="15"/>
  <c r="AY78" i="15"/>
  <c r="AY50" i="15"/>
  <c r="AY36" i="15"/>
  <c r="AY44" i="15"/>
  <c r="AY103" i="15"/>
  <c r="AY139" i="15"/>
  <c r="AY62" i="15"/>
  <c r="AY41" i="15"/>
  <c r="AY47" i="15"/>
  <c r="AY25" i="15"/>
  <c r="AY23" i="15"/>
  <c r="AY39" i="15"/>
  <c r="AY68" i="15"/>
  <c r="AY114" i="15"/>
  <c r="AY120" i="15"/>
  <c r="AY94" i="15"/>
  <c r="AY27" i="15"/>
  <c r="AY32" i="15"/>
  <c r="AY82" i="15"/>
  <c r="AY90" i="15"/>
  <c r="AY89" i="15"/>
  <c r="AY55" i="15"/>
  <c r="AY48" i="15"/>
  <c r="AY54" i="15"/>
  <c r="AY101" i="15"/>
  <c r="AY115" i="15"/>
  <c r="AY34" i="15"/>
  <c r="AY118" i="15"/>
  <c r="AY111" i="15"/>
  <c r="AY136" i="15"/>
  <c r="AY31" i="15"/>
  <c r="AY88" i="15"/>
  <c r="AY105" i="15"/>
  <c r="AY69" i="15"/>
  <c r="AY119" i="15"/>
  <c r="AY52" i="15"/>
  <c r="AY71" i="15"/>
  <c r="AY121" i="15"/>
  <c r="AY100" i="15"/>
  <c r="AY33" i="15"/>
  <c r="AY107" i="15"/>
  <c r="AY53" i="15"/>
  <c r="AY74" i="15"/>
  <c r="AY51" i="15"/>
  <c r="AY125" i="15"/>
  <c r="AY49" i="15"/>
  <c r="AY130" i="15"/>
  <c r="AY65" i="15"/>
  <c r="AY96" i="15"/>
  <c r="AY99" i="15"/>
  <c r="AY87" i="15"/>
  <c r="AY102" i="15"/>
  <c r="AY73" i="15"/>
  <c r="AY117" i="15"/>
  <c r="AY40" i="15"/>
  <c r="AY106" i="15"/>
  <c r="AY43" i="15"/>
  <c r="AY138" i="15"/>
  <c r="AY26" i="15"/>
  <c r="AT68" i="17"/>
  <c r="AT92" i="17"/>
  <c r="AT45" i="17"/>
  <c r="AT111" i="17"/>
  <c r="AT63" i="17"/>
  <c r="AT115" i="17"/>
  <c r="AT80" i="17"/>
  <c r="AT52" i="17"/>
  <c r="AT126" i="17"/>
  <c r="AZ25" i="24"/>
  <c r="AZ20" i="24" s="1"/>
  <c r="AZ32" i="24"/>
  <c r="BN517" i="17"/>
  <c r="BN422" i="17"/>
  <c r="BN411" i="17"/>
  <c r="BN467" i="17"/>
  <c r="BN505" i="17"/>
  <c r="BN462" i="17"/>
  <c r="BN452" i="17"/>
  <c r="BN433" i="17"/>
  <c r="BN503" i="17"/>
  <c r="BN418" i="17"/>
  <c r="BN463" i="17"/>
  <c r="BN450" i="17"/>
  <c r="BN481" i="17"/>
  <c r="BN522" i="17"/>
  <c r="BN504" i="17"/>
  <c r="BN434" i="17"/>
  <c r="BN521" i="17"/>
  <c r="BN448" i="17"/>
  <c r="BN508" i="17"/>
  <c r="BN512" i="17"/>
  <c r="BN479" i="17"/>
  <c r="BN429" i="17"/>
  <c r="BN435" i="17"/>
  <c r="BN501" i="17"/>
  <c r="BN491" i="17"/>
  <c r="BN466" i="17"/>
  <c r="BN414" i="17"/>
  <c r="BN425" i="17"/>
  <c r="BN483" i="17"/>
  <c r="BN468" i="17"/>
  <c r="BN471" i="17"/>
  <c r="BN498" i="17"/>
  <c r="BN432" i="17"/>
  <c r="BN514" i="17"/>
  <c r="BN424" i="17"/>
  <c r="BN484" i="17"/>
  <c r="BN516" i="17"/>
  <c r="BN490" i="17"/>
  <c r="BN519" i="17"/>
  <c r="BN408" i="17"/>
  <c r="BN520" i="17"/>
  <c r="BN412" i="17"/>
  <c r="BN494" i="17"/>
  <c r="BN482" i="17"/>
  <c r="BN488" i="17"/>
  <c r="BN474" i="17"/>
  <c r="BN421" i="17"/>
  <c r="BN524" i="17"/>
  <c r="BN470" i="17"/>
  <c r="BN410" i="17"/>
  <c r="BN415" i="17"/>
  <c r="BN515" i="17"/>
  <c r="BN446" i="17"/>
  <c r="BN431" i="17"/>
  <c r="BN513" i="17"/>
  <c r="BN499" i="17"/>
  <c r="BN436" i="17"/>
  <c r="BN509" i="17"/>
  <c r="BN473" i="17"/>
  <c r="BN451" i="17"/>
  <c r="BN443" i="17"/>
  <c r="BN476" i="17"/>
  <c r="BN441" i="17"/>
  <c r="BN518" i="17"/>
  <c r="BN419" i="17"/>
  <c r="BN500" i="17"/>
  <c r="BN430" i="17"/>
  <c r="BN465" i="17"/>
  <c r="BN428" i="17"/>
  <c r="BN507" i="17"/>
  <c r="BN477" i="17"/>
  <c r="BN487" i="17"/>
  <c r="BN485" i="17"/>
  <c r="BN460" i="17"/>
  <c r="BN489" i="17"/>
  <c r="BN426" i="17"/>
  <c r="BN417" i="17"/>
  <c r="BN455" i="17"/>
  <c r="BN459" i="17"/>
  <c r="BN458" i="17"/>
  <c r="BN523" i="17"/>
  <c r="BN478" i="17"/>
  <c r="BN496" i="17"/>
  <c r="BN447" i="17"/>
  <c r="BN472" i="17"/>
  <c r="BN442" i="17"/>
  <c r="BN464" i="17"/>
  <c r="BN486" i="17"/>
  <c r="BN493" i="17"/>
  <c r="BN420" i="17"/>
  <c r="BN438" i="17"/>
  <c r="BN506" i="17"/>
  <c r="BN453" i="17"/>
  <c r="BN413" i="17"/>
  <c r="BN444" i="17"/>
  <c r="BN440" i="17"/>
  <c r="BN416" i="17"/>
  <c r="BN457" i="17"/>
  <c r="BN510" i="17"/>
  <c r="BN511" i="17"/>
  <c r="BN475" i="17"/>
  <c r="BN409" i="17"/>
  <c r="BN449" i="17"/>
  <c r="BN461" i="17"/>
  <c r="BN502" i="17"/>
  <c r="BN469" i="17"/>
  <c r="BN492" i="17"/>
  <c r="BN497" i="17"/>
  <c r="BN439" i="17"/>
  <c r="BN480" i="17"/>
  <c r="BN423" i="17"/>
  <c r="BN437" i="17"/>
  <c r="BN427" i="17"/>
  <c r="BN495" i="17"/>
  <c r="BN445" i="17"/>
  <c r="BN454" i="17"/>
  <c r="BN456" i="17"/>
  <c r="BL422" i="17"/>
  <c r="BL517" i="17"/>
  <c r="BL411" i="17"/>
  <c r="BR411" i="17" s="1"/>
  <c r="BL470" i="17"/>
  <c r="BL453" i="17"/>
  <c r="BL501" i="17"/>
  <c r="BL415" i="17"/>
  <c r="BR415" i="17" s="1"/>
  <c r="BL419" i="17"/>
  <c r="BL444" i="17"/>
  <c r="BL423" i="17"/>
  <c r="BL446" i="17"/>
  <c r="BR446" i="17" s="1"/>
  <c r="BL496" i="17"/>
  <c r="BL440" i="17"/>
  <c r="BL469" i="17"/>
  <c r="BL427" i="17"/>
  <c r="BR427" i="17" s="1"/>
  <c r="BL495" i="17"/>
  <c r="BR495" i="17" s="1"/>
  <c r="BL408" i="17"/>
  <c r="BL473" i="17"/>
  <c r="BL443" i="17"/>
  <c r="BR443" i="17" s="1"/>
  <c r="BL455" i="17"/>
  <c r="BR455" i="17" s="1"/>
  <c r="BL492" i="17"/>
  <c r="BL428" i="17"/>
  <c r="BL441" i="17"/>
  <c r="BR441" i="17" s="1"/>
  <c r="BL467" i="17"/>
  <c r="BL518" i="17"/>
  <c r="BL413" i="17"/>
  <c r="BL452" i="17"/>
  <c r="BR452" i="17" s="1"/>
  <c r="BL437" i="17"/>
  <c r="BL463" i="17"/>
  <c r="BR463" i="17" s="1"/>
  <c r="BL478" i="17"/>
  <c r="BL500" i="17"/>
  <c r="BR500" i="17" s="1"/>
  <c r="BL522" i="17"/>
  <c r="BL457" i="17"/>
  <c r="BL509" i="17"/>
  <c r="BL510" i="17"/>
  <c r="BR510" i="17" s="1"/>
  <c r="BL412" i="17"/>
  <c r="BR412" i="17" s="1"/>
  <c r="BL448" i="17"/>
  <c r="BL430" i="17"/>
  <c r="BL421" i="17"/>
  <c r="BR421" i="17" s="1"/>
  <c r="BL465" i="17"/>
  <c r="BL477" i="17"/>
  <c r="BR477" i="17" s="1"/>
  <c r="BL435" i="17"/>
  <c r="BR435" i="17" s="1"/>
  <c r="BL491" i="17"/>
  <c r="BR491" i="17" s="1"/>
  <c r="BL462" i="17"/>
  <c r="BL515" i="17"/>
  <c r="BL433" i="17"/>
  <c r="BL503" i="17"/>
  <c r="BR503" i="17" s="1"/>
  <c r="BL418" i="17"/>
  <c r="BL414" i="17"/>
  <c r="BL450" i="17"/>
  <c r="BL483" i="17"/>
  <c r="BR483" i="17" s="1"/>
  <c r="BL468" i="17"/>
  <c r="BL471" i="17"/>
  <c r="BL481" i="17"/>
  <c r="BL498" i="17"/>
  <c r="BR498" i="17" s="1"/>
  <c r="BL432" i="17"/>
  <c r="BR432" i="17" s="1"/>
  <c r="BL514" i="17"/>
  <c r="BL424" i="17"/>
  <c r="BR424" i="17" s="1"/>
  <c r="BL484" i="17"/>
  <c r="BR484" i="17" s="1"/>
  <c r="BL499" i="17"/>
  <c r="BL504" i="17"/>
  <c r="BL434" i="17"/>
  <c r="BL521" i="17"/>
  <c r="BR521" i="17" s="1"/>
  <c r="BL488" i="17"/>
  <c r="BR488" i="17" s="1"/>
  <c r="BL508" i="17"/>
  <c r="BL512" i="17"/>
  <c r="BL523" i="17"/>
  <c r="BR523" i="17" s="1"/>
  <c r="BL516" i="17"/>
  <c r="BR516" i="17" s="1"/>
  <c r="BL416" i="17"/>
  <c r="BL436" i="17"/>
  <c r="BL475" i="17"/>
  <c r="BR475" i="17" s="1"/>
  <c r="BL474" i="17"/>
  <c r="BR474" i="17" s="1"/>
  <c r="BL485" i="17"/>
  <c r="BL456" i="17"/>
  <c r="BL445" i="17"/>
  <c r="BR445" i="17" s="1"/>
  <c r="BL439" i="17"/>
  <c r="BR439" i="17" s="1"/>
  <c r="BL480" i="17"/>
  <c r="BR480" i="17" s="1"/>
  <c r="BL438" i="17"/>
  <c r="BR438" i="17" s="1"/>
  <c r="BL513" i="17"/>
  <c r="BR513" i="17" s="1"/>
  <c r="BL519" i="17"/>
  <c r="BR519" i="17" s="1"/>
  <c r="BL511" i="17"/>
  <c r="BL494" i="17"/>
  <c r="BL409" i="17"/>
  <c r="BR409" i="17" s="1"/>
  <c r="BL479" i="17"/>
  <c r="BR479" i="17" s="1"/>
  <c r="BL449" i="17"/>
  <c r="BL487" i="17"/>
  <c r="BL461" i="17"/>
  <c r="BR461" i="17" s="1"/>
  <c r="BL458" i="17"/>
  <c r="BL502" i="17"/>
  <c r="BL460" i="17"/>
  <c r="BL454" i="17"/>
  <c r="BR454" i="17" s="1"/>
  <c r="BL429" i="17"/>
  <c r="BR429" i="17" s="1"/>
  <c r="BL410" i="17"/>
  <c r="BL505" i="17"/>
  <c r="BL482" i="17"/>
  <c r="BR482" i="17" s="1"/>
  <c r="BL476" i="17"/>
  <c r="BR476" i="17" s="1"/>
  <c r="BL442" i="17"/>
  <c r="BL486" i="17"/>
  <c r="BL466" i="17"/>
  <c r="BR466" i="17" s="1"/>
  <c r="BL425" i="17"/>
  <c r="BL431" i="17"/>
  <c r="BL490" i="17"/>
  <c r="BL520" i="17"/>
  <c r="BR520" i="17" s="1"/>
  <c r="BL524" i="17"/>
  <c r="BL507" i="17"/>
  <c r="BL472" i="17"/>
  <c r="BL459" i="17"/>
  <c r="BR459" i="17" s="1"/>
  <c r="BL497" i="17"/>
  <c r="BL464" i="17"/>
  <c r="BL420" i="17"/>
  <c r="BR420" i="17" s="1"/>
  <c r="BL489" i="17"/>
  <c r="BR489" i="17" s="1"/>
  <c r="BL426" i="17"/>
  <c r="BL506" i="17"/>
  <c r="BL417" i="17"/>
  <c r="BL451" i="17"/>
  <c r="BR451" i="17" s="1"/>
  <c r="BL447" i="17"/>
  <c r="BL493" i="17"/>
  <c r="BB255" i="17"/>
  <c r="BB160" i="17"/>
  <c r="BF160" i="17" s="1"/>
  <c r="BB225" i="17"/>
  <c r="BB191" i="17"/>
  <c r="BF191" i="17" s="1"/>
  <c r="BB214" i="17"/>
  <c r="BB218" i="17"/>
  <c r="BF218" i="17" s="1"/>
  <c r="BB259" i="17"/>
  <c r="BB235" i="17"/>
  <c r="BB230" i="17"/>
  <c r="BB180" i="17"/>
  <c r="BF180" i="17" s="1"/>
  <c r="BB216" i="17"/>
  <c r="BF216" i="17" s="1"/>
  <c r="BB243" i="17"/>
  <c r="BF243" i="17" s="1"/>
  <c r="BB249" i="17"/>
  <c r="BB172" i="17"/>
  <c r="BF172" i="17" s="1"/>
  <c r="BB224" i="17"/>
  <c r="BB163" i="17"/>
  <c r="BB192" i="17"/>
  <c r="BF192" i="17" s="1"/>
  <c r="BB194" i="17"/>
  <c r="BF194" i="17" s="1"/>
  <c r="BB253" i="17"/>
  <c r="BB149" i="17"/>
  <c r="BB151" i="17"/>
  <c r="BB226" i="17"/>
  <c r="BF226" i="17" s="1"/>
  <c r="BB166" i="17"/>
  <c r="BF166" i="17" s="1"/>
  <c r="BB245" i="17"/>
  <c r="BF245" i="17" s="1"/>
  <c r="BB211" i="17"/>
  <c r="BF211" i="17" s="1"/>
  <c r="BB202" i="17"/>
  <c r="BF202" i="17" s="1"/>
  <c r="BB244" i="17"/>
  <c r="BF244" i="17" s="1"/>
  <c r="BB262" i="17"/>
  <c r="BB193" i="17"/>
  <c r="BF193" i="17" s="1"/>
  <c r="BB254" i="17"/>
  <c r="BF254" i="17" s="1"/>
  <c r="BB157" i="17"/>
  <c r="BF157" i="17" s="1"/>
  <c r="BB152" i="17"/>
  <c r="BB239" i="17"/>
  <c r="BB210" i="17"/>
  <c r="BF210" i="17" s="1"/>
  <c r="BB220" i="17"/>
  <c r="BF220" i="17" s="1"/>
  <c r="BB247" i="17"/>
  <c r="BB169" i="17"/>
  <c r="BB181" i="17"/>
  <c r="BF181" i="17" s="1"/>
  <c r="BB223" i="17"/>
  <c r="BF223" i="17" s="1"/>
  <c r="BB173" i="17"/>
  <c r="BB197" i="17"/>
  <c r="BF197" i="17" s="1"/>
  <c r="BB184" i="17"/>
  <c r="BF184" i="17" s="1"/>
  <c r="BB200" i="17"/>
  <c r="BF200" i="17" s="1"/>
  <c r="BB185" i="17"/>
  <c r="BB167" i="17"/>
  <c r="BB162" i="17"/>
  <c r="BF162" i="17" s="1"/>
  <c r="BB217" i="17"/>
  <c r="BF217" i="17" s="1"/>
  <c r="BB196" i="17"/>
  <c r="BF196" i="17" s="1"/>
  <c r="BB177" i="17"/>
  <c r="BB182" i="17"/>
  <c r="BF182" i="17" s="1"/>
  <c r="BB219" i="17"/>
  <c r="BB165" i="17"/>
  <c r="BB248" i="17"/>
  <c r="BF248" i="17" s="1"/>
  <c r="BB251" i="17"/>
  <c r="BF251" i="17" s="1"/>
  <c r="BB199" i="17"/>
  <c r="BF199" i="17" s="1"/>
  <c r="BB148" i="17"/>
  <c r="BB234" i="17"/>
  <c r="BB171" i="17"/>
  <c r="BF171" i="17" s="1"/>
  <c r="BB209" i="17"/>
  <c r="BB198" i="17"/>
  <c r="BF198" i="17" s="1"/>
  <c r="BB213" i="17"/>
  <c r="BB170" i="17"/>
  <c r="BF170" i="17" s="1"/>
  <c r="BB252" i="17"/>
  <c r="BF252" i="17" s="1"/>
  <c r="BB246" i="17"/>
  <c r="BB261" i="17"/>
  <c r="BB158" i="17"/>
  <c r="BF158" i="17" s="1"/>
  <c r="BB233" i="17"/>
  <c r="BF233" i="17" s="1"/>
  <c r="BB164" i="17"/>
  <c r="BB240" i="17"/>
  <c r="BB215" i="17"/>
  <c r="BF215" i="17" s="1"/>
  <c r="BB229" i="17"/>
  <c r="BF229" i="17" s="1"/>
  <c r="BB212" i="17"/>
  <c r="BB227" i="17"/>
  <c r="BB179" i="17"/>
  <c r="BF179" i="17" s="1"/>
  <c r="BB228" i="17"/>
  <c r="BB237" i="17"/>
  <c r="BB257" i="17"/>
  <c r="BB146" i="17"/>
  <c r="BF146" i="17" s="1"/>
  <c r="BB222" i="17"/>
  <c r="BF222" i="17" s="1"/>
  <c r="BB178" i="17"/>
  <c r="BB159" i="17"/>
  <c r="BB156" i="17"/>
  <c r="BF156" i="17" s="1"/>
  <c r="BB207" i="17"/>
  <c r="BF207" i="17" s="1"/>
  <c r="BB168" i="17"/>
  <c r="BB188" i="17"/>
  <c r="BF188" i="17" s="1"/>
  <c r="BB258" i="17"/>
  <c r="BF258" i="17" s="1"/>
  <c r="BB208" i="17"/>
  <c r="BF208" i="17" s="1"/>
  <c r="BB183" i="17"/>
  <c r="BF183" i="17" s="1"/>
  <c r="BB221" i="17"/>
  <c r="BF221" i="17" s="1"/>
  <c r="BB161" i="17"/>
  <c r="BF161" i="17" s="1"/>
  <c r="BB154" i="17"/>
  <c r="BB155" i="17"/>
  <c r="BF155" i="17" s="1"/>
  <c r="BB175" i="17"/>
  <c r="BF175" i="17" s="1"/>
  <c r="BB153" i="17"/>
  <c r="BF153" i="17" s="1"/>
  <c r="BB232" i="17"/>
  <c r="BF232" i="17" s="1"/>
  <c r="BB241" i="17"/>
  <c r="BB260" i="17"/>
  <c r="BB195" i="17"/>
  <c r="BF195" i="17" s="1"/>
  <c r="BB174" i="17"/>
  <c r="BF174" i="17" s="1"/>
  <c r="BB201" i="17"/>
  <c r="BB204" i="17"/>
  <c r="BB203" i="17"/>
  <c r="BF203" i="17" s="1"/>
  <c r="BB206" i="17"/>
  <c r="BF206" i="17" s="1"/>
  <c r="BB176" i="17"/>
  <c r="BB147" i="17"/>
  <c r="BF147" i="17" s="1"/>
  <c r="BB190" i="17"/>
  <c r="BF190" i="17" s="1"/>
  <c r="BB205" i="17"/>
  <c r="BF205" i="17" s="1"/>
  <c r="BB236" i="17"/>
  <c r="BB242" i="17"/>
  <c r="BF242" i="17" s="1"/>
  <c r="BB238" i="17"/>
  <c r="BF238" i="17" s="1"/>
  <c r="BB256" i="17"/>
  <c r="BF256" i="17" s="1"/>
  <c r="BB150" i="17"/>
  <c r="BB189" i="17"/>
  <c r="BF189" i="17" s="1"/>
  <c r="BB250" i="17"/>
  <c r="BF250" i="17" s="1"/>
  <c r="BB186" i="17"/>
  <c r="BF186" i="17" s="1"/>
  <c r="BB187" i="17"/>
  <c r="BF187" i="17" s="1"/>
  <c r="BB231" i="17"/>
  <c r="B31" i="11"/>
  <c r="D31" i="11" s="1"/>
  <c r="E31" i="11" s="1"/>
  <c r="F31" i="11" s="1"/>
  <c r="F71" i="9"/>
  <c r="AR24" i="17"/>
  <c r="AT24" i="17" s="1"/>
  <c r="AR97" i="17"/>
  <c r="AT97" i="17" s="1"/>
  <c r="AR23" i="17"/>
  <c r="AT23" i="17" s="1"/>
  <c r="AR83" i="17"/>
  <c r="AT83" i="17" s="1"/>
  <c r="AR67" i="17"/>
  <c r="AR38" i="17"/>
  <c r="AT38" i="17" s="1"/>
  <c r="AR22" i="17"/>
  <c r="AT22" i="17" s="1"/>
  <c r="AR34" i="17"/>
  <c r="AT34" i="17" s="1"/>
  <c r="AR61" i="17"/>
  <c r="AT61" i="17" s="1"/>
  <c r="AR26" i="17"/>
  <c r="AT26" i="17" s="1"/>
  <c r="AR35" i="17"/>
  <c r="AT35" i="17" s="1"/>
  <c r="AR121" i="17"/>
  <c r="AT121" i="17" s="1"/>
  <c r="AR75" i="17"/>
  <c r="AR84" i="17"/>
  <c r="AT84" i="17" s="1"/>
  <c r="AR119" i="17"/>
  <c r="AT119" i="17" s="1"/>
  <c r="O23" i="2"/>
  <c r="M23" i="2"/>
  <c r="G30" i="11"/>
  <c r="AZ34" i="24"/>
  <c r="AZ28" i="24"/>
  <c r="AZ37" i="24"/>
  <c r="BC18" i="20"/>
  <c r="BC17" i="20"/>
  <c r="BD17" i="20"/>
  <c r="BD27" i="20" s="1"/>
  <c r="BK291" i="17"/>
  <c r="BK386" i="17"/>
  <c r="BK348" i="17"/>
  <c r="BK336" i="17"/>
  <c r="BK283" i="17"/>
  <c r="BK326" i="17"/>
  <c r="BK323" i="17"/>
  <c r="BK389" i="17"/>
  <c r="BK345" i="17"/>
  <c r="BK278" i="17"/>
  <c r="BK372" i="17"/>
  <c r="BK292" i="17"/>
  <c r="BK289" i="17"/>
  <c r="BK375" i="17"/>
  <c r="BK349" i="17"/>
  <c r="BK306" i="17"/>
  <c r="BK346" i="17"/>
  <c r="BK318" i="17"/>
  <c r="BK352" i="17"/>
  <c r="BK377" i="17"/>
  <c r="BK335" i="17"/>
  <c r="BK363" i="17"/>
  <c r="BK302" i="17"/>
  <c r="BK304" i="17"/>
  <c r="BK359" i="17"/>
  <c r="BK355" i="17"/>
  <c r="BK317" i="17"/>
  <c r="BK357" i="17"/>
  <c r="BK320" i="17"/>
  <c r="BK293" i="17"/>
  <c r="BK287" i="17"/>
  <c r="BK391" i="17"/>
  <c r="BK310" i="17"/>
  <c r="BK314" i="17"/>
  <c r="BK279" i="17"/>
  <c r="BK342" i="17"/>
  <c r="BK313" i="17"/>
  <c r="BK333" i="17"/>
  <c r="BK393" i="17"/>
  <c r="BK343" i="17"/>
  <c r="BK311" i="17"/>
  <c r="BK329" i="17"/>
  <c r="BK338" i="17"/>
  <c r="BK305" i="17"/>
  <c r="BK378" i="17"/>
  <c r="BK300" i="17"/>
  <c r="BK369" i="17"/>
  <c r="BK295" i="17"/>
  <c r="BK347" i="17"/>
  <c r="BK370" i="17"/>
  <c r="BK321" i="17"/>
  <c r="BK339" i="17"/>
  <c r="BK327" i="17"/>
  <c r="BK358" i="17"/>
  <c r="BK379" i="17"/>
  <c r="BK332" i="17"/>
  <c r="BK376" i="17"/>
  <c r="BK374" i="17"/>
  <c r="BK315" i="17"/>
  <c r="BK307" i="17"/>
  <c r="BK299" i="17"/>
  <c r="BK360" i="17"/>
  <c r="BK282" i="17"/>
  <c r="BK392" i="17"/>
  <c r="BK281" i="17"/>
  <c r="BK330" i="17"/>
  <c r="BK280" i="17"/>
  <c r="BK365" i="17"/>
  <c r="BK290" i="17"/>
  <c r="BK286" i="17"/>
  <c r="BK319" i="17"/>
  <c r="BK354" i="17"/>
  <c r="BK298" i="17"/>
  <c r="BK384" i="17"/>
  <c r="BK322" i="17"/>
  <c r="BK285" i="17"/>
  <c r="BK388" i="17"/>
  <c r="BK366" i="17"/>
  <c r="BK381" i="17"/>
  <c r="BK328" i="17"/>
  <c r="BK331" i="17"/>
  <c r="BK334" i="17"/>
  <c r="BK344" i="17"/>
  <c r="BK301" i="17"/>
  <c r="BK325" i="17"/>
  <c r="BK356" i="17"/>
  <c r="BK308" i="17"/>
  <c r="BK294" i="17"/>
  <c r="BK284" i="17"/>
  <c r="BK303" i="17"/>
  <c r="BK368" i="17"/>
  <c r="BK383" i="17"/>
  <c r="BK277" i="17"/>
  <c r="BK353" i="17"/>
  <c r="BK371" i="17"/>
  <c r="BK340" i="17"/>
  <c r="BK367" i="17"/>
  <c r="BK382" i="17"/>
  <c r="BK297" i="17"/>
  <c r="BK380" i="17"/>
  <c r="BK341" i="17"/>
  <c r="BK387" i="17"/>
  <c r="BK373" i="17"/>
  <c r="BK316" i="17"/>
  <c r="BK324" i="17"/>
  <c r="BK385" i="17"/>
  <c r="BK361" i="17"/>
  <c r="BK351" i="17"/>
  <c r="BK337" i="17"/>
  <c r="BK350" i="17"/>
  <c r="BK296" i="17"/>
  <c r="BK364" i="17"/>
  <c r="BK312" i="17"/>
  <c r="BK309" i="17"/>
  <c r="BK362" i="17"/>
  <c r="BK288" i="17"/>
  <c r="BK390" i="17"/>
  <c r="BI386" i="17"/>
  <c r="BI291" i="17"/>
  <c r="BI335" i="17"/>
  <c r="BI290" i="17"/>
  <c r="BI334" i="17"/>
  <c r="BI283" i="17"/>
  <c r="BI300" i="17"/>
  <c r="BI369" i="17"/>
  <c r="BI357" i="17"/>
  <c r="BI339" i="17"/>
  <c r="BI362" i="17"/>
  <c r="BI332" i="17"/>
  <c r="BI375" i="17"/>
  <c r="BI286" i="17"/>
  <c r="BI376" i="17"/>
  <c r="BI293" i="17"/>
  <c r="BI287" i="17"/>
  <c r="BI349" i="17"/>
  <c r="BI294" i="17"/>
  <c r="BI360" i="17"/>
  <c r="BI354" i="17"/>
  <c r="BI366" i="17"/>
  <c r="BI298" i="17"/>
  <c r="BI316" i="17"/>
  <c r="BI328" i="17"/>
  <c r="BI363" i="17"/>
  <c r="BI313" i="17"/>
  <c r="BI280" i="17"/>
  <c r="BI380" i="17"/>
  <c r="BI359" i="17"/>
  <c r="BI387" i="17"/>
  <c r="BI340" i="17"/>
  <c r="BI329" i="17"/>
  <c r="BI355" i="17"/>
  <c r="BI326" i="17"/>
  <c r="BI317" i="17"/>
  <c r="BI344" i="17"/>
  <c r="BI312" i="17"/>
  <c r="BI356" i="17"/>
  <c r="BI321" i="17"/>
  <c r="BI278" i="17"/>
  <c r="BI289" i="17"/>
  <c r="BI308" i="17"/>
  <c r="BI391" i="17"/>
  <c r="BI307" i="17"/>
  <c r="BI306" i="17"/>
  <c r="BI346" i="17"/>
  <c r="BI392" i="17"/>
  <c r="BI284" i="17"/>
  <c r="BI318" i="17"/>
  <c r="BI281" i="17"/>
  <c r="BI279" i="17"/>
  <c r="BI297" i="17"/>
  <c r="BI348" i="17"/>
  <c r="BI302" i="17"/>
  <c r="BI333" i="17"/>
  <c r="BI343" i="17"/>
  <c r="BI341" i="17"/>
  <c r="BI336" i="17"/>
  <c r="BI311" i="17"/>
  <c r="BI371" i="17"/>
  <c r="BI373" i="17"/>
  <c r="BI295" i="17"/>
  <c r="BI325" i="17"/>
  <c r="BI347" i="17"/>
  <c r="BI309" i="17"/>
  <c r="BI327" i="17"/>
  <c r="BI372" i="17"/>
  <c r="BI292" i="17"/>
  <c r="BI379" i="17"/>
  <c r="BI315" i="17"/>
  <c r="BI299" i="17"/>
  <c r="BI319" i="17"/>
  <c r="BI310" i="17"/>
  <c r="BI314" i="17"/>
  <c r="BI352" i="17"/>
  <c r="BI342" i="17"/>
  <c r="BI393" i="17"/>
  <c r="BI331" i="17"/>
  <c r="BI323" i="17"/>
  <c r="BI282" i="17"/>
  <c r="BI377" i="17"/>
  <c r="BI324" i="17"/>
  <c r="BI303" i="17"/>
  <c r="BI285" i="17"/>
  <c r="BI296" i="17"/>
  <c r="BI390" i="17"/>
  <c r="BI364" i="17"/>
  <c r="BI383" i="17"/>
  <c r="BI382" i="17"/>
  <c r="BI277" i="17"/>
  <c r="BI385" i="17"/>
  <c r="BI368" i="17"/>
  <c r="BI304" i="17"/>
  <c r="BI338" i="17"/>
  <c r="BI389" i="17"/>
  <c r="BI361" i="17"/>
  <c r="BI351" i="17"/>
  <c r="BI322" i="17"/>
  <c r="BI288" i="17"/>
  <c r="BI305" i="17"/>
  <c r="BI378" i="17"/>
  <c r="BI301" i="17"/>
  <c r="BI345" i="17"/>
  <c r="BI320" i="17"/>
  <c r="BI381" i="17"/>
  <c r="BI337" i="17"/>
  <c r="BI365" i="17"/>
  <c r="BI353" i="17"/>
  <c r="BI370" i="17"/>
  <c r="BI358" i="17"/>
  <c r="BI330" i="17"/>
  <c r="BI384" i="17"/>
  <c r="BI388" i="17"/>
  <c r="BI367" i="17"/>
  <c r="BI374" i="17"/>
  <c r="BI350" i="17"/>
  <c r="D23" i="21"/>
  <c r="I23" i="21" s="1"/>
  <c r="C71" i="9"/>
  <c r="G23" i="2"/>
  <c r="K23" i="2"/>
  <c r="A24" i="21"/>
  <c r="A72" i="9"/>
  <c r="A32" i="11" s="1"/>
  <c r="A25" i="2"/>
  <c r="E24" i="2"/>
  <c r="P24" i="2"/>
  <c r="D24" i="2"/>
  <c r="C24" i="2"/>
  <c r="B24" i="2"/>
  <c r="N24" i="2"/>
  <c r="E72" i="9" s="1"/>
  <c r="AR58" i="17"/>
  <c r="AT58" i="17" s="1"/>
  <c r="AR51" i="17"/>
  <c r="AT51" i="17" s="1"/>
  <c r="AR81" i="17"/>
  <c r="AT81" i="17" s="1"/>
  <c r="AR85" i="17"/>
  <c r="AT85" i="17" s="1"/>
  <c r="AR62" i="17"/>
  <c r="AR55" i="17"/>
  <c r="AT55" i="17" s="1"/>
  <c r="AR104" i="17"/>
  <c r="AT104" i="17" s="1"/>
  <c r="AR69" i="17"/>
  <c r="AT69" i="17" s="1"/>
  <c r="AR117" i="17"/>
  <c r="AT117" i="17" s="1"/>
  <c r="AR127" i="17"/>
  <c r="AT127" i="17" s="1"/>
  <c r="AR21" i="17"/>
  <c r="AT21" i="17" s="1"/>
  <c r="AR128" i="17"/>
  <c r="AT128" i="17" s="1"/>
  <c r="AR37" i="17"/>
  <c r="AT37" i="17" s="1"/>
  <c r="AR103" i="17"/>
  <c r="AT103" i="17" s="1"/>
  <c r="AR66" i="17"/>
  <c r="AT66" i="17" s="1"/>
  <c r="AR76" i="17"/>
  <c r="AT76" i="17" s="1"/>
  <c r="AR102" i="17"/>
  <c r="AT102" i="17" s="1"/>
  <c r="AR77" i="17"/>
  <c r="AT77" i="17" s="1"/>
  <c r="AR122" i="17"/>
  <c r="AT122" i="17" s="1"/>
  <c r="AR70" i="17"/>
  <c r="AT70" i="17" s="1"/>
  <c r="AR73" i="17"/>
  <c r="AR89" i="17"/>
  <c r="AT89" i="17" s="1"/>
  <c r="AR91" i="17"/>
  <c r="AT91" i="17" s="1"/>
  <c r="AR131" i="17"/>
  <c r="AT131" i="17" s="1"/>
  <c r="AR28" i="17"/>
  <c r="AT28" i="17" s="1"/>
  <c r="AR43" i="17"/>
  <c r="AT43" i="17" s="1"/>
  <c r="AR110" i="17"/>
  <c r="AT110" i="17" s="1"/>
  <c r="AR27" i="17"/>
  <c r="AX71" i="15"/>
  <c r="AX32" i="15"/>
  <c r="AX102" i="15"/>
  <c r="AX103" i="15"/>
  <c r="AX138" i="15"/>
  <c r="AX69" i="15"/>
  <c r="AX41" i="15"/>
  <c r="AX101" i="15"/>
  <c r="AX29" i="15"/>
  <c r="AX54" i="15"/>
  <c r="AX118" i="15"/>
  <c r="AX114" i="15"/>
  <c r="AX93" i="15"/>
  <c r="AX36" i="15"/>
  <c r="AX91" i="15"/>
  <c r="AX86" i="15"/>
  <c r="AX23" i="15"/>
  <c r="AX55" i="15"/>
  <c r="AX53" i="15"/>
  <c r="AX58" i="15"/>
  <c r="AX133" i="15"/>
  <c r="AX95" i="15"/>
  <c r="AX81" i="15"/>
  <c r="AX126" i="15"/>
  <c r="AX35" i="15"/>
  <c r="AX134" i="15"/>
  <c r="AX111" i="15"/>
  <c r="AX33" i="15"/>
  <c r="AX24" i="15"/>
  <c r="BD28" i="24" l="1"/>
  <c r="BD36" i="24"/>
  <c r="BD25" i="24"/>
  <c r="BD24" i="24"/>
  <c r="C24" i="21"/>
  <c r="B72" i="9"/>
  <c r="C32" i="11" s="1"/>
  <c r="F24" i="2"/>
  <c r="J24" i="2"/>
  <c r="AZ134" i="15"/>
  <c r="AZ25" i="15"/>
  <c r="AZ121" i="15"/>
  <c r="AZ116" i="15"/>
  <c r="AZ85" i="15"/>
  <c r="BL295" i="17"/>
  <c r="BL383" i="17"/>
  <c r="BL305" i="17"/>
  <c r="BL316" i="17"/>
  <c r="BL288" i="17"/>
  <c r="BL342" i="17"/>
  <c r="BL317" i="17"/>
  <c r="BL377" i="17"/>
  <c r="BL292" i="17"/>
  <c r="BL326" i="17"/>
  <c r="BL319" i="17"/>
  <c r="BL312" i="17"/>
  <c r="BL340" i="17"/>
  <c r="BL280" i="17"/>
  <c r="AT53" i="17"/>
  <c r="BD18" i="24"/>
  <c r="AT73" i="17"/>
  <c r="AT62" i="17"/>
  <c r="D24" i="21"/>
  <c r="I24" i="21" s="1"/>
  <c r="C72" i="9"/>
  <c r="G24" i="2"/>
  <c r="K24" i="2"/>
  <c r="AT75" i="17"/>
  <c r="AT67" i="17"/>
  <c r="BF231" i="17"/>
  <c r="BF204" i="17"/>
  <c r="BF260" i="17"/>
  <c r="BF159" i="17"/>
  <c r="BF257" i="17"/>
  <c r="BF227" i="17"/>
  <c r="BF240" i="17"/>
  <c r="BF261" i="17"/>
  <c r="BF213" i="17"/>
  <c r="BF234" i="17"/>
  <c r="BF177" i="17"/>
  <c r="BF167" i="17"/>
  <c r="BF169" i="17"/>
  <c r="BF239" i="17"/>
  <c r="BF151" i="17"/>
  <c r="BF249" i="17"/>
  <c r="BF230" i="17"/>
  <c r="BF214" i="17"/>
  <c r="BF255" i="17"/>
  <c r="BR417" i="17"/>
  <c r="BR472" i="17"/>
  <c r="BR490" i="17"/>
  <c r="BR486" i="17"/>
  <c r="BR505" i="17"/>
  <c r="BR460" i="17"/>
  <c r="BR487" i="17"/>
  <c r="BR494" i="17"/>
  <c r="BR456" i="17"/>
  <c r="BR436" i="17"/>
  <c r="BR512" i="17"/>
  <c r="BR434" i="17"/>
  <c r="BR481" i="17"/>
  <c r="BR450" i="17"/>
  <c r="BR433" i="17"/>
  <c r="BR430" i="17"/>
  <c r="BR509" i="17"/>
  <c r="BR478" i="17"/>
  <c r="BR413" i="17"/>
  <c r="BR428" i="17"/>
  <c r="BR473" i="17"/>
  <c r="BR469" i="17"/>
  <c r="BR423" i="17"/>
  <c r="BR501" i="17"/>
  <c r="BR517" i="17"/>
  <c r="BD26" i="20"/>
  <c r="BD28" i="20"/>
  <c r="AZ46" i="15"/>
  <c r="AZ52" i="15"/>
  <c r="AZ105" i="15"/>
  <c r="AZ103" i="15"/>
  <c r="AZ71" i="15"/>
  <c r="AZ64" i="15"/>
  <c r="AZ40" i="15"/>
  <c r="AZ29" i="15"/>
  <c r="AZ43" i="15"/>
  <c r="AZ125" i="15"/>
  <c r="AZ124" i="15"/>
  <c r="AZ68" i="15"/>
  <c r="AZ28" i="15"/>
  <c r="AZ58" i="15"/>
  <c r="AZ118" i="15"/>
  <c r="AZ60" i="15"/>
  <c r="AZ106" i="15"/>
  <c r="AZ23" i="15"/>
  <c r="AZ53" i="15"/>
  <c r="AZ113" i="15"/>
  <c r="AZ104" i="15"/>
  <c r="AZ81" i="15"/>
  <c r="AZ34" i="15"/>
  <c r="AZ26" i="15"/>
  <c r="AZ137" i="15"/>
  <c r="AZ62" i="15"/>
  <c r="AZ82" i="15"/>
  <c r="AZ112" i="15"/>
  <c r="AZ49" i="15"/>
  <c r="G31" i="11"/>
  <c r="BL374" i="17"/>
  <c r="BL368" i="17"/>
  <c r="BL332" i="17"/>
  <c r="BL313" i="17"/>
  <c r="BL360" i="17"/>
  <c r="BL329" i="17"/>
  <c r="BL277" i="17"/>
  <c r="BL384" i="17"/>
  <c r="BL338" i="17"/>
  <c r="BL337" i="17"/>
  <c r="BL382" i="17"/>
  <c r="BL381" i="17"/>
  <c r="BL373" i="17"/>
  <c r="BL279" i="17"/>
  <c r="BL287" i="17"/>
  <c r="BL355" i="17"/>
  <c r="BL302" i="17"/>
  <c r="BL352" i="17"/>
  <c r="BL349" i="17"/>
  <c r="BL372" i="17"/>
  <c r="BL389" i="17"/>
  <c r="BL283" i="17"/>
  <c r="BL366" i="17"/>
  <c r="BL294" i="17"/>
  <c r="BL362" i="17"/>
  <c r="BL301" i="17"/>
  <c r="BL371" i="17"/>
  <c r="BL380" i="17"/>
  <c r="BL328" i="17"/>
  <c r="BC27" i="20"/>
  <c r="BC25" i="20"/>
  <c r="BC30" i="20"/>
  <c r="BC29" i="20"/>
  <c r="BC24" i="20"/>
  <c r="BC26" i="20"/>
  <c r="BC28" i="20"/>
  <c r="BC23" i="20"/>
  <c r="AT42" i="17"/>
  <c r="AT30" i="17"/>
  <c r="AT59" i="17"/>
  <c r="AX19" i="24"/>
  <c r="BC16" i="24"/>
  <c r="BB18" i="24"/>
  <c r="A25" i="21"/>
  <c r="A73" i="9"/>
  <c r="A33" i="11" s="1"/>
  <c r="A26" i="2"/>
  <c r="E25" i="2"/>
  <c r="P25" i="2"/>
  <c r="D25" i="2"/>
  <c r="C25" i="2"/>
  <c r="N25" i="2"/>
  <c r="E73" i="9" s="1"/>
  <c r="B25" i="2"/>
  <c r="AZ115" i="15"/>
  <c r="AZ99" i="15"/>
  <c r="AZ24" i="15"/>
  <c r="AZ63" i="15"/>
  <c r="AZ80" i="15"/>
  <c r="BL307" i="17"/>
  <c r="BL392" i="17"/>
  <c r="BL370" i="17"/>
  <c r="BL378" i="17"/>
  <c r="BL322" i="17"/>
  <c r="BL391" i="17"/>
  <c r="BL304" i="17"/>
  <c r="BL306" i="17"/>
  <c r="BL321" i="17"/>
  <c r="BL298" i="17"/>
  <c r="BL286" i="17"/>
  <c r="AT48" i="17"/>
  <c r="AY19" i="24"/>
  <c r="AT27" i="17"/>
  <c r="F72" i="9"/>
  <c r="B32" i="11"/>
  <c r="D32" i="11" s="1"/>
  <c r="E32" i="11" s="1"/>
  <c r="F32" i="11" s="1"/>
  <c r="A42" i="22"/>
  <c r="B24" i="21"/>
  <c r="BF150" i="17"/>
  <c r="BF236" i="17"/>
  <c r="BF176" i="17"/>
  <c r="BF201" i="17"/>
  <c r="BF241" i="17"/>
  <c r="BF168" i="17"/>
  <c r="BF178" i="17"/>
  <c r="BF237" i="17"/>
  <c r="BF212" i="17"/>
  <c r="BF164" i="17"/>
  <c r="BF246" i="17"/>
  <c r="BF148" i="17"/>
  <c r="BD142" i="17" s="1"/>
  <c r="BF165" i="17"/>
  <c r="BF185" i="17"/>
  <c r="BF173" i="17"/>
  <c r="BF247" i="17"/>
  <c r="BF152" i="17"/>
  <c r="BF262" i="17"/>
  <c r="BF149" i="17"/>
  <c r="BJ139" i="17" s="1"/>
  <c r="BF163" i="17"/>
  <c r="BF235" i="17"/>
  <c r="BR493" i="17"/>
  <c r="BR506" i="17"/>
  <c r="BR464" i="17"/>
  <c r="BR507" i="17"/>
  <c r="BR431" i="17"/>
  <c r="BR442" i="17"/>
  <c r="BR410" i="17"/>
  <c r="BR502" i="17"/>
  <c r="BR449" i="17"/>
  <c r="BR511" i="17"/>
  <c r="BR485" i="17"/>
  <c r="BR416" i="17"/>
  <c r="BR508" i="17"/>
  <c r="BR504" i="17"/>
  <c r="BR514" i="17"/>
  <c r="BR471" i="17"/>
  <c r="BR414" i="17"/>
  <c r="BR515" i="17"/>
  <c r="BR448" i="17"/>
  <c r="BR457" i="17"/>
  <c r="BR518" i="17"/>
  <c r="BR492" i="17"/>
  <c r="BR408" i="17"/>
  <c r="BR440" i="17"/>
  <c r="BR444" i="17"/>
  <c r="BR453" i="17"/>
  <c r="BR422" i="17"/>
  <c r="BD29" i="20"/>
  <c r="BD30" i="20"/>
  <c r="AZ41" i="15"/>
  <c r="AZ119" i="15"/>
  <c r="AZ70" i="15"/>
  <c r="AZ79" i="15"/>
  <c r="AZ69" i="15"/>
  <c r="AZ30" i="15"/>
  <c r="AZ101" i="15"/>
  <c r="AZ50" i="15"/>
  <c r="AZ51" i="15"/>
  <c r="AZ74" i="15"/>
  <c r="AZ36" i="15"/>
  <c r="AZ57" i="15"/>
  <c r="AZ93" i="15"/>
  <c r="AZ107" i="15"/>
  <c r="AZ91" i="15"/>
  <c r="AZ138" i="15"/>
  <c r="AZ114" i="15"/>
  <c r="AZ31" i="15"/>
  <c r="AZ139" i="15"/>
  <c r="AZ97" i="15"/>
  <c r="AZ95" i="15"/>
  <c r="AZ56" i="15"/>
  <c r="AZ67" i="15"/>
  <c r="AZ128" i="15"/>
  <c r="AZ75" i="15"/>
  <c r="AZ111" i="15"/>
  <c r="AZ65" i="15"/>
  <c r="AZ76" i="15"/>
  <c r="AZ126" i="15"/>
  <c r="AT15" i="17"/>
  <c r="H23" i="21"/>
  <c r="G23" i="21"/>
  <c r="BL376" i="17"/>
  <c r="BL303" i="17"/>
  <c r="BL379" i="17"/>
  <c r="BL364" i="17"/>
  <c r="BL299" i="17"/>
  <c r="BL343" i="17"/>
  <c r="BL388" i="17"/>
  <c r="BL339" i="17"/>
  <c r="BL311" i="17"/>
  <c r="BL361" i="17"/>
  <c r="BL390" i="17"/>
  <c r="BL281" i="17"/>
  <c r="BL353" i="17"/>
  <c r="BL314" i="17"/>
  <c r="BL320" i="17"/>
  <c r="BL359" i="17"/>
  <c r="BL363" i="17"/>
  <c r="BL318" i="17"/>
  <c r="BL375" i="17"/>
  <c r="BL278" i="17"/>
  <c r="BL325" i="17"/>
  <c r="BL336" i="17"/>
  <c r="BL354" i="17"/>
  <c r="BL308" i="17"/>
  <c r="BL309" i="17"/>
  <c r="BL369" i="17"/>
  <c r="BL387" i="17"/>
  <c r="BL365" i="17"/>
  <c r="BL297" i="17"/>
  <c r="BB27" i="20"/>
  <c r="BE27" i="20" s="1"/>
  <c r="BB30" i="20"/>
  <c r="BB25" i="20"/>
  <c r="BE25" i="20" s="1"/>
  <c r="BB29" i="20"/>
  <c r="BE29" i="20" s="1"/>
  <c r="BB26" i="20"/>
  <c r="BB28" i="20"/>
  <c r="BE28" i="20" s="1"/>
  <c r="BB23" i="20"/>
  <c r="BE23" i="20" s="1"/>
  <c r="BB24" i="20"/>
  <c r="BE24" i="20" s="1"/>
  <c r="AT124" i="17"/>
  <c r="AT41" i="17"/>
  <c r="AT46" i="17"/>
  <c r="AT33" i="17"/>
  <c r="BB16" i="24"/>
  <c r="BC17" i="24"/>
  <c r="AW19" i="24"/>
  <c r="E24" i="21"/>
  <c r="J24" i="21" s="1"/>
  <c r="D72" i="9"/>
  <c r="H24" i="2"/>
  <c r="BF154" i="17"/>
  <c r="BJ140" i="17" s="1"/>
  <c r="BF228" i="17"/>
  <c r="BF209" i="17"/>
  <c r="BF219" i="17"/>
  <c r="BF253" i="17"/>
  <c r="BF224" i="17"/>
  <c r="BF259" i="17"/>
  <c r="BF225" i="17"/>
  <c r="BR447" i="17"/>
  <c r="BR426" i="17"/>
  <c r="BR497" i="17"/>
  <c r="BR524" i="17"/>
  <c r="BR425" i="17"/>
  <c r="BR458" i="17"/>
  <c r="BR499" i="17"/>
  <c r="BR468" i="17"/>
  <c r="BR418" i="17"/>
  <c r="BR462" i="17"/>
  <c r="BR465" i="17"/>
  <c r="BR522" i="17"/>
  <c r="BR437" i="17"/>
  <c r="BR467" i="17"/>
  <c r="BR496" i="17"/>
  <c r="BR419" i="17"/>
  <c r="BR470" i="17"/>
  <c r="BD25" i="20"/>
  <c r="AZ77" i="15"/>
  <c r="AZ54" i="15"/>
  <c r="AZ136" i="15"/>
  <c r="AZ131" i="15"/>
  <c r="AZ48" i="15"/>
  <c r="AZ102" i="15"/>
  <c r="AZ108" i="15"/>
  <c r="AZ117" i="15"/>
  <c r="AZ122" i="15"/>
  <c r="AZ120" i="15"/>
  <c r="AZ32" i="15"/>
  <c r="AZ55" i="15"/>
  <c r="AZ129" i="15"/>
  <c r="AZ133" i="15"/>
  <c r="AZ66" i="15"/>
  <c r="AZ110" i="15"/>
  <c r="AZ78" i="15"/>
  <c r="AZ100" i="15"/>
  <c r="AZ132" i="15"/>
  <c r="AT31" i="17"/>
  <c r="I23" i="2"/>
  <c r="F23" i="21" s="1"/>
  <c r="L23" i="2"/>
  <c r="BL327" i="17"/>
  <c r="BL330" i="17"/>
  <c r="BL358" i="17"/>
  <c r="BL351" i="17"/>
  <c r="BL315" i="17"/>
  <c r="BL393" i="17"/>
  <c r="BL285" i="17"/>
  <c r="BL300" i="17"/>
  <c r="BL296" i="17"/>
  <c r="BL324" i="17"/>
  <c r="BL367" i="17"/>
  <c r="BL282" i="17"/>
  <c r="BL333" i="17"/>
  <c r="BL310" i="17"/>
  <c r="BL357" i="17"/>
  <c r="BL341" i="17"/>
  <c r="BL335" i="17"/>
  <c r="BL346" i="17"/>
  <c r="BL289" i="17"/>
  <c r="BL345" i="17"/>
  <c r="BL323" i="17"/>
  <c r="BL348" i="17"/>
  <c r="BL284" i="17"/>
  <c r="BL293" i="17"/>
  <c r="BL356" i="17"/>
  <c r="BL344" i="17"/>
  <c r="BL334" i="17"/>
  <c r="BL331" i="17"/>
  <c r="BL291" i="17"/>
  <c r="AT98" i="17"/>
  <c r="AT88" i="17"/>
  <c r="AT78" i="17"/>
  <c r="AT36" i="17"/>
  <c r="BD17" i="24"/>
  <c r="BD27" i="24" s="1"/>
  <c r="BB17" i="24"/>
  <c r="BC18" i="24"/>
  <c r="BJ226" i="17" l="1"/>
  <c r="BJ219" i="17"/>
  <c r="BJ193" i="17"/>
  <c r="BJ234" i="17"/>
  <c r="BJ236" i="17"/>
  <c r="BJ246" i="17"/>
  <c r="BJ173" i="17"/>
  <c r="BJ185" i="17"/>
  <c r="BJ177" i="17"/>
  <c r="BJ180" i="17"/>
  <c r="BJ190" i="17"/>
  <c r="BJ192" i="17"/>
  <c r="BJ179" i="17"/>
  <c r="BJ233" i="17"/>
  <c r="BJ244" i="17"/>
  <c r="BJ152" i="17"/>
  <c r="BJ220" i="17"/>
  <c r="BJ237" i="17"/>
  <c r="BJ211" i="17"/>
  <c r="BJ252" i="17"/>
  <c r="BJ201" i="17"/>
  <c r="BJ248" i="17"/>
  <c r="BJ203" i="17"/>
  <c r="BJ168" i="17"/>
  <c r="BJ164" i="17"/>
  <c r="BJ258" i="17"/>
  <c r="BJ149" i="17"/>
  <c r="BJ232" i="17"/>
  <c r="BJ254" i="17"/>
  <c r="BI140" i="17"/>
  <c r="BB19" i="20"/>
  <c r="BH16" i="20"/>
  <c r="BH17" i="20"/>
  <c r="BB142" i="17"/>
  <c r="BH140" i="17"/>
  <c r="BI141" i="17"/>
  <c r="BJ141" i="17"/>
  <c r="BJ160" i="17" s="1"/>
  <c r="BB29" i="24"/>
  <c r="BB37" i="24"/>
  <c r="BB34" i="24"/>
  <c r="BB26" i="24"/>
  <c r="BB33" i="24"/>
  <c r="BE33" i="24" s="1"/>
  <c r="BB32" i="24"/>
  <c r="BB30" i="24"/>
  <c r="BB31" i="24"/>
  <c r="BB28" i="24"/>
  <c r="BB27" i="24"/>
  <c r="BB35" i="24"/>
  <c r="BB24" i="24"/>
  <c r="BB23" i="24"/>
  <c r="BB25" i="24"/>
  <c r="BB36" i="24"/>
  <c r="BE30" i="20"/>
  <c r="A43" i="22"/>
  <c r="B25" i="21"/>
  <c r="AZ20" i="15"/>
  <c r="AW19" i="15"/>
  <c r="BB18" i="15"/>
  <c r="BD16" i="15"/>
  <c r="BD17" i="15"/>
  <c r="BC16" i="15"/>
  <c r="AY19" i="15"/>
  <c r="BD18" i="15"/>
  <c r="BC17" i="15"/>
  <c r="BB16" i="15"/>
  <c r="BC18" i="15"/>
  <c r="AX19" i="15"/>
  <c r="BB17" i="15"/>
  <c r="O24" i="2"/>
  <c r="M24" i="2"/>
  <c r="BD26" i="24"/>
  <c r="BD23" i="24"/>
  <c r="BD32" i="24"/>
  <c r="BD29" i="24"/>
  <c r="D25" i="21"/>
  <c r="I25" i="21" s="1"/>
  <c r="C73" i="9"/>
  <c r="G25" i="2"/>
  <c r="BJ273" i="17"/>
  <c r="BQ272" i="17"/>
  <c r="BR271" i="17"/>
  <c r="BN271" i="17"/>
  <c r="BO270" i="17"/>
  <c r="BI273" i="17"/>
  <c r="BP272" i="17"/>
  <c r="BQ271" i="17"/>
  <c r="BR270" i="17"/>
  <c r="BN270" i="17"/>
  <c r="BH273" i="17"/>
  <c r="BO272" i="17"/>
  <c r="BP271" i="17"/>
  <c r="BR272" i="17"/>
  <c r="BQ270" i="17"/>
  <c r="BK273" i="17"/>
  <c r="BN272" i="17"/>
  <c r="BO271" i="17"/>
  <c r="BP270" i="17"/>
  <c r="BG273" i="17"/>
  <c r="BL274" i="17"/>
  <c r="I24" i="2"/>
  <c r="F24" i="21" s="1"/>
  <c r="L24" i="2"/>
  <c r="BK140" i="17"/>
  <c r="BK139" i="17"/>
  <c r="BF143" i="17"/>
  <c r="BC142" i="17"/>
  <c r="BE26" i="20"/>
  <c r="BC19" i="20" s="1"/>
  <c r="AV9" i="17"/>
  <c r="AS11" i="17"/>
  <c r="AW10" i="17"/>
  <c r="AW8" i="17"/>
  <c r="AT12" i="17"/>
  <c r="AR11" i="17"/>
  <c r="AV10" i="17"/>
  <c r="AV8" i="17"/>
  <c r="AW9" i="17"/>
  <c r="F73" i="9"/>
  <c r="B33" i="11"/>
  <c r="D33" i="11" s="1"/>
  <c r="E33" i="11" s="1"/>
  <c r="F33" i="11" s="1"/>
  <c r="E25" i="21"/>
  <c r="J25" i="21" s="1"/>
  <c r="D73" i="9"/>
  <c r="H25" i="2"/>
  <c r="G32" i="11"/>
  <c r="BD34" i="24"/>
  <c r="BD35" i="24"/>
  <c r="BD33" i="24"/>
  <c r="BD37" i="24"/>
  <c r="BH141" i="17"/>
  <c r="BE142" i="17"/>
  <c r="K25" i="2"/>
  <c r="BH139" i="17"/>
  <c r="BK141" i="17"/>
  <c r="BI139" i="17"/>
  <c r="BQ404" i="17"/>
  <c r="BM404" i="17"/>
  <c r="BY403" i="17"/>
  <c r="BU403" i="17"/>
  <c r="BW402" i="17"/>
  <c r="BY401" i="17"/>
  <c r="BU401" i="17"/>
  <c r="BR405" i="17"/>
  <c r="BP404" i="17"/>
  <c r="BL404" i="17"/>
  <c r="BX403" i="17"/>
  <c r="BT403" i="17"/>
  <c r="BV402" i="17"/>
  <c r="BN404" i="17"/>
  <c r="BV403" i="17"/>
  <c r="BT402" i="17"/>
  <c r="BT401" i="17"/>
  <c r="BY402" i="17"/>
  <c r="BX401" i="17"/>
  <c r="BX402" i="17"/>
  <c r="BW401" i="17"/>
  <c r="BU402" i="17"/>
  <c r="BO404" i="17"/>
  <c r="BV401" i="17"/>
  <c r="BW403" i="17"/>
  <c r="C25" i="21"/>
  <c r="B73" i="9"/>
  <c r="C33" i="11" s="1"/>
  <c r="G33" i="11" s="1"/>
  <c r="F25" i="2"/>
  <c r="J25" i="2"/>
  <c r="A26" i="21"/>
  <c r="A74" i="9"/>
  <c r="A34" i="11" s="1"/>
  <c r="A27" i="2"/>
  <c r="E26" i="2"/>
  <c r="P26" i="2"/>
  <c r="D26" i="2"/>
  <c r="B26" i="2"/>
  <c r="C26" i="2"/>
  <c r="N26" i="2"/>
  <c r="E74" i="9" s="1"/>
  <c r="BC37" i="24"/>
  <c r="BC29" i="24"/>
  <c r="BC33" i="24"/>
  <c r="BC30" i="24"/>
  <c r="BC32" i="24"/>
  <c r="BC35" i="24"/>
  <c r="BC24" i="24"/>
  <c r="BC28" i="24"/>
  <c r="BC25" i="24"/>
  <c r="BC34" i="24"/>
  <c r="BC27" i="24"/>
  <c r="BC23" i="24"/>
  <c r="BC26" i="24"/>
  <c r="BC36" i="24"/>
  <c r="BC31" i="24"/>
  <c r="H24" i="21"/>
  <c r="G24" i="21"/>
  <c r="BD30" i="24"/>
  <c r="BD31" i="24"/>
  <c r="B34" i="11" l="1"/>
  <c r="D34" i="11" s="1"/>
  <c r="E34" i="11" s="1"/>
  <c r="F34" i="11" s="1"/>
  <c r="F74" i="9"/>
  <c r="BX422" i="17"/>
  <c r="BX517" i="17"/>
  <c r="BX453" i="17"/>
  <c r="BX410" i="17"/>
  <c r="BX413" i="17"/>
  <c r="BX419" i="17"/>
  <c r="BX444" i="17"/>
  <c r="BX418" i="17"/>
  <c r="BX423" i="17"/>
  <c r="BX414" i="17"/>
  <c r="BX437" i="17"/>
  <c r="BX450" i="17"/>
  <c r="BX440" i="17"/>
  <c r="BX490" i="17"/>
  <c r="BX469" i="17"/>
  <c r="BX427" i="17"/>
  <c r="BX457" i="17"/>
  <c r="BX495" i="17"/>
  <c r="BX408" i="17"/>
  <c r="BX434" i="17"/>
  <c r="BX443" i="17"/>
  <c r="BX474" i="17"/>
  <c r="BX455" i="17"/>
  <c r="BX465" i="17"/>
  <c r="BX492" i="17"/>
  <c r="BX428" i="17"/>
  <c r="BX409" i="17"/>
  <c r="BX477" i="17"/>
  <c r="BX467" i="17"/>
  <c r="BX505" i="17"/>
  <c r="BX415" i="17"/>
  <c r="BX515" i="17"/>
  <c r="BX466" i="17"/>
  <c r="BX452" i="17"/>
  <c r="BX433" i="17"/>
  <c r="BX503" i="17"/>
  <c r="BX463" i="17"/>
  <c r="BX478" i="17"/>
  <c r="BX496" i="17"/>
  <c r="BX481" i="17"/>
  <c r="BX498" i="17"/>
  <c r="BX500" i="17"/>
  <c r="BX499" i="17"/>
  <c r="BX412" i="17"/>
  <c r="BX494" i="17"/>
  <c r="BX482" i="17"/>
  <c r="BX521" i="17"/>
  <c r="BX448" i="17"/>
  <c r="BX429" i="17"/>
  <c r="BX435" i="17"/>
  <c r="BX470" i="17"/>
  <c r="BX501" i="17"/>
  <c r="BX491" i="17"/>
  <c r="BX523" i="17"/>
  <c r="BX425" i="17"/>
  <c r="BX446" i="17"/>
  <c r="BX483" i="17"/>
  <c r="BX468" i="17"/>
  <c r="BX471" i="17"/>
  <c r="BX432" i="17"/>
  <c r="BX514" i="17"/>
  <c r="BX424" i="17"/>
  <c r="BX484" i="17"/>
  <c r="BX519" i="17"/>
  <c r="BX522" i="17"/>
  <c r="BX504" i="17"/>
  <c r="BX511" i="17"/>
  <c r="BX488" i="17"/>
  <c r="BX508" i="17"/>
  <c r="BX421" i="17"/>
  <c r="BX512" i="17"/>
  <c r="BX507" i="17"/>
  <c r="BX516" i="17"/>
  <c r="BX416" i="17"/>
  <c r="BX436" i="17"/>
  <c r="BX451" i="17"/>
  <c r="BX476" i="17"/>
  <c r="BX449" i="17"/>
  <c r="BX461" i="17"/>
  <c r="BX442" i="17"/>
  <c r="BX456" i="17"/>
  <c r="BX506" i="17"/>
  <c r="BX524" i="17"/>
  <c r="BX502" i="17"/>
  <c r="BX439" i="17"/>
  <c r="BX480" i="17"/>
  <c r="BX454" i="17"/>
  <c r="BX513" i="17"/>
  <c r="BX509" i="17"/>
  <c r="BX475" i="17"/>
  <c r="BX445" i="17"/>
  <c r="BX487" i="17"/>
  <c r="BX485" i="17"/>
  <c r="BX460" i="17"/>
  <c r="BX486" i="17"/>
  <c r="BX489" i="17"/>
  <c r="BX438" i="17"/>
  <c r="BX417" i="17"/>
  <c r="BX510" i="17"/>
  <c r="BX497" i="17"/>
  <c r="BX426" i="17"/>
  <c r="BX518" i="17"/>
  <c r="BX462" i="17"/>
  <c r="BX431" i="17"/>
  <c r="BX520" i="17"/>
  <c r="BX430" i="17"/>
  <c r="BX441" i="17"/>
  <c r="BX479" i="17"/>
  <c r="BX472" i="17"/>
  <c r="BX459" i="17"/>
  <c r="BX458" i="17"/>
  <c r="BX464" i="17"/>
  <c r="BX493" i="17"/>
  <c r="BX420" i="17"/>
  <c r="BX411" i="17"/>
  <c r="BX473" i="17"/>
  <c r="BX447" i="17"/>
  <c r="BN291" i="17"/>
  <c r="BN386" i="17"/>
  <c r="BN328" i="17"/>
  <c r="BN363" i="17"/>
  <c r="BN313" i="17"/>
  <c r="BN280" i="17"/>
  <c r="BN393" i="17"/>
  <c r="BN380" i="17"/>
  <c r="BN359" i="17"/>
  <c r="BN340" i="17"/>
  <c r="BN329" i="17"/>
  <c r="BN326" i="17"/>
  <c r="BS326" i="17" s="1"/>
  <c r="BN323" i="17"/>
  <c r="BN317" i="17"/>
  <c r="BN344" i="17"/>
  <c r="BN312" i="17"/>
  <c r="BS312" i="17" s="1"/>
  <c r="BN356" i="17"/>
  <c r="BN321" i="17"/>
  <c r="BN278" i="17"/>
  <c r="BN289" i="17"/>
  <c r="BS289" i="17" s="1"/>
  <c r="BN308" i="17"/>
  <c r="BN287" i="17"/>
  <c r="BN391" i="17"/>
  <c r="BN306" i="17"/>
  <c r="BN319" i="17"/>
  <c r="BN346" i="17"/>
  <c r="BN392" i="17"/>
  <c r="BN284" i="17"/>
  <c r="BS284" i="17" s="1"/>
  <c r="BN318" i="17"/>
  <c r="BN281" i="17"/>
  <c r="BN279" i="17"/>
  <c r="BN297" i="17"/>
  <c r="BS297" i="17" s="1"/>
  <c r="BN348" i="17"/>
  <c r="BN302" i="17"/>
  <c r="BN333" i="17"/>
  <c r="BN343" i="17"/>
  <c r="BS343" i="17" s="1"/>
  <c r="BN341" i="17"/>
  <c r="BN336" i="17"/>
  <c r="BN311" i="17"/>
  <c r="BN355" i="17"/>
  <c r="BS355" i="17" s="1"/>
  <c r="BN373" i="17"/>
  <c r="BN295" i="17"/>
  <c r="BN325" i="17"/>
  <c r="BN347" i="17"/>
  <c r="BN309" i="17"/>
  <c r="BN327" i="17"/>
  <c r="BN372" i="17"/>
  <c r="BN292" i="17"/>
  <c r="BN379" i="17"/>
  <c r="BN315" i="17"/>
  <c r="BN299" i="17"/>
  <c r="BN310" i="17"/>
  <c r="BN314" i="17"/>
  <c r="BN352" i="17"/>
  <c r="BN342" i="17"/>
  <c r="BN335" i="17"/>
  <c r="BN331" i="17"/>
  <c r="BN365" i="17"/>
  <c r="BN304" i="17"/>
  <c r="BN353" i="17"/>
  <c r="BS353" i="17" s="1"/>
  <c r="BN338" i="17"/>
  <c r="BN305" i="17"/>
  <c r="BN378" i="17"/>
  <c r="BN301" i="17"/>
  <c r="BS301" i="17" s="1"/>
  <c r="BN389" i="17"/>
  <c r="BN370" i="17"/>
  <c r="BN345" i="17"/>
  <c r="BN339" i="17"/>
  <c r="BN320" i="17"/>
  <c r="BN358" i="17"/>
  <c r="BN374" i="17"/>
  <c r="BN307" i="17"/>
  <c r="BN282" i="17"/>
  <c r="BN330" i="17"/>
  <c r="BN377" i="17"/>
  <c r="BN290" i="17"/>
  <c r="BN286" i="17"/>
  <c r="BN293" i="17"/>
  <c r="BN354" i="17"/>
  <c r="BN298" i="17"/>
  <c r="BN316" i="17"/>
  <c r="BN303" i="17"/>
  <c r="BN361" i="17"/>
  <c r="BN351" i="17"/>
  <c r="BN322" i="17"/>
  <c r="BN288" i="17"/>
  <c r="BN383" i="17"/>
  <c r="BN285" i="17"/>
  <c r="BS285" i="17" s="1"/>
  <c r="BN364" i="17"/>
  <c r="BN334" i="17"/>
  <c r="BN300" i="17"/>
  <c r="BN369" i="17"/>
  <c r="BS369" i="17" s="1"/>
  <c r="BN357" i="17"/>
  <c r="BN375" i="17"/>
  <c r="BN349" i="17"/>
  <c r="BN294" i="17"/>
  <c r="BS294" i="17" s="1"/>
  <c r="BN384" i="17"/>
  <c r="BN388" i="17"/>
  <c r="BN283" i="17"/>
  <c r="BN360" i="17"/>
  <c r="BS360" i="17" s="1"/>
  <c r="BN366" i="17"/>
  <c r="BN296" i="17"/>
  <c r="BN390" i="17"/>
  <c r="BN387" i="17"/>
  <c r="BN332" i="17"/>
  <c r="BN381" i="17"/>
  <c r="BN385" i="17"/>
  <c r="BN337" i="17"/>
  <c r="BN368" i="17"/>
  <c r="BN350" i="17"/>
  <c r="BN367" i="17"/>
  <c r="BN371" i="17"/>
  <c r="BN362" i="17"/>
  <c r="BN376" i="17"/>
  <c r="BN324" i="17"/>
  <c r="BN382" i="17"/>
  <c r="BN277" i="17"/>
  <c r="BE23" i="24"/>
  <c r="C26" i="21"/>
  <c r="B74" i="9"/>
  <c r="C34" i="11" s="1"/>
  <c r="G34" i="11" s="1"/>
  <c r="F26" i="2"/>
  <c r="J26" i="2"/>
  <c r="E26" i="21"/>
  <c r="J26" i="21" s="1"/>
  <c r="D74" i="9"/>
  <c r="H26" i="2"/>
  <c r="O25" i="2"/>
  <c r="M25" i="2"/>
  <c r="H25" i="21"/>
  <c r="G25" i="21"/>
  <c r="BY517" i="17"/>
  <c r="BY422" i="17"/>
  <c r="BY429" i="17"/>
  <c r="BY523" i="17"/>
  <c r="BY466" i="17"/>
  <c r="BY414" i="17"/>
  <c r="BY431" i="17"/>
  <c r="BY513" i="17"/>
  <c r="BY516" i="17"/>
  <c r="BY490" i="17"/>
  <c r="BY416" i="17"/>
  <c r="BY519" i="17"/>
  <c r="BY457" i="17"/>
  <c r="BY436" i="17"/>
  <c r="BY520" i="17"/>
  <c r="BY511" i="17"/>
  <c r="BY494" i="17"/>
  <c r="BY482" i="17"/>
  <c r="BY451" i="17"/>
  <c r="BY475" i="17"/>
  <c r="BY474" i="17"/>
  <c r="BY476" i="17"/>
  <c r="BY524" i="17"/>
  <c r="BY507" i="17"/>
  <c r="BY441" i="17"/>
  <c r="BY447" i="17"/>
  <c r="BY411" i="17"/>
  <c r="BY470" i="17"/>
  <c r="BY453" i="17"/>
  <c r="BY501" i="17"/>
  <c r="BY415" i="17"/>
  <c r="BY419" i="17"/>
  <c r="BY444" i="17"/>
  <c r="BY423" i="17"/>
  <c r="BY425" i="17"/>
  <c r="BY437" i="17"/>
  <c r="BY446" i="17"/>
  <c r="BY496" i="17"/>
  <c r="BY440" i="17"/>
  <c r="BY469" i="17"/>
  <c r="BY427" i="17"/>
  <c r="BY495" i="17"/>
  <c r="BY408" i="17"/>
  <c r="BY443" i="17"/>
  <c r="BY455" i="17"/>
  <c r="BY492" i="17"/>
  <c r="BY428" i="17"/>
  <c r="BY467" i="17"/>
  <c r="BY518" i="17"/>
  <c r="BY505" i="17"/>
  <c r="BY413" i="17"/>
  <c r="BY452" i="17"/>
  <c r="BY463" i="17"/>
  <c r="BY478" i="17"/>
  <c r="BY500" i="17"/>
  <c r="BY522" i="17"/>
  <c r="BY510" i="17"/>
  <c r="BY412" i="17"/>
  <c r="BY521" i="17"/>
  <c r="BY448" i="17"/>
  <c r="BY430" i="17"/>
  <c r="BY465" i="17"/>
  <c r="BY477" i="17"/>
  <c r="BY450" i="17"/>
  <c r="BY481" i="17"/>
  <c r="BY499" i="17"/>
  <c r="BY508" i="17"/>
  <c r="BY512" i="17"/>
  <c r="BY445" i="17"/>
  <c r="BY497" i="17"/>
  <c r="BY442" i="17"/>
  <c r="BY439" i="17"/>
  <c r="BY486" i="17"/>
  <c r="BY493" i="17"/>
  <c r="BY480" i="17"/>
  <c r="BY489" i="17"/>
  <c r="BY438" i="17"/>
  <c r="BY409" i="17"/>
  <c r="BY479" i="17"/>
  <c r="BY420" i="17"/>
  <c r="BY417" i="17"/>
  <c r="BY515" i="17"/>
  <c r="BY503" i="17"/>
  <c r="BY418" i="17"/>
  <c r="BY471" i="17"/>
  <c r="BY498" i="17"/>
  <c r="BY484" i="17"/>
  <c r="BY473" i="17"/>
  <c r="BY488" i="17"/>
  <c r="BY421" i="17"/>
  <c r="BY456" i="17"/>
  <c r="BY435" i="17"/>
  <c r="BY462" i="17"/>
  <c r="BY514" i="17"/>
  <c r="BY472" i="17"/>
  <c r="BY426" i="17"/>
  <c r="BY410" i="17"/>
  <c r="BY491" i="17"/>
  <c r="BY433" i="17"/>
  <c r="BY483" i="17"/>
  <c r="BY468" i="17"/>
  <c r="BY432" i="17"/>
  <c r="BY424" i="17"/>
  <c r="BY504" i="17"/>
  <c r="BY509" i="17"/>
  <c r="BY434" i="17"/>
  <c r="BY449" i="17"/>
  <c r="BY487" i="17"/>
  <c r="BY485" i="17"/>
  <c r="BY461" i="17"/>
  <c r="BY458" i="17"/>
  <c r="BY502" i="17"/>
  <c r="BY460" i="17"/>
  <c r="BY454" i="17"/>
  <c r="BY459" i="17"/>
  <c r="BY464" i="17"/>
  <c r="BY506" i="17"/>
  <c r="BH160" i="17"/>
  <c r="BH255" i="17"/>
  <c r="BL255" i="17" s="1"/>
  <c r="BH185" i="17"/>
  <c r="BH167" i="17"/>
  <c r="BH245" i="17"/>
  <c r="BH217" i="17"/>
  <c r="BL217" i="17" s="1"/>
  <c r="BH225" i="17"/>
  <c r="BH206" i="17"/>
  <c r="BH219" i="17"/>
  <c r="BH244" i="17"/>
  <c r="BH251" i="17"/>
  <c r="BH199" i="17"/>
  <c r="BH157" i="17"/>
  <c r="BH152" i="17"/>
  <c r="BL152" i="17" s="1"/>
  <c r="BH190" i="17"/>
  <c r="BH171" i="17"/>
  <c r="BH220" i="17"/>
  <c r="BH242" i="17"/>
  <c r="BL242" i="17" s="1"/>
  <c r="BH238" i="17"/>
  <c r="BH181" i="17"/>
  <c r="BH233" i="17"/>
  <c r="BH146" i="17"/>
  <c r="BL146" i="17" s="1"/>
  <c r="BH173" i="17"/>
  <c r="BH197" i="17"/>
  <c r="BH184" i="17"/>
  <c r="BH215" i="17"/>
  <c r="BH200" i="17"/>
  <c r="BH196" i="17"/>
  <c r="BH214" i="17"/>
  <c r="BH202" i="17"/>
  <c r="BH165" i="17"/>
  <c r="BH248" i="17"/>
  <c r="BH147" i="17"/>
  <c r="BH193" i="17"/>
  <c r="BL193" i="17" s="1"/>
  <c r="BH230" i="17"/>
  <c r="BH227" i="17"/>
  <c r="BH155" i="17"/>
  <c r="BH148" i="17"/>
  <c r="BL148" i="17" s="1"/>
  <c r="BH175" i="17"/>
  <c r="BH213" i="17"/>
  <c r="BH252" i="17"/>
  <c r="BH194" i="17"/>
  <c r="BH179" i="17"/>
  <c r="BH261" i="17"/>
  <c r="BH187" i="17"/>
  <c r="BH231" i="17"/>
  <c r="BH164" i="17"/>
  <c r="BH240" i="17"/>
  <c r="BH250" i="17"/>
  <c r="BH226" i="17"/>
  <c r="BH166" i="17"/>
  <c r="BH162" i="17"/>
  <c r="BH191" i="17"/>
  <c r="BH177" i="17"/>
  <c r="BH259" i="17"/>
  <c r="BH176" i="17"/>
  <c r="BH229" i="17"/>
  <c r="BH262" i="17"/>
  <c r="BL262" i="17" s="1"/>
  <c r="BH212" i="17"/>
  <c r="BH254" i="17"/>
  <c r="BH235" i="17"/>
  <c r="BH154" i="17"/>
  <c r="BL154" i="17" s="1"/>
  <c r="BH243" i="17"/>
  <c r="BH234" i="17"/>
  <c r="BH249" i="17"/>
  <c r="BH210" i="17"/>
  <c r="BH205" i="17"/>
  <c r="BH209" i="17"/>
  <c r="BH236" i="17"/>
  <c r="BH163" i="17"/>
  <c r="BL163" i="17" s="1"/>
  <c r="BH186" i="17"/>
  <c r="BH169" i="17"/>
  <c r="BH228" i="17"/>
  <c r="BH237" i="17"/>
  <c r="BL237" i="17" s="1"/>
  <c r="BH151" i="17"/>
  <c r="BH256" i="17"/>
  <c r="BH211" i="17"/>
  <c r="BH182" i="17"/>
  <c r="BH216" i="17"/>
  <c r="BH232" i="17"/>
  <c r="BH161" i="17"/>
  <c r="BH260" i="17"/>
  <c r="BL260" i="17" s="1"/>
  <c r="BH195" i="17"/>
  <c r="BH201" i="17"/>
  <c r="BH246" i="17"/>
  <c r="BH253" i="17"/>
  <c r="BL253" i="17" s="1"/>
  <c r="BH208" i="17"/>
  <c r="BH222" i="17"/>
  <c r="BH178" i="17"/>
  <c r="BH203" i="17"/>
  <c r="BH241" i="17"/>
  <c r="BH189" i="17"/>
  <c r="BH258" i="17"/>
  <c r="BH218" i="17"/>
  <c r="BH239" i="17"/>
  <c r="BH247" i="17"/>
  <c r="BH170" i="17"/>
  <c r="BH149" i="17"/>
  <c r="BH150" i="17"/>
  <c r="BH156" i="17"/>
  <c r="BH168" i="17"/>
  <c r="BH188" i="17"/>
  <c r="BL188" i="17" s="1"/>
  <c r="BH180" i="17"/>
  <c r="BH172" i="17"/>
  <c r="BH198" i="17"/>
  <c r="BH224" i="17"/>
  <c r="BH192" i="17"/>
  <c r="BH223" i="17"/>
  <c r="BH257" i="17"/>
  <c r="BH153" i="17"/>
  <c r="BL153" i="17" s="1"/>
  <c r="BH204" i="17"/>
  <c r="BH159" i="17"/>
  <c r="BH221" i="17"/>
  <c r="BH207" i="17"/>
  <c r="BH174" i="17"/>
  <c r="BH158" i="17"/>
  <c r="BH183" i="17"/>
  <c r="AV124" i="17"/>
  <c r="AX124" i="17" s="1"/>
  <c r="AV29" i="17"/>
  <c r="AV109" i="17"/>
  <c r="AX109" i="17" s="1"/>
  <c r="AV54" i="17"/>
  <c r="AV47" i="17"/>
  <c r="AV106" i="17"/>
  <c r="AV44" i="17"/>
  <c r="AV15" i="17"/>
  <c r="AV98" i="17"/>
  <c r="AV30" i="17"/>
  <c r="AV117" i="17"/>
  <c r="AV113" i="17"/>
  <c r="AV114" i="17"/>
  <c r="AV16" i="17"/>
  <c r="AV76" i="17"/>
  <c r="AX76" i="17" s="1"/>
  <c r="AV64" i="17"/>
  <c r="AV37" i="17"/>
  <c r="AV128" i="17"/>
  <c r="AV70" i="17"/>
  <c r="AX70" i="17" s="1"/>
  <c r="AV63" i="17"/>
  <c r="AV46" i="17"/>
  <c r="AV71" i="17"/>
  <c r="AV69" i="17"/>
  <c r="AX69" i="17" s="1"/>
  <c r="AV103" i="17"/>
  <c r="AV81" i="17"/>
  <c r="AV112" i="17"/>
  <c r="AV19" i="17"/>
  <c r="AX19" i="17" s="1"/>
  <c r="AV62" i="17"/>
  <c r="AV41" i="17"/>
  <c r="AX41" i="17" s="1"/>
  <c r="AV40" i="17"/>
  <c r="AV89" i="17"/>
  <c r="AX89" i="17" s="1"/>
  <c r="AV26" i="17"/>
  <c r="AV23" i="17"/>
  <c r="AV126" i="17"/>
  <c r="AV129" i="17"/>
  <c r="AV102" i="17"/>
  <c r="AV121" i="17"/>
  <c r="AV73" i="17"/>
  <c r="AV87" i="17"/>
  <c r="AX87" i="17" s="1"/>
  <c r="AV36" i="17"/>
  <c r="AV79" i="17"/>
  <c r="AV67" i="17"/>
  <c r="AV111" i="17"/>
  <c r="AX111" i="17" s="1"/>
  <c r="AV53" i="17"/>
  <c r="AV31" i="17"/>
  <c r="AV108" i="17"/>
  <c r="AV119" i="17"/>
  <c r="AX119" i="17" s="1"/>
  <c r="AV27" i="17"/>
  <c r="AV32" i="17"/>
  <c r="AV60" i="17"/>
  <c r="AV110" i="17"/>
  <c r="AV84" i="17"/>
  <c r="AV22" i="17"/>
  <c r="AX22" i="17" s="1"/>
  <c r="AV52" i="17"/>
  <c r="AV65" i="17"/>
  <c r="AV93" i="17"/>
  <c r="AV43" i="17"/>
  <c r="AX43" i="17" s="1"/>
  <c r="AV120" i="17"/>
  <c r="AV122" i="17"/>
  <c r="AX122" i="17" s="1"/>
  <c r="AV28" i="17"/>
  <c r="AV66" i="17"/>
  <c r="AV75" i="17"/>
  <c r="AV95" i="17"/>
  <c r="AV20" i="17"/>
  <c r="AV17" i="17"/>
  <c r="AX17" i="17" s="1"/>
  <c r="AV77" i="17"/>
  <c r="AV99" i="17"/>
  <c r="AX99" i="17" s="1"/>
  <c r="AV105" i="17"/>
  <c r="AV88" i="17"/>
  <c r="AX88" i="17" s="1"/>
  <c r="AV35" i="17"/>
  <c r="AV94" i="17"/>
  <c r="AX94" i="17" s="1"/>
  <c r="AV56" i="17"/>
  <c r="AV68" i="17"/>
  <c r="AV74" i="17"/>
  <c r="AV125" i="17"/>
  <c r="AX125" i="17" s="1"/>
  <c r="AV51" i="17"/>
  <c r="AV39" i="17"/>
  <c r="AV85" i="17"/>
  <c r="AV127" i="17"/>
  <c r="AX127" i="17" s="1"/>
  <c r="AV118" i="17"/>
  <c r="AV59" i="17"/>
  <c r="AV90" i="17"/>
  <c r="AV83" i="17"/>
  <c r="AX83" i="17" s="1"/>
  <c r="AV130" i="17"/>
  <c r="AV34" i="17"/>
  <c r="AX34" i="17" s="1"/>
  <c r="AV25" i="17"/>
  <c r="AV86" i="17"/>
  <c r="AX86" i="17" s="1"/>
  <c r="AV101" i="17"/>
  <c r="AV123" i="17"/>
  <c r="AX123" i="17" s="1"/>
  <c r="AV131" i="17"/>
  <c r="AV92" i="17"/>
  <c r="AX92" i="17" s="1"/>
  <c r="AV97" i="17"/>
  <c r="AV21" i="17"/>
  <c r="AX21" i="17" s="1"/>
  <c r="AV96" i="17"/>
  <c r="AV82" i="17"/>
  <c r="AV33" i="17"/>
  <c r="AV24" i="17"/>
  <c r="AX24" i="17" s="1"/>
  <c r="AV91" i="17"/>
  <c r="AV72" i="17"/>
  <c r="AV61" i="17"/>
  <c r="AV115" i="17"/>
  <c r="AV18" i="17"/>
  <c r="AV48" i="17"/>
  <c r="AV50" i="17"/>
  <c r="AV57" i="17"/>
  <c r="AV107" i="17"/>
  <c r="AV42" i="17"/>
  <c r="AX42" i="17" s="1"/>
  <c r="AV49" i="17"/>
  <c r="AV78" i="17"/>
  <c r="AX78" i="17" s="1"/>
  <c r="AV100" i="17"/>
  <c r="AV58" i="17"/>
  <c r="AX58" i="17" s="1"/>
  <c r="AV45" i="17"/>
  <c r="AV116" i="17"/>
  <c r="AV80" i="17"/>
  <c r="AV104" i="17"/>
  <c r="AX104" i="17" s="1"/>
  <c r="AV55" i="17"/>
  <c r="AV38" i="17"/>
  <c r="AX38" i="17" s="1"/>
  <c r="AW124" i="17"/>
  <c r="AW29" i="17"/>
  <c r="AW80" i="17"/>
  <c r="AW91" i="17"/>
  <c r="AW109" i="17"/>
  <c r="AW54" i="17"/>
  <c r="AW99" i="17"/>
  <c r="AW106" i="17"/>
  <c r="AW105" i="17"/>
  <c r="AW72" i="17"/>
  <c r="AW25" i="17"/>
  <c r="AW57" i="17"/>
  <c r="AW88" i="17"/>
  <c r="AW128" i="17"/>
  <c r="AW70" i="17"/>
  <c r="AW107" i="17"/>
  <c r="AW35" i="17"/>
  <c r="AW115" i="17"/>
  <c r="AW122" i="17"/>
  <c r="AW94" i="17"/>
  <c r="AW123" i="17"/>
  <c r="AW48" i="17"/>
  <c r="AW130" i="17"/>
  <c r="AW47" i="17"/>
  <c r="AW26" i="17"/>
  <c r="AW44" i="17"/>
  <c r="AW102" i="17"/>
  <c r="AW121" i="17"/>
  <c r="AW15" i="17"/>
  <c r="AW30" i="17"/>
  <c r="AW16" i="17"/>
  <c r="AW76" i="17"/>
  <c r="AW64" i="17"/>
  <c r="AW65" i="17"/>
  <c r="AW63" i="17"/>
  <c r="AW66" i="17"/>
  <c r="AW101" i="17"/>
  <c r="AW46" i="17"/>
  <c r="AW71" i="17"/>
  <c r="AW103" i="17"/>
  <c r="AW17" i="17"/>
  <c r="AW112" i="17"/>
  <c r="AW19" i="17"/>
  <c r="AW62" i="17"/>
  <c r="AW41" i="17"/>
  <c r="AW40" i="17"/>
  <c r="AW89" i="17"/>
  <c r="AW23" i="17"/>
  <c r="AW34" i="17"/>
  <c r="AW117" i="17"/>
  <c r="AW73" i="17"/>
  <c r="AW87" i="17"/>
  <c r="AW37" i="17"/>
  <c r="AW36" i="17"/>
  <c r="AW22" i="17"/>
  <c r="AW79" i="17"/>
  <c r="AW67" i="17"/>
  <c r="AW93" i="17"/>
  <c r="AW111" i="17"/>
  <c r="AW18" i="17"/>
  <c r="AW69" i="17"/>
  <c r="AW31" i="17"/>
  <c r="AW77" i="17"/>
  <c r="AW126" i="17"/>
  <c r="AW98" i="17"/>
  <c r="AW84" i="17"/>
  <c r="AW52" i="17"/>
  <c r="AW61" i="17"/>
  <c r="AW43" i="17"/>
  <c r="AW75" i="17"/>
  <c r="AW81" i="17"/>
  <c r="AW59" i="17"/>
  <c r="AW97" i="17"/>
  <c r="AW74" i="17"/>
  <c r="AW104" i="17"/>
  <c r="AW83" i="17"/>
  <c r="AW55" i="17"/>
  <c r="AW82" i="17"/>
  <c r="AW33" i="17"/>
  <c r="AW118" i="17"/>
  <c r="AW90" i="17"/>
  <c r="AW108" i="17"/>
  <c r="AW114" i="17"/>
  <c r="AW28" i="17"/>
  <c r="AW56" i="17"/>
  <c r="AW68" i="17"/>
  <c r="AW125" i="17"/>
  <c r="AW49" i="17"/>
  <c r="AW51" i="17"/>
  <c r="AW39" i="17"/>
  <c r="AW85" i="17"/>
  <c r="AW127" i="17"/>
  <c r="AW119" i="17"/>
  <c r="AW129" i="17"/>
  <c r="AW60" i="17"/>
  <c r="AW120" i="17"/>
  <c r="AW86" i="17"/>
  <c r="AW95" i="17"/>
  <c r="AW78" i="17"/>
  <c r="AW100" i="17"/>
  <c r="AW27" i="17"/>
  <c r="AW32" i="17"/>
  <c r="AW113" i="17"/>
  <c r="AW53" i="17"/>
  <c r="AW131" i="17"/>
  <c r="AW20" i="17"/>
  <c r="AW42" i="17"/>
  <c r="AW92" i="17"/>
  <c r="AW58" i="17"/>
  <c r="AW96" i="17"/>
  <c r="AW45" i="17"/>
  <c r="AW50" i="17"/>
  <c r="AW24" i="17"/>
  <c r="AW110" i="17"/>
  <c r="AW21" i="17"/>
  <c r="AW116" i="17"/>
  <c r="AW38" i="17"/>
  <c r="BK160" i="17"/>
  <c r="BK255" i="17"/>
  <c r="BK166" i="17"/>
  <c r="BK245" i="17"/>
  <c r="BK211" i="17"/>
  <c r="BK244" i="17"/>
  <c r="BK262" i="17"/>
  <c r="BK193" i="17"/>
  <c r="BK254" i="17"/>
  <c r="BK157" i="17"/>
  <c r="BK152" i="17"/>
  <c r="BK239" i="17"/>
  <c r="BK220" i="17"/>
  <c r="BK242" i="17"/>
  <c r="BK247" i="17"/>
  <c r="BK169" i="17"/>
  <c r="BK170" i="17"/>
  <c r="BK181" i="17"/>
  <c r="BK223" i="17"/>
  <c r="BK146" i="17"/>
  <c r="BK173" i="17"/>
  <c r="BK197" i="17"/>
  <c r="BK184" i="17"/>
  <c r="BK153" i="17"/>
  <c r="BK183" i="17"/>
  <c r="BK200" i="17"/>
  <c r="BK185" i="17"/>
  <c r="BK250" i="17"/>
  <c r="BK167" i="17"/>
  <c r="BK217" i="17"/>
  <c r="BK196" i="17"/>
  <c r="BK177" i="17"/>
  <c r="BK182" i="17"/>
  <c r="BK219" i="17"/>
  <c r="BK165" i="17"/>
  <c r="BK248" i="17"/>
  <c r="BK251" i="17"/>
  <c r="BK199" i="17"/>
  <c r="BK148" i="17"/>
  <c r="BK171" i="17"/>
  <c r="BK209" i="17"/>
  <c r="BK198" i="17"/>
  <c r="BK186" i="17"/>
  <c r="BK213" i="17"/>
  <c r="BK252" i="17"/>
  <c r="BK194" i="17"/>
  <c r="BK246" i="17"/>
  <c r="BK261" i="17"/>
  <c r="BK158" i="17"/>
  <c r="BK233" i="17"/>
  <c r="BK164" i="17"/>
  <c r="BK240" i="17"/>
  <c r="BK215" i="17"/>
  <c r="BK226" i="17"/>
  <c r="BK206" i="17"/>
  <c r="BK202" i="17"/>
  <c r="BK218" i="17"/>
  <c r="BK176" i="17"/>
  <c r="BK229" i="17"/>
  <c r="BK147" i="17"/>
  <c r="BK212" i="17"/>
  <c r="BK154" i="17"/>
  <c r="BK227" i="17"/>
  <c r="BK155" i="17"/>
  <c r="BK210" i="17"/>
  <c r="BK190" i="17"/>
  <c r="BK205" i="17"/>
  <c r="BK236" i="17"/>
  <c r="BK175" i="17"/>
  <c r="BK238" i="17"/>
  <c r="BK179" i="17"/>
  <c r="BK187" i="17"/>
  <c r="BK228" i="17"/>
  <c r="BK237" i="17"/>
  <c r="BK231" i="17"/>
  <c r="BK257" i="17"/>
  <c r="BK256" i="17"/>
  <c r="BK162" i="17"/>
  <c r="BK235" i="17"/>
  <c r="BK232" i="17"/>
  <c r="BK241" i="17"/>
  <c r="BK260" i="17"/>
  <c r="BK195" i="17"/>
  <c r="BK174" i="17"/>
  <c r="BK201" i="17"/>
  <c r="BK159" i="17"/>
  <c r="BK207" i="17"/>
  <c r="BK259" i="17"/>
  <c r="BK230" i="17"/>
  <c r="BK180" i="17"/>
  <c r="BK172" i="17"/>
  <c r="BK224" i="17"/>
  <c r="BK192" i="17"/>
  <c r="BK253" i="17"/>
  <c r="BK151" i="17"/>
  <c r="BK178" i="17"/>
  <c r="BK150" i="17"/>
  <c r="BK189" i="17"/>
  <c r="BK258" i="17"/>
  <c r="BK225" i="17"/>
  <c r="BK191" i="17"/>
  <c r="BK216" i="17"/>
  <c r="BK234" i="17"/>
  <c r="BK156" i="17"/>
  <c r="BK168" i="17"/>
  <c r="BK188" i="17"/>
  <c r="BK243" i="17"/>
  <c r="BK249" i="17"/>
  <c r="BK149" i="17"/>
  <c r="BK208" i="17"/>
  <c r="BK204" i="17"/>
  <c r="BK221" i="17"/>
  <c r="BK203" i="17"/>
  <c r="BK161" i="17"/>
  <c r="BK214" i="17"/>
  <c r="BK163" i="17"/>
  <c r="BK222" i="17"/>
  <c r="BR291" i="17"/>
  <c r="BR386" i="17"/>
  <c r="BR297" i="17"/>
  <c r="BR348" i="17"/>
  <c r="BR302" i="17"/>
  <c r="BR333" i="17"/>
  <c r="BR343" i="17"/>
  <c r="BR341" i="17"/>
  <c r="BR336" i="17"/>
  <c r="BR311" i="17"/>
  <c r="BR355" i="17"/>
  <c r="BR373" i="17"/>
  <c r="BR295" i="17"/>
  <c r="BR325" i="17"/>
  <c r="BR309" i="17"/>
  <c r="BR327" i="17"/>
  <c r="BR372" i="17"/>
  <c r="BR292" i="17"/>
  <c r="BR379" i="17"/>
  <c r="BR310" i="17"/>
  <c r="BR314" i="17"/>
  <c r="BR352" i="17"/>
  <c r="BR342" i="17"/>
  <c r="BR335" i="17"/>
  <c r="BR363" i="17"/>
  <c r="BR393" i="17"/>
  <c r="BR331" i="17"/>
  <c r="BR365" i="17"/>
  <c r="BR304" i="17"/>
  <c r="BR353" i="17"/>
  <c r="BR338" i="17"/>
  <c r="BR305" i="17"/>
  <c r="BR378" i="17"/>
  <c r="BR301" i="17"/>
  <c r="BR347" i="17"/>
  <c r="BR389" i="17"/>
  <c r="BR370" i="17"/>
  <c r="BR345" i="17"/>
  <c r="BR339" i="17"/>
  <c r="BR320" i="17"/>
  <c r="BR358" i="17"/>
  <c r="BR374" i="17"/>
  <c r="BR287" i="17"/>
  <c r="BR307" i="17"/>
  <c r="BR282" i="17"/>
  <c r="BR330" i="17"/>
  <c r="BR377" i="17"/>
  <c r="BR290" i="17"/>
  <c r="BR334" i="17"/>
  <c r="BR387" i="17"/>
  <c r="BR371" i="17"/>
  <c r="BR300" i="17"/>
  <c r="BR369" i="17"/>
  <c r="BR357" i="17"/>
  <c r="BR362" i="17"/>
  <c r="BR332" i="17"/>
  <c r="BR375" i="17"/>
  <c r="BR286" i="17"/>
  <c r="BR376" i="17"/>
  <c r="BR293" i="17"/>
  <c r="BR349" i="17"/>
  <c r="BR294" i="17"/>
  <c r="BR360" i="17"/>
  <c r="BR354" i="17"/>
  <c r="BR366" i="17"/>
  <c r="BR298" i="17"/>
  <c r="BR328" i="17"/>
  <c r="BR344" i="17"/>
  <c r="BR356" i="17"/>
  <c r="BR321" i="17"/>
  <c r="BR289" i="17"/>
  <c r="BR308" i="17"/>
  <c r="BR391" i="17"/>
  <c r="BR319" i="17"/>
  <c r="BR284" i="17"/>
  <c r="BR384" i="17"/>
  <c r="BR388" i="17"/>
  <c r="BR316" i="17"/>
  <c r="BR322" i="17"/>
  <c r="BR313" i="17"/>
  <c r="BR380" i="17"/>
  <c r="BR329" i="17"/>
  <c r="BR323" i="17"/>
  <c r="BR315" i="17"/>
  <c r="BR306" i="17"/>
  <c r="BR299" i="17"/>
  <c r="BR346" i="17"/>
  <c r="BR392" i="17"/>
  <c r="BR381" i="17"/>
  <c r="BR385" i="17"/>
  <c r="BR303" i="17"/>
  <c r="BR337" i="17"/>
  <c r="BR368" i="17"/>
  <c r="BR350" i="17"/>
  <c r="BR383" i="17"/>
  <c r="BR382" i="17"/>
  <c r="BR280" i="17"/>
  <c r="BR283" i="17"/>
  <c r="BR326" i="17"/>
  <c r="BR279" i="17"/>
  <c r="BR361" i="17"/>
  <c r="BR367" i="17"/>
  <c r="BR359" i="17"/>
  <c r="BR340" i="17"/>
  <c r="BR317" i="17"/>
  <c r="BR312" i="17"/>
  <c r="BR318" i="17"/>
  <c r="BR281" i="17"/>
  <c r="BR324" i="17"/>
  <c r="BR351" i="17"/>
  <c r="BR285" i="17"/>
  <c r="BR296" i="17"/>
  <c r="BR390" i="17"/>
  <c r="BR364" i="17"/>
  <c r="BR277" i="17"/>
  <c r="BR278" i="17"/>
  <c r="BR288" i="17"/>
  <c r="BO386" i="17"/>
  <c r="BO291" i="17"/>
  <c r="BO302" i="17"/>
  <c r="BO343" i="17"/>
  <c r="BO311" i="17"/>
  <c r="BO378" i="17"/>
  <c r="BO300" i="17"/>
  <c r="BO369" i="17"/>
  <c r="BO295" i="17"/>
  <c r="BO347" i="17"/>
  <c r="BO357" i="17"/>
  <c r="BO339" i="17"/>
  <c r="BO327" i="17"/>
  <c r="BO379" i="17"/>
  <c r="BO332" i="17"/>
  <c r="BO376" i="17"/>
  <c r="BO315" i="17"/>
  <c r="BO293" i="17"/>
  <c r="BO349" i="17"/>
  <c r="BO294" i="17"/>
  <c r="BO307" i="17"/>
  <c r="BO306" i="17"/>
  <c r="BO299" i="17"/>
  <c r="BO360" i="17"/>
  <c r="BO282" i="17"/>
  <c r="BO392" i="17"/>
  <c r="BO330" i="17"/>
  <c r="BO316" i="17"/>
  <c r="BO328" i="17"/>
  <c r="BO313" i="17"/>
  <c r="BO280" i="17"/>
  <c r="BO331" i="17"/>
  <c r="BO380" i="17"/>
  <c r="BO387" i="17"/>
  <c r="BO371" i="17"/>
  <c r="BO340" i="17"/>
  <c r="BO329" i="17"/>
  <c r="BO326" i="17"/>
  <c r="BO317" i="17"/>
  <c r="BO344" i="17"/>
  <c r="BO312" i="17"/>
  <c r="BO356" i="17"/>
  <c r="BO321" i="17"/>
  <c r="BO278" i="17"/>
  <c r="BO362" i="17"/>
  <c r="BO289" i="17"/>
  <c r="BO308" i="17"/>
  <c r="BO319" i="17"/>
  <c r="BO284" i="17"/>
  <c r="BO281" i="17"/>
  <c r="BO298" i="17"/>
  <c r="BO297" i="17"/>
  <c r="BO348" i="17"/>
  <c r="BO333" i="17"/>
  <c r="BO393" i="17"/>
  <c r="BO341" i="17"/>
  <c r="BO336" i="17"/>
  <c r="BO334" i="17"/>
  <c r="BO338" i="17"/>
  <c r="BO283" i="17"/>
  <c r="BO323" i="17"/>
  <c r="BO373" i="17"/>
  <c r="BO325" i="17"/>
  <c r="BO370" i="17"/>
  <c r="BO309" i="17"/>
  <c r="BO372" i="17"/>
  <c r="BO292" i="17"/>
  <c r="BO375" i="17"/>
  <c r="BO310" i="17"/>
  <c r="BO346" i="17"/>
  <c r="BO318" i="17"/>
  <c r="BO352" i="17"/>
  <c r="BO342" i="17"/>
  <c r="BO290" i="17"/>
  <c r="BO359" i="17"/>
  <c r="BO354" i="17"/>
  <c r="BO279" i="17"/>
  <c r="BO324" i="17"/>
  <c r="BO351" i="17"/>
  <c r="BO322" i="17"/>
  <c r="BO285" i="17"/>
  <c r="BO296" i="17"/>
  <c r="BO390" i="17"/>
  <c r="BO364" i="17"/>
  <c r="BO277" i="17"/>
  <c r="BO303" i="17"/>
  <c r="BO337" i="17"/>
  <c r="BO368" i="17"/>
  <c r="BO304" i="17"/>
  <c r="BO355" i="17"/>
  <c r="BO389" i="17"/>
  <c r="BO286" i="17"/>
  <c r="BO314" i="17"/>
  <c r="BO366" i="17"/>
  <c r="BO361" i="17"/>
  <c r="BO288" i="17"/>
  <c r="BO367" i="17"/>
  <c r="BO382" i="17"/>
  <c r="BO363" i="17"/>
  <c r="BO301" i="17"/>
  <c r="BO320" i="17"/>
  <c r="BO374" i="17"/>
  <c r="BO377" i="17"/>
  <c r="BO383" i="17"/>
  <c r="BO365" i="17"/>
  <c r="BO353" i="17"/>
  <c r="BO358" i="17"/>
  <c r="BO391" i="17"/>
  <c r="BO384" i="17"/>
  <c r="BO350" i="17"/>
  <c r="BO388" i="17"/>
  <c r="BO335" i="17"/>
  <c r="BO305" i="17"/>
  <c r="BO345" i="17"/>
  <c r="BO287" i="17"/>
  <c r="BO381" i="17"/>
  <c r="BO385" i="17"/>
  <c r="BD132" i="15"/>
  <c r="BD37" i="15"/>
  <c r="BD126" i="15"/>
  <c r="BD49" i="15"/>
  <c r="BD61" i="15"/>
  <c r="BD92" i="15"/>
  <c r="BD30" i="15"/>
  <c r="BD60" i="15"/>
  <c r="BD91" i="15"/>
  <c r="BD33" i="15"/>
  <c r="BD108" i="15"/>
  <c r="BD38" i="15"/>
  <c r="BD95" i="15"/>
  <c r="BD104" i="15"/>
  <c r="BD45" i="15"/>
  <c r="BD65" i="15"/>
  <c r="BD80" i="15"/>
  <c r="BD133" i="15"/>
  <c r="BD124" i="15"/>
  <c r="BD58" i="15"/>
  <c r="BD77" i="15"/>
  <c r="BD111" i="15"/>
  <c r="BD89" i="15"/>
  <c r="BD29" i="15"/>
  <c r="BD42" i="15"/>
  <c r="BD110" i="15"/>
  <c r="BD47" i="15"/>
  <c r="BD93" i="15"/>
  <c r="BD28" i="15"/>
  <c r="BD85" i="15"/>
  <c r="BD55" i="15"/>
  <c r="BD31" i="15"/>
  <c r="BD72" i="15"/>
  <c r="BD46" i="15"/>
  <c r="BD23" i="15"/>
  <c r="BD39" i="15"/>
  <c r="BD70" i="15"/>
  <c r="BD27" i="15"/>
  <c r="BD86" i="15"/>
  <c r="BD43" i="15"/>
  <c r="BD56" i="15"/>
  <c r="BD81" i="15"/>
  <c r="BD109" i="15"/>
  <c r="BD78" i="15"/>
  <c r="BD50" i="15"/>
  <c r="BD36" i="15"/>
  <c r="BD127" i="15"/>
  <c r="BD97" i="15"/>
  <c r="BD44" i="15"/>
  <c r="BD139" i="15"/>
  <c r="BD62" i="15"/>
  <c r="BD135" i="15"/>
  <c r="BD105" i="15"/>
  <c r="BD68" i="15"/>
  <c r="BD114" i="15"/>
  <c r="BD120" i="15"/>
  <c r="BD106" i="15"/>
  <c r="BD138" i="15"/>
  <c r="BD130" i="15"/>
  <c r="BD100" i="15"/>
  <c r="BD118" i="15"/>
  <c r="BD79" i="15"/>
  <c r="BD32" i="15"/>
  <c r="BD82" i="15"/>
  <c r="BD107" i="15"/>
  <c r="BD90" i="15"/>
  <c r="BD59" i="15"/>
  <c r="BD75" i="15"/>
  <c r="BD96" i="15"/>
  <c r="BD137" i="15"/>
  <c r="BD136" i="15"/>
  <c r="BD53" i="15"/>
  <c r="BD26" i="15"/>
  <c r="BD35" i="15"/>
  <c r="BD88" i="15"/>
  <c r="BD67" i="15"/>
  <c r="BD57" i="15"/>
  <c r="BD34" i="15"/>
  <c r="BD24" i="15"/>
  <c r="BD76" i="15"/>
  <c r="BD83" i="15"/>
  <c r="BD66" i="15"/>
  <c r="BD103" i="15"/>
  <c r="BD99" i="15"/>
  <c r="BD87" i="15"/>
  <c r="BD101" i="15"/>
  <c r="BD69" i="15"/>
  <c r="BD52" i="15"/>
  <c r="BD116" i="15"/>
  <c r="BD94" i="15"/>
  <c r="BD73" i="15"/>
  <c r="BD115" i="15"/>
  <c r="BD121" i="15"/>
  <c r="BD64" i="15"/>
  <c r="BD112" i="15"/>
  <c r="BD113" i="15"/>
  <c r="BD41" i="15"/>
  <c r="BD25" i="15"/>
  <c r="BD102" i="15"/>
  <c r="BD40" i="15"/>
  <c r="BD51" i="15"/>
  <c r="BD71" i="15"/>
  <c r="BD128" i="15"/>
  <c r="BD48" i="15"/>
  <c r="BD54" i="15"/>
  <c r="BD131" i="15"/>
  <c r="BD84" i="15"/>
  <c r="BD63" i="15"/>
  <c r="BD74" i="15"/>
  <c r="BD117" i="15"/>
  <c r="BD119" i="15"/>
  <c r="BD98" i="15"/>
  <c r="BD123" i="15"/>
  <c r="BD129" i="15"/>
  <c r="BD134" i="15"/>
  <c r="BD122" i="15"/>
  <c r="BD125" i="15"/>
  <c r="BE24" i="24"/>
  <c r="BE31" i="24"/>
  <c r="BE26" i="24"/>
  <c r="BE20" i="20"/>
  <c r="BI17" i="20"/>
  <c r="BG17" i="20"/>
  <c r="BJ260" i="17"/>
  <c r="BJ222" i="17"/>
  <c r="BJ148" i="17"/>
  <c r="BJ195" i="17"/>
  <c r="BJ175" i="17"/>
  <c r="BJ189" i="17"/>
  <c r="BJ253" i="17"/>
  <c r="BJ196" i="17"/>
  <c r="BJ241" i="17"/>
  <c r="BJ262" i="17"/>
  <c r="BJ184" i="17"/>
  <c r="BJ247" i="17"/>
  <c r="BJ205" i="17"/>
  <c r="BJ230" i="17"/>
  <c r="BJ259" i="17"/>
  <c r="BJ231" i="17"/>
  <c r="BJ170" i="17"/>
  <c r="BJ224" i="17"/>
  <c r="BJ155" i="17"/>
  <c r="BJ147" i="17"/>
  <c r="BJ206" i="17"/>
  <c r="BJ153" i="17"/>
  <c r="BJ158" i="17"/>
  <c r="BJ181" i="17"/>
  <c r="BJ198" i="17"/>
  <c r="BJ154" i="17"/>
  <c r="BJ212" i="17"/>
  <c r="BJ182" i="17"/>
  <c r="BJ250" i="17"/>
  <c r="BU422" i="17"/>
  <c r="BU517" i="17"/>
  <c r="BU435" i="17"/>
  <c r="BU518" i="17"/>
  <c r="BU410" i="17"/>
  <c r="BU491" i="17"/>
  <c r="BU505" i="17"/>
  <c r="BU462" i="17"/>
  <c r="BU413" i="17"/>
  <c r="BU515" i="17"/>
  <c r="BU433" i="17"/>
  <c r="BU503" i="17"/>
  <c r="BU418" i="17"/>
  <c r="BU450" i="17"/>
  <c r="BU483" i="17"/>
  <c r="BU468" i="17"/>
  <c r="BU471" i="17"/>
  <c r="BU481" i="17"/>
  <c r="BU432" i="17"/>
  <c r="BU513" i="17"/>
  <c r="BU424" i="17"/>
  <c r="BU484" i="17"/>
  <c r="BU499" i="17"/>
  <c r="BU522" i="17"/>
  <c r="BU504" i="17"/>
  <c r="BU509" i="17"/>
  <c r="BU510" i="17"/>
  <c r="BU473" i="17"/>
  <c r="BU434" i="17"/>
  <c r="BU488" i="17"/>
  <c r="BU508" i="17"/>
  <c r="BU421" i="17"/>
  <c r="BU512" i="17"/>
  <c r="BU441" i="17"/>
  <c r="BU523" i="17"/>
  <c r="BU466" i="17"/>
  <c r="BU414" i="17"/>
  <c r="BU498" i="17"/>
  <c r="BU431" i="17"/>
  <c r="BU514" i="17"/>
  <c r="BU516" i="17"/>
  <c r="BU490" i="17"/>
  <c r="BU416" i="17"/>
  <c r="BU519" i="17"/>
  <c r="BU457" i="17"/>
  <c r="BU436" i="17"/>
  <c r="BU520" i="17"/>
  <c r="BU511" i="17"/>
  <c r="BU494" i="17"/>
  <c r="BU482" i="17"/>
  <c r="BU451" i="17"/>
  <c r="BU475" i="17"/>
  <c r="BU474" i="17"/>
  <c r="BU476" i="17"/>
  <c r="BU524" i="17"/>
  <c r="BU507" i="17"/>
  <c r="BU477" i="17"/>
  <c r="BU429" i="17"/>
  <c r="BU411" i="17"/>
  <c r="BU470" i="17"/>
  <c r="BU453" i="17"/>
  <c r="BU415" i="17"/>
  <c r="BU419" i="17"/>
  <c r="BU444" i="17"/>
  <c r="BU423" i="17"/>
  <c r="BU437" i="17"/>
  <c r="BU446" i="17"/>
  <c r="BU496" i="17"/>
  <c r="BU440" i="17"/>
  <c r="BU469" i="17"/>
  <c r="BU427" i="17"/>
  <c r="BU495" i="17"/>
  <c r="BU408" i="17"/>
  <c r="BU443" i="17"/>
  <c r="BU455" i="17"/>
  <c r="BU492" i="17"/>
  <c r="BU428" i="17"/>
  <c r="BU409" i="17"/>
  <c r="BU425" i="17"/>
  <c r="BU465" i="17"/>
  <c r="BU479" i="17"/>
  <c r="BU472" i="17"/>
  <c r="BU459" i="17"/>
  <c r="BU502" i="17"/>
  <c r="BU464" i="17"/>
  <c r="BU420" i="17"/>
  <c r="BU426" i="17"/>
  <c r="BU417" i="17"/>
  <c r="BU449" i="17"/>
  <c r="BU485" i="17"/>
  <c r="BU501" i="17"/>
  <c r="BU412" i="17"/>
  <c r="BU447" i="17"/>
  <c r="BU442" i="17"/>
  <c r="BU439" i="17"/>
  <c r="BU486" i="17"/>
  <c r="BU480" i="17"/>
  <c r="BU438" i="17"/>
  <c r="BU506" i="17"/>
  <c r="BU456" i="17"/>
  <c r="BU467" i="17"/>
  <c r="BU478" i="17"/>
  <c r="BU521" i="17"/>
  <c r="BU487" i="17"/>
  <c r="BU497" i="17"/>
  <c r="BU460" i="17"/>
  <c r="BU452" i="17"/>
  <c r="BU445" i="17"/>
  <c r="BU461" i="17"/>
  <c r="BU493" i="17"/>
  <c r="BU489" i="17"/>
  <c r="BU463" i="17"/>
  <c r="BU500" i="17"/>
  <c r="BU448" i="17"/>
  <c r="BU430" i="17"/>
  <c r="BU458" i="17"/>
  <c r="BU454" i="17"/>
  <c r="BE28" i="24"/>
  <c r="BE29" i="24"/>
  <c r="BH30" i="20"/>
  <c r="BH28" i="20"/>
  <c r="BH29" i="20"/>
  <c r="BH26" i="20"/>
  <c r="BT422" i="17"/>
  <c r="BT517" i="17"/>
  <c r="BT462" i="17"/>
  <c r="BT523" i="17"/>
  <c r="BZ523" i="17" s="1"/>
  <c r="BT466" i="17"/>
  <c r="BT450" i="17"/>
  <c r="BT431" i="17"/>
  <c r="BT513" i="17"/>
  <c r="BT516" i="17"/>
  <c r="BT416" i="17"/>
  <c r="BT519" i="17"/>
  <c r="BT436" i="17"/>
  <c r="BZ436" i="17" s="1"/>
  <c r="BT509" i="17"/>
  <c r="BT510" i="17"/>
  <c r="BT520" i="17"/>
  <c r="BT473" i="17"/>
  <c r="BZ473" i="17" s="1"/>
  <c r="BT511" i="17"/>
  <c r="BT482" i="17"/>
  <c r="BT451" i="17"/>
  <c r="BT475" i="17"/>
  <c r="BZ475" i="17" s="1"/>
  <c r="BT476" i="17"/>
  <c r="BT524" i="17"/>
  <c r="BT507" i="17"/>
  <c r="BT441" i="17"/>
  <c r="BT447" i="17"/>
  <c r="BT445" i="17"/>
  <c r="BT411" i="17"/>
  <c r="BT453" i="17"/>
  <c r="BZ453" i="17" s="1"/>
  <c r="BT413" i="17"/>
  <c r="BT419" i="17"/>
  <c r="BT444" i="17"/>
  <c r="BT423" i="17"/>
  <c r="BZ423" i="17" s="1"/>
  <c r="BT437" i="17"/>
  <c r="BT440" i="17"/>
  <c r="BT490" i="17"/>
  <c r="BT469" i="17"/>
  <c r="BZ469" i="17" s="1"/>
  <c r="BT427" i="17"/>
  <c r="BT457" i="17"/>
  <c r="BT495" i="17"/>
  <c r="BT408" i="17"/>
  <c r="BT494" i="17"/>
  <c r="BT443" i="17"/>
  <c r="BT474" i="17"/>
  <c r="BT455" i="17"/>
  <c r="BZ455" i="17" s="1"/>
  <c r="BT465" i="17"/>
  <c r="BT492" i="17"/>
  <c r="BT428" i="17"/>
  <c r="BT409" i="17"/>
  <c r="BT477" i="17"/>
  <c r="BT467" i="17"/>
  <c r="BT505" i="17"/>
  <c r="BT452" i="17"/>
  <c r="BT433" i="17"/>
  <c r="BT463" i="17"/>
  <c r="BT446" i="17"/>
  <c r="BT496" i="17"/>
  <c r="BZ496" i="17" s="1"/>
  <c r="BT481" i="17"/>
  <c r="BT500" i="17"/>
  <c r="BT522" i="17"/>
  <c r="BT412" i="17"/>
  <c r="BT434" i="17"/>
  <c r="BT521" i="17"/>
  <c r="BT448" i="17"/>
  <c r="BT435" i="17"/>
  <c r="BZ435" i="17" s="1"/>
  <c r="BT470" i="17"/>
  <c r="BT410" i="17"/>
  <c r="BT418" i="17"/>
  <c r="BT499" i="17"/>
  <c r="BT497" i="17"/>
  <c r="BT439" i="17"/>
  <c r="BT480" i="17"/>
  <c r="BT454" i="17"/>
  <c r="BT426" i="17"/>
  <c r="BT479" i="17"/>
  <c r="BT459" i="17"/>
  <c r="BT458" i="17"/>
  <c r="BZ458" i="17" s="1"/>
  <c r="BT506" i="17"/>
  <c r="BT515" i="17"/>
  <c r="BT503" i="17"/>
  <c r="BT514" i="17"/>
  <c r="BZ514" i="17" s="1"/>
  <c r="BT449" i="17"/>
  <c r="BT461" i="17"/>
  <c r="BT442" i="17"/>
  <c r="BT456" i="17"/>
  <c r="BT417" i="17"/>
  <c r="BT518" i="17"/>
  <c r="BT415" i="17"/>
  <c r="BT414" i="17"/>
  <c r="BZ414" i="17" s="1"/>
  <c r="BT425" i="17"/>
  <c r="BT432" i="17"/>
  <c r="BT424" i="17"/>
  <c r="BT504" i="17"/>
  <c r="BZ504" i="17" s="1"/>
  <c r="BT430" i="17"/>
  <c r="BT488" i="17"/>
  <c r="BT421" i="17"/>
  <c r="BT472" i="17"/>
  <c r="BT464" i="17"/>
  <c r="BT493" i="17"/>
  <c r="BT429" i="17"/>
  <c r="BT501" i="17"/>
  <c r="BT478" i="17"/>
  <c r="BT471" i="17"/>
  <c r="BT484" i="17"/>
  <c r="BT508" i="17"/>
  <c r="BZ508" i="17" s="1"/>
  <c r="BT512" i="17"/>
  <c r="BT487" i="17"/>
  <c r="BT485" i="17"/>
  <c r="BT502" i="17"/>
  <c r="BZ502" i="17" s="1"/>
  <c r="BT460" i="17"/>
  <c r="BT486" i="17"/>
  <c r="BT489" i="17"/>
  <c r="BT438" i="17"/>
  <c r="BZ438" i="17" s="1"/>
  <c r="BT491" i="17"/>
  <c r="BT483" i="17"/>
  <c r="BT468" i="17"/>
  <c r="BT498" i="17"/>
  <c r="BZ498" i="17" s="1"/>
  <c r="BT420" i="17"/>
  <c r="K26" i="2"/>
  <c r="BE36" i="24"/>
  <c r="BE35" i="24"/>
  <c r="BE30" i="24"/>
  <c r="BE34" i="24"/>
  <c r="BG16" i="20"/>
  <c r="BI16" i="20"/>
  <c r="BH18" i="20"/>
  <c r="BH27" i="20" s="1"/>
  <c r="BJ161" i="17"/>
  <c r="BJ208" i="17"/>
  <c r="BJ225" i="17"/>
  <c r="BJ159" i="17"/>
  <c r="BJ166" i="17"/>
  <c r="BJ207" i="17"/>
  <c r="BJ194" i="17"/>
  <c r="BJ174" i="17"/>
  <c r="BJ150" i="17"/>
  <c r="BJ202" i="17"/>
  <c r="BJ146" i="17"/>
  <c r="BJ242" i="17"/>
  <c r="BJ243" i="17"/>
  <c r="BJ235" i="17"/>
  <c r="BJ214" i="17"/>
  <c r="BJ187" i="17"/>
  <c r="BJ238" i="17"/>
  <c r="BJ209" i="17"/>
  <c r="BJ216" i="17"/>
  <c r="BJ165" i="17"/>
  <c r="BJ217" i="17"/>
  <c r="BJ256" i="17"/>
  <c r="BJ228" i="17"/>
  <c r="BJ169" i="17"/>
  <c r="BJ171" i="17"/>
  <c r="BJ157" i="17"/>
  <c r="BJ251" i="17"/>
  <c r="BJ162" i="17"/>
  <c r="BJ255" i="17"/>
  <c r="A44" i="22"/>
  <c r="B26" i="21"/>
  <c r="A27" i="21"/>
  <c r="A28" i="2"/>
  <c r="E27" i="2"/>
  <c r="P27" i="2"/>
  <c r="D27" i="2"/>
  <c r="C27" i="2"/>
  <c r="A75" i="9"/>
  <c r="A35" i="11" s="1"/>
  <c r="N27" i="2"/>
  <c r="E75" i="9" s="1"/>
  <c r="B27" i="2"/>
  <c r="I25" i="2"/>
  <c r="F25" i="21" s="1"/>
  <c r="L25" i="2"/>
  <c r="BW517" i="17"/>
  <c r="BW422" i="17"/>
  <c r="BW429" i="17"/>
  <c r="BW501" i="17"/>
  <c r="BW491" i="17"/>
  <c r="BW466" i="17"/>
  <c r="BW414" i="17"/>
  <c r="BW425" i="17"/>
  <c r="BW468" i="17"/>
  <c r="BW471" i="17"/>
  <c r="BW498" i="17"/>
  <c r="BW432" i="17"/>
  <c r="BW514" i="17"/>
  <c r="BW424" i="17"/>
  <c r="BW484" i="17"/>
  <c r="BW516" i="17"/>
  <c r="BW490" i="17"/>
  <c r="BW519" i="17"/>
  <c r="BW495" i="17"/>
  <c r="BW408" i="17"/>
  <c r="BW520" i="17"/>
  <c r="BW412" i="17"/>
  <c r="BW494" i="17"/>
  <c r="BW482" i="17"/>
  <c r="BW488" i="17"/>
  <c r="BW474" i="17"/>
  <c r="BW421" i="17"/>
  <c r="BW524" i="17"/>
  <c r="BW470" i="17"/>
  <c r="BW410" i="17"/>
  <c r="BW415" i="17"/>
  <c r="BW515" i="17"/>
  <c r="BW419" i="17"/>
  <c r="BW463" i="17"/>
  <c r="BW446" i="17"/>
  <c r="BW513" i="17"/>
  <c r="BW499" i="17"/>
  <c r="BW416" i="17"/>
  <c r="BW436" i="17"/>
  <c r="BW509" i="17"/>
  <c r="BW473" i="17"/>
  <c r="BW475" i="17"/>
  <c r="BW476" i="17"/>
  <c r="BW441" i="17"/>
  <c r="BW435" i="17"/>
  <c r="BW518" i="17"/>
  <c r="BW453" i="17"/>
  <c r="BW413" i="17"/>
  <c r="BW523" i="17"/>
  <c r="BW444" i="17"/>
  <c r="BW423" i="17"/>
  <c r="BW437" i="17"/>
  <c r="BW478" i="17"/>
  <c r="BW496" i="17"/>
  <c r="BW440" i="17"/>
  <c r="BW500" i="17"/>
  <c r="BW469" i="17"/>
  <c r="BW427" i="17"/>
  <c r="BW457" i="17"/>
  <c r="BW510" i="17"/>
  <c r="BW511" i="17"/>
  <c r="BW451" i="17"/>
  <c r="BW430" i="17"/>
  <c r="BW443" i="17"/>
  <c r="BW455" i="17"/>
  <c r="BW465" i="17"/>
  <c r="BW492" i="17"/>
  <c r="BW428" i="17"/>
  <c r="BW507" i="17"/>
  <c r="BW409" i="17"/>
  <c r="BW477" i="17"/>
  <c r="BW411" i="17"/>
  <c r="BW505" i="17"/>
  <c r="BW433" i="17"/>
  <c r="BW434" i="17"/>
  <c r="BW521" i="17"/>
  <c r="BW447" i="17"/>
  <c r="BW472" i="17"/>
  <c r="BW459" i="17"/>
  <c r="BW442" i="17"/>
  <c r="BW464" i="17"/>
  <c r="BW486" i="17"/>
  <c r="BW493" i="17"/>
  <c r="BW420" i="17"/>
  <c r="BW438" i="17"/>
  <c r="BW506" i="17"/>
  <c r="BW479" i="17"/>
  <c r="BW487" i="17"/>
  <c r="BW460" i="17"/>
  <c r="BW426" i="17"/>
  <c r="BW417" i="17"/>
  <c r="BW462" i="17"/>
  <c r="BW483" i="17"/>
  <c r="BW431" i="17"/>
  <c r="BW448" i="17"/>
  <c r="BW512" i="17"/>
  <c r="BW497" i="17"/>
  <c r="BW439" i="17"/>
  <c r="BW480" i="17"/>
  <c r="BW456" i="17"/>
  <c r="BW452" i="17"/>
  <c r="BW418" i="17"/>
  <c r="BW485" i="17"/>
  <c r="BW489" i="17"/>
  <c r="BW467" i="17"/>
  <c r="BW450" i="17"/>
  <c r="BW481" i="17"/>
  <c r="BW522" i="17"/>
  <c r="BW504" i="17"/>
  <c r="BW508" i="17"/>
  <c r="BW445" i="17"/>
  <c r="BW449" i="17"/>
  <c r="BW461" i="17"/>
  <c r="BW458" i="17"/>
  <c r="BW502" i="17"/>
  <c r="BW454" i="17"/>
  <c r="BW503" i="17"/>
  <c r="D26" i="21"/>
  <c r="I26" i="21" s="1"/>
  <c r="C74" i="9"/>
  <c r="G26" i="2"/>
  <c r="BV517" i="17"/>
  <c r="BV422" i="17"/>
  <c r="BV435" i="17"/>
  <c r="BV491" i="17"/>
  <c r="BV462" i="17"/>
  <c r="BV413" i="17"/>
  <c r="BV515" i="17"/>
  <c r="BV433" i="17"/>
  <c r="BV503" i="17"/>
  <c r="BV418" i="17"/>
  <c r="BV450" i="17"/>
  <c r="BV483" i="17"/>
  <c r="BV471" i="17"/>
  <c r="BV481" i="17"/>
  <c r="BV432" i="17"/>
  <c r="BV424" i="17"/>
  <c r="BV499" i="17"/>
  <c r="BV522" i="17"/>
  <c r="BV436" i="17"/>
  <c r="BV520" i="17"/>
  <c r="BV412" i="17"/>
  <c r="BV434" i="17"/>
  <c r="BV488" i="17"/>
  <c r="BV508" i="17"/>
  <c r="BV409" i="17"/>
  <c r="BV429" i="17"/>
  <c r="BV501" i="17"/>
  <c r="BV523" i="17"/>
  <c r="BV466" i="17"/>
  <c r="BV414" i="17"/>
  <c r="BV425" i="17"/>
  <c r="BV498" i="17"/>
  <c r="BV431" i="17"/>
  <c r="BV514" i="17"/>
  <c r="BV513" i="17"/>
  <c r="BV490" i="17"/>
  <c r="BV519" i="17"/>
  <c r="BV408" i="17"/>
  <c r="BV511" i="17"/>
  <c r="BV494" i="17"/>
  <c r="BV482" i="17"/>
  <c r="BV451" i="17"/>
  <c r="BV475" i="17"/>
  <c r="BV474" i="17"/>
  <c r="BV421" i="17"/>
  <c r="BV476" i="17"/>
  <c r="BV524" i="17"/>
  <c r="BV507" i="17"/>
  <c r="BV411" i="17"/>
  <c r="BV470" i="17"/>
  <c r="BV410" i="17"/>
  <c r="BV415" i="17"/>
  <c r="BV452" i="17"/>
  <c r="BV419" i="17"/>
  <c r="BV444" i="17"/>
  <c r="BV423" i="17"/>
  <c r="BV446" i="17"/>
  <c r="BV496" i="17"/>
  <c r="BV440" i="17"/>
  <c r="BV500" i="17"/>
  <c r="BV516" i="17"/>
  <c r="BV416" i="17"/>
  <c r="BV427" i="17"/>
  <c r="BV509" i="17"/>
  <c r="BV495" i="17"/>
  <c r="BV473" i="17"/>
  <c r="BV443" i="17"/>
  <c r="BV455" i="17"/>
  <c r="BV492" i="17"/>
  <c r="BV428" i="17"/>
  <c r="BV441" i="17"/>
  <c r="BV518" i="17"/>
  <c r="BV505" i="17"/>
  <c r="BV457" i="17"/>
  <c r="BV504" i="17"/>
  <c r="BV510" i="17"/>
  <c r="BV521" i="17"/>
  <c r="BV479" i="17"/>
  <c r="BV459" i="17"/>
  <c r="BV485" i="17"/>
  <c r="BV464" i="17"/>
  <c r="BV489" i="17"/>
  <c r="BV426" i="17"/>
  <c r="BV417" i="17"/>
  <c r="BV512" i="17"/>
  <c r="BV487" i="17"/>
  <c r="BV458" i="17"/>
  <c r="BV502" i="17"/>
  <c r="BV420" i="17"/>
  <c r="BV463" i="17"/>
  <c r="BV478" i="17"/>
  <c r="BV484" i="17"/>
  <c r="BV448" i="17"/>
  <c r="BV430" i="17"/>
  <c r="BV465" i="17"/>
  <c r="BV477" i="17"/>
  <c r="BV445" i="17"/>
  <c r="BV497" i="17"/>
  <c r="BV442" i="17"/>
  <c r="BV439" i="17"/>
  <c r="BV486" i="17"/>
  <c r="BV493" i="17"/>
  <c r="BV480" i="17"/>
  <c r="BV438" i="17"/>
  <c r="BV456" i="17"/>
  <c r="BV506" i="17"/>
  <c r="BV453" i="17"/>
  <c r="BV461" i="17"/>
  <c r="BV460" i="17"/>
  <c r="BV467" i="17"/>
  <c r="BV468" i="17"/>
  <c r="BV447" i="17"/>
  <c r="BV472" i="17"/>
  <c r="BV437" i="17"/>
  <c r="BV469" i="17"/>
  <c r="BV449" i="17"/>
  <c r="BV454" i="17"/>
  <c r="BI160" i="17"/>
  <c r="BI255" i="17"/>
  <c r="BI185" i="17"/>
  <c r="BI167" i="17"/>
  <c r="BI166" i="17"/>
  <c r="BI217" i="17"/>
  <c r="BI196" i="17"/>
  <c r="BI177" i="17"/>
  <c r="BI202" i="17"/>
  <c r="BI219" i="17"/>
  <c r="BI251" i="17"/>
  <c r="BI229" i="17"/>
  <c r="BI262" i="17"/>
  <c r="BI212" i="17"/>
  <c r="BI254" i="17"/>
  <c r="BI199" i="17"/>
  <c r="BI152" i="17"/>
  <c r="BI148" i="17"/>
  <c r="BI205" i="17"/>
  <c r="BI171" i="17"/>
  <c r="BI209" i="17"/>
  <c r="BI236" i="17"/>
  <c r="BI252" i="17"/>
  <c r="BI194" i="17"/>
  <c r="BI237" i="17"/>
  <c r="BI233" i="17"/>
  <c r="BI164" i="17"/>
  <c r="BI184" i="17"/>
  <c r="BI215" i="17"/>
  <c r="BI200" i="17"/>
  <c r="BI250" i="17"/>
  <c r="BI226" i="17"/>
  <c r="BI162" i="17"/>
  <c r="BI182" i="17"/>
  <c r="BI248" i="17"/>
  <c r="BI147" i="17"/>
  <c r="BI180" i="17"/>
  <c r="BI154" i="17"/>
  <c r="BI227" i="17"/>
  <c r="BI155" i="17"/>
  <c r="BI234" i="17"/>
  <c r="BI210" i="17"/>
  <c r="BI172" i="17"/>
  <c r="BI198" i="17"/>
  <c r="BI186" i="17"/>
  <c r="BI175" i="17"/>
  <c r="BI179" i="17"/>
  <c r="BI246" i="17"/>
  <c r="BI253" i="17"/>
  <c r="BI187" i="17"/>
  <c r="BI228" i="17"/>
  <c r="BI231" i="17"/>
  <c r="BI257" i="17"/>
  <c r="BI158" i="17"/>
  <c r="BI149" i="17"/>
  <c r="BI240" i="17"/>
  <c r="BI245" i="17"/>
  <c r="BI225" i="17"/>
  <c r="BI206" i="17"/>
  <c r="BI191" i="17"/>
  <c r="BI218" i="17"/>
  <c r="BI259" i="17"/>
  <c r="BI176" i="17"/>
  <c r="BI244" i="17"/>
  <c r="BI235" i="17"/>
  <c r="BI157" i="17"/>
  <c r="BI243" i="17"/>
  <c r="BI249" i="17"/>
  <c r="BI190" i="17"/>
  <c r="BI163" i="17"/>
  <c r="BI238" i="17"/>
  <c r="BI170" i="17"/>
  <c r="BI181" i="17"/>
  <c r="BI151" i="17"/>
  <c r="BI173" i="17"/>
  <c r="BI197" i="17"/>
  <c r="BI256" i="17"/>
  <c r="BI193" i="17"/>
  <c r="BI239" i="17"/>
  <c r="BI247" i="17"/>
  <c r="BI146" i="17"/>
  <c r="BI178" i="17"/>
  <c r="BI204" i="17"/>
  <c r="BI232" i="17"/>
  <c r="BI221" i="17"/>
  <c r="BI156" i="17"/>
  <c r="BI174" i="17"/>
  <c r="BI258" i="17"/>
  <c r="BI153" i="17"/>
  <c r="BI195" i="17"/>
  <c r="BI201" i="17"/>
  <c r="BI168" i="17"/>
  <c r="BI211" i="17"/>
  <c r="BI165" i="17"/>
  <c r="BI230" i="17"/>
  <c r="BI224" i="17"/>
  <c r="BI192" i="17"/>
  <c r="BI150" i="17"/>
  <c r="BI203" i="17"/>
  <c r="BI161" i="17"/>
  <c r="BI188" i="17"/>
  <c r="BI220" i="17"/>
  <c r="BI242" i="17"/>
  <c r="BI213" i="17"/>
  <c r="BI169" i="17"/>
  <c r="BI222" i="17"/>
  <c r="BI261" i="17"/>
  <c r="BI208" i="17"/>
  <c r="BI183" i="17"/>
  <c r="BI159" i="17"/>
  <c r="BI207" i="17"/>
  <c r="BI214" i="17"/>
  <c r="BI216" i="17"/>
  <c r="BI223" i="17"/>
  <c r="BI241" i="17"/>
  <c r="BI189" i="17"/>
  <c r="BI260" i="17"/>
  <c r="BP291" i="17"/>
  <c r="BP386" i="17"/>
  <c r="BP335" i="17"/>
  <c r="BP363" i="17"/>
  <c r="BP302" i="17"/>
  <c r="BP304" i="17"/>
  <c r="BP359" i="17"/>
  <c r="BP355" i="17"/>
  <c r="BP369" i="17"/>
  <c r="BP357" i="17"/>
  <c r="BP320" i="17"/>
  <c r="BP293" i="17"/>
  <c r="BP287" i="17"/>
  <c r="BP391" i="17"/>
  <c r="BP310" i="17"/>
  <c r="BP314" i="17"/>
  <c r="BP279" i="17"/>
  <c r="BP342" i="17"/>
  <c r="BP313" i="17"/>
  <c r="BP333" i="17"/>
  <c r="BP393" i="17"/>
  <c r="BP343" i="17"/>
  <c r="BP311" i="17"/>
  <c r="BP329" i="17"/>
  <c r="BP338" i="17"/>
  <c r="BP317" i="17"/>
  <c r="BP378" i="17"/>
  <c r="BP300" i="17"/>
  <c r="BP295" i="17"/>
  <c r="BP301" i="17"/>
  <c r="BP347" i="17"/>
  <c r="BP370" i="17"/>
  <c r="BP321" i="17"/>
  <c r="BP339" i="17"/>
  <c r="BP327" i="17"/>
  <c r="BP289" i="17"/>
  <c r="BP358" i="17"/>
  <c r="BP379" i="17"/>
  <c r="BP332" i="17"/>
  <c r="BP376" i="17"/>
  <c r="BP374" i="17"/>
  <c r="BP315" i="17"/>
  <c r="BP307" i="17"/>
  <c r="BP299" i="17"/>
  <c r="BP360" i="17"/>
  <c r="BP282" i="17"/>
  <c r="BP392" i="17"/>
  <c r="BP281" i="17"/>
  <c r="BP330" i="17"/>
  <c r="BP297" i="17"/>
  <c r="BP328" i="17"/>
  <c r="BP280" i="17"/>
  <c r="BP331" i="17"/>
  <c r="BP365" i="17"/>
  <c r="BP380" i="17"/>
  <c r="BP341" i="17"/>
  <c r="BP290" i="17"/>
  <c r="BP334" i="17"/>
  <c r="BP387" i="17"/>
  <c r="BP371" i="17"/>
  <c r="BP340" i="17"/>
  <c r="BP373" i="17"/>
  <c r="BP344" i="17"/>
  <c r="BP312" i="17"/>
  <c r="BP325" i="17"/>
  <c r="BP356" i="17"/>
  <c r="BP309" i="17"/>
  <c r="BP362" i="17"/>
  <c r="BP286" i="17"/>
  <c r="BP308" i="17"/>
  <c r="BP349" i="17"/>
  <c r="BP294" i="17"/>
  <c r="BP319" i="17"/>
  <c r="BP284" i="17"/>
  <c r="BP354" i="17"/>
  <c r="BP366" i="17"/>
  <c r="BP298" i="17"/>
  <c r="BP336" i="17"/>
  <c r="BP283" i="17"/>
  <c r="BP389" i="17"/>
  <c r="BP381" i="17"/>
  <c r="BP303" i="17"/>
  <c r="BP368" i="17"/>
  <c r="BP383" i="17"/>
  <c r="BP277" i="17"/>
  <c r="BP377" i="17"/>
  <c r="BP337" i="17"/>
  <c r="BP322" i="17"/>
  <c r="BP388" i="17"/>
  <c r="BP323" i="17"/>
  <c r="BP345" i="17"/>
  <c r="BP375" i="17"/>
  <c r="BP306" i="17"/>
  <c r="BP346" i="17"/>
  <c r="BP352" i="17"/>
  <c r="BP316" i="17"/>
  <c r="BP324" i="17"/>
  <c r="BP361" i="17"/>
  <c r="BP351" i="17"/>
  <c r="BP350" i="17"/>
  <c r="BP296" i="17"/>
  <c r="BP364" i="17"/>
  <c r="BP382" i="17"/>
  <c r="BP326" i="17"/>
  <c r="BP305" i="17"/>
  <c r="BP278" i="17"/>
  <c r="BP372" i="17"/>
  <c r="BP384" i="17"/>
  <c r="BP385" i="17"/>
  <c r="BP285" i="17"/>
  <c r="BP348" i="17"/>
  <c r="BP353" i="17"/>
  <c r="BP292" i="17"/>
  <c r="BP318" i="17"/>
  <c r="BP288" i="17"/>
  <c r="BP367" i="17"/>
  <c r="BP390" i="17"/>
  <c r="BQ291" i="17"/>
  <c r="BQ386" i="17"/>
  <c r="BQ328" i="17"/>
  <c r="BQ313" i="17"/>
  <c r="BQ280" i="17"/>
  <c r="BQ329" i="17"/>
  <c r="BQ283" i="17"/>
  <c r="BQ326" i="17"/>
  <c r="BQ323" i="17"/>
  <c r="BQ317" i="17"/>
  <c r="BQ344" i="17"/>
  <c r="BQ300" i="17"/>
  <c r="BQ312" i="17"/>
  <c r="BQ321" i="17"/>
  <c r="BQ278" i="17"/>
  <c r="BQ289" i="17"/>
  <c r="BQ375" i="17"/>
  <c r="BQ306" i="17"/>
  <c r="BQ346" i="17"/>
  <c r="BQ392" i="17"/>
  <c r="BQ318" i="17"/>
  <c r="BQ281" i="17"/>
  <c r="BQ316" i="17"/>
  <c r="BQ297" i="17"/>
  <c r="BQ348" i="17"/>
  <c r="BQ335" i="17"/>
  <c r="BQ363" i="17"/>
  <c r="BQ302" i="17"/>
  <c r="BQ333" i="17"/>
  <c r="BQ393" i="17"/>
  <c r="BQ341" i="17"/>
  <c r="BQ359" i="17"/>
  <c r="BQ355" i="17"/>
  <c r="BQ373" i="17"/>
  <c r="BQ325" i="17"/>
  <c r="BQ309" i="17"/>
  <c r="BQ332" i="17"/>
  <c r="BQ287" i="17"/>
  <c r="BQ391" i="17"/>
  <c r="BQ310" i="17"/>
  <c r="BQ284" i="17"/>
  <c r="BQ314" i="17"/>
  <c r="BQ279" i="17"/>
  <c r="BQ342" i="17"/>
  <c r="BQ365" i="17"/>
  <c r="BQ380" i="17"/>
  <c r="BQ343" i="17"/>
  <c r="BQ353" i="17"/>
  <c r="BQ336" i="17"/>
  <c r="BQ311" i="17"/>
  <c r="BQ340" i="17"/>
  <c r="BQ338" i="17"/>
  <c r="BQ305" i="17"/>
  <c r="BQ378" i="17"/>
  <c r="BQ295" i="17"/>
  <c r="BQ301" i="17"/>
  <c r="BQ347" i="17"/>
  <c r="BQ389" i="17"/>
  <c r="BQ370" i="17"/>
  <c r="BQ356" i="17"/>
  <c r="BQ345" i="17"/>
  <c r="BQ339" i="17"/>
  <c r="BQ327" i="17"/>
  <c r="BQ358" i="17"/>
  <c r="BQ379" i="17"/>
  <c r="BQ374" i="17"/>
  <c r="BQ315" i="17"/>
  <c r="BQ308" i="17"/>
  <c r="BQ307" i="17"/>
  <c r="BQ299" i="17"/>
  <c r="BQ282" i="17"/>
  <c r="BQ352" i="17"/>
  <c r="BQ330" i="17"/>
  <c r="BQ377" i="17"/>
  <c r="BQ290" i="17"/>
  <c r="BQ286" i="17"/>
  <c r="BQ293" i="17"/>
  <c r="BQ319" i="17"/>
  <c r="BQ354" i="17"/>
  <c r="BQ298" i="17"/>
  <c r="BQ361" i="17"/>
  <c r="BQ322" i="17"/>
  <c r="BQ366" i="17"/>
  <c r="BQ382" i="17"/>
  <c r="BQ277" i="17"/>
  <c r="BQ331" i="17"/>
  <c r="BQ304" i="17"/>
  <c r="BQ334" i="17"/>
  <c r="BQ369" i="17"/>
  <c r="BQ357" i="17"/>
  <c r="BQ349" i="17"/>
  <c r="BQ294" i="17"/>
  <c r="BQ324" i="17"/>
  <c r="BQ303" i="17"/>
  <c r="BQ288" i="17"/>
  <c r="BQ364" i="17"/>
  <c r="BQ383" i="17"/>
  <c r="BQ372" i="17"/>
  <c r="BQ362" i="17"/>
  <c r="BQ368" i="17"/>
  <c r="BQ285" i="17"/>
  <c r="BQ388" i="17"/>
  <c r="BQ367" i="17"/>
  <c r="BQ296" i="17"/>
  <c r="BQ387" i="17"/>
  <c r="BQ292" i="17"/>
  <c r="BQ376" i="17"/>
  <c r="BQ360" i="17"/>
  <c r="BQ384" i="17"/>
  <c r="BQ381" i="17"/>
  <c r="BQ385" i="17"/>
  <c r="BQ351" i="17"/>
  <c r="BQ337" i="17"/>
  <c r="BQ350" i="17"/>
  <c r="BQ371" i="17"/>
  <c r="BQ320" i="17"/>
  <c r="BQ390" i="17"/>
  <c r="K27" i="2"/>
  <c r="BB132" i="15"/>
  <c r="BE132" i="15" s="1"/>
  <c r="BB37" i="15"/>
  <c r="BB30" i="15"/>
  <c r="BE30" i="15" s="1"/>
  <c r="BB81" i="15"/>
  <c r="BB83" i="15"/>
  <c r="BB118" i="15"/>
  <c r="BB108" i="15"/>
  <c r="BE108" i="15" s="1"/>
  <c r="BB38" i="15"/>
  <c r="BB66" i="15"/>
  <c r="BB95" i="15"/>
  <c r="BB32" i="15"/>
  <c r="BE32" i="15" s="1"/>
  <c r="BB36" i="15"/>
  <c r="BB127" i="15"/>
  <c r="BE127" i="15" s="1"/>
  <c r="BB82" i="15"/>
  <c r="BB133" i="15"/>
  <c r="BE133" i="15" s="1"/>
  <c r="BB97" i="15"/>
  <c r="BB113" i="15"/>
  <c r="BE113" i="15" s="1"/>
  <c r="BB124" i="15"/>
  <c r="BB90" i="15"/>
  <c r="BE90" i="15" s="1"/>
  <c r="BB129" i="15"/>
  <c r="BB44" i="15"/>
  <c r="BE44" i="15" s="1"/>
  <c r="BB139" i="15"/>
  <c r="BB96" i="15"/>
  <c r="BE96" i="15" s="1"/>
  <c r="BB136" i="15"/>
  <c r="BB53" i="15"/>
  <c r="BE53" i="15" s="1"/>
  <c r="BB47" i="15"/>
  <c r="BB55" i="15"/>
  <c r="BE55" i="15" s="1"/>
  <c r="BB31" i="15"/>
  <c r="BB46" i="15"/>
  <c r="BB23" i="15"/>
  <c r="BB135" i="15"/>
  <c r="BE135" i="15" s="1"/>
  <c r="BB88" i="15"/>
  <c r="BB39" i="15"/>
  <c r="BE39" i="15" s="1"/>
  <c r="BB70" i="15"/>
  <c r="BB68" i="15"/>
  <c r="BB114" i="15"/>
  <c r="BB34" i="15"/>
  <c r="BB98" i="15"/>
  <c r="BB86" i="15"/>
  <c r="BE86" i="15" s="1"/>
  <c r="BB106" i="15"/>
  <c r="BB24" i="15"/>
  <c r="BB61" i="15"/>
  <c r="BB138" i="15"/>
  <c r="BE138" i="15" s="1"/>
  <c r="BB130" i="15"/>
  <c r="BB64" i="15"/>
  <c r="BB109" i="15"/>
  <c r="BB100" i="15"/>
  <c r="BE100" i="15" s="1"/>
  <c r="BB112" i="15"/>
  <c r="BB91" i="15"/>
  <c r="BE91" i="15" s="1"/>
  <c r="BB78" i="15"/>
  <c r="BB45" i="15"/>
  <c r="BE45" i="15" s="1"/>
  <c r="BB107" i="15"/>
  <c r="BB58" i="15"/>
  <c r="BE58" i="15" s="1"/>
  <c r="BB62" i="15"/>
  <c r="BB134" i="15"/>
  <c r="BE134" i="15" s="1"/>
  <c r="BB93" i="15"/>
  <c r="BB128" i="15"/>
  <c r="BB85" i="15"/>
  <c r="BB57" i="15"/>
  <c r="BE57" i="15" s="1"/>
  <c r="BB126" i="15"/>
  <c r="BB27" i="15"/>
  <c r="BB43" i="15"/>
  <c r="BB123" i="15"/>
  <c r="BE123" i="15" s="1"/>
  <c r="BB131" i="15"/>
  <c r="BB76" i="15"/>
  <c r="BE76" i="15" s="1"/>
  <c r="BB79" i="15"/>
  <c r="BB104" i="15"/>
  <c r="BE104" i="15" s="1"/>
  <c r="BB80" i="15"/>
  <c r="BB84" i="15"/>
  <c r="BB103" i="15"/>
  <c r="BB77" i="15"/>
  <c r="BE77" i="15" s="1"/>
  <c r="BB29" i="15"/>
  <c r="BB42" i="15"/>
  <c r="BB110" i="15"/>
  <c r="BB41" i="15"/>
  <c r="BE41" i="15" s="1"/>
  <c r="BB25" i="15"/>
  <c r="BB72" i="15"/>
  <c r="BE72" i="15" s="1"/>
  <c r="BB105" i="15"/>
  <c r="BB122" i="15"/>
  <c r="BE122" i="15" s="1"/>
  <c r="BB56" i="15"/>
  <c r="BB33" i="15"/>
  <c r="BB26" i="15"/>
  <c r="BB67" i="15"/>
  <c r="BE67" i="15" s="1"/>
  <c r="BB87" i="15"/>
  <c r="BB101" i="15"/>
  <c r="BB121" i="15"/>
  <c r="BB54" i="15"/>
  <c r="BB52" i="15"/>
  <c r="BB125" i="15"/>
  <c r="BE125" i="15" s="1"/>
  <c r="BB89" i="15"/>
  <c r="BB28" i="15"/>
  <c r="BB120" i="15"/>
  <c r="BB94" i="15"/>
  <c r="BB99" i="15"/>
  <c r="BB48" i="15"/>
  <c r="BB119" i="15"/>
  <c r="BB115" i="15"/>
  <c r="BB71" i="15"/>
  <c r="BB35" i="15"/>
  <c r="BE35" i="15" s="1"/>
  <c r="BB92" i="15"/>
  <c r="BB60" i="15"/>
  <c r="BB50" i="15"/>
  <c r="BB111" i="15"/>
  <c r="BE111" i="15" s="1"/>
  <c r="BB59" i="15"/>
  <c r="BB75" i="15"/>
  <c r="BE75" i="15" s="1"/>
  <c r="BB137" i="15"/>
  <c r="BB116" i="15"/>
  <c r="BE116" i="15" s="1"/>
  <c r="BB73" i="15"/>
  <c r="BB117" i="15"/>
  <c r="BB69" i="15"/>
  <c r="BB51" i="15"/>
  <c r="BE51" i="15" s="1"/>
  <c r="BB49" i="15"/>
  <c r="BB65" i="15"/>
  <c r="BB63" i="15"/>
  <c r="BB74" i="15"/>
  <c r="BE74" i="15" s="1"/>
  <c r="BB102" i="15"/>
  <c r="BB40" i="15"/>
  <c r="BE40" i="15" s="1"/>
  <c r="BC132" i="15"/>
  <c r="BC37" i="15"/>
  <c r="BC126" i="15"/>
  <c r="BC92" i="15"/>
  <c r="BC30" i="15"/>
  <c r="BC60" i="15"/>
  <c r="BC81" i="15"/>
  <c r="BC83" i="15"/>
  <c r="BC108" i="15"/>
  <c r="BC38" i="15"/>
  <c r="BC95" i="15"/>
  <c r="BC104" i="15"/>
  <c r="BC127" i="15"/>
  <c r="BC80" i="15"/>
  <c r="BC133" i="15"/>
  <c r="BC97" i="15"/>
  <c r="BC113" i="15"/>
  <c r="BC124" i="15"/>
  <c r="BC58" i="15"/>
  <c r="BC129" i="15"/>
  <c r="BC139" i="15"/>
  <c r="BC42" i="15"/>
  <c r="BC53" i="15"/>
  <c r="BC110" i="15"/>
  <c r="BC47" i="15"/>
  <c r="BC28" i="15"/>
  <c r="BC55" i="15"/>
  <c r="BC31" i="15"/>
  <c r="BC72" i="15"/>
  <c r="BC46" i="15"/>
  <c r="BC23" i="15"/>
  <c r="BC135" i="15"/>
  <c r="BC39" i="15"/>
  <c r="BC70" i="15"/>
  <c r="BC86" i="15"/>
  <c r="BC56" i="15"/>
  <c r="BC61" i="15"/>
  <c r="BC109" i="15"/>
  <c r="BC91" i="15"/>
  <c r="BC78" i="15"/>
  <c r="BC45" i="15"/>
  <c r="BC50" i="15"/>
  <c r="BC36" i="15"/>
  <c r="BC107" i="15"/>
  <c r="BC44" i="15"/>
  <c r="BC62" i="15"/>
  <c r="BC93" i="15"/>
  <c r="BC85" i="15"/>
  <c r="BC57" i="15"/>
  <c r="BC68" i="15"/>
  <c r="BC114" i="15"/>
  <c r="BC120" i="15"/>
  <c r="BC27" i="15"/>
  <c r="BC106" i="15"/>
  <c r="BC43" i="15"/>
  <c r="BC123" i="15"/>
  <c r="BC138" i="15"/>
  <c r="BC130" i="15"/>
  <c r="BC100" i="15"/>
  <c r="BC131" i="15"/>
  <c r="BC118" i="15"/>
  <c r="BC79" i="15"/>
  <c r="BC32" i="15"/>
  <c r="BC82" i="15"/>
  <c r="BC90" i="15"/>
  <c r="BC103" i="15"/>
  <c r="BC77" i="15"/>
  <c r="BC96" i="15"/>
  <c r="BC29" i="15"/>
  <c r="BC136" i="15"/>
  <c r="BC41" i="15"/>
  <c r="BC25" i="15"/>
  <c r="BC26" i="15"/>
  <c r="BC88" i="15"/>
  <c r="BC105" i="15"/>
  <c r="BC34" i="15"/>
  <c r="BC49" i="15"/>
  <c r="BC64" i="15"/>
  <c r="BC112" i="15"/>
  <c r="BC33" i="15"/>
  <c r="BC67" i="15"/>
  <c r="BC87" i="15"/>
  <c r="BC101" i="15"/>
  <c r="BC52" i="15"/>
  <c r="BC121" i="15"/>
  <c r="BC54" i="15"/>
  <c r="BC89" i="15"/>
  <c r="BC94" i="15"/>
  <c r="BC99" i="15"/>
  <c r="BC102" i="15"/>
  <c r="BC40" i="15"/>
  <c r="BC119" i="15"/>
  <c r="BC66" i="15"/>
  <c r="BC65" i="15"/>
  <c r="BC134" i="15"/>
  <c r="BC63" i="15"/>
  <c r="BC122" i="15"/>
  <c r="BC48" i="15"/>
  <c r="BC98" i="15"/>
  <c r="BC84" i="15"/>
  <c r="BC111" i="15"/>
  <c r="BC59" i="15"/>
  <c r="BC75" i="15"/>
  <c r="BC137" i="15"/>
  <c r="BC74" i="15"/>
  <c r="BC73" i="15"/>
  <c r="BC117" i="15"/>
  <c r="BC69" i="15"/>
  <c r="BC51" i="15"/>
  <c r="BC115" i="15"/>
  <c r="BC71" i="15"/>
  <c r="BC24" i="15"/>
  <c r="BC76" i="15"/>
  <c r="BC128" i="15"/>
  <c r="BC35" i="15"/>
  <c r="BC116" i="15"/>
  <c r="BC125" i="15"/>
  <c r="BE25" i="24"/>
  <c r="BE27" i="24"/>
  <c r="BE32" i="24"/>
  <c r="BE37" i="24"/>
  <c r="BI18" i="20"/>
  <c r="BD19" i="20"/>
  <c r="BG18" i="20"/>
  <c r="BJ183" i="17"/>
  <c r="BJ221" i="17"/>
  <c r="BJ240" i="17"/>
  <c r="BJ200" i="17"/>
  <c r="BJ215" i="17"/>
  <c r="BJ188" i="17"/>
  <c r="BJ156" i="17"/>
  <c r="BJ249" i="17"/>
  <c r="BJ178" i="17"/>
  <c r="BJ204" i="17"/>
  <c r="BJ191" i="17"/>
  <c r="BJ257" i="17"/>
  <c r="BJ163" i="17"/>
  <c r="BJ239" i="17"/>
  <c r="BJ229" i="17"/>
  <c r="BJ151" i="17"/>
  <c r="BJ261" i="17"/>
  <c r="BJ213" i="17"/>
  <c r="BJ172" i="17"/>
  <c r="BJ227" i="17"/>
  <c r="BJ218" i="17"/>
  <c r="BJ167" i="17"/>
  <c r="BJ197" i="17"/>
  <c r="BJ223" i="17"/>
  <c r="BJ186" i="17"/>
  <c r="BJ210" i="17"/>
  <c r="BJ199" i="17"/>
  <c r="BJ176" i="17"/>
  <c r="BJ245" i="17"/>
  <c r="BZ456" i="17" l="1"/>
  <c r="BZ454" i="17"/>
  <c r="BZ452" i="17"/>
  <c r="BZ408" i="17"/>
  <c r="BZ513" i="17"/>
  <c r="AX72" i="17"/>
  <c r="AX65" i="17"/>
  <c r="AX117" i="17"/>
  <c r="BL149" i="17"/>
  <c r="BL226" i="17"/>
  <c r="BL215" i="17"/>
  <c r="BS382" i="17"/>
  <c r="BS337" i="17"/>
  <c r="BS387" i="17"/>
  <c r="BS351" i="17"/>
  <c r="BS298" i="17"/>
  <c r="BS290" i="17"/>
  <c r="BS307" i="17"/>
  <c r="BS339" i="17"/>
  <c r="BS335" i="17"/>
  <c r="BS310" i="17"/>
  <c r="BS306" i="17"/>
  <c r="BS380" i="17"/>
  <c r="BS363" i="17"/>
  <c r="BE63" i="15"/>
  <c r="BE69" i="15"/>
  <c r="BE137" i="15"/>
  <c r="BE50" i="15"/>
  <c r="BE71" i="15"/>
  <c r="BE99" i="15"/>
  <c r="BE89" i="15"/>
  <c r="BE121" i="15"/>
  <c r="BE26" i="15"/>
  <c r="BE105" i="15"/>
  <c r="BE110" i="15"/>
  <c r="BE103" i="15"/>
  <c r="BE79" i="15"/>
  <c r="BE43" i="15"/>
  <c r="BE85" i="15"/>
  <c r="BE62" i="15"/>
  <c r="BE78" i="15"/>
  <c r="BE109" i="15"/>
  <c r="BE61" i="15"/>
  <c r="BE98" i="15"/>
  <c r="BE70" i="15"/>
  <c r="BE23" i="15"/>
  <c r="BE47" i="15"/>
  <c r="BE139" i="15"/>
  <c r="BE124" i="15"/>
  <c r="BE82" i="15"/>
  <c r="BE95" i="15"/>
  <c r="BE118" i="15"/>
  <c r="BE37" i="15"/>
  <c r="C27" i="21"/>
  <c r="B75" i="9"/>
  <c r="C35" i="11" s="1"/>
  <c r="F27" i="2"/>
  <c r="J27" i="2"/>
  <c r="A28" i="21"/>
  <c r="A29" i="2"/>
  <c r="E28" i="2"/>
  <c r="P28" i="2"/>
  <c r="D28" i="2"/>
  <c r="N28" i="2"/>
  <c r="E76" i="9" s="1"/>
  <c r="A76" i="9"/>
  <c r="A36" i="11" s="1"/>
  <c r="C28" i="2"/>
  <c r="B28" i="2"/>
  <c r="BG27" i="20"/>
  <c r="BG26" i="20"/>
  <c r="BG28" i="20"/>
  <c r="BJ28" i="20" s="1"/>
  <c r="E28" i="20" s="1"/>
  <c r="BG23" i="20"/>
  <c r="BG25" i="20"/>
  <c r="BJ25" i="20" s="1"/>
  <c r="E25" i="20" s="1"/>
  <c r="BG30" i="20"/>
  <c r="BG29" i="20"/>
  <c r="BG24" i="20"/>
  <c r="BZ468" i="17"/>
  <c r="BZ489" i="17"/>
  <c r="BZ485" i="17"/>
  <c r="BZ484" i="17"/>
  <c r="BZ429" i="17"/>
  <c r="BZ421" i="17"/>
  <c r="BZ424" i="17"/>
  <c r="BZ415" i="17"/>
  <c r="BZ442" i="17"/>
  <c r="BZ503" i="17"/>
  <c r="BZ459" i="17"/>
  <c r="BZ480" i="17"/>
  <c r="BZ418" i="17"/>
  <c r="BZ448" i="17"/>
  <c r="BZ522" i="17"/>
  <c r="BZ446" i="17"/>
  <c r="BZ505" i="17"/>
  <c r="BZ428" i="17"/>
  <c r="BZ474" i="17"/>
  <c r="BZ495" i="17"/>
  <c r="BZ490" i="17"/>
  <c r="BZ444" i="17"/>
  <c r="BZ411" i="17"/>
  <c r="BZ507" i="17"/>
  <c r="BZ451" i="17"/>
  <c r="BZ520" i="17"/>
  <c r="BZ519" i="17"/>
  <c r="BZ431" i="17"/>
  <c r="BZ462" i="17"/>
  <c r="BH24" i="20"/>
  <c r="BH23" i="20"/>
  <c r="AX80" i="17"/>
  <c r="AX100" i="17"/>
  <c r="AX107" i="17"/>
  <c r="AX18" i="17"/>
  <c r="AX91" i="17"/>
  <c r="AX96" i="17"/>
  <c r="AX131" i="17"/>
  <c r="AX25" i="17"/>
  <c r="AX90" i="17"/>
  <c r="AX85" i="17"/>
  <c r="AX74" i="17"/>
  <c r="AX35" i="17"/>
  <c r="AX77" i="17"/>
  <c r="AX75" i="17"/>
  <c r="AX120" i="17"/>
  <c r="AX52" i="17"/>
  <c r="AX60" i="17"/>
  <c r="AX108" i="17"/>
  <c r="AX67" i="17"/>
  <c r="AX73" i="17"/>
  <c r="AX126" i="17"/>
  <c r="AX40" i="17"/>
  <c r="AX112" i="17"/>
  <c r="AX71" i="17"/>
  <c r="AX128" i="17"/>
  <c r="AX16" i="17"/>
  <c r="AX30" i="17"/>
  <c r="AX106" i="17"/>
  <c r="AX29" i="17"/>
  <c r="BL183" i="17"/>
  <c r="BL221" i="17"/>
  <c r="BL257" i="17"/>
  <c r="BL198" i="17"/>
  <c r="BL168" i="17"/>
  <c r="BL170" i="17"/>
  <c r="BL258" i="17"/>
  <c r="BL178" i="17"/>
  <c r="BL246" i="17"/>
  <c r="BL161" i="17"/>
  <c r="BL211" i="17"/>
  <c r="BL228" i="17"/>
  <c r="BL236" i="17"/>
  <c r="BL249" i="17"/>
  <c r="BL235" i="17"/>
  <c r="BL229" i="17"/>
  <c r="BL191" i="17"/>
  <c r="BL250" i="17"/>
  <c r="BL187" i="17"/>
  <c r="BL252" i="17"/>
  <c r="BL155" i="17"/>
  <c r="BL143" i="17" s="1"/>
  <c r="BL147" i="17"/>
  <c r="BL214" i="17"/>
  <c r="BL184" i="17"/>
  <c r="BL233" i="17"/>
  <c r="BL220" i="17"/>
  <c r="BL157" i="17"/>
  <c r="BL219" i="17"/>
  <c r="BL245" i="17"/>
  <c r="BL160" i="17"/>
  <c r="I26" i="2"/>
  <c r="F26" i="21" s="1"/>
  <c r="L26" i="2"/>
  <c r="BS324" i="17"/>
  <c r="BS367" i="17"/>
  <c r="BS385" i="17"/>
  <c r="BS390" i="17"/>
  <c r="BS283" i="17"/>
  <c r="BS349" i="17"/>
  <c r="BS300" i="17"/>
  <c r="BS383" i="17"/>
  <c r="BS361" i="17"/>
  <c r="BS354" i="17"/>
  <c r="BS377" i="17"/>
  <c r="BS374" i="17"/>
  <c r="BS345" i="17"/>
  <c r="BS378" i="17"/>
  <c r="BS304" i="17"/>
  <c r="BS342" i="17"/>
  <c r="BS299" i="17"/>
  <c r="BS372" i="17"/>
  <c r="BS325" i="17"/>
  <c r="BS311" i="17"/>
  <c r="BS333" i="17"/>
  <c r="BS279" i="17"/>
  <c r="BS392" i="17"/>
  <c r="BS391" i="17"/>
  <c r="BS278" i="17"/>
  <c r="BS344" i="17"/>
  <c r="BS329" i="17"/>
  <c r="BS393" i="17"/>
  <c r="BS328" i="17"/>
  <c r="BE28" i="15"/>
  <c r="BZ472" i="17"/>
  <c r="AX95" i="17"/>
  <c r="AX110" i="17"/>
  <c r="AX129" i="17"/>
  <c r="BL203" i="17"/>
  <c r="BL182" i="17"/>
  <c r="BL210" i="17"/>
  <c r="BL177" i="17"/>
  <c r="BS347" i="17"/>
  <c r="BE117" i="15"/>
  <c r="BE60" i="15"/>
  <c r="BE33" i="15"/>
  <c r="BE84" i="15"/>
  <c r="BE27" i="15"/>
  <c r="BE64" i="15"/>
  <c r="BE34" i="15"/>
  <c r="BE66" i="15"/>
  <c r="D27" i="21"/>
  <c r="I27" i="21" s="1"/>
  <c r="C75" i="9"/>
  <c r="G27" i="2"/>
  <c r="K28" i="2"/>
  <c r="A45" i="22"/>
  <c r="B27" i="21"/>
  <c r="BZ483" i="17"/>
  <c r="BZ486" i="17"/>
  <c r="BZ487" i="17"/>
  <c r="BZ471" i="17"/>
  <c r="BZ493" i="17"/>
  <c r="BZ488" i="17"/>
  <c r="BZ432" i="17"/>
  <c r="BZ518" i="17"/>
  <c r="BZ461" i="17"/>
  <c r="BZ515" i="17"/>
  <c r="BZ479" i="17"/>
  <c r="BZ439" i="17"/>
  <c r="BZ410" i="17"/>
  <c r="BZ521" i="17"/>
  <c r="BZ500" i="17"/>
  <c r="BZ463" i="17"/>
  <c r="BZ467" i="17"/>
  <c r="BZ492" i="17"/>
  <c r="BZ443" i="17"/>
  <c r="BZ457" i="17"/>
  <c r="BZ440" i="17"/>
  <c r="BZ419" i="17"/>
  <c r="BZ445" i="17"/>
  <c r="BZ524" i="17"/>
  <c r="BZ482" i="17"/>
  <c r="BZ510" i="17"/>
  <c r="BZ416" i="17"/>
  <c r="BZ450" i="17"/>
  <c r="BZ517" i="17"/>
  <c r="AX116" i="17"/>
  <c r="AX57" i="17"/>
  <c r="AX115" i="17"/>
  <c r="AX59" i="17"/>
  <c r="AX39" i="17"/>
  <c r="AX68" i="17"/>
  <c r="AX66" i="17"/>
  <c r="AX32" i="17"/>
  <c r="AX31" i="17"/>
  <c r="AX79" i="17"/>
  <c r="AX121" i="17"/>
  <c r="AX23" i="17"/>
  <c r="AX81" i="17"/>
  <c r="AX46" i="17"/>
  <c r="AX37" i="17"/>
  <c r="AX114" i="17"/>
  <c r="AX98" i="17"/>
  <c r="AX47" i="17"/>
  <c r="BL158" i="17"/>
  <c r="BL159" i="17"/>
  <c r="BP140" i="17" s="1"/>
  <c r="BL223" i="17"/>
  <c r="BL172" i="17"/>
  <c r="BL156" i="17"/>
  <c r="BL247" i="17"/>
  <c r="BL189" i="17"/>
  <c r="BL222" i="17"/>
  <c r="BL201" i="17"/>
  <c r="BL232" i="17"/>
  <c r="BL256" i="17"/>
  <c r="BL169" i="17"/>
  <c r="BL209" i="17"/>
  <c r="BL234" i="17"/>
  <c r="BL254" i="17"/>
  <c r="BL176" i="17"/>
  <c r="BL162" i="17"/>
  <c r="BL240" i="17"/>
  <c r="BL261" i="17"/>
  <c r="BL213" i="17"/>
  <c r="BL227" i="17"/>
  <c r="BL248" i="17"/>
  <c r="BL196" i="17"/>
  <c r="BL197" i="17"/>
  <c r="BL181" i="17"/>
  <c r="BL171" i="17"/>
  <c r="BL199" i="17"/>
  <c r="BL206" i="17"/>
  <c r="BL167" i="17"/>
  <c r="BC19" i="24"/>
  <c r="BH18" i="24"/>
  <c r="BG17" i="24"/>
  <c r="BE20" i="24"/>
  <c r="BB19" i="24"/>
  <c r="BI18" i="24"/>
  <c r="BI17" i="24"/>
  <c r="BI16" i="24"/>
  <c r="BG18" i="24"/>
  <c r="BH17" i="24"/>
  <c r="BH16" i="24"/>
  <c r="BG16" i="24"/>
  <c r="BD19" i="24"/>
  <c r="BS376" i="17"/>
  <c r="BS350" i="17"/>
  <c r="BS381" i="17"/>
  <c r="BS296" i="17"/>
  <c r="BS388" i="17"/>
  <c r="BS375" i="17"/>
  <c r="BS334" i="17"/>
  <c r="BS288" i="17"/>
  <c r="BS303" i="17"/>
  <c r="BS293" i="17"/>
  <c r="BS330" i="17"/>
  <c r="BS358" i="17"/>
  <c r="BS370" i="17"/>
  <c r="BS305" i="17"/>
  <c r="BS365" i="17"/>
  <c r="BS352" i="17"/>
  <c r="BS315" i="17"/>
  <c r="BS327" i="17"/>
  <c r="BS295" i="17"/>
  <c r="BS336" i="17"/>
  <c r="BS302" i="17"/>
  <c r="BS281" i="17"/>
  <c r="BS346" i="17"/>
  <c r="BS287" i="17"/>
  <c r="BS321" i="17"/>
  <c r="BS317" i="17"/>
  <c r="BS340" i="17"/>
  <c r="BS280" i="17"/>
  <c r="BS386" i="17"/>
  <c r="BE48" i="15"/>
  <c r="BE54" i="15"/>
  <c r="BE68" i="15"/>
  <c r="E27" i="21"/>
  <c r="J27" i="21" s="1"/>
  <c r="D75" i="9"/>
  <c r="H27" i="2"/>
  <c r="BI27" i="20"/>
  <c r="BI28" i="20"/>
  <c r="BI23" i="20"/>
  <c r="BI25" i="20"/>
  <c r="BI29" i="20"/>
  <c r="BI26" i="20"/>
  <c r="BI30" i="20"/>
  <c r="BI24" i="20"/>
  <c r="BZ501" i="17"/>
  <c r="BZ499" i="17"/>
  <c r="BZ412" i="17"/>
  <c r="BZ409" i="17"/>
  <c r="BZ441" i="17"/>
  <c r="AX48" i="17"/>
  <c r="AX82" i="17"/>
  <c r="AX44" i="17"/>
  <c r="BL207" i="17"/>
  <c r="BL224" i="17"/>
  <c r="BL218" i="17"/>
  <c r="BL231" i="17"/>
  <c r="BL194" i="17"/>
  <c r="BL202" i="17"/>
  <c r="BL244" i="17"/>
  <c r="G26" i="21"/>
  <c r="H26" i="21"/>
  <c r="BS371" i="17"/>
  <c r="BS292" i="17"/>
  <c r="BE65" i="15"/>
  <c r="BE115" i="15"/>
  <c r="BE94" i="15"/>
  <c r="BE101" i="15"/>
  <c r="BE42" i="15"/>
  <c r="BE128" i="15"/>
  <c r="BE24" i="15"/>
  <c r="BE46" i="15"/>
  <c r="BE83" i="15"/>
  <c r="BE102" i="15"/>
  <c r="BE49" i="15"/>
  <c r="BE73" i="15"/>
  <c r="BE59" i="15"/>
  <c r="BE92" i="15"/>
  <c r="BE119" i="15"/>
  <c r="BE120" i="15"/>
  <c r="BE52" i="15"/>
  <c r="BE87" i="15"/>
  <c r="BE56" i="15"/>
  <c r="BE25" i="15"/>
  <c r="BE29" i="15"/>
  <c r="BE80" i="15"/>
  <c r="BE131" i="15"/>
  <c r="BE126" i="15"/>
  <c r="BE93" i="15"/>
  <c r="BE107" i="15"/>
  <c r="BE112" i="15"/>
  <c r="BE130" i="15"/>
  <c r="BE106" i="15"/>
  <c r="BE114" i="15"/>
  <c r="BE88" i="15"/>
  <c r="BE31" i="15"/>
  <c r="BE136" i="15"/>
  <c r="BE129" i="15"/>
  <c r="BE97" i="15"/>
  <c r="BE36" i="15"/>
  <c r="BE38" i="15"/>
  <c r="BE81" i="15"/>
  <c r="B35" i="11"/>
  <c r="D35" i="11" s="1"/>
  <c r="E35" i="11" s="1"/>
  <c r="F35" i="11" s="1"/>
  <c r="F75" i="9"/>
  <c r="BZ420" i="17"/>
  <c r="BZ491" i="17"/>
  <c r="BZ460" i="17"/>
  <c r="BZ512" i="17"/>
  <c r="BZ478" i="17"/>
  <c r="BZ464" i="17"/>
  <c r="BZ430" i="17"/>
  <c r="BZ425" i="17"/>
  <c r="BZ417" i="17"/>
  <c r="BZ449" i="17"/>
  <c r="BZ506" i="17"/>
  <c r="BZ426" i="17"/>
  <c r="BZ497" i="17"/>
  <c r="BZ470" i="17"/>
  <c r="BZ434" i="17"/>
  <c r="BZ481" i="17"/>
  <c r="BZ433" i="17"/>
  <c r="BZ477" i="17"/>
  <c r="BZ465" i="17"/>
  <c r="BZ494" i="17"/>
  <c r="BZ427" i="17"/>
  <c r="BZ437" i="17"/>
  <c r="BZ413" i="17"/>
  <c r="BZ447" i="17"/>
  <c r="BZ476" i="17"/>
  <c r="BZ511" i="17"/>
  <c r="BZ509" i="17"/>
  <c r="BZ516" i="17"/>
  <c r="BZ466" i="17"/>
  <c r="BZ422" i="17"/>
  <c r="BH25" i="20"/>
  <c r="AX55" i="17"/>
  <c r="AX45" i="17"/>
  <c r="AX49" i="17"/>
  <c r="AX50" i="17"/>
  <c r="AX61" i="17"/>
  <c r="AX33" i="17"/>
  <c r="AX97" i="17"/>
  <c r="AX101" i="17"/>
  <c r="AX130" i="17"/>
  <c r="AX118" i="17"/>
  <c r="AX51" i="17"/>
  <c r="AX56" i="17"/>
  <c r="AX105" i="17"/>
  <c r="AX20" i="17"/>
  <c r="AX28" i="17"/>
  <c r="AX93" i="17"/>
  <c r="AX84" i="17"/>
  <c r="AX27" i="17"/>
  <c r="AX53" i="17"/>
  <c r="AX36" i="17"/>
  <c r="AX102" i="17"/>
  <c r="AX26" i="17"/>
  <c r="AX62" i="17"/>
  <c r="AX103" i="17"/>
  <c r="AX63" i="17"/>
  <c r="AX64" i="17"/>
  <c r="AX113" i="17"/>
  <c r="AX15" i="17"/>
  <c r="AX54" i="17"/>
  <c r="BL174" i="17"/>
  <c r="BL204" i="17"/>
  <c r="BL192" i="17"/>
  <c r="BL180" i="17"/>
  <c r="BL150" i="17"/>
  <c r="BP139" i="17" s="1"/>
  <c r="BL239" i="17"/>
  <c r="BL241" i="17"/>
  <c r="BL208" i="17"/>
  <c r="BL195" i="17"/>
  <c r="BL216" i="17"/>
  <c r="BL151" i="17"/>
  <c r="BL186" i="17"/>
  <c r="BL205" i="17"/>
  <c r="BL243" i="17"/>
  <c r="BL212" i="17"/>
  <c r="BL259" i="17"/>
  <c r="BL166" i="17"/>
  <c r="BL164" i="17"/>
  <c r="BL179" i="17"/>
  <c r="BL175" i="17"/>
  <c r="BL230" i="17"/>
  <c r="BL165" i="17"/>
  <c r="BL200" i="17"/>
  <c r="BL173" i="17"/>
  <c r="BL238" i="17"/>
  <c r="BL190" i="17"/>
  <c r="BL251" i="17"/>
  <c r="BL225" i="17"/>
  <c r="BL185" i="17"/>
  <c r="O26" i="2"/>
  <c r="M26" i="2"/>
  <c r="BS277" i="17"/>
  <c r="BS362" i="17"/>
  <c r="BS368" i="17"/>
  <c r="BS332" i="17"/>
  <c r="BS366" i="17"/>
  <c r="BS384" i="17"/>
  <c r="BS357" i="17"/>
  <c r="BS364" i="17"/>
  <c r="BS322" i="17"/>
  <c r="BS316" i="17"/>
  <c r="BS286" i="17"/>
  <c r="BS282" i="17"/>
  <c r="BS320" i="17"/>
  <c r="BS389" i="17"/>
  <c r="BS338" i="17"/>
  <c r="BS331" i="17"/>
  <c r="BS314" i="17"/>
  <c r="BS379" i="17"/>
  <c r="BS309" i="17"/>
  <c r="BS373" i="17"/>
  <c r="BS341" i="17"/>
  <c r="BS348" i="17"/>
  <c r="BS318" i="17"/>
  <c r="BS319" i="17"/>
  <c r="BS308" i="17"/>
  <c r="BS356" i="17"/>
  <c r="BS323" i="17"/>
  <c r="BS359" i="17"/>
  <c r="BS313" i="17"/>
  <c r="BS291" i="17"/>
  <c r="BP185" i="17" l="1"/>
  <c r="BP177" i="17"/>
  <c r="BP259" i="17"/>
  <c r="BP148" i="17"/>
  <c r="BP163" i="17"/>
  <c r="BP252" i="17"/>
  <c r="BP233" i="17"/>
  <c r="BP183" i="17"/>
  <c r="BP229" i="17"/>
  <c r="BP205" i="17"/>
  <c r="BP237" i="17"/>
  <c r="BP215" i="17"/>
  <c r="BP219" i="17"/>
  <c r="BP216" i="17"/>
  <c r="BP224" i="17"/>
  <c r="BP253" i="17"/>
  <c r="BP250" i="17"/>
  <c r="BP234" i="17"/>
  <c r="BP222" i="17"/>
  <c r="BP159" i="17"/>
  <c r="BP206" i="17"/>
  <c r="BP210" i="17"/>
  <c r="BP221" i="17"/>
  <c r="BP168" i="17"/>
  <c r="BP179" i="17"/>
  <c r="BP169" i="17"/>
  <c r="BP245" i="17"/>
  <c r="BP220" i="17"/>
  <c r="BP260" i="17"/>
  <c r="BQ141" i="17"/>
  <c r="BN141" i="17"/>
  <c r="BO141" i="17"/>
  <c r="L7" i="26"/>
  <c r="H7" i="26"/>
  <c r="I7" i="26"/>
  <c r="M7" i="26"/>
  <c r="K7" i="26"/>
  <c r="J7" i="26"/>
  <c r="BJ27" i="20"/>
  <c r="E27" i="20" s="1"/>
  <c r="F76" i="9"/>
  <c r="B36" i="11"/>
  <c r="D36" i="11" s="1"/>
  <c r="E36" i="11" s="1"/>
  <c r="F36" i="11" s="1"/>
  <c r="A29" i="21"/>
  <c r="A77" i="9"/>
  <c r="A37" i="11" s="1"/>
  <c r="A30" i="2"/>
  <c r="E29" i="2"/>
  <c r="P29" i="2"/>
  <c r="D29" i="2"/>
  <c r="C29" i="2"/>
  <c r="N29" i="2"/>
  <c r="E77" i="9" s="1"/>
  <c r="B29" i="2"/>
  <c r="I27" i="2"/>
  <c r="F27" i="21" s="1"/>
  <c r="L27" i="2"/>
  <c r="BP273" i="17"/>
  <c r="BW272" i="17"/>
  <c r="BX271" i="17"/>
  <c r="BY270" i="17"/>
  <c r="BU270" i="17"/>
  <c r="BO273" i="17"/>
  <c r="BV272" i="17"/>
  <c r="BW271" i="17"/>
  <c r="BX270" i="17"/>
  <c r="BS274" i="17"/>
  <c r="BR273" i="17"/>
  <c r="BN273" i="17"/>
  <c r="BY272" i="17"/>
  <c r="BU272" i="17"/>
  <c r="BV271" i="17"/>
  <c r="BQ273" i="17"/>
  <c r="BU271" i="17"/>
  <c r="BW270" i="17"/>
  <c r="BV270" i="17"/>
  <c r="BY271" i="17"/>
  <c r="BX272" i="17"/>
  <c r="BG37" i="24"/>
  <c r="BJ37" i="24" s="1"/>
  <c r="E37" i="24" s="1"/>
  <c r="BG29" i="24"/>
  <c r="BG27" i="24"/>
  <c r="BG26" i="24"/>
  <c r="BG25" i="24"/>
  <c r="BJ25" i="24" s="1"/>
  <c r="E25" i="24" s="1"/>
  <c r="BG28" i="24"/>
  <c r="BG35" i="24"/>
  <c r="BG24" i="24"/>
  <c r="BG23" i="24"/>
  <c r="BJ23" i="24" s="1"/>
  <c r="BG34" i="24"/>
  <c r="BG33" i="24"/>
  <c r="BG31" i="24"/>
  <c r="BG30" i="24"/>
  <c r="BJ30" i="24" s="1"/>
  <c r="E30" i="24" s="1"/>
  <c r="BG36" i="24"/>
  <c r="BG32" i="24"/>
  <c r="BI37" i="24"/>
  <c r="BI29" i="24"/>
  <c r="BI28" i="24"/>
  <c r="BI25" i="24"/>
  <c r="BI32" i="24"/>
  <c r="BI36" i="24"/>
  <c r="BI35" i="24"/>
  <c r="BI23" i="24"/>
  <c r="BI34" i="24"/>
  <c r="BI26" i="24"/>
  <c r="BI24" i="24"/>
  <c r="BI27" i="24"/>
  <c r="BI31" i="24"/>
  <c r="BI33" i="24"/>
  <c r="BI30" i="24"/>
  <c r="BN140" i="17"/>
  <c r="BH142" i="17"/>
  <c r="BI142" i="17"/>
  <c r="BP141" i="17"/>
  <c r="BP255" i="17" s="1"/>
  <c r="BJ24" i="20"/>
  <c r="E24" i="20" s="1"/>
  <c r="BJ23" i="20"/>
  <c r="D28" i="21"/>
  <c r="I28" i="21" s="1"/>
  <c r="C76" i="9"/>
  <c r="G28" i="2"/>
  <c r="A46" i="22"/>
  <c r="B28" i="21"/>
  <c r="BC19" i="15"/>
  <c r="BH18" i="15"/>
  <c r="BG17" i="15"/>
  <c r="BB19" i="15"/>
  <c r="BG18" i="15"/>
  <c r="BI16" i="15"/>
  <c r="BI17" i="15"/>
  <c r="BH16" i="15"/>
  <c r="BE20" i="15"/>
  <c r="BH17" i="15"/>
  <c r="BI18" i="15"/>
  <c r="BG16" i="15"/>
  <c r="BD19" i="15"/>
  <c r="BH37" i="24"/>
  <c r="BH29" i="24"/>
  <c r="BH28" i="24"/>
  <c r="BH33" i="24"/>
  <c r="BH32" i="24"/>
  <c r="BH35" i="24"/>
  <c r="BH23" i="24"/>
  <c r="BH27" i="24"/>
  <c r="BH25" i="24"/>
  <c r="BH36" i="24"/>
  <c r="BH34" i="24"/>
  <c r="BH26" i="24"/>
  <c r="BH31" i="24"/>
  <c r="BH24" i="24"/>
  <c r="BH30" i="24"/>
  <c r="BK142" i="17"/>
  <c r="BQ140" i="17"/>
  <c r="BO139" i="17"/>
  <c r="BJ142" i="17"/>
  <c r="BJ29" i="20"/>
  <c r="E29" i="20" s="1"/>
  <c r="L10" i="26"/>
  <c r="H10" i="26"/>
  <c r="J10" i="26"/>
  <c r="M10" i="26"/>
  <c r="K10" i="26"/>
  <c r="I10" i="26"/>
  <c r="C28" i="21"/>
  <c r="B76" i="9"/>
  <c r="C36" i="11" s="1"/>
  <c r="G36" i="11" s="1"/>
  <c r="F28" i="2"/>
  <c r="J28" i="2"/>
  <c r="J29" i="2"/>
  <c r="G35" i="11"/>
  <c r="AV11" i="17"/>
  <c r="AZ10" i="17"/>
  <c r="AZ8" i="17"/>
  <c r="AX12" i="17"/>
  <c r="BA9" i="17"/>
  <c r="AZ9" i="17"/>
  <c r="BA10" i="17"/>
  <c r="BA8" i="17"/>
  <c r="AW11" i="17"/>
  <c r="BQ139" i="17"/>
  <c r="BN139" i="17"/>
  <c r="BO140" i="17"/>
  <c r="BJ30" i="20"/>
  <c r="E30" i="20" s="1"/>
  <c r="BJ26" i="20"/>
  <c r="E26" i="20" s="1"/>
  <c r="E28" i="21"/>
  <c r="J28" i="21" s="1"/>
  <c r="D76" i="9"/>
  <c r="H28" i="2"/>
  <c r="O27" i="2"/>
  <c r="M27" i="2"/>
  <c r="H27" i="21"/>
  <c r="G27" i="21"/>
  <c r="BZ405" i="17"/>
  <c r="BW404" i="17"/>
  <c r="CE403" i="17"/>
  <c r="CG402" i="17"/>
  <c r="CC402" i="17"/>
  <c r="CE401" i="17"/>
  <c r="BV404" i="17"/>
  <c r="CD403" i="17"/>
  <c r="CF402" i="17"/>
  <c r="CB402" i="17"/>
  <c r="BX404" i="17"/>
  <c r="CF403" i="17"/>
  <c r="CD402" i="17"/>
  <c r="CG401" i="17"/>
  <c r="CB401" i="17"/>
  <c r="BU404" i="17"/>
  <c r="CC403" i="17"/>
  <c r="CF401" i="17"/>
  <c r="BT404" i="17"/>
  <c r="CB403" i="17"/>
  <c r="CD401" i="17"/>
  <c r="CE402" i="17"/>
  <c r="BY404" i="17"/>
  <c r="CC401" i="17"/>
  <c r="CG403" i="17"/>
  <c r="CB422" i="17" l="1"/>
  <c r="CB517" i="17"/>
  <c r="CB470" i="17"/>
  <c r="CH470" i="17" s="1"/>
  <c r="CB410" i="17"/>
  <c r="CB415" i="17"/>
  <c r="CB419" i="17"/>
  <c r="CB503" i="17"/>
  <c r="CB423" i="17"/>
  <c r="CB446" i="17"/>
  <c r="CB513" i="17"/>
  <c r="CB427" i="17"/>
  <c r="CB436" i="17"/>
  <c r="CB509" i="17"/>
  <c r="CB473" i="17"/>
  <c r="CB443" i="17"/>
  <c r="CB508" i="17"/>
  <c r="CB455" i="17"/>
  <c r="CB476" i="17"/>
  <c r="CB507" i="17"/>
  <c r="CB441" i="17"/>
  <c r="CB445" i="17"/>
  <c r="CB467" i="17"/>
  <c r="CB518" i="17"/>
  <c r="CH518" i="17" s="1"/>
  <c r="CB453" i="17"/>
  <c r="CB413" i="17"/>
  <c r="CB523" i="17"/>
  <c r="CB515" i="17"/>
  <c r="CH515" i="17" s="1"/>
  <c r="CB444" i="17"/>
  <c r="CB437" i="17"/>
  <c r="CB463" i="17"/>
  <c r="CB478" i="17"/>
  <c r="CB496" i="17"/>
  <c r="CB440" i="17"/>
  <c r="CB516" i="17"/>
  <c r="CB416" i="17"/>
  <c r="CH416" i="17" s="1"/>
  <c r="CB519" i="17"/>
  <c r="CB469" i="17"/>
  <c r="CB457" i="17"/>
  <c r="CB504" i="17"/>
  <c r="CB510" i="17"/>
  <c r="CB511" i="17"/>
  <c r="CB412" i="17"/>
  <c r="CB430" i="17"/>
  <c r="CB512" i="17"/>
  <c r="CB465" i="17"/>
  <c r="CB492" i="17"/>
  <c r="CB524" i="17"/>
  <c r="CH524" i="17" s="1"/>
  <c r="CB428" i="17"/>
  <c r="CB409" i="17"/>
  <c r="CB477" i="17"/>
  <c r="CB411" i="17"/>
  <c r="CH411" i="17" s="1"/>
  <c r="CB435" i="17"/>
  <c r="CB491" i="17"/>
  <c r="CB505" i="17"/>
  <c r="CB462" i="17"/>
  <c r="CB452" i="17"/>
  <c r="CB433" i="17"/>
  <c r="CB418" i="17"/>
  <c r="CB450" i="17"/>
  <c r="CB483" i="17"/>
  <c r="CB471" i="17"/>
  <c r="CB481" i="17"/>
  <c r="CB431" i="17"/>
  <c r="CH431" i="17" s="1"/>
  <c r="CB499" i="17"/>
  <c r="CB522" i="17"/>
  <c r="CB520" i="17"/>
  <c r="CB434" i="17"/>
  <c r="CB521" i="17"/>
  <c r="CB448" i="17"/>
  <c r="CB475" i="17"/>
  <c r="CB474" i="17"/>
  <c r="CB497" i="17"/>
  <c r="CB480" i="17"/>
  <c r="CB421" i="17"/>
  <c r="CB479" i="17"/>
  <c r="CB472" i="17"/>
  <c r="CB438" i="17"/>
  <c r="CB414" i="17"/>
  <c r="CB514" i="17"/>
  <c r="CB494" i="17"/>
  <c r="CB449" i="17"/>
  <c r="CB487" i="17"/>
  <c r="CB461" i="17"/>
  <c r="CB458" i="17"/>
  <c r="CB502" i="17"/>
  <c r="CB454" i="17"/>
  <c r="CB456" i="17"/>
  <c r="CB426" i="17"/>
  <c r="CB466" i="17"/>
  <c r="CB468" i="17"/>
  <c r="CB498" i="17"/>
  <c r="CB500" i="17"/>
  <c r="CB424" i="17"/>
  <c r="CB408" i="17"/>
  <c r="CB482" i="17"/>
  <c r="CB442" i="17"/>
  <c r="CB464" i="17"/>
  <c r="CB429" i="17"/>
  <c r="CB501" i="17"/>
  <c r="CB484" i="17"/>
  <c r="CB495" i="17"/>
  <c r="CB451" i="17"/>
  <c r="CB459" i="17"/>
  <c r="CB485" i="17"/>
  <c r="CB460" i="17"/>
  <c r="CB489" i="17"/>
  <c r="CB417" i="17"/>
  <c r="CB425" i="17"/>
  <c r="CB432" i="17"/>
  <c r="CB490" i="17"/>
  <c r="CB488" i="17"/>
  <c r="CB447" i="17"/>
  <c r="CB439" i="17"/>
  <c r="CB486" i="17"/>
  <c r="CB493" i="17"/>
  <c r="CH493" i="17" s="1"/>
  <c r="CB420" i="17"/>
  <c r="CB506" i="17"/>
  <c r="AZ29" i="17"/>
  <c r="AZ124" i="17"/>
  <c r="AZ80" i="17"/>
  <c r="AZ17" i="17"/>
  <c r="AZ77" i="17"/>
  <c r="AZ19" i="17"/>
  <c r="BB19" i="17" s="1"/>
  <c r="AZ26" i="17"/>
  <c r="AZ23" i="17"/>
  <c r="AZ105" i="17"/>
  <c r="AZ102" i="17"/>
  <c r="AZ121" i="17"/>
  <c r="AZ30" i="17"/>
  <c r="AZ72" i="17"/>
  <c r="AZ25" i="17"/>
  <c r="BB25" i="17" s="1"/>
  <c r="AZ87" i="17"/>
  <c r="AZ57" i="17"/>
  <c r="AZ67" i="17"/>
  <c r="AZ88" i="17"/>
  <c r="AZ61" i="17"/>
  <c r="AZ66" i="17"/>
  <c r="AZ101" i="17"/>
  <c r="AZ46" i="17"/>
  <c r="BB46" i="17" s="1"/>
  <c r="AZ48" i="17"/>
  <c r="AZ118" i="17"/>
  <c r="AZ130" i="17"/>
  <c r="AZ109" i="17"/>
  <c r="BB109" i="17" s="1"/>
  <c r="AZ47" i="17"/>
  <c r="AZ62" i="17"/>
  <c r="AZ119" i="17"/>
  <c r="AZ34" i="17"/>
  <c r="BB34" i="17" s="1"/>
  <c r="AZ44" i="17"/>
  <c r="AZ15" i="17"/>
  <c r="AZ117" i="17"/>
  <c r="AZ113" i="17"/>
  <c r="BB113" i="17" s="1"/>
  <c r="AZ16" i="17"/>
  <c r="AZ76" i="17"/>
  <c r="AZ64" i="17"/>
  <c r="AZ37" i="17"/>
  <c r="AZ22" i="17"/>
  <c r="AZ63" i="17"/>
  <c r="AZ18" i="17"/>
  <c r="AZ131" i="17"/>
  <c r="BB131" i="17" s="1"/>
  <c r="AZ69" i="17"/>
  <c r="AZ112" i="17"/>
  <c r="AZ41" i="17"/>
  <c r="AZ40" i="17"/>
  <c r="AZ99" i="17"/>
  <c r="AZ89" i="17"/>
  <c r="AZ126" i="17"/>
  <c r="AZ129" i="17"/>
  <c r="BB129" i="17" s="1"/>
  <c r="AZ27" i="17"/>
  <c r="AZ98" i="17"/>
  <c r="AZ110" i="17"/>
  <c r="AZ114" i="17"/>
  <c r="AZ73" i="17"/>
  <c r="AZ36" i="17"/>
  <c r="AZ79" i="17"/>
  <c r="AZ128" i="17"/>
  <c r="BB128" i="17" s="1"/>
  <c r="AZ43" i="17"/>
  <c r="AZ111" i="17"/>
  <c r="AZ35" i="17"/>
  <c r="AZ53" i="17"/>
  <c r="BB53" i="17" s="1"/>
  <c r="AZ115" i="17"/>
  <c r="AZ86" i="17"/>
  <c r="AZ75" i="17"/>
  <c r="AZ31" i="17"/>
  <c r="BB31" i="17" s="1"/>
  <c r="AZ42" i="17"/>
  <c r="AZ108" i="17"/>
  <c r="AZ54" i="17"/>
  <c r="AZ106" i="17"/>
  <c r="BB106" i="17" s="1"/>
  <c r="AZ28" i="17"/>
  <c r="AZ81" i="17"/>
  <c r="AZ104" i="17"/>
  <c r="AZ125" i="17"/>
  <c r="BB125" i="17" s="1"/>
  <c r="AZ59" i="17"/>
  <c r="AZ74" i="17"/>
  <c r="AZ49" i="17"/>
  <c r="AZ45" i="17"/>
  <c r="AZ116" i="17"/>
  <c r="AZ39" i="17"/>
  <c r="AZ32" i="17"/>
  <c r="AZ107" i="17"/>
  <c r="BB107" i="17" s="1"/>
  <c r="AZ122" i="17"/>
  <c r="AZ94" i="17"/>
  <c r="AZ71" i="17"/>
  <c r="AZ103" i="17"/>
  <c r="BB103" i="17" s="1"/>
  <c r="AZ20" i="17"/>
  <c r="AZ56" i="17"/>
  <c r="AZ68" i="17"/>
  <c r="AZ58" i="17"/>
  <c r="BB58" i="17" s="1"/>
  <c r="AZ50" i="17"/>
  <c r="AZ85" i="17"/>
  <c r="AZ33" i="17"/>
  <c r="AZ24" i="17"/>
  <c r="AZ127" i="17"/>
  <c r="AZ84" i="17"/>
  <c r="AZ93" i="17"/>
  <c r="AZ100" i="17"/>
  <c r="BB100" i="17" s="1"/>
  <c r="AZ82" i="17"/>
  <c r="AZ91" i="17"/>
  <c r="AZ60" i="17"/>
  <c r="AZ70" i="17"/>
  <c r="BB70" i="17" s="1"/>
  <c r="AZ120" i="17"/>
  <c r="AZ123" i="17"/>
  <c r="AZ95" i="17"/>
  <c r="AZ92" i="17"/>
  <c r="AZ90" i="17"/>
  <c r="AZ97" i="17"/>
  <c r="AZ83" i="17"/>
  <c r="AZ78" i="17"/>
  <c r="BB78" i="17" s="1"/>
  <c r="AZ21" i="17"/>
  <c r="AZ96" i="17"/>
  <c r="AZ55" i="17"/>
  <c r="AZ38" i="17"/>
  <c r="BB38" i="17" s="1"/>
  <c r="AZ52" i="17"/>
  <c r="AZ65" i="17"/>
  <c r="AZ51" i="17"/>
  <c r="I28" i="2"/>
  <c r="F28" i="21" s="1"/>
  <c r="L28" i="2"/>
  <c r="Z7" i="26"/>
  <c r="V7" i="26"/>
  <c r="AA7" i="26"/>
  <c r="Y7" i="26"/>
  <c r="X7" i="26"/>
  <c r="W7" i="26"/>
  <c r="BW386" i="17"/>
  <c r="BW291" i="17"/>
  <c r="BW335" i="17"/>
  <c r="BW393" i="17"/>
  <c r="BW365" i="17"/>
  <c r="BW304" i="17"/>
  <c r="BW353" i="17"/>
  <c r="BW359" i="17"/>
  <c r="BW311" i="17"/>
  <c r="BW338" i="17"/>
  <c r="BW283" i="17"/>
  <c r="BW305" i="17"/>
  <c r="BW378" i="17"/>
  <c r="BW301" i="17"/>
  <c r="BW389" i="17"/>
  <c r="BW370" i="17"/>
  <c r="BW345" i="17"/>
  <c r="BW339" i="17"/>
  <c r="BW320" i="17"/>
  <c r="BW358" i="17"/>
  <c r="BW375" i="17"/>
  <c r="BW374" i="17"/>
  <c r="BW287" i="17"/>
  <c r="BW307" i="17"/>
  <c r="BW282" i="17"/>
  <c r="BW330" i="17"/>
  <c r="BW279" i="17"/>
  <c r="BW377" i="17"/>
  <c r="BW363" i="17"/>
  <c r="BW290" i="17"/>
  <c r="BW334" i="17"/>
  <c r="BW387" i="17"/>
  <c r="BW371" i="17"/>
  <c r="BW300" i="17"/>
  <c r="BW369" i="17"/>
  <c r="BW357" i="17"/>
  <c r="BW327" i="17"/>
  <c r="BW362" i="17"/>
  <c r="BW332" i="17"/>
  <c r="BW286" i="17"/>
  <c r="BW376" i="17"/>
  <c r="BW293" i="17"/>
  <c r="BW349" i="17"/>
  <c r="BW294" i="17"/>
  <c r="BW360" i="17"/>
  <c r="BW354" i="17"/>
  <c r="BW366" i="17"/>
  <c r="BW298" i="17"/>
  <c r="BW328" i="17"/>
  <c r="BW313" i="17"/>
  <c r="BW280" i="17"/>
  <c r="BW380" i="17"/>
  <c r="BW340" i="17"/>
  <c r="BW329" i="17"/>
  <c r="BW326" i="17"/>
  <c r="BW323" i="17"/>
  <c r="BW317" i="17"/>
  <c r="BW344" i="17"/>
  <c r="BW312" i="17"/>
  <c r="BW347" i="17"/>
  <c r="BW356" i="17"/>
  <c r="BW321" i="17"/>
  <c r="BW278" i="17"/>
  <c r="BW289" i="17"/>
  <c r="BW379" i="17"/>
  <c r="BW315" i="17"/>
  <c r="BW308" i="17"/>
  <c r="BW306" i="17"/>
  <c r="BW299" i="17"/>
  <c r="BW319" i="17"/>
  <c r="BW346" i="17"/>
  <c r="BW392" i="17"/>
  <c r="BW284" i="17"/>
  <c r="BW318" i="17"/>
  <c r="BW281" i="17"/>
  <c r="BW302" i="17"/>
  <c r="BW333" i="17"/>
  <c r="BW336" i="17"/>
  <c r="BW325" i="17"/>
  <c r="BW391" i="17"/>
  <c r="BW342" i="17"/>
  <c r="BW381" i="17"/>
  <c r="BW385" i="17"/>
  <c r="BW303" i="17"/>
  <c r="BW337" i="17"/>
  <c r="BW368" i="17"/>
  <c r="BW350" i="17"/>
  <c r="BW383" i="17"/>
  <c r="BW384" i="17"/>
  <c r="BW348" i="17"/>
  <c r="BW331" i="17"/>
  <c r="BW343" i="17"/>
  <c r="BW341" i="17"/>
  <c r="BW373" i="17"/>
  <c r="BW295" i="17"/>
  <c r="BW310" i="17"/>
  <c r="BW314" i="17"/>
  <c r="BW324" i="17"/>
  <c r="BW351" i="17"/>
  <c r="BW285" i="17"/>
  <c r="BW296" i="17"/>
  <c r="BW390" i="17"/>
  <c r="BW364" i="17"/>
  <c r="BW382" i="17"/>
  <c r="BW277" i="17"/>
  <c r="BW355" i="17"/>
  <c r="BW372" i="17"/>
  <c r="BW297" i="17"/>
  <c r="BW309" i="17"/>
  <c r="BW292" i="17"/>
  <c r="BW352" i="17"/>
  <c r="BW316" i="17"/>
  <c r="BW361" i="17"/>
  <c r="BW322" i="17"/>
  <c r="BW288" i="17"/>
  <c r="BW367" i="17"/>
  <c r="BW388" i="17"/>
  <c r="CF422" i="17"/>
  <c r="CF517" i="17"/>
  <c r="CF435" i="17"/>
  <c r="CF518" i="17"/>
  <c r="CF453" i="17"/>
  <c r="CF491" i="17"/>
  <c r="CF413" i="17"/>
  <c r="CF415" i="17"/>
  <c r="CF515" i="17"/>
  <c r="CF503" i="17"/>
  <c r="CF444" i="17"/>
  <c r="CF437" i="17"/>
  <c r="CF478" i="17"/>
  <c r="CF496" i="17"/>
  <c r="CF440" i="17"/>
  <c r="CF483" i="17"/>
  <c r="CF471" i="17"/>
  <c r="CF499" i="17"/>
  <c r="CF469" i="17"/>
  <c r="CF457" i="17"/>
  <c r="CF510" i="17"/>
  <c r="CF430" i="17"/>
  <c r="CF465" i="17"/>
  <c r="CF492" i="17"/>
  <c r="CF428" i="17"/>
  <c r="CF409" i="17"/>
  <c r="CF477" i="17"/>
  <c r="CF505" i="17"/>
  <c r="CF462" i="17"/>
  <c r="CF523" i="17"/>
  <c r="CF452" i="17"/>
  <c r="CF433" i="17"/>
  <c r="CF418" i="17"/>
  <c r="CF450" i="17"/>
  <c r="CF481" i="17"/>
  <c r="CF431" i="17"/>
  <c r="CF500" i="17"/>
  <c r="CF519" i="17"/>
  <c r="CF522" i="17"/>
  <c r="CF408" i="17"/>
  <c r="CF434" i="17"/>
  <c r="CF451" i="17"/>
  <c r="CF521" i="17"/>
  <c r="CF448" i="17"/>
  <c r="CF443" i="17"/>
  <c r="CF507" i="17"/>
  <c r="CF429" i="17"/>
  <c r="CF411" i="17"/>
  <c r="CF501" i="17"/>
  <c r="CF466" i="17"/>
  <c r="CF419" i="17"/>
  <c r="CF423" i="17"/>
  <c r="CF414" i="17"/>
  <c r="CF425" i="17"/>
  <c r="CF468" i="17"/>
  <c r="CF498" i="17"/>
  <c r="CF432" i="17"/>
  <c r="CF514" i="17"/>
  <c r="CF424" i="17"/>
  <c r="CF484" i="17"/>
  <c r="CF490" i="17"/>
  <c r="CF427" i="17"/>
  <c r="CF504" i="17"/>
  <c r="CF495" i="17"/>
  <c r="CF494" i="17"/>
  <c r="CF482" i="17"/>
  <c r="CF475" i="17"/>
  <c r="CF488" i="17"/>
  <c r="CF508" i="17"/>
  <c r="CF474" i="17"/>
  <c r="CF421" i="17"/>
  <c r="CF455" i="17"/>
  <c r="CF512" i="17"/>
  <c r="CF463" i="17"/>
  <c r="CF516" i="17"/>
  <c r="CF416" i="17"/>
  <c r="CF436" i="17"/>
  <c r="CF476" i="17"/>
  <c r="CF479" i="17"/>
  <c r="CF447" i="17"/>
  <c r="CF449" i="17"/>
  <c r="CF461" i="17"/>
  <c r="CF458" i="17"/>
  <c r="CF502" i="17"/>
  <c r="CF454" i="17"/>
  <c r="CF456" i="17"/>
  <c r="CF524" i="17"/>
  <c r="CF480" i="17"/>
  <c r="CF470" i="17"/>
  <c r="CF446" i="17"/>
  <c r="CF513" i="17"/>
  <c r="CF509" i="17"/>
  <c r="CF520" i="17"/>
  <c r="CF511" i="17"/>
  <c r="CF445" i="17"/>
  <c r="CF485" i="17"/>
  <c r="CF439" i="17"/>
  <c r="CF460" i="17"/>
  <c r="CF489" i="17"/>
  <c r="CF426" i="17"/>
  <c r="CF417" i="17"/>
  <c r="CF467" i="17"/>
  <c r="CF410" i="17"/>
  <c r="CF473" i="17"/>
  <c r="CF412" i="17"/>
  <c r="CF487" i="17"/>
  <c r="CF441" i="17"/>
  <c r="CF472" i="17"/>
  <c r="CF459" i="17"/>
  <c r="CF442" i="17"/>
  <c r="CF464" i="17"/>
  <c r="CF486" i="17"/>
  <c r="CF493" i="17"/>
  <c r="CF420" i="17"/>
  <c r="CF438" i="17"/>
  <c r="CF506" i="17"/>
  <c r="CF497" i="17"/>
  <c r="CG517" i="17"/>
  <c r="CG422" i="17"/>
  <c r="CG429" i="17"/>
  <c r="CG411" i="17"/>
  <c r="CG435" i="17"/>
  <c r="CG501" i="17"/>
  <c r="CG491" i="17"/>
  <c r="CG462" i="17"/>
  <c r="CG415" i="17"/>
  <c r="CG515" i="17"/>
  <c r="CG466" i="17"/>
  <c r="CG503" i="17"/>
  <c r="CG425" i="17"/>
  <c r="CG483" i="17"/>
  <c r="CG468" i="17"/>
  <c r="CG471" i="17"/>
  <c r="CG432" i="17"/>
  <c r="CG424" i="17"/>
  <c r="CG484" i="17"/>
  <c r="CG499" i="17"/>
  <c r="CG504" i="17"/>
  <c r="CG482" i="17"/>
  <c r="CG488" i="17"/>
  <c r="CG508" i="17"/>
  <c r="CG421" i="17"/>
  <c r="CG512" i="17"/>
  <c r="CG523" i="17"/>
  <c r="CG431" i="17"/>
  <c r="CG513" i="17"/>
  <c r="CG516" i="17"/>
  <c r="CG490" i="17"/>
  <c r="CG416" i="17"/>
  <c r="CG519" i="17"/>
  <c r="CG436" i="17"/>
  <c r="CG509" i="17"/>
  <c r="CG520" i="17"/>
  <c r="CG473" i="17"/>
  <c r="CG511" i="17"/>
  <c r="CG494" i="17"/>
  <c r="CG451" i="17"/>
  <c r="CG475" i="17"/>
  <c r="CG474" i="17"/>
  <c r="CG476" i="17"/>
  <c r="CG524" i="17"/>
  <c r="CG507" i="17"/>
  <c r="CG441" i="17"/>
  <c r="CG470" i="17"/>
  <c r="CG518" i="17"/>
  <c r="CG453" i="17"/>
  <c r="CG413" i="17"/>
  <c r="CG419" i="17"/>
  <c r="CG444" i="17"/>
  <c r="CG423" i="17"/>
  <c r="CG437" i="17"/>
  <c r="CG446" i="17"/>
  <c r="CG440" i="17"/>
  <c r="CG498" i="17"/>
  <c r="CG469" i="17"/>
  <c r="CG427" i="17"/>
  <c r="CG457" i="17"/>
  <c r="CG510" i="17"/>
  <c r="CG495" i="17"/>
  <c r="CG408" i="17"/>
  <c r="CG443" i="17"/>
  <c r="CG455" i="17"/>
  <c r="CG465" i="17"/>
  <c r="CG492" i="17"/>
  <c r="CG428" i="17"/>
  <c r="CG409" i="17"/>
  <c r="CG477" i="17"/>
  <c r="CG410" i="17"/>
  <c r="CG418" i="17"/>
  <c r="CG496" i="17"/>
  <c r="CG448" i="17"/>
  <c r="CG430" i="17"/>
  <c r="CG472" i="17"/>
  <c r="CG459" i="17"/>
  <c r="CG464" i="17"/>
  <c r="CG486" i="17"/>
  <c r="CG493" i="17"/>
  <c r="CG420" i="17"/>
  <c r="CG454" i="17"/>
  <c r="CG426" i="17"/>
  <c r="CG445" i="17"/>
  <c r="CG489" i="17"/>
  <c r="CG438" i="17"/>
  <c r="CG481" i="17"/>
  <c r="CG412" i="17"/>
  <c r="CG479" i="17"/>
  <c r="CG447" i="17"/>
  <c r="CG497" i="17"/>
  <c r="CG442" i="17"/>
  <c r="CG439" i="17"/>
  <c r="CG480" i="17"/>
  <c r="CG506" i="17"/>
  <c r="CG456" i="17"/>
  <c r="CG467" i="17"/>
  <c r="CG463" i="17"/>
  <c r="CG450" i="17"/>
  <c r="CG500" i="17"/>
  <c r="CG487" i="17"/>
  <c r="CG458" i="17"/>
  <c r="CG460" i="17"/>
  <c r="CG452" i="17"/>
  <c r="CG414" i="17"/>
  <c r="CG514" i="17"/>
  <c r="CG522" i="17"/>
  <c r="CG434" i="17"/>
  <c r="CG449" i="17"/>
  <c r="CG461" i="17"/>
  <c r="CG502" i="17"/>
  <c r="CG505" i="17"/>
  <c r="CG433" i="17"/>
  <c r="CG478" i="17"/>
  <c r="CG521" i="17"/>
  <c r="CG485" i="17"/>
  <c r="CG417" i="17"/>
  <c r="CE517" i="17"/>
  <c r="CE422" i="17"/>
  <c r="CE429" i="17"/>
  <c r="CE501" i="17"/>
  <c r="CE523" i="17"/>
  <c r="CE466" i="17"/>
  <c r="CE452" i="17"/>
  <c r="CE414" i="17"/>
  <c r="CE425" i="17"/>
  <c r="CE498" i="17"/>
  <c r="CE431" i="17"/>
  <c r="CE514" i="17"/>
  <c r="CE513" i="17"/>
  <c r="CE424" i="17"/>
  <c r="CE490" i="17"/>
  <c r="CE519" i="17"/>
  <c r="CE408" i="17"/>
  <c r="CE511" i="17"/>
  <c r="CE494" i="17"/>
  <c r="CE482" i="17"/>
  <c r="CE451" i="17"/>
  <c r="CE448" i="17"/>
  <c r="CE475" i="17"/>
  <c r="CE488" i="17"/>
  <c r="CE474" i="17"/>
  <c r="CE421" i="17"/>
  <c r="CE476" i="17"/>
  <c r="CE507" i="17"/>
  <c r="CE447" i="17"/>
  <c r="CE411" i="17"/>
  <c r="CE470" i="17"/>
  <c r="CE410" i="17"/>
  <c r="CE415" i="17"/>
  <c r="CE419" i="17"/>
  <c r="CE444" i="17"/>
  <c r="CE423" i="17"/>
  <c r="CE446" i="17"/>
  <c r="CE496" i="17"/>
  <c r="CE468" i="17"/>
  <c r="CE500" i="17"/>
  <c r="CE484" i="17"/>
  <c r="CE516" i="17"/>
  <c r="CE416" i="17"/>
  <c r="CE427" i="17"/>
  <c r="CE509" i="17"/>
  <c r="CE495" i="17"/>
  <c r="CE473" i="17"/>
  <c r="CE443" i="17"/>
  <c r="CE455" i="17"/>
  <c r="CE492" i="17"/>
  <c r="CE524" i="17"/>
  <c r="CE428" i="17"/>
  <c r="CE441" i="17"/>
  <c r="CE467" i="17"/>
  <c r="CE518" i="17"/>
  <c r="CE453" i="17"/>
  <c r="CE505" i="17"/>
  <c r="CE437" i="17"/>
  <c r="CE463" i="17"/>
  <c r="CE478" i="17"/>
  <c r="CE440" i="17"/>
  <c r="CE469" i="17"/>
  <c r="CE457" i="17"/>
  <c r="CE436" i="17"/>
  <c r="CE504" i="17"/>
  <c r="CE510" i="17"/>
  <c r="CE521" i="17"/>
  <c r="CE430" i="17"/>
  <c r="CE512" i="17"/>
  <c r="CE465" i="17"/>
  <c r="CE477" i="17"/>
  <c r="CE491" i="17"/>
  <c r="CE433" i="17"/>
  <c r="CE483" i="17"/>
  <c r="CE520" i="17"/>
  <c r="CE434" i="17"/>
  <c r="CE508" i="17"/>
  <c r="CE445" i="17"/>
  <c r="CE472" i="17"/>
  <c r="CE497" i="17"/>
  <c r="CE442" i="17"/>
  <c r="CE439" i="17"/>
  <c r="CE464" i="17"/>
  <c r="CE486" i="17"/>
  <c r="CE493" i="17"/>
  <c r="CE480" i="17"/>
  <c r="CE438" i="17"/>
  <c r="CE506" i="17"/>
  <c r="CE479" i="17"/>
  <c r="CE459" i="17"/>
  <c r="CE489" i="17"/>
  <c r="CE462" i="17"/>
  <c r="CE413" i="17"/>
  <c r="CE409" i="17"/>
  <c r="CE420" i="17"/>
  <c r="CE456" i="17"/>
  <c r="CE515" i="17"/>
  <c r="CE503" i="17"/>
  <c r="CE471" i="17"/>
  <c r="CE435" i="17"/>
  <c r="CE450" i="17"/>
  <c r="CE481" i="17"/>
  <c r="CE499" i="17"/>
  <c r="CE522" i="17"/>
  <c r="CE412" i="17"/>
  <c r="CE449" i="17"/>
  <c r="CE487" i="17"/>
  <c r="CE461" i="17"/>
  <c r="CE458" i="17"/>
  <c r="CE502" i="17"/>
  <c r="CE460" i="17"/>
  <c r="CE454" i="17"/>
  <c r="CE418" i="17"/>
  <c r="CE432" i="17"/>
  <c r="CE485" i="17"/>
  <c r="CE426" i="17"/>
  <c r="CE417" i="17"/>
  <c r="O29" i="2"/>
  <c r="M29" i="2"/>
  <c r="BG132" i="15"/>
  <c r="BG37" i="15"/>
  <c r="BG61" i="15"/>
  <c r="BG92" i="15"/>
  <c r="BJ92" i="15" s="1"/>
  <c r="BG60" i="15"/>
  <c r="BG64" i="15"/>
  <c r="BG109" i="15"/>
  <c r="BG91" i="15"/>
  <c r="BG45" i="15"/>
  <c r="BG50" i="15"/>
  <c r="BG107" i="15"/>
  <c r="BG96" i="15"/>
  <c r="BG93" i="15"/>
  <c r="BG28" i="15"/>
  <c r="BG85" i="15"/>
  <c r="BG88" i="15"/>
  <c r="BG57" i="15"/>
  <c r="BG116" i="15"/>
  <c r="BG120" i="15"/>
  <c r="BG27" i="15"/>
  <c r="BJ27" i="15" s="1"/>
  <c r="BG43" i="15"/>
  <c r="BG24" i="15"/>
  <c r="BG123" i="15"/>
  <c r="BG131" i="15"/>
  <c r="BJ131" i="15" s="1"/>
  <c r="BG118" i="15"/>
  <c r="BG79" i="15"/>
  <c r="BG108" i="15"/>
  <c r="BG36" i="15"/>
  <c r="BG82" i="15"/>
  <c r="BG80" i="15"/>
  <c r="BG124" i="15"/>
  <c r="BG90" i="15"/>
  <c r="BJ90" i="15" s="1"/>
  <c r="BG44" i="15"/>
  <c r="BG103" i="15"/>
  <c r="BG77" i="15"/>
  <c r="BG29" i="15"/>
  <c r="BG136" i="15"/>
  <c r="BG41" i="15"/>
  <c r="BG25" i="15"/>
  <c r="BG26" i="15"/>
  <c r="BJ26" i="15" s="1"/>
  <c r="BG72" i="15"/>
  <c r="BG105" i="15"/>
  <c r="BG68" i="15"/>
  <c r="BG114" i="15"/>
  <c r="BG34" i="15"/>
  <c r="BG98" i="15"/>
  <c r="BG49" i="15"/>
  <c r="BG106" i="15"/>
  <c r="BG56" i="15"/>
  <c r="BG138" i="15"/>
  <c r="BG30" i="15"/>
  <c r="BG130" i="15"/>
  <c r="BG100" i="15"/>
  <c r="BG112" i="15"/>
  <c r="BG33" i="15"/>
  <c r="BG38" i="15"/>
  <c r="BG66" i="15"/>
  <c r="BG65" i="15"/>
  <c r="BG111" i="15"/>
  <c r="BG89" i="15"/>
  <c r="BJ89" i="15" s="1"/>
  <c r="BG59" i="15"/>
  <c r="BG75" i="15"/>
  <c r="BG134" i="15"/>
  <c r="BG137" i="15"/>
  <c r="BG63" i="15"/>
  <c r="BG128" i="15"/>
  <c r="BG35" i="15"/>
  <c r="BG46" i="15"/>
  <c r="BJ46" i="15" s="1"/>
  <c r="BG70" i="15"/>
  <c r="BG67" i="15"/>
  <c r="BG81" i="15"/>
  <c r="BG83" i="15"/>
  <c r="BG32" i="15"/>
  <c r="BG39" i="15"/>
  <c r="BG94" i="15"/>
  <c r="BG99" i="15"/>
  <c r="BJ99" i="15" s="1"/>
  <c r="BG102" i="15"/>
  <c r="BG119" i="15"/>
  <c r="BG52" i="15"/>
  <c r="BG23" i="15"/>
  <c r="BJ23" i="15" s="1"/>
  <c r="BG101" i="15"/>
  <c r="BG84" i="15"/>
  <c r="BG129" i="15"/>
  <c r="BG62" i="15"/>
  <c r="BJ62" i="15" s="1"/>
  <c r="BG74" i="15"/>
  <c r="BG48" i="15"/>
  <c r="BG73" i="15"/>
  <c r="BG117" i="15"/>
  <c r="BG54" i="15"/>
  <c r="BG69" i="15"/>
  <c r="BG51" i="15"/>
  <c r="BG115" i="15"/>
  <c r="BJ115" i="15" s="1"/>
  <c r="BG71" i="15"/>
  <c r="BG126" i="15"/>
  <c r="BG86" i="15"/>
  <c r="BG104" i="15"/>
  <c r="BG31" i="15"/>
  <c r="BG87" i="15"/>
  <c r="BG40" i="15"/>
  <c r="BG121" i="15"/>
  <c r="BG76" i="15"/>
  <c r="BG78" i="15"/>
  <c r="BG127" i="15"/>
  <c r="BG133" i="15"/>
  <c r="BJ133" i="15" s="1"/>
  <c r="BG97" i="15"/>
  <c r="BG58" i="15"/>
  <c r="BG139" i="15"/>
  <c r="BG42" i="15"/>
  <c r="BJ42" i="15" s="1"/>
  <c r="BG53" i="15"/>
  <c r="BG110" i="15"/>
  <c r="BG47" i="15"/>
  <c r="BG55" i="15"/>
  <c r="BG122" i="15"/>
  <c r="BG125" i="15"/>
  <c r="BG95" i="15"/>
  <c r="BG113" i="15"/>
  <c r="BG135" i="15"/>
  <c r="BH132" i="15"/>
  <c r="BH37" i="15"/>
  <c r="BH86" i="15"/>
  <c r="BH56" i="15"/>
  <c r="BH61" i="15"/>
  <c r="BH109" i="15"/>
  <c r="BH91" i="15"/>
  <c r="BH78" i="15"/>
  <c r="BH45" i="15"/>
  <c r="BH50" i="15"/>
  <c r="BH36" i="15"/>
  <c r="BH107" i="15"/>
  <c r="BH44" i="15"/>
  <c r="BH62" i="15"/>
  <c r="BH93" i="15"/>
  <c r="BH85" i="15"/>
  <c r="BH57" i="15"/>
  <c r="BH68" i="15"/>
  <c r="BH114" i="15"/>
  <c r="BH120" i="15"/>
  <c r="BH94" i="15"/>
  <c r="BH27" i="15"/>
  <c r="BH106" i="15"/>
  <c r="BH43" i="15"/>
  <c r="BH123" i="15"/>
  <c r="BH138" i="15"/>
  <c r="BH130" i="15"/>
  <c r="BH100" i="15"/>
  <c r="BH131" i="15"/>
  <c r="BH118" i="15"/>
  <c r="BH79" i="15"/>
  <c r="BH32" i="15"/>
  <c r="BH82" i="15"/>
  <c r="BH90" i="15"/>
  <c r="BH103" i="15"/>
  <c r="BH77" i="15"/>
  <c r="BH96" i="15"/>
  <c r="BH29" i="15"/>
  <c r="BH136" i="15"/>
  <c r="BH41" i="15"/>
  <c r="BH25" i="15"/>
  <c r="BH26" i="15"/>
  <c r="BH88" i="15"/>
  <c r="BH105" i="15"/>
  <c r="BH34" i="15"/>
  <c r="BH98" i="15"/>
  <c r="BH49" i="15"/>
  <c r="BH24" i="15"/>
  <c r="BH64" i="15"/>
  <c r="BH76" i="15"/>
  <c r="BH112" i="15"/>
  <c r="BH33" i="15"/>
  <c r="BH66" i="15"/>
  <c r="BH65" i="15"/>
  <c r="BH84" i="15"/>
  <c r="BH111" i="15"/>
  <c r="BH89" i="15"/>
  <c r="BH59" i="15"/>
  <c r="BH75" i="15"/>
  <c r="BH134" i="15"/>
  <c r="BH137" i="15"/>
  <c r="BH63" i="15"/>
  <c r="BH128" i="15"/>
  <c r="BH35" i="15"/>
  <c r="BH67" i="15"/>
  <c r="BH116" i="15"/>
  <c r="BH122" i="15"/>
  <c r="BH81" i="15"/>
  <c r="BH83" i="15"/>
  <c r="BH124" i="15"/>
  <c r="BH39" i="15"/>
  <c r="BH99" i="15"/>
  <c r="BH102" i="15"/>
  <c r="BH40" i="15"/>
  <c r="BH119" i="15"/>
  <c r="BH135" i="15"/>
  <c r="BH87" i="15"/>
  <c r="BH108" i="15"/>
  <c r="BH129" i="15"/>
  <c r="BH110" i="15"/>
  <c r="BH28" i="15"/>
  <c r="BH72" i="15"/>
  <c r="BH74" i="15"/>
  <c r="BH73" i="15"/>
  <c r="BH117" i="15"/>
  <c r="BH69" i="15"/>
  <c r="BH51" i="15"/>
  <c r="BH115" i="15"/>
  <c r="BH71" i="15"/>
  <c r="BH126" i="15"/>
  <c r="BH38" i="15"/>
  <c r="BH95" i="15"/>
  <c r="BH104" i="15"/>
  <c r="BH80" i="15"/>
  <c r="BH113" i="15"/>
  <c r="BH46" i="15"/>
  <c r="BH23" i="15"/>
  <c r="BH52" i="15"/>
  <c r="BH121" i="15"/>
  <c r="BH60" i="15"/>
  <c r="BH127" i="15"/>
  <c r="BH133" i="15"/>
  <c r="BH97" i="15"/>
  <c r="BH58" i="15"/>
  <c r="BH139" i="15"/>
  <c r="BH42" i="15"/>
  <c r="BH53" i="15"/>
  <c r="BH47" i="15"/>
  <c r="BH55" i="15"/>
  <c r="BH70" i="15"/>
  <c r="BH48" i="15"/>
  <c r="BH54" i="15"/>
  <c r="BH125" i="15"/>
  <c r="BH92" i="15"/>
  <c r="BH30" i="15"/>
  <c r="BH31" i="15"/>
  <c r="BH101" i="15"/>
  <c r="BJ31" i="24"/>
  <c r="E31" i="24" s="1"/>
  <c r="BJ24" i="24"/>
  <c r="E24" i="24" s="1"/>
  <c r="BJ26" i="24"/>
  <c r="E26" i="24" s="1"/>
  <c r="BX386" i="17"/>
  <c r="BX291" i="17"/>
  <c r="BX328" i="17"/>
  <c r="BX313" i="17"/>
  <c r="BX280" i="17"/>
  <c r="BX393" i="17"/>
  <c r="BX331" i="17"/>
  <c r="BX380" i="17"/>
  <c r="BX334" i="17"/>
  <c r="BX387" i="17"/>
  <c r="BX371" i="17"/>
  <c r="BX340" i="17"/>
  <c r="BX329" i="17"/>
  <c r="BX338" i="17"/>
  <c r="BX326" i="17"/>
  <c r="BX317" i="17"/>
  <c r="BX344" i="17"/>
  <c r="BX312" i="17"/>
  <c r="BX370" i="17"/>
  <c r="BX356" i="17"/>
  <c r="BX321" i="17"/>
  <c r="BX289" i="17"/>
  <c r="BX286" i="17"/>
  <c r="BX374" i="17"/>
  <c r="BX308" i="17"/>
  <c r="BX319" i="17"/>
  <c r="BX346" i="17"/>
  <c r="BX284" i="17"/>
  <c r="BX281" i="17"/>
  <c r="BX366" i="17"/>
  <c r="BX297" i="17"/>
  <c r="BX348" i="17"/>
  <c r="BX333" i="17"/>
  <c r="BX341" i="17"/>
  <c r="BX290" i="17"/>
  <c r="BX336" i="17"/>
  <c r="BX283" i="17"/>
  <c r="BX323" i="17"/>
  <c r="BX373" i="17"/>
  <c r="BX325" i="17"/>
  <c r="BX309" i="17"/>
  <c r="BX372" i="17"/>
  <c r="BX292" i="17"/>
  <c r="BX358" i="17"/>
  <c r="BX375" i="17"/>
  <c r="BX314" i="17"/>
  <c r="BX318" i="17"/>
  <c r="BX354" i="17"/>
  <c r="BX352" i="17"/>
  <c r="BX342" i="17"/>
  <c r="BX335" i="17"/>
  <c r="BX363" i="17"/>
  <c r="BX302" i="17"/>
  <c r="BX365" i="17"/>
  <c r="BX304" i="17"/>
  <c r="BX353" i="17"/>
  <c r="BX359" i="17"/>
  <c r="BX355" i="17"/>
  <c r="BX305" i="17"/>
  <c r="BX378" i="17"/>
  <c r="BX301" i="17"/>
  <c r="BX389" i="17"/>
  <c r="BX345" i="17"/>
  <c r="BX320" i="17"/>
  <c r="BX287" i="17"/>
  <c r="BX391" i="17"/>
  <c r="BX306" i="17"/>
  <c r="BX282" i="17"/>
  <c r="BX330" i="17"/>
  <c r="BX279" i="17"/>
  <c r="BX377" i="17"/>
  <c r="BX347" i="17"/>
  <c r="BX293" i="17"/>
  <c r="BX316" i="17"/>
  <c r="BX361" i="17"/>
  <c r="BX288" i="17"/>
  <c r="BX367" i="17"/>
  <c r="BX382" i="17"/>
  <c r="BX299" i="17"/>
  <c r="BX310" i="17"/>
  <c r="BX324" i="17"/>
  <c r="BX351" i="17"/>
  <c r="BX350" i="17"/>
  <c r="BX296" i="17"/>
  <c r="BX311" i="17"/>
  <c r="BX300" i="17"/>
  <c r="BX369" i="17"/>
  <c r="BX357" i="17"/>
  <c r="BX278" i="17"/>
  <c r="BX339" i="17"/>
  <c r="BX349" i="17"/>
  <c r="BX298" i="17"/>
  <c r="BX384" i="17"/>
  <c r="BX388" i="17"/>
  <c r="BX383" i="17"/>
  <c r="BX295" i="17"/>
  <c r="BX327" i="17"/>
  <c r="BX362" i="17"/>
  <c r="BX376" i="17"/>
  <c r="BX307" i="17"/>
  <c r="BX360" i="17"/>
  <c r="BX285" i="17"/>
  <c r="BX277" i="17"/>
  <c r="BX379" i="17"/>
  <c r="BX332" i="17"/>
  <c r="BX294" i="17"/>
  <c r="BX392" i="17"/>
  <c r="BX381" i="17"/>
  <c r="BX385" i="17"/>
  <c r="BX303" i="17"/>
  <c r="BX337" i="17"/>
  <c r="BX322" i="17"/>
  <c r="BX368" i="17"/>
  <c r="BX390" i="17"/>
  <c r="BX343" i="17"/>
  <c r="BX315" i="17"/>
  <c r="BX364" i="17"/>
  <c r="BU386" i="17"/>
  <c r="BZ386" i="17" s="1"/>
  <c r="BU291" i="17"/>
  <c r="BU297" i="17"/>
  <c r="BU313" i="17"/>
  <c r="BU343" i="17"/>
  <c r="BZ343" i="17" s="1"/>
  <c r="BU311" i="17"/>
  <c r="BU338" i="17"/>
  <c r="BU378" i="17"/>
  <c r="BU300" i="17"/>
  <c r="BZ300" i="17" s="1"/>
  <c r="BU295" i="17"/>
  <c r="BU347" i="17"/>
  <c r="BU370" i="17"/>
  <c r="BU321" i="17"/>
  <c r="BZ321" i="17" s="1"/>
  <c r="BU339" i="17"/>
  <c r="BU327" i="17"/>
  <c r="BU289" i="17"/>
  <c r="BU358" i="17"/>
  <c r="BZ358" i="17" s="1"/>
  <c r="BU379" i="17"/>
  <c r="BU332" i="17"/>
  <c r="BU376" i="17"/>
  <c r="BU374" i="17"/>
  <c r="BZ374" i="17" s="1"/>
  <c r="BU315" i="17"/>
  <c r="BU349" i="17"/>
  <c r="BU307" i="17"/>
  <c r="BU299" i="17"/>
  <c r="BZ299" i="17" s="1"/>
  <c r="BU360" i="17"/>
  <c r="BU282" i="17"/>
  <c r="BU392" i="17"/>
  <c r="BU330" i="17"/>
  <c r="BZ330" i="17" s="1"/>
  <c r="BU377" i="17"/>
  <c r="BU316" i="17"/>
  <c r="BU328" i="17"/>
  <c r="BU280" i="17"/>
  <c r="BZ280" i="17" s="1"/>
  <c r="BU393" i="17"/>
  <c r="BU331" i="17"/>
  <c r="BU380" i="17"/>
  <c r="BU341" i="17"/>
  <c r="BZ341" i="17" s="1"/>
  <c r="BU290" i="17"/>
  <c r="BU334" i="17"/>
  <c r="BU387" i="17"/>
  <c r="BU371" i="17"/>
  <c r="BZ371" i="17" s="1"/>
  <c r="BU340" i="17"/>
  <c r="BU329" i="17"/>
  <c r="BU317" i="17"/>
  <c r="BU373" i="17"/>
  <c r="BU344" i="17"/>
  <c r="BU312" i="17"/>
  <c r="BU325" i="17"/>
  <c r="BU356" i="17"/>
  <c r="BZ356" i="17" s="1"/>
  <c r="BU309" i="17"/>
  <c r="BU362" i="17"/>
  <c r="BU286" i="17"/>
  <c r="BU308" i="17"/>
  <c r="BU294" i="17"/>
  <c r="BU319" i="17"/>
  <c r="BU284" i="17"/>
  <c r="BU281" i="17"/>
  <c r="BU354" i="17"/>
  <c r="BU366" i="17"/>
  <c r="BU298" i="17"/>
  <c r="BU348" i="17"/>
  <c r="BU333" i="17"/>
  <c r="BU353" i="17"/>
  <c r="BU336" i="17"/>
  <c r="BU283" i="17"/>
  <c r="BU326" i="17"/>
  <c r="BU323" i="17"/>
  <c r="BU305" i="17"/>
  <c r="BU389" i="17"/>
  <c r="BU345" i="17"/>
  <c r="BU278" i="17"/>
  <c r="BU372" i="17"/>
  <c r="BU292" i="17"/>
  <c r="BU375" i="17"/>
  <c r="BU306" i="17"/>
  <c r="BU346" i="17"/>
  <c r="BU318" i="17"/>
  <c r="BZ318" i="17" s="1"/>
  <c r="BU352" i="17"/>
  <c r="BU302" i="17"/>
  <c r="BU355" i="17"/>
  <c r="BU369" i="17"/>
  <c r="BZ369" i="17" s="1"/>
  <c r="BU301" i="17"/>
  <c r="BU324" i="17"/>
  <c r="BU351" i="17"/>
  <c r="BU285" i="17"/>
  <c r="BZ285" i="17" s="1"/>
  <c r="BU350" i="17"/>
  <c r="BU296" i="17"/>
  <c r="BU364" i="17"/>
  <c r="BU381" i="17"/>
  <c r="BZ381" i="17" s="1"/>
  <c r="BU303" i="17"/>
  <c r="BU304" i="17"/>
  <c r="BU391" i="17"/>
  <c r="BU310" i="17"/>
  <c r="BZ310" i="17" s="1"/>
  <c r="BU314" i="17"/>
  <c r="BU342" i="17"/>
  <c r="BU288" i="17"/>
  <c r="BU367" i="17"/>
  <c r="BU390" i="17"/>
  <c r="BU382" i="17"/>
  <c r="BU335" i="17"/>
  <c r="BU357" i="17"/>
  <c r="BU279" i="17"/>
  <c r="BU365" i="17"/>
  <c r="BU320" i="17"/>
  <c r="BU293" i="17"/>
  <c r="BZ293" i="17" s="1"/>
  <c r="BU287" i="17"/>
  <c r="BU384" i="17"/>
  <c r="BU385" i="17"/>
  <c r="BU337" i="17"/>
  <c r="BZ337" i="17" s="1"/>
  <c r="BU322" i="17"/>
  <c r="BU388" i="17"/>
  <c r="BU363" i="17"/>
  <c r="BU359" i="17"/>
  <c r="BZ359" i="17" s="1"/>
  <c r="BU361" i="17"/>
  <c r="BU368" i="17"/>
  <c r="BU383" i="17"/>
  <c r="BU277" i="17"/>
  <c r="BZ277" i="17" s="1"/>
  <c r="F77" i="9"/>
  <c r="B37" i="11"/>
  <c r="D37" i="11" s="1"/>
  <c r="E37" i="11" s="1"/>
  <c r="F37" i="11" s="1"/>
  <c r="E29" i="21"/>
  <c r="J29" i="21" s="1"/>
  <c r="D77" i="9"/>
  <c r="H29" i="2"/>
  <c r="BP207" i="17"/>
  <c r="BP227" i="17"/>
  <c r="BP156" i="17"/>
  <c r="BP154" i="17"/>
  <c r="BP181" i="17"/>
  <c r="BP174" i="17"/>
  <c r="BP204" i="17"/>
  <c r="BP152" i="17"/>
  <c r="BP226" i="17"/>
  <c r="BP184" i="17"/>
  <c r="BP153" i="17"/>
  <c r="BP155" i="17"/>
  <c r="BP149" i="17"/>
  <c r="BP194" i="17"/>
  <c r="BP171" i="17"/>
  <c r="BP180" i="17"/>
  <c r="BP202" i="17"/>
  <c r="BP256" i="17"/>
  <c r="BP228" i="17"/>
  <c r="BP199" i="17"/>
  <c r="BP176" i="17"/>
  <c r="BP208" i="17"/>
  <c r="BP223" i="17"/>
  <c r="BP170" i="17"/>
  <c r="BP198" i="17"/>
  <c r="BP239" i="17"/>
  <c r="BP165" i="17"/>
  <c r="BP196" i="17"/>
  <c r="BP200" i="17"/>
  <c r="L12" i="26"/>
  <c r="H12" i="26"/>
  <c r="K12" i="26"/>
  <c r="J12" i="26"/>
  <c r="M12" i="26"/>
  <c r="I12" i="26"/>
  <c r="L11" i="26"/>
  <c r="H11" i="26"/>
  <c r="I11" i="26"/>
  <c r="M11" i="26"/>
  <c r="K11" i="26"/>
  <c r="J11" i="26"/>
  <c r="L6" i="26"/>
  <c r="H6" i="26"/>
  <c r="K6" i="26"/>
  <c r="J6" i="26"/>
  <c r="I6" i="26"/>
  <c r="M6" i="26"/>
  <c r="Z12" i="26"/>
  <c r="V12" i="26"/>
  <c r="X12" i="26"/>
  <c r="W12" i="26"/>
  <c r="AA12" i="26"/>
  <c r="Y12" i="26"/>
  <c r="E23" i="24"/>
  <c r="X19" i="26"/>
  <c r="AA19" i="26"/>
  <c r="W19" i="26"/>
  <c r="Z19" i="26"/>
  <c r="Y19" i="26"/>
  <c r="V19" i="26"/>
  <c r="A47" i="22"/>
  <c r="B29" i="21"/>
  <c r="BN255" i="17"/>
  <c r="BN160" i="17"/>
  <c r="BN200" i="17"/>
  <c r="BN250" i="17"/>
  <c r="BR250" i="17" s="1"/>
  <c r="BN226" i="17"/>
  <c r="BN162" i="17"/>
  <c r="BN196" i="17"/>
  <c r="BN182" i="17"/>
  <c r="BN147" i="17"/>
  <c r="BN154" i="17"/>
  <c r="BN227" i="17"/>
  <c r="BN155" i="17"/>
  <c r="BR155" i="17" s="1"/>
  <c r="BN148" i="17"/>
  <c r="BN234" i="17"/>
  <c r="BN210" i="17"/>
  <c r="BN198" i="17"/>
  <c r="BR198" i="17" s="1"/>
  <c r="BN186" i="17"/>
  <c r="BN175" i="17"/>
  <c r="BN252" i="17"/>
  <c r="BN179" i="17"/>
  <c r="BR179" i="17" s="1"/>
  <c r="BN246" i="17"/>
  <c r="BN253" i="17"/>
  <c r="BN187" i="17"/>
  <c r="BN231" i="17"/>
  <c r="BR231" i="17" s="1"/>
  <c r="BN257" i="17"/>
  <c r="BN158" i="17"/>
  <c r="BN164" i="17"/>
  <c r="BN149" i="17"/>
  <c r="BR149" i="17" s="1"/>
  <c r="BN245" i="17"/>
  <c r="BN225" i="17"/>
  <c r="BN206" i="17"/>
  <c r="BN191" i="17"/>
  <c r="BN218" i="17"/>
  <c r="BN259" i="17"/>
  <c r="BN212" i="17"/>
  <c r="BN235" i="17"/>
  <c r="BR235" i="17" s="1"/>
  <c r="BN157" i="17"/>
  <c r="BN216" i="17"/>
  <c r="BN243" i="17"/>
  <c r="BN249" i="17"/>
  <c r="BN190" i="17"/>
  <c r="BN236" i="17"/>
  <c r="BN163" i="17"/>
  <c r="BN238" i="17"/>
  <c r="BR238" i="17" s="1"/>
  <c r="BN170" i="17"/>
  <c r="BN181" i="17"/>
  <c r="BN228" i="17"/>
  <c r="BN151" i="17"/>
  <c r="BN173" i="17"/>
  <c r="BN197" i="17"/>
  <c r="BN240" i="17"/>
  <c r="BN211" i="17"/>
  <c r="BR211" i="17" s="1"/>
  <c r="BN214" i="17"/>
  <c r="BN165" i="17"/>
  <c r="BN176" i="17"/>
  <c r="BN193" i="17"/>
  <c r="BN230" i="17"/>
  <c r="BN180" i="17"/>
  <c r="BN152" i="17"/>
  <c r="BN239" i="17"/>
  <c r="BN172" i="17"/>
  <c r="BN242" i="17"/>
  <c r="BN247" i="17"/>
  <c r="BN213" i="17"/>
  <c r="BR213" i="17" s="1"/>
  <c r="BN169" i="17"/>
  <c r="BN261" i="17"/>
  <c r="BN223" i="17"/>
  <c r="BN146" i="17"/>
  <c r="BR146" i="17" s="1"/>
  <c r="BN256" i="17"/>
  <c r="BN184" i="17"/>
  <c r="BN167" i="17"/>
  <c r="BN219" i="17"/>
  <c r="BR219" i="17" s="1"/>
  <c r="BN229" i="17"/>
  <c r="BN209" i="17"/>
  <c r="BN224" i="17"/>
  <c r="BN192" i="17"/>
  <c r="BN194" i="17"/>
  <c r="BN237" i="17"/>
  <c r="BN233" i="17"/>
  <c r="BN215" i="17"/>
  <c r="BN150" i="17"/>
  <c r="BN203" i="17"/>
  <c r="BN161" i="17"/>
  <c r="BN168" i="17"/>
  <c r="BR168" i="17" s="1"/>
  <c r="BN208" i="17"/>
  <c r="BN174" i="17"/>
  <c r="BN258" i="17"/>
  <c r="BN248" i="17"/>
  <c r="BR248" i="17" s="1"/>
  <c r="BN244" i="17"/>
  <c r="BN171" i="17"/>
  <c r="BN153" i="17"/>
  <c r="BN183" i="17"/>
  <c r="BR183" i="17" s="1"/>
  <c r="BN204" i="17"/>
  <c r="BN159" i="17"/>
  <c r="BN207" i="17"/>
  <c r="BN188" i="17"/>
  <c r="BR188" i="17" s="1"/>
  <c r="BN202" i="17"/>
  <c r="BN251" i="17"/>
  <c r="BN199" i="17"/>
  <c r="BN220" i="17"/>
  <c r="BR220" i="17" s="1"/>
  <c r="BN178" i="17"/>
  <c r="BN232" i="17"/>
  <c r="BN221" i="17"/>
  <c r="BN185" i="17"/>
  <c r="BN166" i="17"/>
  <c r="BN217" i="17"/>
  <c r="BN254" i="17"/>
  <c r="BN205" i="17"/>
  <c r="BR205" i="17" s="1"/>
  <c r="BN222" i="17"/>
  <c r="BN241" i="17"/>
  <c r="BN156" i="17"/>
  <c r="BN189" i="17"/>
  <c r="BN195" i="17"/>
  <c r="BN201" i="17"/>
  <c r="BN177" i="17"/>
  <c r="BN262" i="17"/>
  <c r="BR262" i="17" s="1"/>
  <c r="BN260" i="17"/>
  <c r="BO255" i="17"/>
  <c r="BO160" i="17"/>
  <c r="BO185" i="17"/>
  <c r="BO217" i="17"/>
  <c r="BO206" i="17"/>
  <c r="BO191" i="17"/>
  <c r="BO177" i="17"/>
  <c r="BO218" i="17"/>
  <c r="BO165" i="17"/>
  <c r="BO244" i="17"/>
  <c r="BO235" i="17"/>
  <c r="BO227" i="17"/>
  <c r="BO216" i="17"/>
  <c r="BO243" i="17"/>
  <c r="BO190" i="17"/>
  <c r="BO220" i="17"/>
  <c r="BO209" i="17"/>
  <c r="BO224" i="17"/>
  <c r="BO192" i="17"/>
  <c r="BO213" i="17"/>
  <c r="BO238" i="17"/>
  <c r="BO170" i="17"/>
  <c r="BO261" i="17"/>
  <c r="BO187" i="17"/>
  <c r="BO233" i="17"/>
  <c r="BO151" i="17"/>
  <c r="BO211" i="17"/>
  <c r="BO196" i="17"/>
  <c r="BO214" i="17"/>
  <c r="BO259" i="17"/>
  <c r="BO229" i="17"/>
  <c r="BO230" i="17"/>
  <c r="BO152" i="17"/>
  <c r="BO239" i="17"/>
  <c r="BO148" i="17"/>
  <c r="BO205" i="17"/>
  <c r="BO163" i="17"/>
  <c r="BO242" i="17"/>
  <c r="BO247" i="17"/>
  <c r="BO252" i="17"/>
  <c r="BO223" i="17"/>
  <c r="BO237" i="17"/>
  <c r="BO257" i="17"/>
  <c r="BO164" i="17"/>
  <c r="BO146" i="17"/>
  <c r="BO184" i="17"/>
  <c r="BO200" i="17"/>
  <c r="BO167" i="17"/>
  <c r="BO166" i="17"/>
  <c r="BO225" i="17"/>
  <c r="BO202" i="17"/>
  <c r="BO248" i="17"/>
  <c r="BO262" i="17"/>
  <c r="BO212" i="17"/>
  <c r="BO254" i="17"/>
  <c r="BO199" i="17"/>
  <c r="BO155" i="17"/>
  <c r="BO249" i="17"/>
  <c r="BO171" i="17"/>
  <c r="BO236" i="17"/>
  <c r="BO194" i="17"/>
  <c r="BO253" i="17"/>
  <c r="BO228" i="17"/>
  <c r="BO149" i="17"/>
  <c r="BO240" i="17"/>
  <c r="BO215" i="17"/>
  <c r="BO246" i="17"/>
  <c r="BO256" i="17"/>
  <c r="BO159" i="17"/>
  <c r="BO207" i="17"/>
  <c r="BO189" i="17"/>
  <c r="BO260" i="17"/>
  <c r="BO168" i="17"/>
  <c r="BO197" i="17"/>
  <c r="BO201" i="17"/>
  <c r="BO188" i="17"/>
  <c r="BO250" i="17"/>
  <c r="BO162" i="17"/>
  <c r="BO234" i="17"/>
  <c r="BO198" i="17"/>
  <c r="BO186" i="17"/>
  <c r="BO169" i="17"/>
  <c r="BO179" i="17"/>
  <c r="BO231" i="17"/>
  <c r="BO173" i="17"/>
  <c r="BO153" i="17"/>
  <c r="BO183" i="17"/>
  <c r="BO222" i="17"/>
  <c r="BO232" i="17"/>
  <c r="BO221" i="17"/>
  <c r="BO161" i="17"/>
  <c r="BO219" i="17"/>
  <c r="BO176" i="17"/>
  <c r="BO147" i="17"/>
  <c r="BO203" i="17"/>
  <c r="BO156" i="17"/>
  <c r="BO226" i="17"/>
  <c r="BO245" i="17"/>
  <c r="BO251" i="17"/>
  <c r="BO193" i="17"/>
  <c r="BO157" i="17"/>
  <c r="BO210" i="17"/>
  <c r="BO181" i="17"/>
  <c r="BO158" i="17"/>
  <c r="BO208" i="17"/>
  <c r="BO178" i="17"/>
  <c r="BO204" i="17"/>
  <c r="BO195" i="17"/>
  <c r="BO174" i="17"/>
  <c r="BO258" i="17"/>
  <c r="BO182" i="17"/>
  <c r="BO180" i="17"/>
  <c r="BO154" i="17"/>
  <c r="BO172" i="17"/>
  <c r="BO175" i="17"/>
  <c r="BO150" i="17"/>
  <c r="BO241" i="17"/>
  <c r="BJ32" i="24"/>
  <c r="E32" i="24" s="1"/>
  <c r="BJ33" i="24"/>
  <c r="E33" i="24" s="1"/>
  <c r="BJ35" i="24"/>
  <c r="E35" i="24" s="1"/>
  <c r="BJ27" i="24"/>
  <c r="E27" i="24" s="1"/>
  <c r="BY386" i="17"/>
  <c r="BY291" i="17"/>
  <c r="BY328" i="17"/>
  <c r="BY280" i="17"/>
  <c r="BY331" i="17"/>
  <c r="BY380" i="17"/>
  <c r="BY341" i="17"/>
  <c r="BY290" i="17"/>
  <c r="BY334" i="17"/>
  <c r="BY387" i="17"/>
  <c r="BY371" i="17"/>
  <c r="BY340" i="17"/>
  <c r="BY344" i="17"/>
  <c r="BY312" i="17"/>
  <c r="BY356" i="17"/>
  <c r="BY321" i="17"/>
  <c r="BY345" i="17"/>
  <c r="BY362" i="17"/>
  <c r="BY289" i="17"/>
  <c r="BY286" i="17"/>
  <c r="BY308" i="17"/>
  <c r="BY349" i="17"/>
  <c r="BY294" i="17"/>
  <c r="BY319" i="17"/>
  <c r="BY284" i="17"/>
  <c r="BY354" i="17"/>
  <c r="BY366" i="17"/>
  <c r="BY298" i="17"/>
  <c r="BY377" i="17"/>
  <c r="BY348" i="17"/>
  <c r="BY336" i="17"/>
  <c r="BY283" i="17"/>
  <c r="BY326" i="17"/>
  <c r="BY323" i="17"/>
  <c r="BY317" i="17"/>
  <c r="BY373" i="17"/>
  <c r="BY357" i="17"/>
  <c r="BY278" i="17"/>
  <c r="BY309" i="17"/>
  <c r="BY372" i="17"/>
  <c r="BY292" i="17"/>
  <c r="BY375" i="17"/>
  <c r="BY306" i="17"/>
  <c r="BY346" i="17"/>
  <c r="BY318" i="17"/>
  <c r="BY352" i="17"/>
  <c r="BY335" i="17"/>
  <c r="BY363" i="17"/>
  <c r="BY302" i="17"/>
  <c r="BY313" i="17"/>
  <c r="BY333" i="17"/>
  <c r="BY393" i="17"/>
  <c r="BY304" i="17"/>
  <c r="BY353" i="17"/>
  <c r="BY359" i="17"/>
  <c r="BY329" i="17"/>
  <c r="BY355" i="17"/>
  <c r="BY305" i="17"/>
  <c r="BY325" i="17"/>
  <c r="BY320" i="17"/>
  <c r="BY293" i="17"/>
  <c r="BY287" i="17"/>
  <c r="BY391" i="17"/>
  <c r="BY310" i="17"/>
  <c r="BY314" i="17"/>
  <c r="BY281" i="17"/>
  <c r="BY279" i="17"/>
  <c r="BY342" i="17"/>
  <c r="BY311" i="17"/>
  <c r="BY338" i="17"/>
  <c r="BY300" i="17"/>
  <c r="BY339" i="17"/>
  <c r="BY316" i="17"/>
  <c r="BY288" i="17"/>
  <c r="BY285" i="17"/>
  <c r="BY367" i="17"/>
  <c r="BY390" i="17"/>
  <c r="BY382" i="17"/>
  <c r="BY277" i="17"/>
  <c r="BY351" i="17"/>
  <c r="BY350" i="17"/>
  <c r="BY365" i="17"/>
  <c r="BY370" i="17"/>
  <c r="BY358" i="17"/>
  <c r="BY379" i="17"/>
  <c r="BY332" i="17"/>
  <c r="BY392" i="17"/>
  <c r="BY330" i="17"/>
  <c r="BY384" i="17"/>
  <c r="BY322" i="17"/>
  <c r="BY388" i="17"/>
  <c r="BY369" i="17"/>
  <c r="BY301" i="17"/>
  <c r="BY389" i="17"/>
  <c r="BY282" i="17"/>
  <c r="BY324" i="17"/>
  <c r="BY381" i="17"/>
  <c r="BY296" i="17"/>
  <c r="BY343" i="17"/>
  <c r="BY378" i="17"/>
  <c r="BY295" i="17"/>
  <c r="BY327" i="17"/>
  <c r="BY376" i="17"/>
  <c r="BY374" i="17"/>
  <c r="BY315" i="17"/>
  <c r="BY307" i="17"/>
  <c r="BY299" i="17"/>
  <c r="BY360" i="17"/>
  <c r="BY385" i="17"/>
  <c r="BY303" i="17"/>
  <c r="BY361" i="17"/>
  <c r="BY337" i="17"/>
  <c r="BY368" i="17"/>
  <c r="BY383" i="17"/>
  <c r="BY297" i="17"/>
  <c r="BY347" i="17"/>
  <c r="BY364" i="17"/>
  <c r="C29" i="21"/>
  <c r="B77" i="9"/>
  <c r="C37" i="11" s="1"/>
  <c r="G37" i="11" s="1"/>
  <c r="F29" i="2"/>
  <c r="A30" i="21"/>
  <c r="A78" i="9"/>
  <c r="A38" i="11" s="1"/>
  <c r="A31" i="2"/>
  <c r="E30" i="2"/>
  <c r="P30" i="2"/>
  <c r="D30" i="2"/>
  <c r="N30" i="2"/>
  <c r="E78" i="9" s="1"/>
  <c r="B30" i="2"/>
  <c r="C30" i="2"/>
  <c r="BP232" i="17"/>
  <c r="BP157" i="17"/>
  <c r="BP178" i="17"/>
  <c r="BP262" i="17"/>
  <c r="BP258" i="17"/>
  <c r="BP195" i="17"/>
  <c r="BP173" i="17"/>
  <c r="BP147" i="17"/>
  <c r="BP241" i="17"/>
  <c r="BP189" i="17"/>
  <c r="BP186" i="17"/>
  <c r="BP191" i="17"/>
  <c r="BP158" i="17"/>
  <c r="BP175" i="17"/>
  <c r="BP172" i="17"/>
  <c r="BP230" i="17"/>
  <c r="BP214" i="17"/>
  <c r="BP146" i="17"/>
  <c r="BP242" i="17"/>
  <c r="BP254" i="17"/>
  <c r="BP211" i="17"/>
  <c r="BP240" i="17"/>
  <c r="BP261" i="17"/>
  <c r="BP213" i="17"/>
  <c r="BP209" i="17"/>
  <c r="BP235" i="17"/>
  <c r="BP218" i="17"/>
  <c r="BP217" i="17"/>
  <c r="BP160" i="17"/>
  <c r="CD422" i="17"/>
  <c r="CD517" i="17"/>
  <c r="CD411" i="17"/>
  <c r="CD470" i="17"/>
  <c r="CD453" i="17"/>
  <c r="CD415" i="17"/>
  <c r="CD419" i="17"/>
  <c r="CD444" i="17"/>
  <c r="CD423" i="17"/>
  <c r="CD414" i="17"/>
  <c r="CD437" i="17"/>
  <c r="CD446" i="17"/>
  <c r="CD496" i="17"/>
  <c r="CD440" i="17"/>
  <c r="CD498" i="17"/>
  <c r="CD514" i="17"/>
  <c r="CD427" i="17"/>
  <c r="CD457" i="17"/>
  <c r="CD495" i="17"/>
  <c r="CD408" i="17"/>
  <c r="CD443" i="17"/>
  <c r="CD421" i="17"/>
  <c r="CD455" i="17"/>
  <c r="CD465" i="17"/>
  <c r="CD492" i="17"/>
  <c r="CD428" i="17"/>
  <c r="CD477" i="17"/>
  <c r="CD467" i="17"/>
  <c r="CD410" i="17"/>
  <c r="CD505" i="17"/>
  <c r="CD452" i="17"/>
  <c r="CD433" i="17"/>
  <c r="CD463" i="17"/>
  <c r="CD478" i="17"/>
  <c r="CD481" i="17"/>
  <c r="CD500" i="17"/>
  <c r="CD412" i="17"/>
  <c r="CD521" i="17"/>
  <c r="CD448" i="17"/>
  <c r="CD430" i="17"/>
  <c r="CD409" i="17"/>
  <c r="CD429" i="17"/>
  <c r="CD435" i="17"/>
  <c r="CD501" i="17"/>
  <c r="CD491" i="17"/>
  <c r="CD462" i="17"/>
  <c r="CD515" i="17"/>
  <c r="CD503" i="17"/>
  <c r="CD418" i="17"/>
  <c r="CD425" i="17"/>
  <c r="CD450" i="17"/>
  <c r="CD483" i="17"/>
  <c r="CD468" i="17"/>
  <c r="CD471" i="17"/>
  <c r="CD432" i="17"/>
  <c r="CD424" i="17"/>
  <c r="CD484" i="17"/>
  <c r="CD499" i="17"/>
  <c r="CD504" i="17"/>
  <c r="CD434" i="17"/>
  <c r="CD488" i="17"/>
  <c r="CD508" i="17"/>
  <c r="CD512" i="17"/>
  <c r="CD518" i="17"/>
  <c r="CD519" i="17"/>
  <c r="CD511" i="17"/>
  <c r="CD494" i="17"/>
  <c r="CD447" i="17"/>
  <c r="CD449" i="17"/>
  <c r="CD461" i="17"/>
  <c r="CD497" i="17"/>
  <c r="CD456" i="17"/>
  <c r="CD506" i="17"/>
  <c r="CD475" i="17"/>
  <c r="CD485" i="17"/>
  <c r="CD442" i="17"/>
  <c r="CD480" i="17"/>
  <c r="CD466" i="17"/>
  <c r="CD431" i="17"/>
  <c r="CD490" i="17"/>
  <c r="CD509" i="17"/>
  <c r="CD510" i="17"/>
  <c r="CD520" i="17"/>
  <c r="CD524" i="17"/>
  <c r="CD507" i="17"/>
  <c r="CD441" i="17"/>
  <c r="CD487" i="17"/>
  <c r="CD458" i="17"/>
  <c r="CD460" i="17"/>
  <c r="CD489" i="17"/>
  <c r="CD454" i="17"/>
  <c r="CD417" i="17"/>
  <c r="CD523" i="17"/>
  <c r="CD469" i="17"/>
  <c r="CD522" i="17"/>
  <c r="CD436" i="17"/>
  <c r="CD474" i="17"/>
  <c r="CD486" i="17"/>
  <c r="CD438" i="17"/>
  <c r="CD413" i="17"/>
  <c r="CD513" i="17"/>
  <c r="CD473" i="17"/>
  <c r="CD482" i="17"/>
  <c r="CD451" i="17"/>
  <c r="CD476" i="17"/>
  <c r="CD479" i="17"/>
  <c r="CD445" i="17"/>
  <c r="CD472" i="17"/>
  <c r="CD459" i="17"/>
  <c r="CD464" i="17"/>
  <c r="CD493" i="17"/>
  <c r="CD420" i="17"/>
  <c r="CD426" i="17"/>
  <c r="CD516" i="17"/>
  <c r="CD416" i="17"/>
  <c r="CD502" i="17"/>
  <c r="CD439" i="17"/>
  <c r="CC517" i="17"/>
  <c r="CC422" i="17"/>
  <c r="CC411" i="17"/>
  <c r="CC467" i="17"/>
  <c r="CC518" i="17"/>
  <c r="CC505" i="17"/>
  <c r="CC452" i="17"/>
  <c r="CC433" i="17"/>
  <c r="CC418" i="17"/>
  <c r="CC463" i="17"/>
  <c r="CC478" i="17"/>
  <c r="CC450" i="17"/>
  <c r="CC496" i="17"/>
  <c r="CC481" i="17"/>
  <c r="CC500" i="17"/>
  <c r="CC490" i="17"/>
  <c r="CC412" i="17"/>
  <c r="CC434" i="17"/>
  <c r="CC521" i="17"/>
  <c r="CC448" i="17"/>
  <c r="CC430" i="17"/>
  <c r="CC479" i="17"/>
  <c r="CC429" i="17"/>
  <c r="CC435" i="17"/>
  <c r="CC501" i="17"/>
  <c r="CC491" i="17"/>
  <c r="CC462" i="17"/>
  <c r="CC466" i="17"/>
  <c r="CC425" i="17"/>
  <c r="CC483" i="17"/>
  <c r="CC468" i="17"/>
  <c r="CC471" i="17"/>
  <c r="CC432" i="17"/>
  <c r="CC424" i="17"/>
  <c r="CC484" i="17"/>
  <c r="CC522" i="17"/>
  <c r="CC504" i="17"/>
  <c r="CC482" i="17"/>
  <c r="CC488" i="17"/>
  <c r="CC508" i="17"/>
  <c r="CC421" i="17"/>
  <c r="CC512" i="17"/>
  <c r="CC470" i="17"/>
  <c r="CC410" i="17"/>
  <c r="CC515" i="17"/>
  <c r="CC503" i="17"/>
  <c r="CC414" i="17"/>
  <c r="CC498" i="17"/>
  <c r="CC431" i="17"/>
  <c r="CC514" i="17"/>
  <c r="CC513" i="17"/>
  <c r="CC516" i="17"/>
  <c r="CC499" i="17"/>
  <c r="CC416" i="17"/>
  <c r="CC436" i="17"/>
  <c r="CC509" i="17"/>
  <c r="CC510" i="17"/>
  <c r="CC520" i="17"/>
  <c r="CC473" i="17"/>
  <c r="CC494" i="17"/>
  <c r="CC451" i="17"/>
  <c r="CC475" i="17"/>
  <c r="CC474" i="17"/>
  <c r="CC476" i="17"/>
  <c r="CC524" i="17"/>
  <c r="CC441" i="17"/>
  <c r="CC419" i="17"/>
  <c r="CC423" i="17"/>
  <c r="CC446" i="17"/>
  <c r="CC519" i="17"/>
  <c r="CC408" i="17"/>
  <c r="CC455" i="17"/>
  <c r="CC445" i="17"/>
  <c r="CC487" i="17"/>
  <c r="CC485" i="17"/>
  <c r="CC442" i="17"/>
  <c r="CC460" i="17"/>
  <c r="CC489" i="17"/>
  <c r="CC417" i="17"/>
  <c r="CC465" i="17"/>
  <c r="CC428" i="17"/>
  <c r="CC477" i="17"/>
  <c r="CC469" i="17"/>
  <c r="CC511" i="17"/>
  <c r="CC492" i="17"/>
  <c r="CC472" i="17"/>
  <c r="CC459" i="17"/>
  <c r="CC464" i="17"/>
  <c r="CC486" i="17"/>
  <c r="CC493" i="17"/>
  <c r="CC420" i="17"/>
  <c r="CC438" i="17"/>
  <c r="CC523" i="17"/>
  <c r="CC507" i="17"/>
  <c r="CC449" i="17"/>
  <c r="CC426" i="17"/>
  <c r="CC456" i="17"/>
  <c r="CC453" i="17"/>
  <c r="CC413" i="17"/>
  <c r="CC415" i="17"/>
  <c r="CC444" i="17"/>
  <c r="CC437" i="17"/>
  <c r="CC440" i="17"/>
  <c r="CC457" i="17"/>
  <c r="CC495" i="17"/>
  <c r="CC443" i="17"/>
  <c r="CC409" i="17"/>
  <c r="CC447" i="17"/>
  <c r="CC497" i="17"/>
  <c r="CC458" i="17"/>
  <c r="CC502" i="17"/>
  <c r="CC439" i="17"/>
  <c r="CC480" i="17"/>
  <c r="CC506" i="17"/>
  <c r="CC427" i="17"/>
  <c r="CC461" i="17"/>
  <c r="CC454" i="17"/>
  <c r="L8" i="26"/>
  <c r="H8" i="26"/>
  <c r="K8" i="26"/>
  <c r="J8" i="26"/>
  <c r="M8" i="26"/>
  <c r="I8" i="26"/>
  <c r="BQ255" i="17"/>
  <c r="BQ160" i="17"/>
  <c r="BQ200" i="17"/>
  <c r="BQ196" i="17"/>
  <c r="BQ214" i="17"/>
  <c r="BQ177" i="17"/>
  <c r="BQ202" i="17"/>
  <c r="BQ165" i="17"/>
  <c r="BQ248" i="17"/>
  <c r="BQ147" i="17"/>
  <c r="BQ230" i="17"/>
  <c r="BQ227" i="17"/>
  <c r="BQ155" i="17"/>
  <c r="BQ148" i="17"/>
  <c r="BQ249" i="17"/>
  <c r="BQ209" i="17"/>
  <c r="BQ175" i="17"/>
  <c r="BQ213" i="17"/>
  <c r="BQ169" i="17"/>
  <c r="BQ252" i="17"/>
  <c r="BQ194" i="17"/>
  <c r="BQ179" i="17"/>
  <c r="BQ261" i="17"/>
  <c r="BQ187" i="17"/>
  <c r="BQ231" i="17"/>
  <c r="BQ164" i="17"/>
  <c r="BQ240" i="17"/>
  <c r="BQ208" i="17"/>
  <c r="BQ250" i="17"/>
  <c r="BQ226" i="17"/>
  <c r="BQ166" i="17"/>
  <c r="BQ162" i="17"/>
  <c r="BQ191" i="17"/>
  <c r="BQ259" i="17"/>
  <c r="BQ176" i="17"/>
  <c r="BQ229" i="17"/>
  <c r="BQ262" i="17"/>
  <c r="BQ212" i="17"/>
  <c r="BQ254" i="17"/>
  <c r="BQ235" i="17"/>
  <c r="BQ154" i="17"/>
  <c r="BQ243" i="17"/>
  <c r="BQ234" i="17"/>
  <c r="BQ210" i="17"/>
  <c r="BQ205" i="17"/>
  <c r="BQ236" i="17"/>
  <c r="BQ163" i="17"/>
  <c r="BQ186" i="17"/>
  <c r="BQ228" i="17"/>
  <c r="BQ237" i="17"/>
  <c r="BQ257" i="17"/>
  <c r="BQ233" i="17"/>
  <c r="BQ151" i="17"/>
  <c r="BQ256" i="17"/>
  <c r="BQ185" i="17"/>
  <c r="BQ211" i="17"/>
  <c r="BQ217" i="17"/>
  <c r="BQ225" i="17"/>
  <c r="BQ182" i="17"/>
  <c r="BQ218" i="17"/>
  <c r="BQ180" i="17"/>
  <c r="BQ216" i="17"/>
  <c r="BQ239" i="17"/>
  <c r="BQ172" i="17"/>
  <c r="BQ198" i="17"/>
  <c r="BQ224" i="17"/>
  <c r="BQ192" i="17"/>
  <c r="BQ247" i="17"/>
  <c r="BQ170" i="17"/>
  <c r="BQ246" i="17"/>
  <c r="BQ253" i="17"/>
  <c r="BQ223" i="17"/>
  <c r="BQ158" i="17"/>
  <c r="BQ149" i="17"/>
  <c r="BQ171" i="17"/>
  <c r="BQ220" i="17"/>
  <c r="BQ197" i="17"/>
  <c r="BQ184" i="17"/>
  <c r="BQ153" i="17"/>
  <c r="BQ222" i="17"/>
  <c r="BQ178" i="17"/>
  <c r="BQ203" i="17"/>
  <c r="BQ189" i="17"/>
  <c r="BQ201" i="17"/>
  <c r="BQ258" i="17"/>
  <c r="BQ241" i="17"/>
  <c r="BQ242" i="17"/>
  <c r="BQ204" i="17"/>
  <c r="BQ159" i="17"/>
  <c r="BQ221" i="17"/>
  <c r="BQ161" i="17"/>
  <c r="BQ207" i="17"/>
  <c r="BQ174" i="17"/>
  <c r="BQ188" i="17"/>
  <c r="BQ167" i="17"/>
  <c r="BQ206" i="17"/>
  <c r="BQ219" i="17"/>
  <c r="BQ215" i="17"/>
  <c r="BQ232" i="17"/>
  <c r="BQ245" i="17"/>
  <c r="BQ244" i="17"/>
  <c r="BQ251" i="17"/>
  <c r="BQ193" i="17"/>
  <c r="BQ199" i="17"/>
  <c r="BQ157" i="17"/>
  <c r="BQ152" i="17"/>
  <c r="BQ181" i="17"/>
  <c r="BQ146" i="17"/>
  <c r="BQ173" i="17"/>
  <c r="BQ183" i="17"/>
  <c r="BQ150" i="17"/>
  <c r="BQ156" i="17"/>
  <c r="BQ195" i="17"/>
  <c r="BQ168" i="17"/>
  <c r="BQ190" i="17"/>
  <c r="BQ238" i="17"/>
  <c r="BQ260" i="17"/>
  <c r="BA29" i="17"/>
  <c r="BA124" i="17"/>
  <c r="BA112" i="17"/>
  <c r="BA19" i="17"/>
  <c r="BA41" i="17"/>
  <c r="BA40" i="17"/>
  <c r="BA89" i="17"/>
  <c r="BA23" i="17"/>
  <c r="BA98" i="17"/>
  <c r="BA114" i="17"/>
  <c r="BA73" i="17"/>
  <c r="BA87" i="17"/>
  <c r="BA36" i="17"/>
  <c r="BA79" i="17"/>
  <c r="BA67" i="17"/>
  <c r="BA111" i="17"/>
  <c r="BA53" i="17"/>
  <c r="BA86" i="17"/>
  <c r="BA94" i="17"/>
  <c r="BA31" i="17"/>
  <c r="BA42" i="17"/>
  <c r="BA108" i="17"/>
  <c r="BA54" i="17"/>
  <c r="BA119" i="17"/>
  <c r="BA106" i="17"/>
  <c r="BA126" i="17"/>
  <c r="BA27" i="17"/>
  <c r="BA32" i="17"/>
  <c r="BA60" i="17"/>
  <c r="BA30" i="17"/>
  <c r="BA84" i="17"/>
  <c r="BA52" i="17"/>
  <c r="BA65" i="17"/>
  <c r="BA93" i="17"/>
  <c r="BA128" i="17"/>
  <c r="BA43" i="17"/>
  <c r="BA70" i="17"/>
  <c r="BA120" i="17"/>
  <c r="BA28" i="17"/>
  <c r="BA75" i="17"/>
  <c r="BA46" i="17"/>
  <c r="BA95" i="17"/>
  <c r="BA20" i="17"/>
  <c r="BA80" i="17"/>
  <c r="BA130" i="17"/>
  <c r="BA91" i="17"/>
  <c r="BA17" i="17"/>
  <c r="BA77" i="17"/>
  <c r="BA62" i="17"/>
  <c r="BA99" i="17"/>
  <c r="BA26" i="17"/>
  <c r="BA105" i="17"/>
  <c r="BA129" i="17"/>
  <c r="BA102" i="17"/>
  <c r="BA72" i="17"/>
  <c r="BA25" i="17"/>
  <c r="BA57" i="17"/>
  <c r="BA88" i="17"/>
  <c r="BA61" i="17"/>
  <c r="BA107" i="17"/>
  <c r="BA35" i="17"/>
  <c r="BA115" i="17"/>
  <c r="BA122" i="17"/>
  <c r="BA66" i="17"/>
  <c r="BA101" i="17"/>
  <c r="BA123" i="17"/>
  <c r="BA131" i="17"/>
  <c r="BA48" i="17"/>
  <c r="BA118" i="17"/>
  <c r="BA47" i="17"/>
  <c r="BA110" i="17"/>
  <c r="BA18" i="17"/>
  <c r="BA81" i="17"/>
  <c r="BA92" i="17"/>
  <c r="BA90" i="17"/>
  <c r="BA97" i="17"/>
  <c r="BA125" i="17"/>
  <c r="BA21" i="17"/>
  <c r="BA96" i="17"/>
  <c r="BA38" i="17"/>
  <c r="BA33" i="17"/>
  <c r="BA24" i="17"/>
  <c r="BA56" i="17"/>
  <c r="BA68" i="17"/>
  <c r="BA78" i="17"/>
  <c r="BA39" i="17"/>
  <c r="BA50" i="17"/>
  <c r="BA85" i="17"/>
  <c r="BA76" i="17"/>
  <c r="BA37" i="17"/>
  <c r="BA74" i="17"/>
  <c r="BA49" i="17"/>
  <c r="BA100" i="17"/>
  <c r="BA45" i="17"/>
  <c r="BA116" i="17"/>
  <c r="BA82" i="17"/>
  <c r="BA44" i="17"/>
  <c r="BA15" i="17"/>
  <c r="BA51" i="17"/>
  <c r="BA34" i="17"/>
  <c r="BA121" i="17"/>
  <c r="BA117" i="17"/>
  <c r="BA64" i="17"/>
  <c r="BA22" i="17"/>
  <c r="BA71" i="17"/>
  <c r="BA69" i="17"/>
  <c r="BA103" i="17"/>
  <c r="BA59" i="17"/>
  <c r="BA104" i="17"/>
  <c r="BA83" i="17"/>
  <c r="BA55" i="17"/>
  <c r="BA109" i="17"/>
  <c r="BA113" i="17"/>
  <c r="BA16" i="17"/>
  <c r="BA63" i="17"/>
  <c r="BA58" i="17"/>
  <c r="BA127" i="17"/>
  <c r="O28" i="2"/>
  <c r="M28" i="2"/>
  <c r="H28" i="21"/>
  <c r="G28" i="21"/>
  <c r="BI37" i="15"/>
  <c r="BI132" i="15"/>
  <c r="BI86" i="15"/>
  <c r="BI56" i="15"/>
  <c r="BI91" i="15"/>
  <c r="BI78" i="15"/>
  <c r="BI50" i="15"/>
  <c r="BI36" i="15"/>
  <c r="BI127" i="15"/>
  <c r="BI113" i="15"/>
  <c r="BI129" i="15"/>
  <c r="BI44" i="15"/>
  <c r="BI139" i="15"/>
  <c r="BI62" i="15"/>
  <c r="BI53" i="15"/>
  <c r="BI63" i="15"/>
  <c r="BI135" i="15"/>
  <c r="BI57" i="15"/>
  <c r="BI68" i="15"/>
  <c r="BI114" i="15"/>
  <c r="BI120" i="15"/>
  <c r="BI94" i="15"/>
  <c r="BI27" i="15"/>
  <c r="BI106" i="15"/>
  <c r="BI43" i="15"/>
  <c r="BI61" i="15"/>
  <c r="BI138" i="15"/>
  <c r="BI130" i="15"/>
  <c r="BI100" i="15"/>
  <c r="BI118" i="15"/>
  <c r="BI95" i="15"/>
  <c r="BI45" i="15"/>
  <c r="BI32" i="15"/>
  <c r="BI82" i="15"/>
  <c r="BI133" i="15"/>
  <c r="BI107" i="15"/>
  <c r="BI90" i="15"/>
  <c r="BI59" i="15"/>
  <c r="BI75" i="15"/>
  <c r="BI96" i="15"/>
  <c r="BI136" i="15"/>
  <c r="BI41" i="15"/>
  <c r="BI47" i="15"/>
  <c r="BI93" i="15"/>
  <c r="BI25" i="15"/>
  <c r="BI26" i="15"/>
  <c r="BI85" i="15"/>
  <c r="BI55" i="15"/>
  <c r="BI31" i="15"/>
  <c r="BI23" i="15"/>
  <c r="BI88" i="15"/>
  <c r="BI39" i="15"/>
  <c r="BI67" i="15"/>
  <c r="BI34" i="15"/>
  <c r="BI98" i="15"/>
  <c r="BI49" i="15"/>
  <c r="BI24" i="15"/>
  <c r="BI123" i="15"/>
  <c r="BI64" i="15"/>
  <c r="BI109" i="15"/>
  <c r="BI131" i="15"/>
  <c r="BI76" i="15"/>
  <c r="BI112" i="15"/>
  <c r="BI33" i="15"/>
  <c r="BI66" i="15"/>
  <c r="BI65" i="15"/>
  <c r="BI84" i="15"/>
  <c r="BI103" i="15"/>
  <c r="BI77" i="15"/>
  <c r="BI89" i="15"/>
  <c r="BI134" i="15"/>
  <c r="BI29" i="15"/>
  <c r="BI128" i="15"/>
  <c r="BI35" i="15"/>
  <c r="BI105" i="15"/>
  <c r="BI116" i="15"/>
  <c r="BI122" i="15"/>
  <c r="BI126" i="15"/>
  <c r="BI92" i="15"/>
  <c r="BI30" i="15"/>
  <c r="BI81" i="15"/>
  <c r="BI79" i="15"/>
  <c r="BI38" i="15"/>
  <c r="BI104" i="15"/>
  <c r="BI124" i="15"/>
  <c r="BI99" i="15"/>
  <c r="BI102" i="15"/>
  <c r="BI40" i="15"/>
  <c r="BI125" i="15"/>
  <c r="BI121" i="15"/>
  <c r="BI52" i="15"/>
  <c r="BI83" i="15"/>
  <c r="BI110" i="15"/>
  <c r="BI28" i="15"/>
  <c r="BI72" i="15"/>
  <c r="BI87" i="15"/>
  <c r="BI74" i="15"/>
  <c r="BI73" i="15"/>
  <c r="BI101" i="15"/>
  <c r="BI51" i="15"/>
  <c r="BI119" i="15"/>
  <c r="BI115" i="15"/>
  <c r="BI111" i="15"/>
  <c r="BI117" i="15"/>
  <c r="BI71" i="15"/>
  <c r="BI108" i="15"/>
  <c r="BI97" i="15"/>
  <c r="BI58" i="15"/>
  <c r="BI42" i="15"/>
  <c r="BI70" i="15"/>
  <c r="BI48" i="15"/>
  <c r="BI54" i="15"/>
  <c r="BI69" i="15"/>
  <c r="BI60" i="15"/>
  <c r="BI80" i="15"/>
  <c r="BI137" i="15"/>
  <c r="BI46" i="15"/>
  <c r="BI19" i="20"/>
  <c r="BH19" i="20"/>
  <c r="BJ20" i="20"/>
  <c r="N21" i="20" s="1"/>
  <c r="F13" i="12" s="1"/>
  <c r="BG19" i="20"/>
  <c r="E23" i="20"/>
  <c r="BJ36" i="24"/>
  <c r="E36" i="24" s="1"/>
  <c r="BJ34" i="24"/>
  <c r="E34" i="24" s="1"/>
  <c r="BJ28" i="24"/>
  <c r="E28" i="24" s="1"/>
  <c r="BJ29" i="24"/>
  <c r="E29" i="24" s="1"/>
  <c r="BV291" i="17"/>
  <c r="BV386" i="17"/>
  <c r="BV297" i="17"/>
  <c r="BV335" i="17"/>
  <c r="BV363" i="17"/>
  <c r="BV302" i="17"/>
  <c r="BV333" i="17"/>
  <c r="BV393" i="17"/>
  <c r="BV304" i="17"/>
  <c r="BV341" i="17"/>
  <c r="BV359" i="17"/>
  <c r="BV355" i="17"/>
  <c r="BV373" i="17"/>
  <c r="BV325" i="17"/>
  <c r="BV309" i="17"/>
  <c r="BV372" i="17"/>
  <c r="BV292" i="17"/>
  <c r="BV320" i="17"/>
  <c r="BV376" i="17"/>
  <c r="BV287" i="17"/>
  <c r="BV391" i="17"/>
  <c r="BV310" i="17"/>
  <c r="BV314" i="17"/>
  <c r="BV279" i="17"/>
  <c r="BV342" i="17"/>
  <c r="BV280" i="17"/>
  <c r="BV365" i="17"/>
  <c r="BV343" i="17"/>
  <c r="BV353" i="17"/>
  <c r="BV311" i="17"/>
  <c r="BV338" i="17"/>
  <c r="BV305" i="17"/>
  <c r="BV378" i="17"/>
  <c r="BV344" i="17"/>
  <c r="BV300" i="17"/>
  <c r="BV295" i="17"/>
  <c r="BV301" i="17"/>
  <c r="BV347" i="17"/>
  <c r="BV389" i="17"/>
  <c r="BV370" i="17"/>
  <c r="BV345" i="17"/>
  <c r="BV339" i="17"/>
  <c r="BV327" i="17"/>
  <c r="BV358" i="17"/>
  <c r="BV379" i="17"/>
  <c r="BV332" i="17"/>
  <c r="BV374" i="17"/>
  <c r="BV315" i="17"/>
  <c r="BV307" i="17"/>
  <c r="BV299" i="17"/>
  <c r="BV360" i="17"/>
  <c r="BV282" i="17"/>
  <c r="BV392" i="17"/>
  <c r="BV330" i="17"/>
  <c r="BV377" i="17"/>
  <c r="BV328" i="17"/>
  <c r="BV331" i="17"/>
  <c r="BV380" i="17"/>
  <c r="BV290" i="17"/>
  <c r="BV334" i="17"/>
  <c r="BV387" i="17"/>
  <c r="BV371" i="17"/>
  <c r="BV369" i="17"/>
  <c r="BV312" i="17"/>
  <c r="BV357" i="17"/>
  <c r="BV362" i="17"/>
  <c r="BV286" i="17"/>
  <c r="BV293" i="17"/>
  <c r="BV349" i="17"/>
  <c r="BV294" i="17"/>
  <c r="BV319" i="17"/>
  <c r="BV284" i="17"/>
  <c r="BV354" i="17"/>
  <c r="BV366" i="17"/>
  <c r="BV298" i="17"/>
  <c r="BV336" i="17"/>
  <c r="BV283" i="17"/>
  <c r="BV321" i="17"/>
  <c r="BV289" i="17"/>
  <c r="BV303" i="17"/>
  <c r="BV368" i="17"/>
  <c r="BV388" i="17"/>
  <c r="BV296" i="17"/>
  <c r="BV383" i="17"/>
  <c r="BV384" i="17"/>
  <c r="BV361" i="17"/>
  <c r="BV322" i="17"/>
  <c r="BV313" i="17"/>
  <c r="BV340" i="17"/>
  <c r="BV329" i="17"/>
  <c r="BV323" i="17"/>
  <c r="BV375" i="17"/>
  <c r="BV306" i="17"/>
  <c r="BV346" i="17"/>
  <c r="BV316" i="17"/>
  <c r="BV381" i="17"/>
  <c r="BV385" i="17"/>
  <c r="BV351" i="17"/>
  <c r="BV337" i="17"/>
  <c r="BV350" i="17"/>
  <c r="BV364" i="17"/>
  <c r="BV382" i="17"/>
  <c r="BV277" i="17"/>
  <c r="BV278" i="17"/>
  <c r="BV348" i="17"/>
  <c r="BV317" i="17"/>
  <c r="BV318" i="17"/>
  <c r="BV281" i="17"/>
  <c r="BV352" i="17"/>
  <c r="BV324" i="17"/>
  <c r="BV288" i="17"/>
  <c r="BV285" i="17"/>
  <c r="BV367" i="17"/>
  <c r="BV390" i="17"/>
  <c r="BV326" i="17"/>
  <c r="BV356" i="17"/>
  <c r="BV308" i="17"/>
  <c r="D29" i="21"/>
  <c r="I29" i="21" s="1"/>
  <c r="C77" i="9"/>
  <c r="G29" i="2"/>
  <c r="K29" i="2"/>
  <c r="L9" i="26"/>
  <c r="M9" i="26"/>
  <c r="H9" i="26"/>
  <c r="I9" i="26"/>
  <c r="K9" i="26"/>
  <c r="J9" i="26"/>
  <c r="BP201" i="17"/>
  <c r="BP187" i="17"/>
  <c r="BP193" i="17"/>
  <c r="BP151" i="17"/>
  <c r="BP197" i="17"/>
  <c r="BP188" i="17"/>
  <c r="BP161" i="17"/>
  <c r="BP238" i="17"/>
  <c r="BP244" i="17"/>
  <c r="BP203" i="17"/>
  <c r="BP150" i="17"/>
  <c r="BP190" i="17"/>
  <c r="BP162" i="17"/>
  <c r="BP231" i="17"/>
  <c r="BP192" i="17"/>
  <c r="BP249" i="17"/>
  <c r="BP251" i="17"/>
  <c r="BP225" i="17"/>
  <c r="BP257" i="17"/>
  <c r="BP236" i="17"/>
  <c r="BP212" i="17"/>
  <c r="BP167" i="17"/>
  <c r="BP164" i="17"/>
  <c r="BP246" i="17"/>
  <c r="BP247" i="17"/>
  <c r="BP243" i="17"/>
  <c r="BP248" i="17"/>
  <c r="BP182" i="17"/>
  <c r="BP166" i="17"/>
  <c r="Z18" i="26" l="1"/>
  <c r="V18" i="26"/>
  <c r="Y18" i="26"/>
  <c r="W18" i="26"/>
  <c r="AA18" i="26"/>
  <c r="X18" i="26"/>
  <c r="H29" i="21"/>
  <c r="G29" i="21"/>
  <c r="BR185" i="17"/>
  <c r="BR215" i="17"/>
  <c r="BR239" i="17"/>
  <c r="BR151" i="17"/>
  <c r="BR182" i="17"/>
  <c r="BI19" i="24"/>
  <c r="BZ367" i="17"/>
  <c r="BZ283" i="17"/>
  <c r="X13" i="26"/>
  <c r="AA13" i="26"/>
  <c r="W13" i="26"/>
  <c r="Y13" i="26"/>
  <c r="V13" i="26"/>
  <c r="Z13" i="26"/>
  <c r="BJ121" i="15"/>
  <c r="BJ117" i="15"/>
  <c r="BJ137" i="15"/>
  <c r="BJ38" i="15"/>
  <c r="BJ114" i="15"/>
  <c r="BJ29" i="15"/>
  <c r="BJ96" i="15"/>
  <c r="BB92" i="17"/>
  <c r="BB114" i="17"/>
  <c r="BB40" i="17"/>
  <c r="BB37" i="17"/>
  <c r="CH417" i="17"/>
  <c r="CH501" i="17"/>
  <c r="CH498" i="17"/>
  <c r="CH461" i="17"/>
  <c r="CH479" i="17"/>
  <c r="CH434" i="17"/>
  <c r="CH450" i="17"/>
  <c r="CH430" i="17"/>
  <c r="CH507" i="17"/>
  <c r="CH427" i="17"/>
  <c r="CH503" i="17"/>
  <c r="Z11" i="26"/>
  <c r="V11" i="26"/>
  <c r="AA11" i="26"/>
  <c r="Y11" i="26"/>
  <c r="X11" i="26"/>
  <c r="W11" i="26"/>
  <c r="E30" i="21"/>
  <c r="J30" i="21" s="1"/>
  <c r="D78" i="9"/>
  <c r="H30" i="2"/>
  <c r="I29" i="2"/>
  <c r="F29" i="21" s="1"/>
  <c r="L29" i="2"/>
  <c r="Z14" i="26"/>
  <c r="V14" i="26"/>
  <c r="Y14" i="26"/>
  <c r="W14" i="26"/>
  <c r="AA14" i="26"/>
  <c r="X14" i="26"/>
  <c r="F32" i="24"/>
  <c r="BR177" i="17"/>
  <c r="BR156" i="17"/>
  <c r="BR254" i="17"/>
  <c r="BR221" i="17"/>
  <c r="BR199" i="17"/>
  <c r="BR207" i="17"/>
  <c r="BR153" i="17"/>
  <c r="BR258" i="17"/>
  <c r="BR161" i="17"/>
  <c r="BR233" i="17"/>
  <c r="BR224" i="17"/>
  <c r="BR167" i="17"/>
  <c r="BR223" i="17"/>
  <c r="BR247" i="17"/>
  <c r="BR152" i="17"/>
  <c r="BR176" i="17"/>
  <c r="BR240" i="17"/>
  <c r="BR228" i="17"/>
  <c r="BR163" i="17"/>
  <c r="BR243" i="17"/>
  <c r="BR212" i="17"/>
  <c r="BR206" i="17"/>
  <c r="BR164" i="17"/>
  <c r="BR187" i="17"/>
  <c r="BR252" i="17"/>
  <c r="BR210" i="17"/>
  <c r="BR227" i="17"/>
  <c r="BR196" i="17"/>
  <c r="BR200" i="17"/>
  <c r="BG19" i="24"/>
  <c r="BZ383" i="17"/>
  <c r="BZ363" i="17"/>
  <c r="BZ385" i="17"/>
  <c r="BZ320" i="17"/>
  <c r="BZ335" i="17"/>
  <c r="BZ288" i="17"/>
  <c r="BZ391" i="17"/>
  <c r="BZ364" i="17"/>
  <c r="BZ351" i="17"/>
  <c r="BZ355" i="17"/>
  <c r="BZ346" i="17"/>
  <c r="BZ372" i="17"/>
  <c r="BZ305" i="17"/>
  <c r="BZ336" i="17"/>
  <c r="BZ298" i="17"/>
  <c r="BZ284" i="17"/>
  <c r="BZ286" i="17"/>
  <c r="BZ325" i="17"/>
  <c r="BZ317" i="17"/>
  <c r="BZ387" i="17"/>
  <c r="BZ380" i="17"/>
  <c r="BZ328" i="17"/>
  <c r="BZ392" i="17"/>
  <c r="BZ307" i="17"/>
  <c r="BZ376" i="17"/>
  <c r="BZ289" i="17"/>
  <c r="BZ370" i="17"/>
  <c r="BZ378" i="17"/>
  <c r="BZ313" i="17"/>
  <c r="BJ95" i="15"/>
  <c r="BJ47" i="15"/>
  <c r="BJ139" i="15"/>
  <c r="BJ127" i="15"/>
  <c r="BJ40" i="15"/>
  <c r="BJ86" i="15"/>
  <c r="BJ51" i="15"/>
  <c r="BJ73" i="15"/>
  <c r="BJ129" i="15"/>
  <c r="BJ52" i="15"/>
  <c r="BJ94" i="15"/>
  <c r="BJ81" i="15"/>
  <c r="BJ35" i="15"/>
  <c r="BJ134" i="15"/>
  <c r="BJ111" i="15"/>
  <c r="BJ33" i="15"/>
  <c r="BJ30" i="15"/>
  <c r="BJ49" i="15"/>
  <c r="BJ68" i="15"/>
  <c r="BJ25" i="15"/>
  <c r="BJ77" i="15"/>
  <c r="BJ124" i="15"/>
  <c r="BJ108" i="15"/>
  <c r="BJ123" i="15"/>
  <c r="BJ120" i="15"/>
  <c r="BJ85" i="15"/>
  <c r="BJ107" i="15"/>
  <c r="BJ109" i="15"/>
  <c r="BJ61" i="15"/>
  <c r="BB51" i="17"/>
  <c r="BB55" i="17"/>
  <c r="BB83" i="17"/>
  <c r="BB95" i="17"/>
  <c r="BB60" i="17"/>
  <c r="BB93" i="17"/>
  <c r="BB33" i="17"/>
  <c r="BB68" i="17"/>
  <c r="BB71" i="17"/>
  <c r="BB32" i="17"/>
  <c r="BB49" i="17"/>
  <c r="BB104" i="17"/>
  <c r="BB54" i="17"/>
  <c r="BB75" i="17"/>
  <c r="BB35" i="17"/>
  <c r="BB79" i="17"/>
  <c r="BB110" i="17"/>
  <c r="BB126" i="17"/>
  <c r="BB41" i="17"/>
  <c r="BB18" i="17"/>
  <c r="BB64" i="17"/>
  <c r="BB117" i="17"/>
  <c r="BB119" i="17"/>
  <c r="BB130" i="17"/>
  <c r="BB101" i="17"/>
  <c r="BB67" i="17"/>
  <c r="BB72" i="17"/>
  <c r="BB105" i="17"/>
  <c r="BB77" i="17"/>
  <c r="BB29" i="17"/>
  <c r="CH486" i="17"/>
  <c r="CH490" i="17"/>
  <c r="CH489" i="17"/>
  <c r="CH451" i="17"/>
  <c r="CH429" i="17"/>
  <c r="CH408" i="17"/>
  <c r="CH468" i="17"/>
  <c r="CH454" i="17"/>
  <c r="CH487" i="17"/>
  <c r="CH414" i="17"/>
  <c r="CH421" i="17"/>
  <c r="CH475" i="17"/>
  <c r="CH520" i="17"/>
  <c r="CH481" i="17"/>
  <c r="CH418" i="17"/>
  <c r="CH505" i="17"/>
  <c r="CH477" i="17"/>
  <c r="CH492" i="17"/>
  <c r="CH412" i="17"/>
  <c r="CH457" i="17"/>
  <c r="CH516" i="17"/>
  <c r="CH463" i="17"/>
  <c r="CH523" i="17"/>
  <c r="CH467" i="17"/>
  <c r="CH476" i="17"/>
  <c r="CH473" i="17"/>
  <c r="CH513" i="17"/>
  <c r="CH419" i="17"/>
  <c r="CH517" i="17"/>
  <c r="C30" i="21"/>
  <c r="B78" i="9"/>
  <c r="C38" i="11" s="1"/>
  <c r="F30" i="2"/>
  <c r="J31" i="2"/>
  <c r="J30" i="2"/>
  <c r="A48" i="22"/>
  <c r="B30" i="21"/>
  <c r="X15" i="26"/>
  <c r="AA15" i="26"/>
  <c r="W15" i="26"/>
  <c r="Z15" i="26"/>
  <c r="Y15" i="26"/>
  <c r="V15" i="26"/>
  <c r="F33" i="24"/>
  <c r="BR192" i="17"/>
  <c r="BR191" i="17"/>
  <c r="BZ389" i="17"/>
  <c r="BZ348" i="17"/>
  <c r="BZ308" i="17"/>
  <c r="BJ55" i="15"/>
  <c r="BJ83" i="15"/>
  <c r="BJ106" i="15"/>
  <c r="BJ88" i="15"/>
  <c r="BB24" i="17"/>
  <c r="BB45" i="17"/>
  <c r="BB88" i="17"/>
  <c r="BB102" i="17"/>
  <c r="BB124" i="17"/>
  <c r="CH488" i="17"/>
  <c r="CH459" i="17"/>
  <c r="CH482" i="17"/>
  <c r="CH456" i="17"/>
  <c r="CH514" i="17"/>
  <c r="CH474" i="17"/>
  <c r="CH462" i="17"/>
  <c r="CH504" i="17"/>
  <c r="CH478" i="17"/>
  <c r="CH443" i="17"/>
  <c r="Z10" i="26"/>
  <c r="V10" i="26"/>
  <c r="X10" i="26"/>
  <c r="W10" i="26"/>
  <c r="AA10" i="26"/>
  <c r="Y10" i="26"/>
  <c r="L5" i="26"/>
  <c r="H5" i="26"/>
  <c r="I5" i="26"/>
  <c r="M5" i="26"/>
  <c r="K5" i="26"/>
  <c r="J5" i="26"/>
  <c r="N19" i="20"/>
  <c r="M18" i="20"/>
  <c r="L17" i="20"/>
  <c r="Q7" i="20"/>
  <c r="P6" i="20"/>
  <c r="P5" i="20"/>
  <c r="M19" i="20"/>
  <c r="L18" i="20"/>
  <c r="N16" i="20"/>
  <c r="P7" i="20"/>
  <c r="S6" i="20"/>
  <c r="O6" i="20"/>
  <c r="S5" i="20"/>
  <c r="S8" i="20" s="1"/>
  <c r="O5" i="20"/>
  <c r="M5" i="20" s="1"/>
  <c r="L19" i="20"/>
  <c r="N17" i="20"/>
  <c r="M16" i="20"/>
  <c r="S7" i="20"/>
  <c r="O7" i="20"/>
  <c r="R6" i="20"/>
  <c r="N6" i="20"/>
  <c r="R5" i="20"/>
  <c r="N5" i="20"/>
  <c r="N18" i="20"/>
  <c r="N7" i="20"/>
  <c r="Q5" i="20"/>
  <c r="Q6" i="20"/>
  <c r="L16" i="20"/>
  <c r="R7" i="20"/>
  <c r="M17" i="20"/>
  <c r="F23" i="20"/>
  <c r="B38" i="11"/>
  <c r="D38" i="11" s="1"/>
  <c r="E38" i="11" s="1"/>
  <c r="F38" i="11" s="1"/>
  <c r="F78" i="9"/>
  <c r="A31" i="21"/>
  <c r="A32" i="2"/>
  <c r="E31" i="2"/>
  <c r="A79" i="9"/>
  <c r="A39" i="11" s="1"/>
  <c r="P31" i="2"/>
  <c r="D31" i="2"/>
  <c r="N31" i="2"/>
  <c r="E79" i="9" s="1"/>
  <c r="B31" i="2"/>
  <c r="C31" i="2"/>
  <c r="Z9" i="26"/>
  <c r="V9" i="26"/>
  <c r="Y9" i="26"/>
  <c r="X9" i="26"/>
  <c r="W9" i="26"/>
  <c r="AA9" i="26"/>
  <c r="BR201" i="17"/>
  <c r="BR241" i="17"/>
  <c r="BR217" i="17"/>
  <c r="BR232" i="17"/>
  <c r="BR251" i="17"/>
  <c r="BR159" i="17"/>
  <c r="BR171" i="17"/>
  <c r="BR174" i="17"/>
  <c r="BR203" i="17"/>
  <c r="BR237" i="17"/>
  <c r="BR209" i="17"/>
  <c r="BR184" i="17"/>
  <c r="BR261" i="17"/>
  <c r="BR242" i="17"/>
  <c r="BR180" i="17"/>
  <c r="BR165" i="17"/>
  <c r="BR197" i="17"/>
  <c r="BR181" i="17"/>
  <c r="BR236" i="17"/>
  <c r="BR216" i="17"/>
  <c r="BR259" i="17"/>
  <c r="BR225" i="17"/>
  <c r="BR158" i="17"/>
  <c r="BR253" i="17"/>
  <c r="BR175" i="17"/>
  <c r="BR234" i="17"/>
  <c r="BR154" i="17"/>
  <c r="BR162" i="17"/>
  <c r="BR160" i="17"/>
  <c r="BH19" i="24"/>
  <c r="BZ368" i="17"/>
  <c r="BZ388" i="17"/>
  <c r="BZ384" i="17"/>
  <c r="BZ365" i="17"/>
  <c r="BZ382" i="17"/>
  <c r="BZ342" i="17"/>
  <c r="BZ304" i="17"/>
  <c r="BZ296" i="17"/>
  <c r="BZ324" i="17"/>
  <c r="BZ302" i="17"/>
  <c r="CD272" i="17" s="1"/>
  <c r="BZ306" i="17"/>
  <c r="BZ278" i="17"/>
  <c r="CD271" i="17" s="1"/>
  <c r="BZ323" i="17"/>
  <c r="BZ353" i="17"/>
  <c r="BZ366" i="17"/>
  <c r="BZ319" i="17"/>
  <c r="BZ362" i="17"/>
  <c r="BZ312" i="17"/>
  <c r="BZ329" i="17"/>
  <c r="BZ334" i="17"/>
  <c r="BZ331" i="17"/>
  <c r="BZ316" i="17"/>
  <c r="BZ282" i="17"/>
  <c r="BZ349" i="17"/>
  <c r="BZ332" i="17"/>
  <c r="BZ327" i="17"/>
  <c r="BZ347" i="17"/>
  <c r="BZ338" i="17"/>
  <c r="BZ297" i="17"/>
  <c r="Z8" i="26"/>
  <c r="V8" i="26"/>
  <c r="X8" i="26"/>
  <c r="W8" i="26"/>
  <c r="AA8" i="26"/>
  <c r="Y8" i="26"/>
  <c r="BJ125" i="15"/>
  <c r="BJ110" i="15"/>
  <c r="BJ58" i="15"/>
  <c r="BJ78" i="15"/>
  <c r="BJ87" i="15"/>
  <c r="BJ126" i="15"/>
  <c r="BJ69" i="15"/>
  <c r="BJ48" i="15"/>
  <c r="BJ84" i="15"/>
  <c r="BJ119" i="15"/>
  <c r="BJ39" i="15"/>
  <c r="BJ67" i="15"/>
  <c r="BJ128" i="15"/>
  <c r="BJ75" i="15"/>
  <c r="BJ65" i="15"/>
  <c r="BJ112" i="15"/>
  <c r="BJ138" i="15"/>
  <c r="BJ98" i="15"/>
  <c r="BJ105" i="15"/>
  <c r="BJ41" i="15"/>
  <c r="BJ103" i="15"/>
  <c r="BJ80" i="15"/>
  <c r="BJ79" i="15"/>
  <c r="BJ24" i="15"/>
  <c r="BN18" i="15" s="1"/>
  <c r="BJ116" i="15"/>
  <c r="BJ28" i="15"/>
  <c r="BJ50" i="15"/>
  <c r="BJ64" i="15"/>
  <c r="BJ37" i="15"/>
  <c r="BB65" i="17"/>
  <c r="BB96" i="17"/>
  <c r="BB97" i="17"/>
  <c r="BB123" i="17"/>
  <c r="BB91" i="17"/>
  <c r="BB84" i="17"/>
  <c r="BB85" i="17"/>
  <c r="BB56" i="17"/>
  <c r="BB94" i="17"/>
  <c r="BB39" i="17"/>
  <c r="BB74" i="17"/>
  <c r="BB81" i="17"/>
  <c r="BB108" i="17"/>
  <c r="BB86" i="17"/>
  <c r="BB111" i="17"/>
  <c r="BB36" i="17"/>
  <c r="BB98" i="17"/>
  <c r="BB89" i="17"/>
  <c r="BB112" i="17"/>
  <c r="BB63" i="17"/>
  <c r="BB76" i="17"/>
  <c r="BB15" i="17"/>
  <c r="BB62" i="17"/>
  <c r="BB118" i="17"/>
  <c r="BB66" i="17"/>
  <c r="BB57" i="17"/>
  <c r="BB30" i="17"/>
  <c r="BB23" i="17"/>
  <c r="BB17" i="17"/>
  <c r="CH506" i="17"/>
  <c r="CH439" i="17"/>
  <c r="CH432" i="17"/>
  <c r="CH460" i="17"/>
  <c r="CH495" i="17"/>
  <c r="CH464" i="17"/>
  <c r="CH424" i="17"/>
  <c r="CH466" i="17"/>
  <c r="CH502" i="17"/>
  <c r="CH449" i="17"/>
  <c r="CH438" i="17"/>
  <c r="CH480" i="17"/>
  <c r="CH448" i="17"/>
  <c r="CH522" i="17"/>
  <c r="CH471" i="17"/>
  <c r="CH433" i="17"/>
  <c r="CH491" i="17"/>
  <c r="CH409" i="17"/>
  <c r="CH465" i="17"/>
  <c r="CH511" i="17"/>
  <c r="CH469" i="17"/>
  <c r="CH440" i="17"/>
  <c r="CH437" i="17"/>
  <c r="CH413" i="17"/>
  <c r="CH445" i="17"/>
  <c r="CH455" i="17"/>
  <c r="CH509" i="17"/>
  <c r="CH446" i="17"/>
  <c r="CH415" i="17"/>
  <c r="CH422" i="17"/>
  <c r="BR189" i="17"/>
  <c r="BR193" i="17"/>
  <c r="BR249" i="17"/>
  <c r="BJ20" i="24"/>
  <c r="N21" i="24" s="1"/>
  <c r="F15" i="12" s="1"/>
  <c r="BZ357" i="17"/>
  <c r="BZ292" i="17"/>
  <c r="BZ281" i="17"/>
  <c r="BZ373" i="17"/>
  <c r="BJ113" i="15"/>
  <c r="BJ104" i="15"/>
  <c r="BJ130" i="15"/>
  <c r="BJ36" i="15"/>
  <c r="BM16" i="15" s="1"/>
  <c r="BJ91" i="15"/>
  <c r="Z16" i="26"/>
  <c r="V16" i="26"/>
  <c r="Y16" i="26"/>
  <c r="AA16" i="26"/>
  <c r="X16" i="26"/>
  <c r="W16" i="26"/>
  <c r="D30" i="21"/>
  <c r="I30" i="21" s="1"/>
  <c r="C78" i="9"/>
  <c r="G30" i="2"/>
  <c r="K30" i="2"/>
  <c r="K31" i="2"/>
  <c r="X17" i="26"/>
  <c r="AA17" i="26"/>
  <c r="W17" i="26"/>
  <c r="Y17" i="26"/>
  <c r="V17" i="26"/>
  <c r="Z17" i="26"/>
  <c r="BR260" i="17"/>
  <c r="BR195" i="17"/>
  <c r="BR222" i="17"/>
  <c r="BR166" i="17"/>
  <c r="BR178" i="17"/>
  <c r="BR202" i="17"/>
  <c r="BR204" i="17"/>
  <c r="BR244" i="17"/>
  <c r="BR208" i="17"/>
  <c r="BR150" i="17"/>
  <c r="BR194" i="17"/>
  <c r="BR229" i="17"/>
  <c r="BR256" i="17"/>
  <c r="BR169" i="17"/>
  <c r="BR172" i="17"/>
  <c r="BR230" i="17"/>
  <c r="BR214" i="17"/>
  <c r="BR173" i="17"/>
  <c r="BR170" i="17"/>
  <c r="BR190" i="17"/>
  <c r="BR157" i="17"/>
  <c r="BV140" i="17" s="1"/>
  <c r="BR218" i="17"/>
  <c r="BR245" i="17"/>
  <c r="BR257" i="17"/>
  <c r="BR246" i="17"/>
  <c r="BR186" i="17"/>
  <c r="BR148" i="17"/>
  <c r="BR147" i="17"/>
  <c r="BR143" i="17" s="1"/>
  <c r="BR226" i="17"/>
  <c r="BR255" i="17"/>
  <c r="Z5" i="26"/>
  <c r="V5" i="26"/>
  <c r="N19" i="24"/>
  <c r="M18" i="24"/>
  <c r="L17" i="24"/>
  <c r="Q7" i="24"/>
  <c r="P6" i="24"/>
  <c r="P5" i="24"/>
  <c r="AA5" i="26"/>
  <c r="Y5" i="26"/>
  <c r="X5" i="26"/>
  <c r="L19" i="24"/>
  <c r="L18" i="24"/>
  <c r="M17" i="24"/>
  <c r="M16" i="24"/>
  <c r="F31" i="24" s="1"/>
  <c r="R7" i="24"/>
  <c r="S6" i="24"/>
  <c r="N6" i="24"/>
  <c r="R5" i="24"/>
  <c r="W5" i="26"/>
  <c r="L16" i="24"/>
  <c r="F23" i="24" s="1"/>
  <c r="P7" i="24"/>
  <c r="R6" i="24"/>
  <c r="Q5" i="24"/>
  <c r="O7" i="24"/>
  <c r="Q6" i="24"/>
  <c r="O5" i="24"/>
  <c r="N16" i="24"/>
  <c r="F26" i="24" s="1"/>
  <c r="M19" i="24"/>
  <c r="S7" i="24"/>
  <c r="S5" i="24"/>
  <c r="S8" i="24" s="1"/>
  <c r="N18" i="24"/>
  <c r="N7" i="24"/>
  <c r="N5" i="24"/>
  <c r="N8" i="24" s="1"/>
  <c r="O6" i="24"/>
  <c r="M6" i="24" s="1"/>
  <c r="N17" i="24"/>
  <c r="BZ361" i="17"/>
  <c r="BZ322" i="17"/>
  <c r="BZ287" i="17"/>
  <c r="BZ279" i="17"/>
  <c r="BZ390" i="17"/>
  <c r="BZ314" i="17"/>
  <c r="BZ303" i="17"/>
  <c r="BZ350" i="17"/>
  <c r="BZ301" i="17"/>
  <c r="BZ352" i="17"/>
  <c r="BZ375" i="17"/>
  <c r="BZ345" i="17"/>
  <c r="BZ326" i="17"/>
  <c r="BZ333" i="17"/>
  <c r="BZ354" i="17"/>
  <c r="BZ294" i="17"/>
  <c r="BZ309" i="17"/>
  <c r="BZ344" i="17"/>
  <c r="BZ340" i="17"/>
  <c r="BZ290" i="17"/>
  <c r="BZ393" i="17"/>
  <c r="BZ377" i="17"/>
  <c r="BZ360" i="17"/>
  <c r="BZ315" i="17"/>
  <c r="BZ379" i="17"/>
  <c r="BZ339" i="17"/>
  <c r="BZ295" i="17"/>
  <c r="BZ311" i="17"/>
  <c r="BZ291" i="17"/>
  <c r="Z6" i="26"/>
  <c r="V6" i="26"/>
  <c r="X6" i="26"/>
  <c r="W6" i="26"/>
  <c r="AA6" i="26"/>
  <c r="Y6" i="26"/>
  <c r="F24" i="24"/>
  <c r="BJ135" i="15"/>
  <c r="BJ122" i="15"/>
  <c r="BJ53" i="15"/>
  <c r="BJ97" i="15"/>
  <c r="BJ76" i="15"/>
  <c r="BJ31" i="15"/>
  <c r="BJ71" i="15"/>
  <c r="BJ54" i="15"/>
  <c r="BJ74" i="15"/>
  <c r="BJ101" i="15"/>
  <c r="BJ102" i="15"/>
  <c r="BJ32" i="15"/>
  <c r="BJ70" i="15"/>
  <c r="BJ63" i="15"/>
  <c r="BJ59" i="15"/>
  <c r="BJ66" i="15"/>
  <c r="BJ100" i="15"/>
  <c r="BJ56" i="15"/>
  <c r="BJ34" i="15"/>
  <c r="BJ72" i="15"/>
  <c r="BJ136" i="15"/>
  <c r="BJ44" i="15"/>
  <c r="BJ82" i="15"/>
  <c r="BJ118" i="15"/>
  <c r="BJ43" i="15"/>
  <c r="BJ57" i="15"/>
  <c r="BJ93" i="15"/>
  <c r="BJ45" i="15"/>
  <c r="BJ60" i="15"/>
  <c r="BJ132" i="15"/>
  <c r="BB52" i="17"/>
  <c r="BB21" i="17"/>
  <c r="BB90" i="17"/>
  <c r="BB120" i="17"/>
  <c r="BB82" i="17"/>
  <c r="BB127" i="17"/>
  <c r="BB50" i="17"/>
  <c r="BB20" i="17"/>
  <c r="BB122" i="17"/>
  <c r="BB116" i="17"/>
  <c r="BB59" i="17"/>
  <c r="BB28" i="17"/>
  <c r="BB42" i="17"/>
  <c r="BB115" i="17"/>
  <c r="BB43" i="17"/>
  <c r="BB73" i="17"/>
  <c r="BB27" i="17"/>
  <c r="BB99" i="17"/>
  <c r="BB69" i="17"/>
  <c r="BB22" i="17"/>
  <c r="BB16" i="17"/>
  <c r="BB44" i="17"/>
  <c r="BB47" i="17"/>
  <c r="BB48" i="17"/>
  <c r="BB61" i="17"/>
  <c r="BB87" i="17"/>
  <c r="BB121" i="17"/>
  <c r="BB26" i="17"/>
  <c r="BB80" i="17"/>
  <c r="CH420" i="17"/>
  <c r="CH447" i="17"/>
  <c r="CH425" i="17"/>
  <c r="CH485" i="17"/>
  <c r="CH484" i="17"/>
  <c r="CH442" i="17"/>
  <c r="CH500" i="17"/>
  <c r="CH426" i="17"/>
  <c r="CH458" i="17"/>
  <c r="CH494" i="17"/>
  <c r="CH472" i="17"/>
  <c r="CH497" i="17"/>
  <c r="CH521" i="17"/>
  <c r="CH499" i="17"/>
  <c r="CH483" i="17"/>
  <c r="CH452" i="17"/>
  <c r="CH435" i="17"/>
  <c r="CH428" i="17"/>
  <c r="CH512" i="17"/>
  <c r="CH510" i="17"/>
  <c r="CH519" i="17"/>
  <c r="CH496" i="17"/>
  <c r="CH444" i="17"/>
  <c r="CH453" i="17"/>
  <c r="CH441" i="17"/>
  <c r="CH508" i="17"/>
  <c r="CH436" i="17"/>
  <c r="CH423" i="17"/>
  <c r="CH410" i="17"/>
  <c r="BM27" i="15" l="1"/>
  <c r="BM138" i="15"/>
  <c r="BM118" i="15"/>
  <c r="BM90" i="15"/>
  <c r="BM29" i="15"/>
  <c r="BM26" i="15"/>
  <c r="BM98" i="15"/>
  <c r="BM76" i="15"/>
  <c r="BM65" i="15"/>
  <c r="BM59" i="15"/>
  <c r="BM63" i="15"/>
  <c r="BM116" i="15"/>
  <c r="BM30" i="15"/>
  <c r="BM108" i="15"/>
  <c r="BM127" i="15"/>
  <c r="BM113" i="15"/>
  <c r="BM139" i="15"/>
  <c r="BM47" i="15"/>
  <c r="BM72" i="15"/>
  <c r="BM39" i="15"/>
  <c r="BM94" i="15"/>
  <c r="BM69" i="15"/>
  <c r="BM102" i="15"/>
  <c r="BM93" i="15"/>
  <c r="BM125" i="15"/>
  <c r="BM45" i="15"/>
  <c r="BM109" i="15"/>
  <c r="BM101" i="15"/>
  <c r="BM85" i="15"/>
  <c r="L20" i="24"/>
  <c r="G30" i="24"/>
  <c r="G37" i="24"/>
  <c r="BW141" i="17"/>
  <c r="BU140" i="17"/>
  <c r="B39" i="11"/>
  <c r="D39" i="11" s="1"/>
  <c r="E39" i="11" s="1"/>
  <c r="F39" i="11" s="1"/>
  <c r="F79" i="9"/>
  <c r="G25" i="20"/>
  <c r="G24" i="20"/>
  <c r="BH19" i="15"/>
  <c r="BY273" i="17"/>
  <c r="G38" i="11"/>
  <c r="G36" i="24"/>
  <c r="M5" i="24"/>
  <c r="G34" i="24"/>
  <c r="BT141" i="17"/>
  <c r="BQ142" i="17"/>
  <c r="BU141" i="17"/>
  <c r="BV141" i="17"/>
  <c r="F27" i="24"/>
  <c r="D31" i="21"/>
  <c r="I31" i="21" s="1"/>
  <c r="C79" i="9"/>
  <c r="G31" i="2"/>
  <c r="A32" i="21"/>
  <c r="A80" i="9"/>
  <c r="A40" i="11" s="1"/>
  <c r="A33" i="2"/>
  <c r="E32" i="2"/>
  <c r="P32" i="2"/>
  <c r="D32" i="2"/>
  <c r="C32" i="2"/>
  <c r="N32" i="2"/>
  <c r="E80" i="9" s="1"/>
  <c r="B32" i="2"/>
  <c r="F25" i="20"/>
  <c r="F24" i="20"/>
  <c r="F28" i="20"/>
  <c r="F26" i="20"/>
  <c r="N20" i="20" s="1"/>
  <c r="F27" i="20"/>
  <c r="G23" i="20"/>
  <c r="G28" i="24"/>
  <c r="BN17" i="15"/>
  <c r="BJ20" i="15"/>
  <c r="BL16" i="15"/>
  <c r="BW273" i="17"/>
  <c r="CB270" i="17"/>
  <c r="CE272" i="17"/>
  <c r="CB272" i="17"/>
  <c r="BZ274" i="17"/>
  <c r="BV273" i="17"/>
  <c r="G30" i="21"/>
  <c r="H30" i="21"/>
  <c r="CG404" i="17"/>
  <c r="CC404" i="17"/>
  <c r="CO403" i="17"/>
  <c r="CK403" i="17"/>
  <c r="CM402" i="17"/>
  <c r="CO401" i="17"/>
  <c r="CK401" i="17"/>
  <c r="CF404" i="17"/>
  <c r="CB404" i="17"/>
  <c r="CN403" i="17"/>
  <c r="CJ403" i="17"/>
  <c r="CL402" i="17"/>
  <c r="CN402" i="17"/>
  <c r="CN401" i="17"/>
  <c r="CE404" i="17"/>
  <c r="CM403" i="17"/>
  <c r="CK402" i="17"/>
  <c r="CM401" i="17"/>
  <c r="CH405" i="17"/>
  <c r="CD404" i="17"/>
  <c r="CL403" i="17"/>
  <c r="CJ402" i="17"/>
  <c r="CL401" i="17"/>
  <c r="CJ401" i="17"/>
  <c r="CO402" i="17"/>
  <c r="G29" i="24"/>
  <c r="BT139" i="17"/>
  <c r="F30" i="20"/>
  <c r="F29" i="20"/>
  <c r="M20" i="20" s="1"/>
  <c r="BG19" i="15"/>
  <c r="BI19" i="15"/>
  <c r="CF271" i="17"/>
  <c r="CC271" i="17"/>
  <c r="CC272" i="17"/>
  <c r="O31" i="2"/>
  <c r="M31" i="2"/>
  <c r="F37" i="24"/>
  <c r="F30" i="24"/>
  <c r="F35" i="24"/>
  <c r="BN142" i="17"/>
  <c r="BT140" i="17"/>
  <c r="BO142" i="17"/>
  <c r="BP142" i="17"/>
  <c r="BB12" i="17"/>
  <c r="BD9" i="17"/>
  <c r="BA11" i="17"/>
  <c r="BE10" i="17"/>
  <c r="BE8" i="17"/>
  <c r="AZ11" i="17"/>
  <c r="BD10" i="17"/>
  <c r="BD8" i="17"/>
  <c r="BE9" i="17"/>
  <c r="C31" i="21"/>
  <c r="B79" i="9"/>
  <c r="C39" i="11" s="1"/>
  <c r="G39" i="11" s="1"/>
  <c r="F31" i="2"/>
  <c r="A49" i="22"/>
  <c r="B31" i="21"/>
  <c r="N8" i="20"/>
  <c r="M7" i="20"/>
  <c r="D13" i="12" s="1"/>
  <c r="M6" i="20"/>
  <c r="F28" i="24"/>
  <c r="BN16" i="15"/>
  <c r="BL17" i="15"/>
  <c r="BM17" i="15"/>
  <c r="BM106" i="15" s="1"/>
  <c r="CF270" i="17"/>
  <c r="CC270" i="17"/>
  <c r="BX273" i="17"/>
  <c r="CF272" i="17"/>
  <c r="CE270" i="17"/>
  <c r="I30" i="2"/>
  <c r="F30" i="21" s="1"/>
  <c r="L30" i="2"/>
  <c r="G31" i="24"/>
  <c r="E31" i="21"/>
  <c r="J31" i="21" s="1"/>
  <c r="D79" i="9"/>
  <c r="H31" i="2"/>
  <c r="F25" i="24"/>
  <c r="N20" i="24" s="1"/>
  <c r="M7" i="24"/>
  <c r="G35" i="24"/>
  <c r="K32" i="2"/>
  <c r="F34" i="24"/>
  <c r="BW140" i="17"/>
  <c r="BW139" i="17"/>
  <c r="BU139" i="17"/>
  <c r="BV139" i="17"/>
  <c r="G27" i="24"/>
  <c r="L20" i="20"/>
  <c r="BL18" i="15"/>
  <c r="BM18" i="15"/>
  <c r="CE271" i="17"/>
  <c r="CB271" i="17"/>
  <c r="CD270" i="17"/>
  <c r="BU273" i="17"/>
  <c r="G33" i="24"/>
  <c r="O30" i="2"/>
  <c r="M30" i="2"/>
  <c r="G32" i="24"/>
  <c r="F29" i="24"/>
  <c r="F36" i="24"/>
  <c r="CN422" i="17" l="1"/>
  <c r="CN517" i="17"/>
  <c r="CN467" i="17"/>
  <c r="CN518" i="17"/>
  <c r="CN453" i="17"/>
  <c r="CN413" i="17"/>
  <c r="CN437" i="17"/>
  <c r="CN463" i="17"/>
  <c r="CN478" i="17"/>
  <c r="CN440" i="17"/>
  <c r="CN424" i="17"/>
  <c r="CN516" i="17"/>
  <c r="CN416" i="17"/>
  <c r="CN469" i="17"/>
  <c r="CN457" i="17"/>
  <c r="CN509" i="17"/>
  <c r="CN510" i="17"/>
  <c r="CN430" i="17"/>
  <c r="CN508" i="17"/>
  <c r="CN465" i="17"/>
  <c r="CN476" i="17"/>
  <c r="CN477" i="17"/>
  <c r="CN479" i="17"/>
  <c r="CN435" i="17"/>
  <c r="CN491" i="17"/>
  <c r="CN505" i="17"/>
  <c r="CN462" i="17"/>
  <c r="CN515" i="17"/>
  <c r="CN452" i="17"/>
  <c r="CN433" i="17"/>
  <c r="CN503" i="17"/>
  <c r="CN444" i="17"/>
  <c r="CN418" i="17"/>
  <c r="CN450" i="17"/>
  <c r="CN496" i="17"/>
  <c r="CN483" i="17"/>
  <c r="CN471" i="17"/>
  <c r="CN481" i="17"/>
  <c r="CN499" i="17"/>
  <c r="CN522" i="17"/>
  <c r="CN504" i="17"/>
  <c r="CN434" i="17"/>
  <c r="CN521" i="17"/>
  <c r="CN512" i="17"/>
  <c r="CN492" i="17"/>
  <c r="CN428" i="17"/>
  <c r="CN429" i="17"/>
  <c r="CN523" i="17"/>
  <c r="CN466" i="17"/>
  <c r="CN414" i="17"/>
  <c r="CN425" i="17"/>
  <c r="CN468" i="17"/>
  <c r="CN498" i="17"/>
  <c r="CN431" i="17"/>
  <c r="CN500" i="17"/>
  <c r="CN514" i="17"/>
  <c r="CN484" i="17"/>
  <c r="CN490" i="17"/>
  <c r="CN519" i="17"/>
  <c r="CN520" i="17"/>
  <c r="CN511" i="17"/>
  <c r="CN412" i="17"/>
  <c r="CN494" i="17"/>
  <c r="CN482" i="17"/>
  <c r="CN451" i="17"/>
  <c r="CN448" i="17"/>
  <c r="CN475" i="17"/>
  <c r="CN474" i="17"/>
  <c r="CN421" i="17"/>
  <c r="CN524" i="17"/>
  <c r="CN507" i="17"/>
  <c r="CN409" i="17"/>
  <c r="CN436" i="17"/>
  <c r="CN495" i="17"/>
  <c r="CN473" i="17"/>
  <c r="CN443" i="17"/>
  <c r="CN488" i="17"/>
  <c r="CN447" i="17"/>
  <c r="CN449" i="17"/>
  <c r="CN472" i="17"/>
  <c r="CN487" i="17"/>
  <c r="CN461" i="17"/>
  <c r="CN458" i="17"/>
  <c r="CN502" i="17"/>
  <c r="CN480" i="17"/>
  <c r="CN454" i="17"/>
  <c r="CN441" i="17"/>
  <c r="CN497" i="17"/>
  <c r="CN464" i="17"/>
  <c r="CN470" i="17"/>
  <c r="CN501" i="17"/>
  <c r="CN446" i="17"/>
  <c r="CN513" i="17"/>
  <c r="CN427" i="17"/>
  <c r="CN459" i="17"/>
  <c r="CN485" i="17"/>
  <c r="CN489" i="17"/>
  <c r="CN426" i="17"/>
  <c r="CN417" i="17"/>
  <c r="CN411" i="17"/>
  <c r="CN432" i="17"/>
  <c r="CN456" i="17"/>
  <c r="CN415" i="17"/>
  <c r="CN419" i="17"/>
  <c r="CN423" i="17"/>
  <c r="CN455" i="17"/>
  <c r="CN445" i="17"/>
  <c r="CN442" i="17"/>
  <c r="CN439" i="17"/>
  <c r="CN460" i="17"/>
  <c r="CN486" i="17"/>
  <c r="CN493" i="17"/>
  <c r="CN420" i="17"/>
  <c r="CN438" i="17"/>
  <c r="CN506" i="17"/>
  <c r="CN410" i="17"/>
  <c r="CN408" i="17"/>
  <c r="D32" i="21"/>
  <c r="I32" i="21" s="1"/>
  <c r="C80" i="9"/>
  <c r="G32" i="2"/>
  <c r="CC291" i="17"/>
  <c r="CC386" i="17"/>
  <c r="CC297" i="17"/>
  <c r="CC348" i="17"/>
  <c r="CC333" i="17"/>
  <c r="CC341" i="17"/>
  <c r="CC336" i="17"/>
  <c r="CC334" i="17"/>
  <c r="CC338" i="17"/>
  <c r="CC283" i="17"/>
  <c r="CC323" i="17"/>
  <c r="CC373" i="17"/>
  <c r="CC325" i="17"/>
  <c r="CC370" i="17"/>
  <c r="CC309" i="17"/>
  <c r="CC372" i="17"/>
  <c r="CC292" i="17"/>
  <c r="CC375" i="17"/>
  <c r="CC286" i="17"/>
  <c r="CC310" i="17"/>
  <c r="CC346" i="17"/>
  <c r="CC352" i="17"/>
  <c r="CC366" i="17"/>
  <c r="CC342" i="17"/>
  <c r="CC335" i="17"/>
  <c r="CC363" i="17"/>
  <c r="CC365" i="17"/>
  <c r="CC304" i="17"/>
  <c r="CC353" i="17"/>
  <c r="CC359" i="17"/>
  <c r="CC355" i="17"/>
  <c r="CC305" i="17"/>
  <c r="CC301" i="17"/>
  <c r="CC389" i="17"/>
  <c r="CC345" i="17"/>
  <c r="CC320" i="17"/>
  <c r="CC358" i="17"/>
  <c r="CC374" i="17"/>
  <c r="CC287" i="17"/>
  <c r="CC391" i="17"/>
  <c r="CC392" i="17"/>
  <c r="CC314" i="17"/>
  <c r="CC318" i="17"/>
  <c r="CC279" i="17"/>
  <c r="CC377" i="17"/>
  <c r="CC302" i="17"/>
  <c r="CC343" i="17"/>
  <c r="CC311" i="17"/>
  <c r="CC378" i="17"/>
  <c r="CC300" i="17"/>
  <c r="CC369" i="17"/>
  <c r="CC295" i="17"/>
  <c r="CC347" i="17"/>
  <c r="CC357" i="17"/>
  <c r="CC339" i="17"/>
  <c r="CC327" i="17"/>
  <c r="CC379" i="17"/>
  <c r="CC332" i="17"/>
  <c r="CC376" i="17"/>
  <c r="CC315" i="17"/>
  <c r="CC293" i="17"/>
  <c r="CC349" i="17"/>
  <c r="CC294" i="17"/>
  <c r="CC307" i="17"/>
  <c r="CC306" i="17"/>
  <c r="CC299" i="17"/>
  <c r="CC360" i="17"/>
  <c r="CC282" i="17"/>
  <c r="CC330" i="17"/>
  <c r="CC328" i="17"/>
  <c r="CC393" i="17"/>
  <c r="CC331" i="17"/>
  <c r="CC326" i="17"/>
  <c r="CC344" i="17"/>
  <c r="CC356" i="17"/>
  <c r="CC321" i="17"/>
  <c r="CC278" i="17"/>
  <c r="CC289" i="17"/>
  <c r="CC308" i="17"/>
  <c r="CC284" i="17"/>
  <c r="CC384" i="17"/>
  <c r="CC388" i="17"/>
  <c r="CC382" i="17"/>
  <c r="CC319" i="17"/>
  <c r="CC316" i="17"/>
  <c r="CC361" i="17"/>
  <c r="CC288" i="17"/>
  <c r="CC350" i="17"/>
  <c r="CC313" i="17"/>
  <c r="CC380" i="17"/>
  <c r="CC290" i="17"/>
  <c r="CC387" i="17"/>
  <c r="CC329" i="17"/>
  <c r="CC381" i="17"/>
  <c r="CC385" i="17"/>
  <c r="CC303" i="17"/>
  <c r="CC337" i="17"/>
  <c r="CC368" i="17"/>
  <c r="CC383" i="17"/>
  <c r="CC298" i="17"/>
  <c r="CC322" i="17"/>
  <c r="CC371" i="17"/>
  <c r="CC340" i="17"/>
  <c r="CC317" i="17"/>
  <c r="CC312" i="17"/>
  <c r="CC362" i="17"/>
  <c r="CC281" i="17"/>
  <c r="CC354" i="17"/>
  <c r="CC324" i="17"/>
  <c r="CC351" i="17"/>
  <c r="CC285" i="17"/>
  <c r="CC296" i="17"/>
  <c r="CC390" i="17"/>
  <c r="CC364" i="17"/>
  <c r="CC277" i="17"/>
  <c r="CC280" i="17"/>
  <c r="CC367" i="17"/>
  <c r="A50" i="22"/>
  <c r="B32" i="21"/>
  <c r="D15" i="12"/>
  <c r="G23" i="24"/>
  <c r="L21" i="24"/>
  <c r="E15" i="12" s="1"/>
  <c r="BM44" i="15"/>
  <c r="BM87" i="15"/>
  <c r="BM99" i="15"/>
  <c r="BM61" i="15"/>
  <c r="BM54" i="15"/>
  <c r="BM62" i="15"/>
  <c r="BM71" i="15"/>
  <c r="BM117" i="15"/>
  <c r="BM107" i="15"/>
  <c r="BM135" i="15"/>
  <c r="BM31" i="15"/>
  <c r="BM110" i="15"/>
  <c r="BM129" i="15"/>
  <c r="BM97" i="15"/>
  <c r="BM104" i="15"/>
  <c r="BM83" i="15"/>
  <c r="BM92" i="15"/>
  <c r="BM67" i="15"/>
  <c r="BM137" i="15"/>
  <c r="BM89" i="15"/>
  <c r="BM66" i="15"/>
  <c r="BM64" i="15"/>
  <c r="BM34" i="15"/>
  <c r="BM25" i="15"/>
  <c r="BM96" i="15"/>
  <c r="BM82" i="15"/>
  <c r="BM131" i="15"/>
  <c r="BM123" i="15"/>
  <c r="BM132" i="15"/>
  <c r="I31" i="2"/>
  <c r="F31" i="21" s="1"/>
  <c r="L31" i="2"/>
  <c r="CM422" i="17"/>
  <c r="CM517" i="17"/>
  <c r="CM467" i="17"/>
  <c r="CM452" i="17"/>
  <c r="CM463" i="17"/>
  <c r="CM478" i="17"/>
  <c r="CM500" i="17"/>
  <c r="CM457" i="17"/>
  <c r="CM412" i="17"/>
  <c r="CM521" i="17"/>
  <c r="CM448" i="17"/>
  <c r="CM430" i="17"/>
  <c r="CM409" i="17"/>
  <c r="CM477" i="17"/>
  <c r="CM479" i="17"/>
  <c r="CM429" i="17"/>
  <c r="CM435" i="17"/>
  <c r="CM453" i="17"/>
  <c r="CM501" i="17"/>
  <c r="CM410" i="17"/>
  <c r="CM491" i="17"/>
  <c r="CM505" i="17"/>
  <c r="CM462" i="17"/>
  <c r="CM515" i="17"/>
  <c r="CM503" i="17"/>
  <c r="CM418" i="17"/>
  <c r="CM437" i="17"/>
  <c r="CM450" i="17"/>
  <c r="CM483" i="17"/>
  <c r="CM468" i="17"/>
  <c r="CM471" i="17"/>
  <c r="CM432" i="17"/>
  <c r="CM513" i="17"/>
  <c r="CM424" i="17"/>
  <c r="CM484" i="17"/>
  <c r="CM499" i="17"/>
  <c r="CM469" i="17"/>
  <c r="CM504" i="17"/>
  <c r="CM434" i="17"/>
  <c r="CM488" i="17"/>
  <c r="CM508" i="17"/>
  <c r="CM512" i="17"/>
  <c r="CM518" i="17"/>
  <c r="CM413" i="17"/>
  <c r="CM523" i="17"/>
  <c r="CM466" i="17"/>
  <c r="CM425" i="17"/>
  <c r="CM431" i="17"/>
  <c r="CM516" i="17"/>
  <c r="CM490" i="17"/>
  <c r="CM416" i="17"/>
  <c r="CM519" i="17"/>
  <c r="CM522" i="17"/>
  <c r="CM436" i="17"/>
  <c r="CM509" i="17"/>
  <c r="CM510" i="17"/>
  <c r="CM520" i="17"/>
  <c r="CM511" i="17"/>
  <c r="CM494" i="17"/>
  <c r="CM482" i="17"/>
  <c r="CM451" i="17"/>
  <c r="CM475" i="17"/>
  <c r="CM474" i="17"/>
  <c r="CM465" i="17"/>
  <c r="CM476" i="17"/>
  <c r="CM524" i="17"/>
  <c r="CM507" i="17"/>
  <c r="CM411" i="17"/>
  <c r="CM414" i="17"/>
  <c r="CM496" i="17"/>
  <c r="CM498" i="17"/>
  <c r="CM473" i="17"/>
  <c r="CM492" i="17"/>
  <c r="CM487" i="17"/>
  <c r="CM458" i="17"/>
  <c r="CM460" i="17"/>
  <c r="CM454" i="17"/>
  <c r="CM447" i="17"/>
  <c r="CM497" i="17"/>
  <c r="CM506" i="17"/>
  <c r="CM444" i="17"/>
  <c r="CM440" i="17"/>
  <c r="CM481" i="17"/>
  <c r="CM495" i="17"/>
  <c r="CM443" i="17"/>
  <c r="CM445" i="17"/>
  <c r="CM472" i="17"/>
  <c r="CM459" i="17"/>
  <c r="CM461" i="17"/>
  <c r="CM464" i="17"/>
  <c r="CM493" i="17"/>
  <c r="CM420" i="17"/>
  <c r="CM489" i="17"/>
  <c r="CM426" i="17"/>
  <c r="CM419" i="17"/>
  <c r="CM423" i="17"/>
  <c r="CM455" i="17"/>
  <c r="CM441" i="17"/>
  <c r="CM456" i="17"/>
  <c r="CM417" i="17"/>
  <c r="CM470" i="17"/>
  <c r="CM446" i="17"/>
  <c r="CM514" i="17"/>
  <c r="CM427" i="17"/>
  <c r="CM421" i="17"/>
  <c r="CM428" i="17"/>
  <c r="CM449" i="17"/>
  <c r="CM485" i="17"/>
  <c r="CM442" i="17"/>
  <c r="CM502" i="17"/>
  <c r="CM439" i="17"/>
  <c r="CM486" i="17"/>
  <c r="CM480" i="17"/>
  <c r="CM438" i="17"/>
  <c r="CM415" i="17"/>
  <c r="CM433" i="17"/>
  <c r="CM408" i="17"/>
  <c r="CO517" i="17"/>
  <c r="CO422" i="17"/>
  <c r="CO429" i="17"/>
  <c r="CO501" i="17"/>
  <c r="CO523" i="17"/>
  <c r="CO466" i="17"/>
  <c r="CO419" i="17"/>
  <c r="CO414" i="17"/>
  <c r="CO425" i="17"/>
  <c r="CO463" i="17"/>
  <c r="CO468" i="17"/>
  <c r="CO498" i="17"/>
  <c r="CO500" i="17"/>
  <c r="CO432" i="17"/>
  <c r="CO514" i="17"/>
  <c r="CO424" i="17"/>
  <c r="CO484" i="17"/>
  <c r="CO490" i="17"/>
  <c r="CO494" i="17"/>
  <c r="CO482" i="17"/>
  <c r="CO475" i="17"/>
  <c r="CO488" i="17"/>
  <c r="CO474" i="17"/>
  <c r="CO421" i="17"/>
  <c r="CO507" i="17"/>
  <c r="CO479" i="17"/>
  <c r="CO411" i="17"/>
  <c r="CO435" i="17"/>
  <c r="CO470" i="17"/>
  <c r="CO410" i="17"/>
  <c r="CO423" i="17"/>
  <c r="CO446" i="17"/>
  <c r="CO513" i="17"/>
  <c r="CO416" i="17"/>
  <c r="CO427" i="17"/>
  <c r="CO436" i="17"/>
  <c r="CO504" i="17"/>
  <c r="CO509" i="17"/>
  <c r="CO473" i="17"/>
  <c r="CO511" i="17"/>
  <c r="CO451" i="17"/>
  <c r="CO443" i="17"/>
  <c r="CO508" i="17"/>
  <c r="CO455" i="17"/>
  <c r="CO512" i="17"/>
  <c r="CO476" i="17"/>
  <c r="CO441" i="17"/>
  <c r="CO467" i="17"/>
  <c r="CO518" i="17"/>
  <c r="CO453" i="17"/>
  <c r="CO413" i="17"/>
  <c r="CO503" i="17"/>
  <c r="CO444" i="17"/>
  <c r="CO437" i="17"/>
  <c r="CO478" i="17"/>
  <c r="CO496" i="17"/>
  <c r="CO440" i="17"/>
  <c r="CO483" i="17"/>
  <c r="CO431" i="17"/>
  <c r="CO516" i="17"/>
  <c r="CO469" i="17"/>
  <c r="CO457" i="17"/>
  <c r="CO510" i="17"/>
  <c r="CO520" i="17"/>
  <c r="CO412" i="17"/>
  <c r="CO430" i="17"/>
  <c r="CO465" i="17"/>
  <c r="CO492" i="17"/>
  <c r="CO524" i="17"/>
  <c r="CO428" i="17"/>
  <c r="CO409" i="17"/>
  <c r="CO477" i="17"/>
  <c r="CO462" i="17"/>
  <c r="CO448" i="17"/>
  <c r="CO472" i="17"/>
  <c r="CO442" i="17"/>
  <c r="CO439" i="17"/>
  <c r="CO464" i="17"/>
  <c r="CO486" i="17"/>
  <c r="CO493" i="17"/>
  <c r="CO420" i="17"/>
  <c r="CO438" i="17"/>
  <c r="CO506" i="17"/>
  <c r="CO447" i="17"/>
  <c r="CO445" i="17"/>
  <c r="CO459" i="17"/>
  <c r="CO485" i="17"/>
  <c r="CO450" i="17"/>
  <c r="CO481" i="17"/>
  <c r="CO499" i="17"/>
  <c r="CO522" i="17"/>
  <c r="CO495" i="17"/>
  <c r="CO408" i="17"/>
  <c r="CO497" i="17"/>
  <c r="CO480" i="17"/>
  <c r="CO491" i="17"/>
  <c r="CO505" i="17"/>
  <c r="CO415" i="17"/>
  <c r="CO433" i="17"/>
  <c r="CO521" i="17"/>
  <c r="CO460" i="17"/>
  <c r="CO515" i="17"/>
  <c r="CO452" i="17"/>
  <c r="CO418" i="17"/>
  <c r="CO519" i="17"/>
  <c r="CO449" i="17"/>
  <c r="CO487" i="17"/>
  <c r="CO461" i="17"/>
  <c r="CO458" i="17"/>
  <c r="CO502" i="17"/>
  <c r="CO454" i="17"/>
  <c r="CO456" i="17"/>
  <c r="CO471" i="17"/>
  <c r="CO434" i="17"/>
  <c r="CO489" i="17"/>
  <c r="CO426" i="17"/>
  <c r="CO417" i="17"/>
  <c r="M20" i="24"/>
  <c r="BD124" i="17"/>
  <c r="BD29" i="17"/>
  <c r="BD91" i="17"/>
  <c r="BD108" i="17"/>
  <c r="BF108" i="17" s="1"/>
  <c r="BD54" i="17"/>
  <c r="BD99" i="17"/>
  <c r="BD106" i="17"/>
  <c r="BD126" i="17"/>
  <c r="BF126" i="17" s="1"/>
  <c r="BD60" i="17"/>
  <c r="BD16" i="17"/>
  <c r="BD72" i="17"/>
  <c r="BD64" i="17"/>
  <c r="BF64" i="17" s="1"/>
  <c r="BD65" i="17"/>
  <c r="BD88" i="17"/>
  <c r="BD93" i="17"/>
  <c r="BD70" i="17"/>
  <c r="BD107" i="17"/>
  <c r="BD35" i="17"/>
  <c r="BD115" i="17"/>
  <c r="BD28" i="17"/>
  <c r="BF28" i="17" s="1"/>
  <c r="BD94" i="17"/>
  <c r="BD17" i="17"/>
  <c r="BD112" i="17"/>
  <c r="BD77" i="17"/>
  <c r="BD47" i="17"/>
  <c r="BD26" i="17"/>
  <c r="BD105" i="17"/>
  <c r="BD102" i="17"/>
  <c r="BF102" i="17" s="1"/>
  <c r="BD121" i="17"/>
  <c r="BD15" i="17"/>
  <c r="BD30" i="17"/>
  <c r="BD25" i="17"/>
  <c r="BD57" i="17"/>
  <c r="BD61" i="17"/>
  <c r="BD63" i="17"/>
  <c r="BD122" i="17"/>
  <c r="BF122" i="17" s="1"/>
  <c r="BD66" i="17"/>
  <c r="BD101" i="17"/>
  <c r="BD46" i="17"/>
  <c r="BD71" i="17"/>
  <c r="BF71" i="17" s="1"/>
  <c r="BD103" i="17"/>
  <c r="BD130" i="17"/>
  <c r="BD109" i="17"/>
  <c r="BD19" i="17"/>
  <c r="BF19" i="17" s="1"/>
  <c r="BD62" i="17"/>
  <c r="BD40" i="17"/>
  <c r="BD23" i="17"/>
  <c r="BD129" i="17"/>
  <c r="BF129" i="17" s="1"/>
  <c r="BD34" i="17"/>
  <c r="BD32" i="17"/>
  <c r="BD44" i="17"/>
  <c r="BD117" i="17"/>
  <c r="BF117" i="17" s="1"/>
  <c r="BD113" i="17"/>
  <c r="BD76" i="17"/>
  <c r="BD87" i="17"/>
  <c r="BD37" i="17"/>
  <c r="BF37" i="17" s="1"/>
  <c r="BD36" i="17"/>
  <c r="BD22" i="17"/>
  <c r="BD79" i="17"/>
  <c r="BD67" i="17"/>
  <c r="BD111" i="17"/>
  <c r="BD18" i="17"/>
  <c r="BD131" i="17"/>
  <c r="BD69" i="17"/>
  <c r="BF69" i="17" s="1"/>
  <c r="BD31" i="17"/>
  <c r="BD89" i="17"/>
  <c r="BD27" i="17"/>
  <c r="BD53" i="17"/>
  <c r="BF53" i="17" s="1"/>
  <c r="BD59" i="17"/>
  <c r="BD74" i="17"/>
  <c r="BD104" i="17"/>
  <c r="BD125" i="17"/>
  <c r="BF125" i="17" s="1"/>
  <c r="BD49" i="17"/>
  <c r="BD83" i="17"/>
  <c r="BD45" i="17"/>
  <c r="BD55" i="17"/>
  <c r="BF55" i="17" s="1"/>
  <c r="BD82" i="17"/>
  <c r="BD127" i="17"/>
  <c r="BD20" i="17"/>
  <c r="BD118" i="17"/>
  <c r="BF118" i="17" s="1"/>
  <c r="BD92" i="17"/>
  <c r="BD90" i="17"/>
  <c r="BD100" i="17"/>
  <c r="BD119" i="17"/>
  <c r="BD110" i="17"/>
  <c r="BD84" i="17"/>
  <c r="BD52" i="17"/>
  <c r="BD128" i="17"/>
  <c r="BF128" i="17" s="1"/>
  <c r="BD86" i="17"/>
  <c r="BD123" i="17"/>
  <c r="BD95" i="17"/>
  <c r="BD81" i="17"/>
  <c r="BF81" i="17" s="1"/>
  <c r="BD56" i="17"/>
  <c r="BD68" i="17"/>
  <c r="BD51" i="17"/>
  <c r="BD96" i="17"/>
  <c r="BD39" i="17"/>
  <c r="BD85" i="17"/>
  <c r="BD24" i="17"/>
  <c r="BD41" i="17"/>
  <c r="BF41" i="17" s="1"/>
  <c r="BD114" i="17"/>
  <c r="BD97" i="17"/>
  <c r="BD78" i="17"/>
  <c r="BD38" i="17"/>
  <c r="BF38" i="17" s="1"/>
  <c r="BD33" i="17"/>
  <c r="BD80" i="17"/>
  <c r="BD98" i="17"/>
  <c r="BD73" i="17"/>
  <c r="BF73" i="17" s="1"/>
  <c r="BD43" i="17"/>
  <c r="BD120" i="17"/>
  <c r="BD75" i="17"/>
  <c r="BD48" i="17"/>
  <c r="BF48" i="17" s="1"/>
  <c r="BD42" i="17"/>
  <c r="BD58" i="17"/>
  <c r="BD50" i="17"/>
  <c r="BD21" i="17"/>
  <c r="BF21" i="17" s="1"/>
  <c r="BD116" i="17"/>
  <c r="CD291" i="17"/>
  <c r="CD386" i="17"/>
  <c r="CD348" i="17"/>
  <c r="CD336" i="17"/>
  <c r="CD283" i="17"/>
  <c r="CD326" i="17"/>
  <c r="CD323" i="17"/>
  <c r="CD305" i="17"/>
  <c r="CD317" i="17"/>
  <c r="CD357" i="17"/>
  <c r="CD321" i="17"/>
  <c r="CD278" i="17"/>
  <c r="CD372" i="17"/>
  <c r="CD292" i="17"/>
  <c r="CD375" i="17"/>
  <c r="CD293" i="17"/>
  <c r="CD306" i="17"/>
  <c r="CD346" i="17"/>
  <c r="CD318" i="17"/>
  <c r="CD352" i="17"/>
  <c r="CD335" i="17"/>
  <c r="CD363" i="17"/>
  <c r="CD302" i="17"/>
  <c r="CD313" i="17"/>
  <c r="CD333" i="17"/>
  <c r="CD304" i="17"/>
  <c r="CD353" i="17"/>
  <c r="CD359" i="17"/>
  <c r="CD329" i="17"/>
  <c r="CD355" i="17"/>
  <c r="CD320" i="17"/>
  <c r="CD287" i="17"/>
  <c r="CD391" i="17"/>
  <c r="CD310" i="17"/>
  <c r="CD314" i="17"/>
  <c r="CD281" i="17"/>
  <c r="CD279" i="17"/>
  <c r="CD342" i="17"/>
  <c r="CD297" i="17"/>
  <c r="CD365" i="17"/>
  <c r="CD343" i="17"/>
  <c r="CD341" i="17"/>
  <c r="CD311" i="17"/>
  <c r="CD338" i="17"/>
  <c r="CD373" i="17"/>
  <c r="CD378" i="17"/>
  <c r="CD300" i="17"/>
  <c r="CD295" i="17"/>
  <c r="CD301" i="17"/>
  <c r="CD325" i="17"/>
  <c r="CD347" i="17"/>
  <c r="CD370" i="17"/>
  <c r="CD339" i="17"/>
  <c r="CD309" i="17"/>
  <c r="CD327" i="17"/>
  <c r="CD289" i="17"/>
  <c r="CD358" i="17"/>
  <c r="CD379" i="17"/>
  <c r="CD332" i="17"/>
  <c r="CD376" i="17"/>
  <c r="CD374" i="17"/>
  <c r="CD315" i="17"/>
  <c r="CD307" i="17"/>
  <c r="CD299" i="17"/>
  <c r="CD360" i="17"/>
  <c r="CD282" i="17"/>
  <c r="CD392" i="17"/>
  <c r="CD330" i="17"/>
  <c r="CD328" i="17"/>
  <c r="CD331" i="17"/>
  <c r="CD334" i="17"/>
  <c r="CD344" i="17"/>
  <c r="CD369" i="17"/>
  <c r="CD356" i="17"/>
  <c r="CD308" i="17"/>
  <c r="CD294" i="17"/>
  <c r="CD284" i="17"/>
  <c r="CD377" i="17"/>
  <c r="CD384" i="17"/>
  <c r="CD322" i="17"/>
  <c r="CD388" i="17"/>
  <c r="CD277" i="17"/>
  <c r="CD316" i="17"/>
  <c r="CD337" i="17"/>
  <c r="CD288" i="17"/>
  <c r="CD367" i="17"/>
  <c r="CD393" i="17"/>
  <c r="CD380" i="17"/>
  <c r="CD387" i="17"/>
  <c r="CD389" i="17"/>
  <c r="CD303" i="17"/>
  <c r="CD361" i="17"/>
  <c r="CD368" i="17"/>
  <c r="CD383" i="17"/>
  <c r="CD280" i="17"/>
  <c r="CD290" i="17"/>
  <c r="CD286" i="17"/>
  <c r="CD349" i="17"/>
  <c r="CD354" i="17"/>
  <c r="CD285" i="17"/>
  <c r="CD390" i="17"/>
  <c r="CD371" i="17"/>
  <c r="CD340" i="17"/>
  <c r="CD312" i="17"/>
  <c r="CD345" i="17"/>
  <c r="CD362" i="17"/>
  <c r="CD366" i="17"/>
  <c r="CD324" i="17"/>
  <c r="CD381" i="17"/>
  <c r="CD385" i="17"/>
  <c r="CD351" i="17"/>
  <c r="CD350" i="17"/>
  <c r="CD296" i="17"/>
  <c r="CD364" i="17"/>
  <c r="CD319" i="17"/>
  <c r="CD298" i="17"/>
  <c r="CD382" i="17"/>
  <c r="BU255" i="17"/>
  <c r="BU160" i="17"/>
  <c r="BU167" i="17"/>
  <c r="BU182" i="17"/>
  <c r="BU219" i="17"/>
  <c r="BU218" i="17"/>
  <c r="BU176" i="17"/>
  <c r="BU251" i="17"/>
  <c r="BU229" i="17"/>
  <c r="BU212" i="17"/>
  <c r="BU199" i="17"/>
  <c r="BU205" i="17"/>
  <c r="BU171" i="17"/>
  <c r="BU198" i="17"/>
  <c r="BU236" i="17"/>
  <c r="BU242" i="17"/>
  <c r="BU246" i="17"/>
  <c r="BU228" i="17"/>
  <c r="BU237" i="17"/>
  <c r="BU257" i="17"/>
  <c r="BU158" i="17"/>
  <c r="BU146" i="17"/>
  <c r="BU256" i="17"/>
  <c r="BU215" i="17"/>
  <c r="BU225" i="17"/>
  <c r="BU206" i="17"/>
  <c r="BU202" i="17"/>
  <c r="BU147" i="17"/>
  <c r="BU180" i="17"/>
  <c r="BU154" i="17"/>
  <c r="BU227" i="17"/>
  <c r="BU216" i="17"/>
  <c r="BU155" i="17"/>
  <c r="BU249" i="17"/>
  <c r="BU190" i="17"/>
  <c r="BU172" i="17"/>
  <c r="BU224" i="17"/>
  <c r="BU192" i="17"/>
  <c r="BU175" i="17"/>
  <c r="BU238" i="17"/>
  <c r="BU179" i="17"/>
  <c r="BU253" i="17"/>
  <c r="BU187" i="17"/>
  <c r="BU231" i="17"/>
  <c r="BU149" i="17"/>
  <c r="BU245" i="17"/>
  <c r="BU191" i="17"/>
  <c r="BU214" i="17"/>
  <c r="BU259" i="17"/>
  <c r="BU244" i="17"/>
  <c r="BU193" i="17"/>
  <c r="BU235" i="17"/>
  <c r="BU230" i="17"/>
  <c r="BU157" i="17"/>
  <c r="BU152" i="17"/>
  <c r="BU243" i="17"/>
  <c r="BU234" i="17"/>
  <c r="BU210" i="17"/>
  <c r="BU220" i="17"/>
  <c r="BU163" i="17"/>
  <c r="BU169" i="17"/>
  <c r="BU181" i="17"/>
  <c r="BU194" i="17"/>
  <c r="BU151" i="17"/>
  <c r="BU173" i="17"/>
  <c r="BU197" i="17"/>
  <c r="BU184" i="17"/>
  <c r="BU185" i="17"/>
  <c r="BU250" i="17"/>
  <c r="BU226" i="17"/>
  <c r="BU217" i="17"/>
  <c r="BU239" i="17"/>
  <c r="BU148" i="17"/>
  <c r="BU186" i="17"/>
  <c r="BU247" i="17"/>
  <c r="BU261" i="17"/>
  <c r="BU204" i="17"/>
  <c r="BU150" i="17"/>
  <c r="BU221" i="17"/>
  <c r="BU161" i="17"/>
  <c r="BU153" i="17"/>
  <c r="BU195" i="17"/>
  <c r="BU177" i="17"/>
  <c r="BU213" i="17"/>
  <c r="BU164" i="17"/>
  <c r="BU208" i="17"/>
  <c r="BU178" i="17"/>
  <c r="BU203" i="17"/>
  <c r="BU156" i="17"/>
  <c r="BU168" i="17"/>
  <c r="BU188" i="17"/>
  <c r="BU201" i="17"/>
  <c r="BU258" i="17"/>
  <c r="BU162" i="17"/>
  <c r="BU196" i="17"/>
  <c r="BU165" i="17"/>
  <c r="BU262" i="17"/>
  <c r="BU170" i="17"/>
  <c r="BU223" i="17"/>
  <c r="BU240" i="17"/>
  <c r="BU174" i="17"/>
  <c r="BU166" i="17"/>
  <c r="BU211" i="17"/>
  <c r="BU248" i="17"/>
  <c r="BU254" i="17"/>
  <c r="BU209" i="17"/>
  <c r="BU252" i="17"/>
  <c r="BU233" i="17"/>
  <c r="BU183" i="17"/>
  <c r="BU222" i="17"/>
  <c r="BU159" i="17"/>
  <c r="BU232" i="17"/>
  <c r="BU241" i="17"/>
  <c r="BU207" i="17"/>
  <c r="BU260" i="17"/>
  <c r="BU200" i="17"/>
  <c r="BU189" i="17"/>
  <c r="G25" i="24"/>
  <c r="G24" i="24"/>
  <c r="G26" i="24"/>
  <c r="CE291" i="17"/>
  <c r="CE386" i="17"/>
  <c r="CE365" i="17"/>
  <c r="CE380" i="17"/>
  <c r="CE343" i="17"/>
  <c r="CE353" i="17"/>
  <c r="CE336" i="17"/>
  <c r="CE311" i="17"/>
  <c r="CE338" i="17"/>
  <c r="CE305" i="17"/>
  <c r="CE378" i="17"/>
  <c r="CE295" i="17"/>
  <c r="CE301" i="17"/>
  <c r="CE347" i="17"/>
  <c r="CE389" i="17"/>
  <c r="CE370" i="17"/>
  <c r="CE345" i="17"/>
  <c r="CE339" i="17"/>
  <c r="CE327" i="17"/>
  <c r="CE358" i="17"/>
  <c r="CE379" i="17"/>
  <c r="CE374" i="17"/>
  <c r="CE315" i="17"/>
  <c r="CE307" i="17"/>
  <c r="CE299" i="17"/>
  <c r="CE282" i="17"/>
  <c r="CE284" i="17"/>
  <c r="CE330" i="17"/>
  <c r="CE377" i="17"/>
  <c r="CE348" i="17"/>
  <c r="CE331" i="17"/>
  <c r="CE290" i="17"/>
  <c r="CE334" i="17"/>
  <c r="CE387" i="17"/>
  <c r="CE371" i="17"/>
  <c r="CE340" i="17"/>
  <c r="CE369" i="17"/>
  <c r="CE357" i="17"/>
  <c r="CE356" i="17"/>
  <c r="CE362" i="17"/>
  <c r="CE286" i="17"/>
  <c r="CE293" i="17"/>
  <c r="CE308" i="17"/>
  <c r="CE349" i="17"/>
  <c r="CE294" i="17"/>
  <c r="CE319" i="17"/>
  <c r="CE354" i="17"/>
  <c r="CE366" i="17"/>
  <c r="CE298" i="17"/>
  <c r="CE313" i="17"/>
  <c r="CE329" i="17"/>
  <c r="CE283" i="17"/>
  <c r="CE326" i="17"/>
  <c r="CE323" i="17"/>
  <c r="CE317" i="17"/>
  <c r="CE321" i="17"/>
  <c r="CE278" i="17"/>
  <c r="CE372" i="17"/>
  <c r="CE292" i="17"/>
  <c r="CE289" i="17"/>
  <c r="CE375" i="17"/>
  <c r="CE376" i="17"/>
  <c r="CE306" i="17"/>
  <c r="CE360" i="17"/>
  <c r="CE346" i="17"/>
  <c r="CE392" i="17"/>
  <c r="CE318" i="17"/>
  <c r="CE281" i="17"/>
  <c r="CE352" i="17"/>
  <c r="CE328" i="17"/>
  <c r="CE302" i="17"/>
  <c r="CE333" i="17"/>
  <c r="CE355" i="17"/>
  <c r="CE344" i="17"/>
  <c r="CE300" i="17"/>
  <c r="CE325" i="17"/>
  <c r="CE320" i="17"/>
  <c r="CE324" i="17"/>
  <c r="CE381" i="17"/>
  <c r="CE385" i="17"/>
  <c r="CE351" i="17"/>
  <c r="CE337" i="17"/>
  <c r="CE368" i="17"/>
  <c r="CE350" i="17"/>
  <c r="CE279" i="17"/>
  <c r="CE288" i="17"/>
  <c r="CE364" i="17"/>
  <c r="CE341" i="17"/>
  <c r="CE373" i="17"/>
  <c r="CE332" i="17"/>
  <c r="CE391" i="17"/>
  <c r="CE310" i="17"/>
  <c r="CE314" i="17"/>
  <c r="CE342" i="17"/>
  <c r="CE316" i="17"/>
  <c r="CE285" i="17"/>
  <c r="CE367" i="17"/>
  <c r="CE390" i="17"/>
  <c r="CE382" i="17"/>
  <c r="CE277" i="17"/>
  <c r="CE335" i="17"/>
  <c r="CE363" i="17"/>
  <c r="CE359" i="17"/>
  <c r="CE303" i="17"/>
  <c r="CE297" i="17"/>
  <c r="CE393" i="17"/>
  <c r="CE304" i="17"/>
  <c r="CE312" i="17"/>
  <c r="CE309" i="17"/>
  <c r="CE287" i="17"/>
  <c r="CE384" i="17"/>
  <c r="CE361" i="17"/>
  <c r="CE322" i="17"/>
  <c r="CE388" i="17"/>
  <c r="CE296" i="17"/>
  <c r="CE280" i="17"/>
  <c r="CE383" i="17"/>
  <c r="CF291" i="17"/>
  <c r="CF386" i="17"/>
  <c r="CF335" i="17"/>
  <c r="CF328" i="17"/>
  <c r="CF313" i="17"/>
  <c r="CF280" i="17"/>
  <c r="CF380" i="17"/>
  <c r="CF343" i="17"/>
  <c r="CF311" i="17"/>
  <c r="CF340" i="17"/>
  <c r="CF329" i="17"/>
  <c r="CF355" i="17"/>
  <c r="CF326" i="17"/>
  <c r="CF317" i="17"/>
  <c r="CF344" i="17"/>
  <c r="CF295" i="17"/>
  <c r="CF312" i="17"/>
  <c r="CF347" i="17"/>
  <c r="CF356" i="17"/>
  <c r="CF321" i="17"/>
  <c r="CF278" i="17"/>
  <c r="CF327" i="17"/>
  <c r="CF289" i="17"/>
  <c r="CF379" i="17"/>
  <c r="CF315" i="17"/>
  <c r="CF308" i="17"/>
  <c r="CF306" i="17"/>
  <c r="CF299" i="17"/>
  <c r="CF346" i="17"/>
  <c r="CF284" i="17"/>
  <c r="CF318" i="17"/>
  <c r="CF281" i="17"/>
  <c r="CF297" i="17"/>
  <c r="CF348" i="17"/>
  <c r="CF302" i="17"/>
  <c r="CF333" i="17"/>
  <c r="CF331" i="17"/>
  <c r="CF341" i="17"/>
  <c r="CF336" i="17"/>
  <c r="CF373" i="17"/>
  <c r="CF325" i="17"/>
  <c r="CF339" i="17"/>
  <c r="CF309" i="17"/>
  <c r="CF372" i="17"/>
  <c r="CF292" i="17"/>
  <c r="CF307" i="17"/>
  <c r="CF310" i="17"/>
  <c r="CF392" i="17"/>
  <c r="CF314" i="17"/>
  <c r="CF352" i="17"/>
  <c r="CF342" i="17"/>
  <c r="CF393" i="17"/>
  <c r="CF365" i="17"/>
  <c r="CF304" i="17"/>
  <c r="CF353" i="17"/>
  <c r="CF387" i="17"/>
  <c r="CF371" i="17"/>
  <c r="CF338" i="17"/>
  <c r="CF283" i="17"/>
  <c r="CF305" i="17"/>
  <c r="CF378" i="17"/>
  <c r="CF301" i="17"/>
  <c r="CF389" i="17"/>
  <c r="CF370" i="17"/>
  <c r="CF345" i="17"/>
  <c r="CF320" i="17"/>
  <c r="CF358" i="17"/>
  <c r="CF375" i="17"/>
  <c r="CF374" i="17"/>
  <c r="CF287" i="17"/>
  <c r="CF282" i="17"/>
  <c r="CF330" i="17"/>
  <c r="CF377" i="17"/>
  <c r="CF334" i="17"/>
  <c r="CF300" i="17"/>
  <c r="CF369" i="17"/>
  <c r="CF357" i="17"/>
  <c r="CF349" i="17"/>
  <c r="CF294" i="17"/>
  <c r="CF279" i="17"/>
  <c r="CF361" i="17"/>
  <c r="CF322" i="17"/>
  <c r="CF288" i="17"/>
  <c r="CF298" i="17"/>
  <c r="CF296" i="17"/>
  <c r="CF363" i="17"/>
  <c r="CF332" i="17"/>
  <c r="CF391" i="17"/>
  <c r="CF319" i="17"/>
  <c r="CF316" i="17"/>
  <c r="CF384" i="17"/>
  <c r="CF351" i="17"/>
  <c r="CF388" i="17"/>
  <c r="CF290" i="17"/>
  <c r="CF359" i="17"/>
  <c r="CF286" i="17"/>
  <c r="CF324" i="17"/>
  <c r="CF364" i="17"/>
  <c r="CF382" i="17"/>
  <c r="CF277" i="17"/>
  <c r="CF323" i="17"/>
  <c r="CF362" i="17"/>
  <c r="CF376" i="17"/>
  <c r="CF360" i="17"/>
  <c r="CF366" i="17"/>
  <c r="CF381" i="17"/>
  <c r="CF385" i="17"/>
  <c r="CF303" i="17"/>
  <c r="CF337" i="17"/>
  <c r="CF368" i="17"/>
  <c r="CF350" i="17"/>
  <c r="CF367" i="17"/>
  <c r="CF383" i="17"/>
  <c r="CF293" i="17"/>
  <c r="CF354" i="17"/>
  <c r="CF285" i="17"/>
  <c r="CF390" i="17"/>
  <c r="BT160" i="17"/>
  <c r="BT255" i="17"/>
  <c r="BT167" i="17"/>
  <c r="BT214" i="17"/>
  <c r="BX214" i="17" s="1"/>
  <c r="BT229" i="17"/>
  <c r="BT147" i="17"/>
  <c r="BT230" i="17"/>
  <c r="BT180" i="17"/>
  <c r="BT227" i="17"/>
  <c r="BT216" i="17"/>
  <c r="BT155" i="17"/>
  <c r="BT172" i="17"/>
  <c r="BX172" i="17" s="1"/>
  <c r="BT205" i="17"/>
  <c r="BT224" i="17"/>
  <c r="BT192" i="17"/>
  <c r="BT242" i="17"/>
  <c r="BX242" i="17" s="1"/>
  <c r="BT247" i="17"/>
  <c r="BT175" i="17"/>
  <c r="BT179" i="17"/>
  <c r="BT187" i="17"/>
  <c r="BX187" i="17" s="1"/>
  <c r="BT237" i="17"/>
  <c r="BT257" i="17"/>
  <c r="BT146" i="17"/>
  <c r="BT183" i="17"/>
  <c r="BX183" i="17" s="1"/>
  <c r="BT166" i="17"/>
  <c r="BT225" i="17"/>
  <c r="BT202" i="17"/>
  <c r="BT259" i="17"/>
  <c r="BT244" i="17"/>
  <c r="BT262" i="17"/>
  <c r="BT254" i="17"/>
  <c r="BT235" i="17"/>
  <c r="BT152" i="17"/>
  <c r="BT243" i="17"/>
  <c r="BT249" i="17"/>
  <c r="BT220" i="17"/>
  <c r="BX220" i="17" s="1"/>
  <c r="BT163" i="17"/>
  <c r="BT194" i="17"/>
  <c r="BT253" i="17"/>
  <c r="BT149" i="17"/>
  <c r="BX149" i="17" s="1"/>
  <c r="BT184" i="17"/>
  <c r="BT215" i="17"/>
  <c r="BT200" i="17"/>
  <c r="BT250" i="17"/>
  <c r="BX250" i="17" s="1"/>
  <c r="BT226" i="17"/>
  <c r="BT245" i="17"/>
  <c r="BT211" i="17"/>
  <c r="BT162" i="17"/>
  <c r="BX162" i="17" s="1"/>
  <c r="BT196" i="17"/>
  <c r="BT191" i="17"/>
  <c r="BT182" i="17"/>
  <c r="BT248" i="17"/>
  <c r="BX248" i="17" s="1"/>
  <c r="BT193" i="17"/>
  <c r="BT199" i="17"/>
  <c r="BT157" i="17"/>
  <c r="BT154" i="17"/>
  <c r="BX154" i="17" s="1"/>
  <c r="BT239" i="17"/>
  <c r="BT148" i="17"/>
  <c r="BT234" i="17"/>
  <c r="BT210" i="17"/>
  <c r="BT198" i="17"/>
  <c r="BT186" i="17"/>
  <c r="BT169" i="17"/>
  <c r="BT181" i="17"/>
  <c r="BX181" i="17" s="1"/>
  <c r="BT252" i="17"/>
  <c r="BT246" i="17"/>
  <c r="BT158" i="17"/>
  <c r="BT164" i="17"/>
  <c r="BT173" i="17"/>
  <c r="BT197" i="17"/>
  <c r="BT240" i="17"/>
  <c r="BT177" i="17"/>
  <c r="BX177" i="17" s="1"/>
  <c r="BT176" i="17"/>
  <c r="BT171" i="17"/>
  <c r="BT213" i="17"/>
  <c r="BT153" i="17"/>
  <c r="BX153" i="17" s="1"/>
  <c r="BT222" i="17"/>
  <c r="BT159" i="17"/>
  <c r="BT221" i="17"/>
  <c r="BT203" i="17"/>
  <c r="BX203" i="17" s="1"/>
  <c r="BT156" i="17"/>
  <c r="BT161" i="17"/>
  <c r="BT168" i="17"/>
  <c r="BT188" i="17"/>
  <c r="BX188" i="17" s="1"/>
  <c r="BT204" i="17"/>
  <c r="BT189" i="17"/>
  <c r="BT218" i="17"/>
  <c r="BT212" i="17"/>
  <c r="BX212" i="17" s="1"/>
  <c r="BT209" i="17"/>
  <c r="BT170" i="17"/>
  <c r="BT223" i="17"/>
  <c r="BT228" i="17"/>
  <c r="BX228" i="17" s="1"/>
  <c r="BT233" i="17"/>
  <c r="BT256" i="17"/>
  <c r="BT208" i="17"/>
  <c r="BT178" i="17"/>
  <c r="BX178" i="17" s="1"/>
  <c r="BT232" i="17"/>
  <c r="BT207" i="17"/>
  <c r="BT260" i="17"/>
  <c r="BT174" i="17"/>
  <c r="BT258" i="17"/>
  <c r="BT185" i="17"/>
  <c r="BT219" i="17"/>
  <c r="BT236" i="17"/>
  <c r="BX236" i="17" s="1"/>
  <c r="BT261" i="17"/>
  <c r="BT206" i="17"/>
  <c r="BT165" i="17"/>
  <c r="BT251" i="17"/>
  <c r="BT190" i="17"/>
  <c r="BT238" i="17"/>
  <c r="BT231" i="17"/>
  <c r="BT150" i="17"/>
  <c r="BX150" i="17" s="1"/>
  <c r="BT241" i="17"/>
  <c r="BT195" i="17"/>
  <c r="BT201" i="17"/>
  <c r="BT217" i="17"/>
  <c r="BT151" i="17"/>
  <c r="CJ422" i="17"/>
  <c r="CJ517" i="17"/>
  <c r="CJ411" i="17"/>
  <c r="CP411" i="17" s="1"/>
  <c r="CJ470" i="17"/>
  <c r="CJ410" i="17"/>
  <c r="CJ505" i="17"/>
  <c r="CJ413" i="17"/>
  <c r="CP413" i="17" s="1"/>
  <c r="CJ415" i="17"/>
  <c r="CJ419" i="17"/>
  <c r="CJ423" i="17"/>
  <c r="CJ446" i="17"/>
  <c r="CP446" i="17" s="1"/>
  <c r="CJ468" i="17"/>
  <c r="CJ500" i="17"/>
  <c r="CJ484" i="17"/>
  <c r="CJ416" i="17"/>
  <c r="CJ427" i="17"/>
  <c r="CJ509" i="17"/>
  <c r="CJ495" i="17"/>
  <c r="CJ408" i="17"/>
  <c r="CP408" i="17" s="1"/>
  <c r="CJ473" i="17"/>
  <c r="CJ521" i="17"/>
  <c r="CJ448" i="17"/>
  <c r="CJ443" i="17"/>
  <c r="CP443" i="17" s="1"/>
  <c r="CJ455" i="17"/>
  <c r="CJ441" i="17"/>
  <c r="CJ409" i="17"/>
  <c r="CJ467" i="17"/>
  <c r="CP467" i="17" s="1"/>
  <c r="CJ518" i="17"/>
  <c r="CJ453" i="17"/>
  <c r="CJ437" i="17"/>
  <c r="CJ463" i="17"/>
  <c r="CP463" i="17" s="1"/>
  <c r="CJ478" i="17"/>
  <c r="CJ440" i="17"/>
  <c r="CJ432" i="17"/>
  <c r="CJ469" i="17"/>
  <c r="CP469" i="17" s="1"/>
  <c r="CJ457" i="17"/>
  <c r="CJ436" i="17"/>
  <c r="CJ510" i="17"/>
  <c r="CJ430" i="17"/>
  <c r="CP430" i="17" s="1"/>
  <c r="CJ508" i="17"/>
  <c r="CJ512" i="17"/>
  <c r="CJ465" i="17"/>
  <c r="CJ477" i="17"/>
  <c r="CJ435" i="17"/>
  <c r="CJ491" i="17"/>
  <c r="CJ462" i="17"/>
  <c r="CJ515" i="17"/>
  <c r="CP515" i="17" s="1"/>
  <c r="CJ433" i="17"/>
  <c r="CJ503" i="17"/>
  <c r="CJ444" i="17"/>
  <c r="CJ418" i="17"/>
  <c r="CP418" i="17" s="1"/>
  <c r="CJ450" i="17"/>
  <c r="CJ483" i="17"/>
  <c r="CJ471" i="17"/>
  <c r="CJ481" i="17"/>
  <c r="CJ513" i="17"/>
  <c r="CJ516" i="17"/>
  <c r="CJ499" i="17"/>
  <c r="CJ522" i="17"/>
  <c r="CP522" i="17" s="1"/>
  <c r="CJ412" i="17"/>
  <c r="CJ434" i="17"/>
  <c r="CJ492" i="17"/>
  <c r="CJ524" i="17"/>
  <c r="CP524" i="17" s="1"/>
  <c r="CJ428" i="17"/>
  <c r="CJ482" i="17"/>
  <c r="CJ451" i="17"/>
  <c r="CJ421" i="17"/>
  <c r="CJ420" i="17"/>
  <c r="CJ488" i="17"/>
  <c r="CJ472" i="17"/>
  <c r="CJ442" i="17"/>
  <c r="CP442" i="17" s="1"/>
  <c r="CJ486" i="17"/>
  <c r="CJ523" i="17"/>
  <c r="CJ414" i="17"/>
  <c r="CJ514" i="17"/>
  <c r="CP514" i="17" s="1"/>
  <c r="CJ475" i="17"/>
  <c r="CJ474" i="17"/>
  <c r="CJ476" i="17"/>
  <c r="CJ447" i="17"/>
  <c r="CP447" i="17" s="1"/>
  <c r="CJ449" i="17"/>
  <c r="CJ487" i="17"/>
  <c r="CJ461" i="17"/>
  <c r="CJ458" i="17"/>
  <c r="CJ502" i="17"/>
  <c r="CJ464" i="17"/>
  <c r="CJ454" i="17"/>
  <c r="CJ456" i="17"/>
  <c r="CP456" i="17" s="1"/>
  <c r="CJ426" i="17"/>
  <c r="CJ417" i="17"/>
  <c r="CJ501" i="17"/>
  <c r="CJ452" i="17"/>
  <c r="CJ425" i="17"/>
  <c r="CJ490" i="17"/>
  <c r="CJ507" i="17"/>
  <c r="CJ439" i="17"/>
  <c r="CP439" i="17" s="1"/>
  <c r="CJ493" i="17"/>
  <c r="CJ438" i="17"/>
  <c r="CJ506" i="17"/>
  <c r="CJ429" i="17"/>
  <c r="CJ496" i="17"/>
  <c r="CJ424" i="17"/>
  <c r="CJ519" i="17"/>
  <c r="CJ504" i="17"/>
  <c r="CJ520" i="17"/>
  <c r="CJ511" i="17"/>
  <c r="CJ494" i="17"/>
  <c r="CJ479" i="17"/>
  <c r="CJ459" i="17"/>
  <c r="CJ485" i="17"/>
  <c r="CJ497" i="17"/>
  <c r="CJ460" i="17"/>
  <c r="CP460" i="17" s="1"/>
  <c r="CJ480" i="17"/>
  <c r="CJ489" i="17"/>
  <c r="CJ466" i="17"/>
  <c r="CJ498" i="17"/>
  <c r="CJ431" i="17"/>
  <c r="CJ445" i="17"/>
  <c r="BL37" i="15"/>
  <c r="BL132" i="15"/>
  <c r="BL27" i="15"/>
  <c r="BL43" i="15"/>
  <c r="BL123" i="15"/>
  <c r="BL130" i="15"/>
  <c r="BL131" i="15"/>
  <c r="BL76" i="15"/>
  <c r="BL118" i="15"/>
  <c r="BO118" i="15" s="1"/>
  <c r="BL79" i="15"/>
  <c r="BL32" i="15"/>
  <c r="BL50" i="15"/>
  <c r="BL84" i="15"/>
  <c r="BO84" i="15" s="1"/>
  <c r="BL103" i="15"/>
  <c r="BL77" i="15"/>
  <c r="BL96" i="15"/>
  <c r="BL29" i="15"/>
  <c r="BO29" i="15" s="1"/>
  <c r="BL41" i="15"/>
  <c r="BL25" i="15"/>
  <c r="BL88" i="15"/>
  <c r="BL105" i="15"/>
  <c r="BO105" i="15" s="1"/>
  <c r="BL122" i="15"/>
  <c r="BL120" i="15"/>
  <c r="BL49" i="15"/>
  <c r="BL24" i="15"/>
  <c r="BO24" i="15" s="1"/>
  <c r="BL92" i="15"/>
  <c r="BL60" i="15"/>
  <c r="BL64" i="15"/>
  <c r="BL33" i="15"/>
  <c r="BL38" i="15"/>
  <c r="BL65" i="15"/>
  <c r="BL82" i="15"/>
  <c r="BL90" i="15"/>
  <c r="BO90" i="15" s="1"/>
  <c r="BL111" i="15"/>
  <c r="BL89" i="15"/>
  <c r="BL59" i="15"/>
  <c r="BL75" i="15"/>
  <c r="BL134" i="15"/>
  <c r="BL137" i="15"/>
  <c r="BL136" i="15"/>
  <c r="BL63" i="15"/>
  <c r="BL26" i="15"/>
  <c r="BL28" i="15"/>
  <c r="BL35" i="15"/>
  <c r="BL46" i="15"/>
  <c r="BO46" i="15" s="1"/>
  <c r="BL67" i="15"/>
  <c r="BL34" i="15"/>
  <c r="BL126" i="15"/>
  <c r="BL98" i="15"/>
  <c r="BO98" i="15" s="1"/>
  <c r="BL86" i="15"/>
  <c r="BL30" i="15"/>
  <c r="BL81" i="15"/>
  <c r="BL112" i="15"/>
  <c r="BO112" i="15" s="1"/>
  <c r="BL83" i="15"/>
  <c r="BL66" i="15"/>
  <c r="BL95" i="15"/>
  <c r="BL36" i="15"/>
  <c r="BL127" i="15"/>
  <c r="BL80" i="15"/>
  <c r="BL133" i="15"/>
  <c r="BL97" i="15"/>
  <c r="BO97" i="15" s="1"/>
  <c r="BL113" i="15"/>
  <c r="BL129" i="15"/>
  <c r="BL44" i="15"/>
  <c r="BL139" i="15"/>
  <c r="BO139" i="15" s="1"/>
  <c r="BL62" i="15"/>
  <c r="BL53" i="15"/>
  <c r="BL110" i="15"/>
  <c r="BL47" i="15"/>
  <c r="BO47" i="15" s="1"/>
  <c r="BL128" i="15"/>
  <c r="BL55" i="15"/>
  <c r="BL31" i="15"/>
  <c r="BL72" i="15"/>
  <c r="BO72" i="15" s="1"/>
  <c r="BL23" i="15"/>
  <c r="BL135" i="15"/>
  <c r="BL39" i="15"/>
  <c r="BL70" i="15"/>
  <c r="BO70" i="15" s="1"/>
  <c r="BL68" i="15"/>
  <c r="BL116" i="15"/>
  <c r="BL94" i="15"/>
  <c r="BL93" i="15"/>
  <c r="BO93" i="15" s="1"/>
  <c r="BL73" i="15"/>
  <c r="BL117" i="15"/>
  <c r="BL69" i="15"/>
  <c r="BL51" i="15"/>
  <c r="BL115" i="15"/>
  <c r="BL71" i="15"/>
  <c r="BL99" i="15"/>
  <c r="BL109" i="15"/>
  <c r="BO109" i="15" s="1"/>
  <c r="BL91" i="15"/>
  <c r="BL124" i="15"/>
  <c r="BL58" i="15"/>
  <c r="BL42" i="15"/>
  <c r="BO42" i="15" s="1"/>
  <c r="BL114" i="15"/>
  <c r="BL74" i="15"/>
  <c r="BL48" i="15"/>
  <c r="BL54" i="15"/>
  <c r="BO54" i="15" s="1"/>
  <c r="BL52" i="15"/>
  <c r="BL125" i="15"/>
  <c r="BL121" i="15"/>
  <c r="BL56" i="15"/>
  <c r="BL78" i="15"/>
  <c r="BL102" i="15"/>
  <c r="BL40" i="15"/>
  <c r="BL119" i="15"/>
  <c r="BL106" i="15"/>
  <c r="BL61" i="15"/>
  <c r="BL138" i="15"/>
  <c r="BL100" i="15"/>
  <c r="BO100" i="15" s="1"/>
  <c r="BL108" i="15"/>
  <c r="BL104" i="15"/>
  <c r="BL45" i="15"/>
  <c r="BL85" i="15"/>
  <c r="BO85" i="15" s="1"/>
  <c r="BL57" i="15"/>
  <c r="BL87" i="15"/>
  <c r="BL101" i="15"/>
  <c r="BL107" i="15"/>
  <c r="B40" i="11"/>
  <c r="D40" i="11" s="1"/>
  <c r="E40" i="11" s="1"/>
  <c r="F40" i="11" s="1"/>
  <c r="F80" i="9"/>
  <c r="E32" i="21"/>
  <c r="J32" i="21" s="1"/>
  <c r="D80" i="9"/>
  <c r="H32" i="2"/>
  <c r="BM119" i="15"/>
  <c r="BM36" i="15"/>
  <c r="BM78" i="15"/>
  <c r="BM114" i="15"/>
  <c r="BM86" i="15"/>
  <c r="BM48" i="15"/>
  <c r="BM50" i="15"/>
  <c r="BM115" i="15"/>
  <c r="BM73" i="15"/>
  <c r="BM56" i="15"/>
  <c r="BM23" i="15"/>
  <c r="BM55" i="15"/>
  <c r="BM53" i="15"/>
  <c r="BM58" i="15"/>
  <c r="BM133" i="15"/>
  <c r="BM95" i="15"/>
  <c r="BM81" i="15"/>
  <c r="BM126" i="15"/>
  <c r="BM35" i="15"/>
  <c r="BM134" i="15"/>
  <c r="BM111" i="15"/>
  <c r="BM33" i="15"/>
  <c r="BM24" i="15"/>
  <c r="BM105" i="15"/>
  <c r="BM41" i="15"/>
  <c r="BM77" i="15"/>
  <c r="BM32" i="15"/>
  <c r="BM100" i="15"/>
  <c r="BM43" i="15"/>
  <c r="BM37" i="15"/>
  <c r="G28" i="20"/>
  <c r="G27" i="20"/>
  <c r="G26" i="20"/>
  <c r="BE29" i="17"/>
  <c r="BE124" i="17"/>
  <c r="BE109" i="17"/>
  <c r="BE62" i="17"/>
  <c r="BE119" i="17"/>
  <c r="BE126" i="17"/>
  <c r="BE34" i="17"/>
  <c r="BE44" i="17"/>
  <c r="BE121" i="17"/>
  <c r="BE117" i="17"/>
  <c r="BE113" i="17"/>
  <c r="BE16" i="17"/>
  <c r="BE76" i="17"/>
  <c r="BE64" i="17"/>
  <c r="BE37" i="17"/>
  <c r="BE22" i="17"/>
  <c r="BE79" i="17"/>
  <c r="BE111" i="17"/>
  <c r="BE18" i="17"/>
  <c r="BE69" i="17"/>
  <c r="BE31" i="17"/>
  <c r="BE81" i="17"/>
  <c r="BE112" i="17"/>
  <c r="BE41" i="17"/>
  <c r="BE40" i="17"/>
  <c r="BE99" i="17"/>
  <c r="BE89" i="17"/>
  <c r="BE129" i="17"/>
  <c r="BE98" i="17"/>
  <c r="BE110" i="17"/>
  <c r="BE114" i="17"/>
  <c r="BE73" i="17"/>
  <c r="BE36" i="17"/>
  <c r="BE128" i="17"/>
  <c r="BE35" i="17"/>
  <c r="BE53" i="17"/>
  <c r="BE115" i="17"/>
  <c r="BE86" i="17"/>
  <c r="BE122" i="17"/>
  <c r="BE95" i="17"/>
  <c r="BE130" i="17"/>
  <c r="BE108" i="17"/>
  <c r="BE54" i="17"/>
  <c r="BE106" i="17"/>
  <c r="BE27" i="17"/>
  <c r="BE32" i="17"/>
  <c r="BE60" i="17"/>
  <c r="BE84" i="17"/>
  <c r="BE52" i="17"/>
  <c r="BE65" i="17"/>
  <c r="BE93" i="17"/>
  <c r="BE43" i="17"/>
  <c r="BE70" i="17"/>
  <c r="BE120" i="17"/>
  <c r="BE28" i="17"/>
  <c r="BE94" i="17"/>
  <c r="BE75" i="17"/>
  <c r="BE71" i="17"/>
  <c r="BE131" i="17"/>
  <c r="BE103" i="17"/>
  <c r="BE20" i="17"/>
  <c r="BE80" i="17"/>
  <c r="BE91" i="17"/>
  <c r="BE102" i="17"/>
  <c r="BE15" i="17"/>
  <c r="BE72" i="17"/>
  <c r="BE87" i="17"/>
  <c r="BE61" i="17"/>
  <c r="BE63" i="17"/>
  <c r="BE123" i="17"/>
  <c r="BE48" i="17"/>
  <c r="BE118" i="17"/>
  <c r="BE56" i="17"/>
  <c r="BE68" i="17"/>
  <c r="BE125" i="17"/>
  <c r="BE58" i="17"/>
  <c r="BE50" i="17"/>
  <c r="BE85" i="17"/>
  <c r="BE42" i="17"/>
  <c r="BE17" i="17"/>
  <c r="BE77" i="17"/>
  <c r="BE47" i="17"/>
  <c r="BE19" i="17"/>
  <c r="BE105" i="17"/>
  <c r="BE67" i="17"/>
  <c r="BE88" i="17"/>
  <c r="BE92" i="17"/>
  <c r="BE90" i="17"/>
  <c r="BE97" i="17"/>
  <c r="BE83" i="17"/>
  <c r="BE78" i="17"/>
  <c r="BE21" i="17"/>
  <c r="BE96" i="17"/>
  <c r="BE55" i="17"/>
  <c r="BE38" i="17"/>
  <c r="BE33" i="17"/>
  <c r="BE24" i="17"/>
  <c r="BE39" i="17"/>
  <c r="BE26" i="17"/>
  <c r="BE30" i="17"/>
  <c r="BE57" i="17"/>
  <c r="BE66" i="17"/>
  <c r="BE59" i="17"/>
  <c r="BE104" i="17"/>
  <c r="BE25" i="17"/>
  <c r="BE101" i="17"/>
  <c r="BE46" i="17"/>
  <c r="BE74" i="17"/>
  <c r="BE49" i="17"/>
  <c r="BE51" i="17"/>
  <c r="BE100" i="17"/>
  <c r="BE45" i="17"/>
  <c r="BE116" i="17"/>
  <c r="BE82" i="17"/>
  <c r="BE127" i="17"/>
  <c r="BE23" i="17"/>
  <c r="BE107" i="17"/>
  <c r="CB386" i="17"/>
  <c r="CB291" i="17"/>
  <c r="CB363" i="17"/>
  <c r="CB393" i="17"/>
  <c r="CG393" i="17" s="1"/>
  <c r="CB290" i="17"/>
  <c r="CB359" i="17"/>
  <c r="CB334" i="17"/>
  <c r="CB355" i="17"/>
  <c r="CG355" i="17" s="1"/>
  <c r="CB300" i="17"/>
  <c r="CB369" i="17"/>
  <c r="CG369" i="17" s="1"/>
  <c r="CB357" i="17"/>
  <c r="CG357" i="17" s="1"/>
  <c r="CB362" i="17"/>
  <c r="CG362" i="17" s="1"/>
  <c r="CB332" i="17"/>
  <c r="CB286" i="17"/>
  <c r="CG286" i="17" s="1"/>
  <c r="CB376" i="17"/>
  <c r="CG376" i="17" s="1"/>
  <c r="CB293" i="17"/>
  <c r="CG293" i="17" s="1"/>
  <c r="CB349" i="17"/>
  <c r="CB391" i="17"/>
  <c r="CB294" i="17"/>
  <c r="CG294" i="17" s="1"/>
  <c r="CB360" i="17"/>
  <c r="CG360" i="17" s="1"/>
  <c r="CB354" i="17"/>
  <c r="CB366" i="17"/>
  <c r="CB298" i="17"/>
  <c r="CG298" i="17" s="1"/>
  <c r="CB279" i="17"/>
  <c r="CG279" i="17" s="1"/>
  <c r="CB316" i="17"/>
  <c r="CB328" i="17"/>
  <c r="CG328" i="17" s="1"/>
  <c r="CB313" i="17"/>
  <c r="CB280" i="17"/>
  <c r="CG280" i="17" s="1"/>
  <c r="CB380" i="17"/>
  <c r="CG380" i="17" s="1"/>
  <c r="CB343" i="17"/>
  <c r="CG343" i="17" s="1"/>
  <c r="CB311" i="17"/>
  <c r="CB371" i="17"/>
  <c r="CG371" i="17" s="1"/>
  <c r="CB340" i="17"/>
  <c r="CB329" i="17"/>
  <c r="CB326" i="17"/>
  <c r="CB323" i="17"/>
  <c r="CG323" i="17" s="1"/>
  <c r="CB317" i="17"/>
  <c r="CB344" i="17"/>
  <c r="CG344" i="17" s="1"/>
  <c r="CB295" i="17"/>
  <c r="CG295" i="17" s="1"/>
  <c r="CB312" i="17"/>
  <c r="CG312" i="17" s="1"/>
  <c r="CB347" i="17"/>
  <c r="CB356" i="17"/>
  <c r="CB321" i="17"/>
  <c r="CB278" i="17"/>
  <c r="CG278" i="17" s="1"/>
  <c r="CB327" i="17"/>
  <c r="CB289" i="17"/>
  <c r="CG289" i="17" s="1"/>
  <c r="CB379" i="17"/>
  <c r="CB315" i="17"/>
  <c r="CG315" i="17" s="1"/>
  <c r="CB308" i="17"/>
  <c r="CB307" i="17"/>
  <c r="CB306" i="17"/>
  <c r="CB299" i="17"/>
  <c r="CG299" i="17" s="1"/>
  <c r="CB319" i="17"/>
  <c r="CB346" i="17"/>
  <c r="CB284" i="17"/>
  <c r="CB318" i="17"/>
  <c r="CG318" i="17" s="1"/>
  <c r="CB281" i="17"/>
  <c r="CG281" i="17" s="1"/>
  <c r="CB297" i="17"/>
  <c r="CB348" i="17"/>
  <c r="CB302" i="17"/>
  <c r="CG302" i="17" s="1"/>
  <c r="CB333" i="17"/>
  <c r="CB331" i="17"/>
  <c r="CB341" i="17"/>
  <c r="CB336" i="17"/>
  <c r="CG336" i="17" s="1"/>
  <c r="CB387" i="17"/>
  <c r="CG387" i="17" s="1"/>
  <c r="CB373" i="17"/>
  <c r="CG373" i="17" s="1"/>
  <c r="CB325" i="17"/>
  <c r="CB309" i="17"/>
  <c r="CG309" i="17" s="1"/>
  <c r="CB372" i="17"/>
  <c r="CG372" i="17" s="1"/>
  <c r="CB292" i="17"/>
  <c r="CB310" i="17"/>
  <c r="CG310" i="17" s="1"/>
  <c r="CB392" i="17"/>
  <c r="CG392" i="17" s="1"/>
  <c r="CB314" i="17"/>
  <c r="CB352" i="17"/>
  <c r="CB342" i="17"/>
  <c r="CG342" i="17" s="1"/>
  <c r="CB304" i="17"/>
  <c r="CG304" i="17" s="1"/>
  <c r="CB338" i="17"/>
  <c r="CB283" i="17"/>
  <c r="CG283" i="17" s="1"/>
  <c r="CB389" i="17"/>
  <c r="CB324" i="17"/>
  <c r="CG324" i="17" s="1"/>
  <c r="CB351" i="17"/>
  <c r="CB285" i="17"/>
  <c r="CG285" i="17" s="1"/>
  <c r="CB296" i="17"/>
  <c r="CB390" i="17"/>
  <c r="CG390" i="17" s="1"/>
  <c r="CB364" i="17"/>
  <c r="CB382" i="17"/>
  <c r="CB277" i="17"/>
  <c r="CG277" i="17" s="1"/>
  <c r="CB377" i="17"/>
  <c r="CG377" i="17" s="1"/>
  <c r="CB381" i="17"/>
  <c r="CB303" i="17"/>
  <c r="CB337" i="17"/>
  <c r="CB335" i="17"/>
  <c r="CG335" i="17" s="1"/>
  <c r="CB365" i="17"/>
  <c r="CB353" i="17"/>
  <c r="CB370" i="17"/>
  <c r="CG370" i="17" s="1"/>
  <c r="CB358" i="17"/>
  <c r="CG358" i="17" s="1"/>
  <c r="CB287" i="17"/>
  <c r="CB330" i="17"/>
  <c r="CB361" i="17"/>
  <c r="CG361" i="17" s="1"/>
  <c r="CB322" i="17"/>
  <c r="CG322" i="17" s="1"/>
  <c r="CB288" i="17"/>
  <c r="CG288" i="17" s="1"/>
  <c r="CB367" i="17"/>
  <c r="CB282" i="17"/>
  <c r="CG282" i="17" s="1"/>
  <c r="CB385" i="17"/>
  <c r="CG385" i="17" s="1"/>
  <c r="CB350" i="17"/>
  <c r="CG350" i="17" s="1"/>
  <c r="CB383" i="17"/>
  <c r="CG383" i="17" s="1"/>
  <c r="CB305" i="17"/>
  <c r="CG305" i="17" s="1"/>
  <c r="CB378" i="17"/>
  <c r="CG378" i="17" s="1"/>
  <c r="CB301" i="17"/>
  <c r="CB345" i="17"/>
  <c r="CG345" i="17" s="1"/>
  <c r="CB320" i="17"/>
  <c r="CB375" i="17"/>
  <c r="CG375" i="17" s="1"/>
  <c r="CB374" i="17"/>
  <c r="CG374" i="17" s="1"/>
  <c r="CB384" i="17"/>
  <c r="CB388" i="17"/>
  <c r="CG388" i="17" s="1"/>
  <c r="CB339" i="17"/>
  <c r="CG339" i="17" s="1"/>
  <c r="CB368" i="17"/>
  <c r="L21" i="20"/>
  <c r="E13" i="12" s="1"/>
  <c r="BV255" i="17"/>
  <c r="BV160" i="17"/>
  <c r="BV191" i="17"/>
  <c r="BV214" i="17"/>
  <c r="BV202" i="17"/>
  <c r="BV259" i="17"/>
  <c r="BV176" i="17"/>
  <c r="BV212" i="17"/>
  <c r="BV193" i="17"/>
  <c r="BV235" i="17"/>
  <c r="BV230" i="17"/>
  <c r="BV243" i="17"/>
  <c r="BV236" i="17"/>
  <c r="BV163" i="17"/>
  <c r="BV213" i="17"/>
  <c r="BV169" i="17"/>
  <c r="BV194" i="17"/>
  <c r="BV253" i="17"/>
  <c r="BV228" i="17"/>
  <c r="BV151" i="17"/>
  <c r="BV197" i="17"/>
  <c r="BV256" i="17"/>
  <c r="BV153" i="17"/>
  <c r="BV185" i="17"/>
  <c r="BV250" i="17"/>
  <c r="BV226" i="17"/>
  <c r="BV166" i="17"/>
  <c r="BV211" i="17"/>
  <c r="BV162" i="17"/>
  <c r="BV217" i="17"/>
  <c r="BV177" i="17"/>
  <c r="BV262" i="17"/>
  <c r="BV254" i="17"/>
  <c r="BV180" i="17"/>
  <c r="BV157" i="17"/>
  <c r="BV154" i="17"/>
  <c r="BV216" i="17"/>
  <c r="BV239" i="17"/>
  <c r="BV234" i="17"/>
  <c r="BV210" i="17"/>
  <c r="BV172" i="17"/>
  <c r="BV205" i="17"/>
  <c r="BV209" i="17"/>
  <c r="BV224" i="17"/>
  <c r="BV192" i="17"/>
  <c r="BV186" i="17"/>
  <c r="BV247" i="17"/>
  <c r="BV261" i="17"/>
  <c r="BV223" i="17"/>
  <c r="BV237" i="17"/>
  <c r="BV233" i="17"/>
  <c r="BV167" i="17"/>
  <c r="BV182" i="17"/>
  <c r="BV219" i="17"/>
  <c r="BV218" i="17"/>
  <c r="BV165" i="17"/>
  <c r="BV244" i="17"/>
  <c r="BV251" i="17"/>
  <c r="BV229" i="17"/>
  <c r="BV199" i="17"/>
  <c r="BV152" i="17"/>
  <c r="BV171" i="17"/>
  <c r="BV220" i="17"/>
  <c r="BV198" i="17"/>
  <c r="BV170" i="17"/>
  <c r="BV246" i="17"/>
  <c r="BV257" i="17"/>
  <c r="BV158" i="17"/>
  <c r="BV149" i="17"/>
  <c r="BV173" i="17"/>
  <c r="BV184" i="17"/>
  <c r="BV215" i="17"/>
  <c r="BV200" i="17"/>
  <c r="BV196" i="17"/>
  <c r="BV206" i="17"/>
  <c r="BV190" i="17"/>
  <c r="BV242" i="17"/>
  <c r="BV238" i="17"/>
  <c r="BV187" i="17"/>
  <c r="BV240" i="17"/>
  <c r="BV208" i="17"/>
  <c r="BV222" i="17"/>
  <c r="BV178" i="17"/>
  <c r="BV204" i="17"/>
  <c r="BV159" i="17"/>
  <c r="BV241" i="17"/>
  <c r="BV207" i="17"/>
  <c r="BV201" i="17"/>
  <c r="BV258" i="17"/>
  <c r="BV221" i="17"/>
  <c r="BV203" i="17"/>
  <c r="BV245" i="17"/>
  <c r="BV227" i="17"/>
  <c r="BV148" i="17"/>
  <c r="BV249" i="17"/>
  <c r="BV181" i="17"/>
  <c r="BV179" i="17"/>
  <c r="BV231" i="17"/>
  <c r="BV146" i="17"/>
  <c r="BV183" i="17"/>
  <c r="BV156" i="17"/>
  <c r="BV195" i="17"/>
  <c r="BV174" i="17"/>
  <c r="BV168" i="17"/>
  <c r="BV188" i="17"/>
  <c r="BV175" i="17"/>
  <c r="BV252" i="17"/>
  <c r="BV225" i="17"/>
  <c r="BV155" i="17"/>
  <c r="BV164" i="17"/>
  <c r="BV150" i="17"/>
  <c r="BV232" i="17"/>
  <c r="BV161" i="17"/>
  <c r="BV189" i="17"/>
  <c r="BV260" i="17"/>
  <c r="BV248" i="17"/>
  <c r="BV147" i="17"/>
  <c r="BN37" i="15"/>
  <c r="BN132" i="15"/>
  <c r="BN106" i="15"/>
  <c r="BN138" i="15"/>
  <c r="BN130" i="15"/>
  <c r="BN100" i="15"/>
  <c r="BN91" i="15"/>
  <c r="BN118" i="15"/>
  <c r="BN79" i="15"/>
  <c r="BN32" i="15"/>
  <c r="BN82" i="15"/>
  <c r="BN90" i="15"/>
  <c r="BN103" i="15"/>
  <c r="BN139" i="15"/>
  <c r="BN96" i="15"/>
  <c r="BN136" i="15"/>
  <c r="BN53" i="15"/>
  <c r="BN26" i="15"/>
  <c r="BN88" i="15"/>
  <c r="BN34" i="15"/>
  <c r="BN27" i="15"/>
  <c r="BN98" i="15"/>
  <c r="BN43" i="15"/>
  <c r="BN24" i="15"/>
  <c r="BN61" i="15"/>
  <c r="BN64" i="15"/>
  <c r="BN76" i="15"/>
  <c r="BN112" i="15"/>
  <c r="BN33" i="15"/>
  <c r="BN66" i="15"/>
  <c r="BN45" i="15"/>
  <c r="BN65" i="15"/>
  <c r="BN107" i="15"/>
  <c r="BN84" i="15"/>
  <c r="BN111" i="15"/>
  <c r="BN134" i="15"/>
  <c r="BN63" i="15"/>
  <c r="BN41" i="15"/>
  <c r="BN93" i="15"/>
  <c r="BN128" i="15"/>
  <c r="BN25" i="15"/>
  <c r="BN85" i="15"/>
  <c r="BN105" i="15"/>
  <c r="BN116" i="15"/>
  <c r="BN122" i="15"/>
  <c r="BN126" i="15"/>
  <c r="BN49" i="15"/>
  <c r="BN92" i="15"/>
  <c r="BN123" i="15"/>
  <c r="BN30" i="15"/>
  <c r="BN60" i="15"/>
  <c r="BN131" i="15"/>
  <c r="BN108" i="15"/>
  <c r="BN38" i="15"/>
  <c r="BN95" i="15"/>
  <c r="BN104" i="15"/>
  <c r="BN127" i="15"/>
  <c r="BN80" i="15"/>
  <c r="BN133" i="15"/>
  <c r="BN124" i="15"/>
  <c r="BN58" i="15"/>
  <c r="BN77" i="15"/>
  <c r="BN89" i="15"/>
  <c r="BN59" i="15"/>
  <c r="BN75" i="15"/>
  <c r="BN29" i="15"/>
  <c r="BN137" i="15"/>
  <c r="BN42" i="15"/>
  <c r="BN110" i="15"/>
  <c r="BN47" i="15"/>
  <c r="BN28" i="15"/>
  <c r="BN55" i="15"/>
  <c r="BN31" i="15"/>
  <c r="BN35" i="15"/>
  <c r="BN72" i="15"/>
  <c r="BN46" i="15"/>
  <c r="BN23" i="15"/>
  <c r="BN135" i="15"/>
  <c r="BN39" i="15"/>
  <c r="BN70" i="15"/>
  <c r="BN67" i="15"/>
  <c r="BN86" i="15"/>
  <c r="BN36" i="15"/>
  <c r="BN97" i="15"/>
  <c r="BN129" i="15"/>
  <c r="BN44" i="15"/>
  <c r="BN57" i="15"/>
  <c r="BN114" i="15"/>
  <c r="BN120" i="15"/>
  <c r="BN99" i="15"/>
  <c r="BN74" i="15"/>
  <c r="BN73" i="15"/>
  <c r="BN117" i="15"/>
  <c r="BN71" i="15"/>
  <c r="BN102" i="15"/>
  <c r="BN40" i="15"/>
  <c r="BN121" i="15"/>
  <c r="BN56" i="15"/>
  <c r="BN81" i="15"/>
  <c r="BN109" i="15"/>
  <c r="BN48" i="15"/>
  <c r="BN54" i="15"/>
  <c r="BN51" i="15"/>
  <c r="BN125" i="15"/>
  <c r="BN83" i="15"/>
  <c r="BN78" i="15"/>
  <c r="BN50" i="15"/>
  <c r="BN113" i="15"/>
  <c r="BN62" i="15"/>
  <c r="BN68" i="15"/>
  <c r="BN94" i="15"/>
  <c r="BN87" i="15"/>
  <c r="BN101" i="15"/>
  <c r="BN69" i="15"/>
  <c r="BN52" i="15"/>
  <c r="BN115" i="15"/>
  <c r="BN119" i="15"/>
  <c r="BW255" i="17"/>
  <c r="BW160" i="17"/>
  <c r="BW200" i="17"/>
  <c r="BW245" i="17"/>
  <c r="BW225" i="17"/>
  <c r="BW206" i="17"/>
  <c r="BW191" i="17"/>
  <c r="BW218" i="17"/>
  <c r="BW259" i="17"/>
  <c r="BW176" i="17"/>
  <c r="BW212" i="17"/>
  <c r="BW235" i="17"/>
  <c r="BW157" i="17"/>
  <c r="BW216" i="17"/>
  <c r="BW243" i="17"/>
  <c r="BW249" i="17"/>
  <c r="BW190" i="17"/>
  <c r="BW236" i="17"/>
  <c r="BW163" i="17"/>
  <c r="BW238" i="17"/>
  <c r="BW170" i="17"/>
  <c r="BW181" i="17"/>
  <c r="BW228" i="17"/>
  <c r="BW151" i="17"/>
  <c r="BW173" i="17"/>
  <c r="BW197" i="17"/>
  <c r="BW256" i="17"/>
  <c r="BW211" i="17"/>
  <c r="BW214" i="17"/>
  <c r="BW165" i="17"/>
  <c r="BW193" i="17"/>
  <c r="BW230" i="17"/>
  <c r="BW180" i="17"/>
  <c r="BW239" i="17"/>
  <c r="BW172" i="17"/>
  <c r="BW224" i="17"/>
  <c r="BW192" i="17"/>
  <c r="BW242" i="17"/>
  <c r="BW247" i="17"/>
  <c r="BW213" i="17"/>
  <c r="BW169" i="17"/>
  <c r="BW261" i="17"/>
  <c r="BW223" i="17"/>
  <c r="BW146" i="17"/>
  <c r="BW184" i="17"/>
  <c r="BW185" i="17"/>
  <c r="BW167" i="17"/>
  <c r="BW166" i="17"/>
  <c r="BW217" i="17"/>
  <c r="BW177" i="17"/>
  <c r="BW202" i="17"/>
  <c r="BW219" i="17"/>
  <c r="BW248" i="17"/>
  <c r="BW244" i="17"/>
  <c r="BW251" i="17"/>
  <c r="BW229" i="17"/>
  <c r="BW262" i="17"/>
  <c r="BW254" i="17"/>
  <c r="BW199" i="17"/>
  <c r="BW152" i="17"/>
  <c r="BW205" i="17"/>
  <c r="BW171" i="17"/>
  <c r="BW220" i="17"/>
  <c r="BW209" i="17"/>
  <c r="BW194" i="17"/>
  <c r="BW237" i="17"/>
  <c r="BW233" i="17"/>
  <c r="BW215" i="17"/>
  <c r="BW250" i="17"/>
  <c r="BW162" i="17"/>
  <c r="BW147" i="17"/>
  <c r="BW148" i="17"/>
  <c r="BW234" i="17"/>
  <c r="BW198" i="17"/>
  <c r="BW186" i="17"/>
  <c r="BW175" i="17"/>
  <c r="BW149" i="17"/>
  <c r="BW153" i="17"/>
  <c r="BW183" i="17"/>
  <c r="BW204" i="17"/>
  <c r="BW159" i="17"/>
  <c r="BW207" i="17"/>
  <c r="BW150" i="17"/>
  <c r="BW232" i="17"/>
  <c r="BW203" i="17"/>
  <c r="BW161" i="17"/>
  <c r="BW226" i="17"/>
  <c r="BW210" i="17"/>
  <c r="BW187" i="17"/>
  <c r="BW257" i="17"/>
  <c r="BW158" i="17"/>
  <c r="BW164" i="17"/>
  <c r="BW222" i="17"/>
  <c r="BW241" i="17"/>
  <c r="BW156" i="17"/>
  <c r="BW189" i="17"/>
  <c r="BW195" i="17"/>
  <c r="BW201" i="17"/>
  <c r="BW188" i="17"/>
  <c r="BW168" i="17"/>
  <c r="BW258" i="17"/>
  <c r="BW196" i="17"/>
  <c r="BW155" i="17"/>
  <c r="BW240" i="17"/>
  <c r="BW182" i="17"/>
  <c r="BW154" i="17"/>
  <c r="BW227" i="17"/>
  <c r="BW252" i="17"/>
  <c r="BW179" i="17"/>
  <c r="BW253" i="17"/>
  <c r="BW231" i="17"/>
  <c r="BW208" i="17"/>
  <c r="BW178" i="17"/>
  <c r="BW221" i="17"/>
  <c r="BW260" i="17"/>
  <c r="BW174" i="17"/>
  <c r="BW246" i="17"/>
  <c r="G30" i="20"/>
  <c r="G29" i="20"/>
  <c r="H31" i="21"/>
  <c r="G31" i="21"/>
  <c r="CL517" i="17"/>
  <c r="CL422" i="17"/>
  <c r="CL415" i="17"/>
  <c r="CL466" i="17"/>
  <c r="CL431" i="17"/>
  <c r="CL513" i="17"/>
  <c r="CL516" i="17"/>
  <c r="CL490" i="17"/>
  <c r="CL416" i="17"/>
  <c r="CL522" i="17"/>
  <c r="CL436" i="17"/>
  <c r="CL509" i="17"/>
  <c r="CL520" i="17"/>
  <c r="CL473" i="17"/>
  <c r="CL494" i="17"/>
  <c r="CL451" i="17"/>
  <c r="CL475" i="17"/>
  <c r="CL474" i="17"/>
  <c r="CL476" i="17"/>
  <c r="CL524" i="17"/>
  <c r="CL441" i="17"/>
  <c r="CL447" i="17"/>
  <c r="CL445" i="17"/>
  <c r="CL518" i="17"/>
  <c r="CL453" i="17"/>
  <c r="CL410" i="17"/>
  <c r="CL413" i="17"/>
  <c r="CL515" i="17"/>
  <c r="CL419" i="17"/>
  <c r="CL503" i="17"/>
  <c r="CL444" i="17"/>
  <c r="CL423" i="17"/>
  <c r="CL414" i="17"/>
  <c r="CL437" i="17"/>
  <c r="CL446" i="17"/>
  <c r="CL440" i="17"/>
  <c r="CL498" i="17"/>
  <c r="CL514" i="17"/>
  <c r="CL499" i="17"/>
  <c r="CL469" i="17"/>
  <c r="CL427" i="17"/>
  <c r="CL457" i="17"/>
  <c r="CL495" i="17"/>
  <c r="CL408" i="17"/>
  <c r="CL434" i="17"/>
  <c r="CL443" i="17"/>
  <c r="CL455" i="17"/>
  <c r="CL465" i="17"/>
  <c r="CL492" i="17"/>
  <c r="CL428" i="17"/>
  <c r="CL409" i="17"/>
  <c r="CL477" i="17"/>
  <c r="CL470" i="17"/>
  <c r="CL467" i="17"/>
  <c r="CL505" i="17"/>
  <c r="CL523" i="17"/>
  <c r="CL452" i="17"/>
  <c r="CL433" i="17"/>
  <c r="CL418" i="17"/>
  <c r="CL463" i="17"/>
  <c r="CL478" i="17"/>
  <c r="CL496" i="17"/>
  <c r="CL481" i="17"/>
  <c r="CL500" i="17"/>
  <c r="CL519" i="17"/>
  <c r="CL511" i="17"/>
  <c r="CL412" i="17"/>
  <c r="CL521" i="17"/>
  <c r="CL448" i="17"/>
  <c r="CL430" i="17"/>
  <c r="CL507" i="17"/>
  <c r="CL479" i="17"/>
  <c r="CL497" i="17"/>
  <c r="CL442" i="17"/>
  <c r="CL439" i="17"/>
  <c r="CL480" i="17"/>
  <c r="CL472" i="17"/>
  <c r="CL459" i="17"/>
  <c r="CL464" i="17"/>
  <c r="CL426" i="17"/>
  <c r="CL429" i="17"/>
  <c r="CL501" i="17"/>
  <c r="CL471" i="17"/>
  <c r="CL484" i="17"/>
  <c r="CL508" i="17"/>
  <c r="CL512" i="17"/>
  <c r="CL449" i="17"/>
  <c r="CL461" i="17"/>
  <c r="CL486" i="17"/>
  <c r="CL438" i="17"/>
  <c r="CL456" i="17"/>
  <c r="CL506" i="17"/>
  <c r="CL420" i="17"/>
  <c r="CL454" i="17"/>
  <c r="CL411" i="17"/>
  <c r="CL491" i="17"/>
  <c r="CL462" i="17"/>
  <c r="CL425" i="17"/>
  <c r="CL450" i="17"/>
  <c r="CL483" i="17"/>
  <c r="CL468" i="17"/>
  <c r="CL432" i="17"/>
  <c r="CL424" i="17"/>
  <c r="CL504" i="17"/>
  <c r="CL482" i="17"/>
  <c r="CL488" i="17"/>
  <c r="CL421" i="17"/>
  <c r="CL487" i="17"/>
  <c r="CL485" i="17"/>
  <c r="CL458" i="17"/>
  <c r="CL502" i="17"/>
  <c r="CL460" i="17"/>
  <c r="CL489" i="17"/>
  <c r="CL417" i="17"/>
  <c r="CL435" i="17"/>
  <c r="CL510" i="17"/>
  <c r="CL493" i="17"/>
  <c r="CK517" i="17"/>
  <c r="CK422" i="17"/>
  <c r="CK467" i="17"/>
  <c r="CK505" i="17"/>
  <c r="CK462" i="17"/>
  <c r="CK515" i="17"/>
  <c r="CK452" i="17"/>
  <c r="CK433" i="17"/>
  <c r="CK418" i="17"/>
  <c r="CK463" i="17"/>
  <c r="CK450" i="17"/>
  <c r="CK481" i="17"/>
  <c r="CK516" i="17"/>
  <c r="CK519" i="17"/>
  <c r="CK522" i="17"/>
  <c r="CK504" i="17"/>
  <c r="CK511" i="17"/>
  <c r="CK434" i="17"/>
  <c r="CK521" i="17"/>
  <c r="CK448" i="17"/>
  <c r="CK475" i="17"/>
  <c r="CK512" i="17"/>
  <c r="CK524" i="17"/>
  <c r="CK479" i="17"/>
  <c r="CK429" i="17"/>
  <c r="CK411" i="17"/>
  <c r="CK435" i="17"/>
  <c r="CK501" i="17"/>
  <c r="CK466" i="17"/>
  <c r="CK414" i="17"/>
  <c r="CK425" i="17"/>
  <c r="CK483" i="17"/>
  <c r="CK468" i="17"/>
  <c r="CK471" i="17"/>
  <c r="CK498" i="17"/>
  <c r="CK432" i="17"/>
  <c r="CK514" i="17"/>
  <c r="CK424" i="17"/>
  <c r="CK484" i="17"/>
  <c r="CK490" i="17"/>
  <c r="CK427" i="17"/>
  <c r="CK520" i="17"/>
  <c r="CK494" i="17"/>
  <c r="CK482" i="17"/>
  <c r="CK443" i="17"/>
  <c r="CK488" i="17"/>
  <c r="CK474" i="17"/>
  <c r="CK421" i="17"/>
  <c r="CK507" i="17"/>
  <c r="CK470" i="17"/>
  <c r="CK410" i="17"/>
  <c r="CK523" i="17"/>
  <c r="CK423" i="17"/>
  <c r="CK446" i="17"/>
  <c r="CK431" i="17"/>
  <c r="CK500" i="17"/>
  <c r="CK513" i="17"/>
  <c r="CK416" i="17"/>
  <c r="CK436" i="17"/>
  <c r="CK509" i="17"/>
  <c r="CK408" i="17"/>
  <c r="CK473" i="17"/>
  <c r="CK412" i="17"/>
  <c r="CK451" i="17"/>
  <c r="CK476" i="17"/>
  <c r="CK441" i="17"/>
  <c r="CK491" i="17"/>
  <c r="CK478" i="17"/>
  <c r="CK496" i="17"/>
  <c r="CK455" i="17"/>
  <c r="CK445" i="17"/>
  <c r="CK485" i="17"/>
  <c r="CK460" i="17"/>
  <c r="CK489" i="17"/>
  <c r="CK426" i="17"/>
  <c r="CK417" i="17"/>
  <c r="CK461" i="17"/>
  <c r="CK456" i="17"/>
  <c r="CK469" i="17"/>
  <c r="CK508" i="17"/>
  <c r="CK492" i="17"/>
  <c r="CK472" i="17"/>
  <c r="CK442" i="17"/>
  <c r="CK464" i="17"/>
  <c r="CK486" i="17"/>
  <c r="CK493" i="17"/>
  <c r="CK420" i="17"/>
  <c r="CK438" i="17"/>
  <c r="CK506" i="17"/>
  <c r="CK518" i="17"/>
  <c r="CK415" i="17"/>
  <c r="CK419" i="17"/>
  <c r="CK503" i="17"/>
  <c r="CK465" i="17"/>
  <c r="CK428" i="17"/>
  <c r="CK477" i="17"/>
  <c r="CK487" i="17"/>
  <c r="CK439" i="17"/>
  <c r="CK454" i="17"/>
  <c r="CK453" i="17"/>
  <c r="CK413" i="17"/>
  <c r="CK444" i="17"/>
  <c r="CK437" i="17"/>
  <c r="CK440" i="17"/>
  <c r="CK499" i="17"/>
  <c r="CK457" i="17"/>
  <c r="CK510" i="17"/>
  <c r="CK495" i="17"/>
  <c r="CK409" i="17"/>
  <c r="CK447" i="17"/>
  <c r="CK497" i="17"/>
  <c r="CK480" i="17"/>
  <c r="CK430" i="17"/>
  <c r="CK449" i="17"/>
  <c r="CK459" i="17"/>
  <c r="CK458" i="17"/>
  <c r="CK502" i="17"/>
  <c r="C32" i="21"/>
  <c r="B80" i="9"/>
  <c r="C40" i="11" s="1"/>
  <c r="G40" i="11" s="1"/>
  <c r="F32" i="2"/>
  <c r="A33" i="21"/>
  <c r="A81" i="9"/>
  <c r="A41" i="11" s="1"/>
  <c r="A34" i="2"/>
  <c r="E33" i="2"/>
  <c r="P33" i="2"/>
  <c r="D33" i="2"/>
  <c r="C33" i="2"/>
  <c r="N33" i="2"/>
  <c r="E81" i="9" s="1"/>
  <c r="B33" i="2"/>
  <c r="J32" i="2"/>
  <c r="BM120" i="15"/>
  <c r="BM52" i="15"/>
  <c r="BM91" i="15"/>
  <c r="BM57" i="15"/>
  <c r="BM121" i="15"/>
  <c r="BM68" i="15"/>
  <c r="BM40" i="15"/>
  <c r="BM51" i="15"/>
  <c r="BM74" i="15"/>
  <c r="BM70" i="15"/>
  <c r="BM46" i="15"/>
  <c r="BM28" i="15"/>
  <c r="BM42" i="15"/>
  <c r="BM124" i="15"/>
  <c r="BM80" i="15"/>
  <c r="BM38" i="15"/>
  <c r="BM60" i="15"/>
  <c r="BM122" i="15"/>
  <c r="BM128" i="15"/>
  <c r="BM75" i="15"/>
  <c r="BM84" i="15"/>
  <c r="BM112" i="15"/>
  <c r="BM49" i="15"/>
  <c r="BM88" i="15"/>
  <c r="BM136" i="15"/>
  <c r="BM103" i="15"/>
  <c r="BM79" i="15"/>
  <c r="BM130" i="15"/>
  <c r="K33" i="2" l="1"/>
  <c r="BO107" i="15"/>
  <c r="BO119" i="15"/>
  <c r="BO37" i="15"/>
  <c r="CP498" i="17"/>
  <c r="CP504" i="17"/>
  <c r="CP458" i="17"/>
  <c r="BX251" i="17"/>
  <c r="BX174" i="17"/>
  <c r="BX210" i="17"/>
  <c r="BF25" i="17"/>
  <c r="BF77" i="17"/>
  <c r="BF70" i="17"/>
  <c r="B33" i="21"/>
  <c r="A51" i="22"/>
  <c r="CG320" i="17"/>
  <c r="CG337" i="17"/>
  <c r="CG296" i="17"/>
  <c r="CG389" i="17"/>
  <c r="CG325" i="17"/>
  <c r="CG341" i="17"/>
  <c r="CG348" i="17"/>
  <c r="CG284" i="17"/>
  <c r="CG274" i="17" s="1"/>
  <c r="CG306" i="17"/>
  <c r="CG379" i="17"/>
  <c r="CG321" i="17"/>
  <c r="CG326" i="17"/>
  <c r="CG311" i="17"/>
  <c r="CG313" i="17"/>
  <c r="CG334" i="17"/>
  <c r="CG363" i="17"/>
  <c r="BO101" i="15"/>
  <c r="BO45" i="15"/>
  <c r="BO138" i="15"/>
  <c r="BO40" i="15"/>
  <c r="BO121" i="15"/>
  <c r="BO48" i="15"/>
  <c r="BO58" i="15"/>
  <c r="BO99" i="15"/>
  <c r="BO69" i="15"/>
  <c r="BO94" i="15"/>
  <c r="BO39" i="15"/>
  <c r="BO31" i="15"/>
  <c r="BO110" i="15"/>
  <c r="BO44" i="15"/>
  <c r="BO133" i="15"/>
  <c r="BO95" i="15"/>
  <c r="BO81" i="15"/>
  <c r="BO126" i="15"/>
  <c r="BO35" i="15"/>
  <c r="BO136" i="15"/>
  <c r="BO59" i="15"/>
  <c r="BO82" i="15"/>
  <c r="BO64" i="15"/>
  <c r="BO49" i="15"/>
  <c r="BO88" i="15"/>
  <c r="BO96" i="15"/>
  <c r="BO50" i="15"/>
  <c r="BO76" i="15"/>
  <c r="BO43" i="15"/>
  <c r="CP466" i="17"/>
  <c r="CP497" i="17"/>
  <c r="CP494" i="17"/>
  <c r="CP519" i="17"/>
  <c r="CP506" i="17"/>
  <c r="CP507" i="17"/>
  <c r="CP501" i="17"/>
  <c r="CP454" i="17"/>
  <c r="CP461" i="17"/>
  <c r="CP476" i="17"/>
  <c r="CP414" i="17"/>
  <c r="CP472" i="17"/>
  <c r="CP451" i="17"/>
  <c r="CP492" i="17"/>
  <c r="CP499" i="17"/>
  <c r="CP471" i="17"/>
  <c r="CP444" i="17"/>
  <c r="CP462" i="17"/>
  <c r="CP465" i="17"/>
  <c r="CP510" i="17"/>
  <c r="CP432" i="17"/>
  <c r="CP437" i="17"/>
  <c r="CP409" i="17"/>
  <c r="CS402" i="17" s="1"/>
  <c r="CP448" i="17"/>
  <c r="CP495" i="17"/>
  <c r="CP484" i="17"/>
  <c r="CP423" i="17"/>
  <c r="CP505" i="17"/>
  <c r="CP517" i="17"/>
  <c r="BX201" i="17"/>
  <c r="BX231" i="17"/>
  <c r="BX165" i="17"/>
  <c r="BX219" i="17"/>
  <c r="BX260" i="17"/>
  <c r="BX208" i="17"/>
  <c r="BX223" i="17"/>
  <c r="BX218" i="17"/>
  <c r="BX168" i="17"/>
  <c r="BX221" i="17"/>
  <c r="BX213" i="17"/>
  <c r="BX240" i="17"/>
  <c r="BX158" i="17"/>
  <c r="BX169" i="17"/>
  <c r="BX234" i="17"/>
  <c r="BX157" i="17"/>
  <c r="BX182" i="17"/>
  <c r="BX211" i="17"/>
  <c r="BX200" i="17"/>
  <c r="BX253" i="17"/>
  <c r="BX249" i="17"/>
  <c r="BX254" i="17"/>
  <c r="BX202" i="17"/>
  <c r="BX146" i="17"/>
  <c r="BX179" i="17"/>
  <c r="BX192" i="17"/>
  <c r="BX155" i="17"/>
  <c r="BX230" i="17"/>
  <c r="BX167" i="17"/>
  <c r="BF50" i="17"/>
  <c r="BF75" i="17"/>
  <c r="BF98" i="17"/>
  <c r="BF78" i="17"/>
  <c r="BF24" i="17"/>
  <c r="BF51" i="17"/>
  <c r="BF95" i="17"/>
  <c r="BF52" i="17"/>
  <c r="BF100" i="17"/>
  <c r="BF20" i="17"/>
  <c r="BF45" i="17"/>
  <c r="BF104" i="17"/>
  <c r="BF27" i="17"/>
  <c r="BF131" i="17"/>
  <c r="BF79" i="17"/>
  <c r="BF87" i="17"/>
  <c r="BF44" i="17"/>
  <c r="BF23" i="17"/>
  <c r="BF109" i="17"/>
  <c r="BF46" i="17"/>
  <c r="BF63" i="17"/>
  <c r="BF30" i="17"/>
  <c r="BF105" i="17"/>
  <c r="BF112" i="17"/>
  <c r="BF115" i="17"/>
  <c r="BF93" i="17"/>
  <c r="BF72" i="17"/>
  <c r="BF106" i="17"/>
  <c r="BF91" i="17"/>
  <c r="K34" i="2"/>
  <c r="O32" i="2"/>
  <c r="M32" i="2"/>
  <c r="BO56" i="15"/>
  <c r="BO36" i="15"/>
  <c r="BO75" i="15"/>
  <c r="BO123" i="15"/>
  <c r="CP477" i="17"/>
  <c r="BX217" i="17"/>
  <c r="BX180" i="17"/>
  <c r="BF67" i="17"/>
  <c r="E33" i="21"/>
  <c r="J33" i="21" s="1"/>
  <c r="D81" i="9"/>
  <c r="H33" i="2"/>
  <c r="H32" i="21"/>
  <c r="G32" i="21"/>
  <c r="CG384" i="17"/>
  <c r="CG367" i="17"/>
  <c r="CG330" i="17"/>
  <c r="CG353" i="17"/>
  <c r="CG303" i="17"/>
  <c r="CG382" i="17"/>
  <c r="CG352" i="17"/>
  <c r="CG292" i="17"/>
  <c r="CE273" i="17" s="1"/>
  <c r="CG331" i="17"/>
  <c r="CG297" i="17"/>
  <c r="CG346" i="17"/>
  <c r="CG307" i="17"/>
  <c r="CG356" i="17"/>
  <c r="CG329" i="17"/>
  <c r="CG366" i="17"/>
  <c r="CG391" i="17"/>
  <c r="CG359" i="17"/>
  <c r="CG291" i="17"/>
  <c r="BO87" i="15"/>
  <c r="BO104" i="15"/>
  <c r="BO61" i="15"/>
  <c r="BO102" i="15"/>
  <c r="BO125" i="15"/>
  <c r="BO74" i="15"/>
  <c r="BO124" i="15"/>
  <c r="BO71" i="15"/>
  <c r="BO117" i="15"/>
  <c r="BO116" i="15"/>
  <c r="BO135" i="15"/>
  <c r="BO55" i="15"/>
  <c r="BO53" i="15"/>
  <c r="BO129" i="15"/>
  <c r="BO80" i="15"/>
  <c r="BO66" i="15"/>
  <c r="BO30" i="15"/>
  <c r="BO34" i="15"/>
  <c r="BO28" i="15"/>
  <c r="BO137" i="15"/>
  <c r="BO89" i="15"/>
  <c r="BO65" i="15"/>
  <c r="BO60" i="15"/>
  <c r="BO120" i="15"/>
  <c r="BO25" i="15"/>
  <c r="BO77" i="15"/>
  <c r="BO32" i="15"/>
  <c r="BO131" i="15"/>
  <c r="BO27" i="15"/>
  <c r="CP445" i="17"/>
  <c r="CP489" i="17"/>
  <c r="CP485" i="17"/>
  <c r="CP511" i="17"/>
  <c r="CP424" i="17"/>
  <c r="CP438" i="17"/>
  <c r="CP490" i="17"/>
  <c r="CP417" i="17"/>
  <c r="CP464" i="17"/>
  <c r="CP487" i="17"/>
  <c r="CP474" i="17"/>
  <c r="CP523" i="17"/>
  <c r="CP488" i="17"/>
  <c r="CP482" i="17"/>
  <c r="CP434" i="17"/>
  <c r="CP516" i="17"/>
  <c r="CP483" i="17"/>
  <c r="CP503" i="17"/>
  <c r="CP491" i="17"/>
  <c r="CP512" i="17"/>
  <c r="CP436" i="17"/>
  <c r="CP440" i="17"/>
  <c r="CP453" i="17"/>
  <c r="CP441" i="17"/>
  <c r="CP521" i="17"/>
  <c r="CP509" i="17"/>
  <c r="CP500" i="17"/>
  <c r="CP419" i="17"/>
  <c r="CP410" i="17"/>
  <c r="CP422" i="17"/>
  <c r="BX195" i="17"/>
  <c r="BX238" i="17"/>
  <c r="BX206" i="17"/>
  <c r="BX185" i="17"/>
  <c r="BX207" i="17"/>
  <c r="BX256" i="17"/>
  <c r="BX170" i="17"/>
  <c r="BX189" i="17"/>
  <c r="BX161" i="17"/>
  <c r="BX159" i="17"/>
  <c r="BX171" i="17"/>
  <c r="BX197" i="17"/>
  <c r="BX246" i="17"/>
  <c r="BX186" i="17"/>
  <c r="BX148" i="17"/>
  <c r="BX199" i="17"/>
  <c r="BX191" i="17"/>
  <c r="BX245" i="17"/>
  <c r="BX215" i="17"/>
  <c r="BX194" i="17"/>
  <c r="BX243" i="17"/>
  <c r="BX262" i="17"/>
  <c r="BX225" i="17"/>
  <c r="BX257" i="17"/>
  <c r="BX175" i="17"/>
  <c r="BX224" i="17"/>
  <c r="BX216" i="17"/>
  <c r="BX147" i="17"/>
  <c r="BX255" i="17"/>
  <c r="BF58" i="17"/>
  <c r="BF120" i="17"/>
  <c r="BF80" i="17"/>
  <c r="BF97" i="17"/>
  <c r="BF85" i="17"/>
  <c r="BF68" i="17"/>
  <c r="BF123" i="17"/>
  <c r="BF84" i="17"/>
  <c r="BF90" i="17"/>
  <c r="BF127" i="17"/>
  <c r="BF83" i="17"/>
  <c r="BF74" i="17"/>
  <c r="BF89" i="17"/>
  <c r="BF18" i="17"/>
  <c r="BF22" i="17"/>
  <c r="BF76" i="17"/>
  <c r="BF32" i="17"/>
  <c r="BF40" i="17"/>
  <c r="BF130" i="17"/>
  <c r="BF101" i="17"/>
  <c r="BF61" i="17"/>
  <c r="BF15" i="17"/>
  <c r="BF26" i="17"/>
  <c r="BF17" i="17"/>
  <c r="BF35" i="17"/>
  <c r="BF88" i="17"/>
  <c r="BF16" i="17"/>
  <c r="BF99" i="17"/>
  <c r="BF29" i="17"/>
  <c r="D33" i="21"/>
  <c r="I33" i="21" s="1"/>
  <c r="C81" i="9"/>
  <c r="G33" i="2"/>
  <c r="BO51" i="15"/>
  <c r="BO63" i="15"/>
  <c r="BO33" i="15"/>
  <c r="CP479" i="17"/>
  <c r="CP429" i="17"/>
  <c r="CP452" i="17"/>
  <c r="CP421" i="17"/>
  <c r="CP481" i="17"/>
  <c r="CP416" i="17"/>
  <c r="BX164" i="17"/>
  <c r="BX235" i="17"/>
  <c r="BX259" i="17"/>
  <c r="BF96" i="17"/>
  <c r="BF119" i="17"/>
  <c r="B41" i="11"/>
  <c r="D41" i="11" s="1"/>
  <c r="E41" i="11" s="1"/>
  <c r="F41" i="11" s="1"/>
  <c r="F81" i="9"/>
  <c r="C33" i="21"/>
  <c r="B81" i="9"/>
  <c r="C41" i="11" s="1"/>
  <c r="G41" i="11" s="1"/>
  <c r="F33" i="2"/>
  <c r="J33" i="2"/>
  <c r="A34" i="21"/>
  <c r="A82" i="9"/>
  <c r="A42" i="11" s="1"/>
  <c r="A35" i="2"/>
  <c r="E34" i="2"/>
  <c r="P34" i="2"/>
  <c r="D34" i="2"/>
  <c r="N34" i="2"/>
  <c r="E82" i="9" s="1"/>
  <c r="B34" i="2"/>
  <c r="C34" i="2"/>
  <c r="I32" i="2"/>
  <c r="F32" i="21" s="1"/>
  <c r="L32" i="2"/>
  <c r="CG368" i="17"/>
  <c r="CG301" i="17"/>
  <c r="CG287" i="17"/>
  <c r="CG365" i="17"/>
  <c r="CG381" i="17"/>
  <c r="CG364" i="17"/>
  <c r="CG351" i="17"/>
  <c r="CG338" i="17"/>
  <c r="CG314" i="17"/>
  <c r="CG333" i="17"/>
  <c r="CG319" i="17"/>
  <c r="CG308" i="17"/>
  <c r="CG327" i="17"/>
  <c r="CG347" i="17"/>
  <c r="CG317" i="17"/>
  <c r="CG340" i="17"/>
  <c r="CG316" i="17"/>
  <c r="CG354" i="17"/>
  <c r="CG349" i="17"/>
  <c r="CG332" i="17"/>
  <c r="CG300" i="17"/>
  <c r="CG290" i="17"/>
  <c r="CG386" i="17"/>
  <c r="BO57" i="15"/>
  <c r="BO108" i="15"/>
  <c r="BO106" i="15"/>
  <c r="BO78" i="15"/>
  <c r="BO52" i="15"/>
  <c r="BO114" i="15"/>
  <c r="BO91" i="15"/>
  <c r="BO115" i="15"/>
  <c r="BO73" i="15"/>
  <c r="BO68" i="15"/>
  <c r="BO23" i="15"/>
  <c r="BO128" i="15"/>
  <c r="BO62" i="15"/>
  <c r="BO113" i="15"/>
  <c r="BO127" i="15"/>
  <c r="BO83" i="15"/>
  <c r="BO86" i="15"/>
  <c r="BO67" i="15"/>
  <c r="BO26" i="15"/>
  <c r="BO134" i="15"/>
  <c r="BO111" i="15"/>
  <c r="BO38" i="15"/>
  <c r="BO92" i="15"/>
  <c r="BO122" i="15"/>
  <c r="BO41" i="15"/>
  <c r="BO103" i="15"/>
  <c r="BO79" i="15"/>
  <c r="BO130" i="15"/>
  <c r="BO132" i="15"/>
  <c r="CP431" i="17"/>
  <c r="CP480" i="17"/>
  <c r="CP459" i="17"/>
  <c r="CP520" i="17"/>
  <c r="CP496" i="17"/>
  <c r="CP493" i="17"/>
  <c r="CP425" i="17"/>
  <c r="CP426" i="17"/>
  <c r="CP502" i="17"/>
  <c r="CP449" i="17"/>
  <c r="CP475" i="17"/>
  <c r="CP486" i="17"/>
  <c r="CP420" i="17"/>
  <c r="CP428" i="17"/>
  <c r="CP412" i="17"/>
  <c r="CP513" i="17"/>
  <c r="CP450" i="17"/>
  <c r="CP433" i="17"/>
  <c r="CP435" i="17"/>
  <c r="CP508" i="17"/>
  <c r="CP457" i="17"/>
  <c r="CP478" i="17"/>
  <c r="CP518" i="17"/>
  <c r="CP455" i="17"/>
  <c r="CP473" i="17"/>
  <c r="CP427" i="17"/>
  <c r="CP468" i="17"/>
  <c r="CP415" i="17"/>
  <c r="CP470" i="17"/>
  <c r="BX151" i="17"/>
  <c r="BX241" i="17"/>
  <c r="BX190" i="17"/>
  <c r="BX261" i="17"/>
  <c r="BX258" i="17"/>
  <c r="BX232" i="17"/>
  <c r="BX233" i="17"/>
  <c r="BX209" i="17"/>
  <c r="BX204" i="17"/>
  <c r="BX156" i="17"/>
  <c r="BX222" i="17"/>
  <c r="BX176" i="17"/>
  <c r="BX173" i="17"/>
  <c r="BX252" i="17"/>
  <c r="BX198" i="17"/>
  <c r="BX239" i="17"/>
  <c r="BX193" i="17"/>
  <c r="BX196" i="17"/>
  <c r="BX226" i="17"/>
  <c r="BX184" i="17"/>
  <c r="BX163" i="17"/>
  <c r="BX152" i="17"/>
  <c r="BX244" i="17"/>
  <c r="BX166" i="17"/>
  <c r="BX237" i="17"/>
  <c r="BX247" i="17"/>
  <c r="BX205" i="17"/>
  <c r="BX227" i="17"/>
  <c r="BX229" i="17"/>
  <c r="BX160" i="17"/>
  <c r="BF116" i="17"/>
  <c r="BF42" i="17"/>
  <c r="BF43" i="17"/>
  <c r="BF33" i="17"/>
  <c r="BF114" i="17"/>
  <c r="BF39" i="17"/>
  <c r="BF56" i="17"/>
  <c r="BF86" i="17"/>
  <c r="BF110" i="17"/>
  <c r="BF92" i="17"/>
  <c r="BF82" i="17"/>
  <c r="BF49" i="17"/>
  <c r="BF59" i="17"/>
  <c r="BF31" i="17"/>
  <c r="BF111" i="17"/>
  <c r="BF36" i="17"/>
  <c r="BF113" i="17"/>
  <c r="BF34" i="17"/>
  <c r="BF62" i="17"/>
  <c r="BF103" i="17"/>
  <c r="BF66" i="17"/>
  <c r="BF57" i="17"/>
  <c r="BF121" i="17"/>
  <c r="BF47" i="17"/>
  <c r="BF94" i="17"/>
  <c r="BF107" i="17"/>
  <c r="BF65" i="17"/>
  <c r="BF60" i="17"/>
  <c r="BF54" i="17"/>
  <c r="BF124" i="17"/>
  <c r="C34" i="21" l="1"/>
  <c r="B82" i="9"/>
  <c r="C42" i="11" s="1"/>
  <c r="G42" i="11" s="1"/>
  <c r="F34" i="2"/>
  <c r="O33" i="2"/>
  <c r="M33" i="2"/>
  <c r="CJ270" i="17"/>
  <c r="CM272" i="17"/>
  <c r="CS403" i="17"/>
  <c r="CT403" i="17"/>
  <c r="CL270" i="17"/>
  <c r="CL271" i="17"/>
  <c r="CI271" i="17"/>
  <c r="CK270" i="17"/>
  <c r="CB273" i="17"/>
  <c r="CK404" i="17"/>
  <c r="CN404" i="17"/>
  <c r="CO404" i="17"/>
  <c r="CJ404" i="17"/>
  <c r="CL404" i="17"/>
  <c r="CU403" i="17"/>
  <c r="BS17" i="15"/>
  <c r="BR16" i="15"/>
  <c r="BO20" i="15"/>
  <c r="BN19" i="15"/>
  <c r="BS18" i="15"/>
  <c r="BR17" i="15"/>
  <c r="BQ16" i="15"/>
  <c r="BM19" i="15"/>
  <c r="BR18" i="15"/>
  <c r="BQ17" i="15"/>
  <c r="BL19" i="15"/>
  <c r="BS16" i="15"/>
  <c r="BQ18" i="15"/>
  <c r="B42" i="11"/>
  <c r="D42" i="11" s="1"/>
  <c r="E42" i="11" s="1"/>
  <c r="F42" i="11" s="1"/>
  <c r="F82" i="9"/>
  <c r="A35" i="21"/>
  <c r="A36" i="2"/>
  <c r="E35" i="2"/>
  <c r="P35" i="2"/>
  <c r="D35" i="2"/>
  <c r="C35" i="2"/>
  <c r="J35" i="2" s="1"/>
  <c r="B35" i="2"/>
  <c r="A83" i="9"/>
  <c r="A43" i="11" s="1"/>
  <c r="N35" i="2"/>
  <c r="E83" i="9" s="1"/>
  <c r="J34" i="2"/>
  <c r="BV142" i="17"/>
  <c r="CB141" i="17"/>
  <c r="CB140" i="17"/>
  <c r="CB139" i="17"/>
  <c r="BU142" i="17"/>
  <c r="CA141" i="17"/>
  <c r="CA140" i="17"/>
  <c r="CA139" i="17"/>
  <c r="BT142" i="17"/>
  <c r="BZ141" i="17"/>
  <c r="BZ139" i="17"/>
  <c r="CC140" i="17"/>
  <c r="BZ140" i="17"/>
  <c r="CC139" i="17"/>
  <c r="BW142" i="17"/>
  <c r="CC141" i="17"/>
  <c r="BX143" i="17"/>
  <c r="CK271" i="17"/>
  <c r="CK272" i="17"/>
  <c r="CM271" i="17"/>
  <c r="CJ271" i="17"/>
  <c r="CF273" i="17"/>
  <c r="CR401" i="17"/>
  <c r="CS401" i="17"/>
  <c r="CT401" i="17"/>
  <c r="CP405" i="17"/>
  <c r="CR402" i="17"/>
  <c r="CU401" i="17"/>
  <c r="CM404" i="17"/>
  <c r="A52" i="22"/>
  <c r="B34" i="21"/>
  <c r="H33" i="21"/>
  <c r="G33" i="21"/>
  <c r="BD11" i="17"/>
  <c r="BH10" i="17"/>
  <c r="BH8" i="17"/>
  <c r="BI9" i="17"/>
  <c r="BH9" i="17"/>
  <c r="BI10" i="17"/>
  <c r="BI8" i="17"/>
  <c r="BE11" i="17"/>
  <c r="BF12" i="17"/>
  <c r="CC273" i="17"/>
  <c r="CM270" i="17"/>
  <c r="CV403" i="17"/>
  <c r="CW403" i="17"/>
  <c r="CR403" i="17"/>
  <c r="CW402" i="17"/>
  <c r="E34" i="21"/>
  <c r="J34" i="21" s="1"/>
  <c r="D82" i="9"/>
  <c r="H34" i="2"/>
  <c r="I33" i="2"/>
  <c r="F33" i="21" s="1"/>
  <c r="L33" i="2"/>
  <c r="D34" i="21"/>
  <c r="I34" i="21" s="1"/>
  <c r="C82" i="9"/>
  <c r="G34" i="2"/>
  <c r="CI270" i="17"/>
  <c r="CJ272" i="17"/>
  <c r="CD273" i="17"/>
  <c r="CL272" i="17"/>
  <c r="CI272" i="17"/>
  <c r="CW401" i="17"/>
  <c r="CT402" i="17"/>
  <c r="CU402" i="17"/>
  <c r="CV401" i="17"/>
  <c r="CV402" i="17"/>
  <c r="O35" i="2" l="1"/>
  <c r="M35" i="2"/>
  <c r="BI29" i="17"/>
  <c r="BI124" i="17"/>
  <c r="BI80" i="17"/>
  <c r="BI17" i="17"/>
  <c r="BI77" i="17"/>
  <c r="BI47" i="17"/>
  <c r="BI40" i="17"/>
  <c r="BI26" i="17"/>
  <c r="BI126" i="17"/>
  <c r="BI105" i="17"/>
  <c r="BI102" i="17"/>
  <c r="BI121" i="17"/>
  <c r="BI15" i="17"/>
  <c r="BI30" i="17"/>
  <c r="BI25" i="17"/>
  <c r="BI57" i="17"/>
  <c r="BI61" i="17"/>
  <c r="BI63" i="17"/>
  <c r="BI120" i="17"/>
  <c r="BI66" i="17"/>
  <c r="BI101" i="17"/>
  <c r="BI46" i="17"/>
  <c r="BI71" i="17"/>
  <c r="BI48" i="17"/>
  <c r="BI103" i="17"/>
  <c r="BI118" i="17"/>
  <c r="BI109" i="17"/>
  <c r="BI108" i="17"/>
  <c r="BI19" i="17"/>
  <c r="BI62" i="17"/>
  <c r="BI23" i="17"/>
  <c r="BI129" i="17"/>
  <c r="BI34" i="17"/>
  <c r="BI60" i="17"/>
  <c r="BI117" i="17"/>
  <c r="BI113" i="17"/>
  <c r="BI16" i="17"/>
  <c r="BI87" i="17"/>
  <c r="BI64" i="17"/>
  <c r="BI37" i="17"/>
  <c r="BI84" i="17"/>
  <c r="BI22" i="17"/>
  <c r="BI52" i="17"/>
  <c r="BI79" i="17"/>
  <c r="BI67" i="17"/>
  <c r="BI88" i="17"/>
  <c r="BI111" i="17"/>
  <c r="BI122" i="17"/>
  <c r="BI28" i="17"/>
  <c r="BI18" i="17"/>
  <c r="BI69" i="17"/>
  <c r="BI31" i="17"/>
  <c r="BI20" i="17"/>
  <c r="BI112" i="17"/>
  <c r="BI119" i="17"/>
  <c r="BI41" i="17"/>
  <c r="BI89" i="17"/>
  <c r="BI27" i="17"/>
  <c r="BI98" i="17"/>
  <c r="BI110" i="17"/>
  <c r="BI114" i="17"/>
  <c r="BI73" i="17"/>
  <c r="BI72" i="17"/>
  <c r="BI43" i="17"/>
  <c r="BI53" i="17"/>
  <c r="BI86" i="17"/>
  <c r="BI75" i="17"/>
  <c r="BI95" i="17"/>
  <c r="BI42" i="17"/>
  <c r="BI99" i="17"/>
  <c r="BI70" i="17"/>
  <c r="BI81" i="17"/>
  <c r="BI92" i="17"/>
  <c r="BI51" i="17"/>
  <c r="BI100" i="17"/>
  <c r="BI39" i="17"/>
  <c r="BI127" i="17"/>
  <c r="BI35" i="17"/>
  <c r="BI94" i="17"/>
  <c r="BI131" i="17"/>
  <c r="BI59" i="17"/>
  <c r="BI74" i="17"/>
  <c r="BI36" i="17"/>
  <c r="BI65" i="17"/>
  <c r="BI93" i="17"/>
  <c r="BI107" i="17"/>
  <c r="BI58" i="17"/>
  <c r="BI116" i="17"/>
  <c r="BI50" i="17"/>
  <c r="BI85" i="17"/>
  <c r="BI38" i="17"/>
  <c r="BI33" i="17"/>
  <c r="BI125" i="17"/>
  <c r="BI49" i="17"/>
  <c r="BI83" i="17"/>
  <c r="BI45" i="17"/>
  <c r="BI24" i="17"/>
  <c r="BI130" i="17"/>
  <c r="BI54" i="17"/>
  <c r="BI106" i="17"/>
  <c r="BI76" i="17"/>
  <c r="BI128" i="17"/>
  <c r="BI115" i="17"/>
  <c r="BI123" i="17"/>
  <c r="BI56" i="17"/>
  <c r="BI90" i="17"/>
  <c r="BI97" i="17"/>
  <c r="BI68" i="17"/>
  <c r="BI104" i="17"/>
  <c r="BI78" i="17"/>
  <c r="BI21" i="17"/>
  <c r="BI96" i="17"/>
  <c r="BI91" i="17"/>
  <c r="BI32" i="17"/>
  <c r="BI44" i="17"/>
  <c r="BI55" i="17"/>
  <c r="BI82" i="17"/>
  <c r="BH29" i="17"/>
  <c r="BH124" i="17"/>
  <c r="BJ124" i="17" s="1"/>
  <c r="BH130" i="17"/>
  <c r="BJ130" i="17" s="1"/>
  <c r="BH77" i="17"/>
  <c r="BJ77" i="17" s="1"/>
  <c r="BH47" i="17"/>
  <c r="BJ47" i="17" s="1"/>
  <c r="BH41" i="17"/>
  <c r="BJ41" i="17" s="1"/>
  <c r="BH89" i="17"/>
  <c r="BH26" i="17"/>
  <c r="BJ26" i="17" s="1"/>
  <c r="BH44" i="17"/>
  <c r="BH102" i="17"/>
  <c r="BJ102" i="17" s="1"/>
  <c r="BH15" i="17"/>
  <c r="BH30" i="17"/>
  <c r="BJ30" i="17" s="1"/>
  <c r="BH117" i="17"/>
  <c r="BJ117" i="17" s="1"/>
  <c r="BH16" i="17"/>
  <c r="BH73" i="17"/>
  <c r="BJ73" i="17" s="1"/>
  <c r="BH76" i="17"/>
  <c r="BJ76" i="17" s="1"/>
  <c r="BH64" i="17"/>
  <c r="BJ64" i="17" s="1"/>
  <c r="BH37" i="17"/>
  <c r="BJ37" i="17" s="1"/>
  <c r="BH65" i="17"/>
  <c r="BJ65" i="17" s="1"/>
  <c r="BH61" i="17"/>
  <c r="BJ61" i="17" s="1"/>
  <c r="BH63" i="17"/>
  <c r="BJ63" i="17" s="1"/>
  <c r="BH66" i="17"/>
  <c r="BJ66" i="17" s="1"/>
  <c r="BH46" i="17"/>
  <c r="BJ46" i="17" s="1"/>
  <c r="BH71" i="17"/>
  <c r="BJ71" i="17" s="1"/>
  <c r="BH131" i="17"/>
  <c r="BJ131" i="17" s="1"/>
  <c r="BH69" i="17"/>
  <c r="BJ69" i="17" s="1"/>
  <c r="BH103" i="17"/>
  <c r="BH118" i="17"/>
  <c r="BJ118" i="17" s="1"/>
  <c r="BH109" i="17"/>
  <c r="BJ109" i="17" s="1"/>
  <c r="BH17" i="17"/>
  <c r="BJ17" i="17" s="1"/>
  <c r="BH112" i="17"/>
  <c r="BJ112" i="17" s="1"/>
  <c r="BH19" i="17"/>
  <c r="BJ19" i="17" s="1"/>
  <c r="BH62" i="17"/>
  <c r="BJ62" i="17" s="1"/>
  <c r="BH40" i="17"/>
  <c r="BJ40" i="17" s="1"/>
  <c r="BH23" i="17"/>
  <c r="BJ23" i="17" s="1"/>
  <c r="BH129" i="17"/>
  <c r="BJ129" i="17" s="1"/>
  <c r="BH34" i="17"/>
  <c r="BH121" i="17"/>
  <c r="BJ121" i="17" s="1"/>
  <c r="BH87" i="17"/>
  <c r="BJ87" i="17" s="1"/>
  <c r="BH36" i="17"/>
  <c r="BJ36" i="17" s="1"/>
  <c r="BH22" i="17"/>
  <c r="BJ22" i="17" s="1"/>
  <c r="BH79" i="17"/>
  <c r="BJ79" i="17" s="1"/>
  <c r="BH67" i="17"/>
  <c r="BH111" i="17"/>
  <c r="BJ111" i="17" s="1"/>
  <c r="BH53" i="17"/>
  <c r="BH18" i="17"/>
  <c r="BJ18" i="17" s="1"/>
  <c r="BH31" i="17"/>
  <c r="BJ31" i="17" s="1"/>
  <c r="BH108" i="17"/>
  <c r="BJ108" i="17" s="1"/>
  <c r="BH119" i="17"/>
  <c r="BJ119" i="17" s="1"/>
  <c r="BH126" i="17"/>
  <c r="BH105" i="17"/>
  <c r="BJ105" i="17" s="1"/>
  <c r="BH27" i="17"/>
  <c r="BJ27" i="17" s="1"/>
  <c r="BH32" i="17"/>
  <c r="BJ32" i="17" s="1"/>
  <c r="BH98" i="17"/>
  <c r="BJ98" i="17" s="1"/>
  <c r="BH60" i="17"/>
  <c r="BJ60" i="17" s="1"/>
  <c r="BH110" i="17"/>
  <c r="BJ110" i="17" s="1"/>
  <c r="BH113" i="17"/>
  <c r="BJ113" i="17" s="1"/>
  <c r="BH114" i="17"/>
  <c r="BH25" i="17"/>
  <c r="BJ25" i="17" s="1"/>
  <c r="BH57" i="17"/>
  <c r="BJ57" i="17" s="1"/>
  <c r="BH84" i="17"/>
  <c r="BH52" i="17"/>
  <c r="BJ52" i="17" s="1"/>
  <c r="BH43" i="17"/>
  <c r="BJ43" i="17" s="1"/>
  <c r="BH120" i="17"/>
  <c r="BJ120" i="17" s="1"/>
  <c r="BH86" i="17"/>
  <c r="BJ86" i="17" s="1"/>
  <c r="BH28" i="17"/>
  <c r="BH123" i="17"/>
  <c r="BJ123" i="17" s="1"/>
  <c r="BH75" i="17"/>
  <c r="BJ75" i="17" s="1"/>
  <c r="BH95" i="17"/>
  <c r="BJ95" i="17" s="1"/>
  <c r="BH20" i="17"/>
  <c r="BH42" i="17"/>
  <c r="BH54" i="17"/>
  <c r="BJ54" i="17" s="1"/>
  <c r="BH106" i="17"/>
  <c r="BJ106" i="17" s="1"/>
  <c r="BH128" i="17"/>
  <c r="BJ128" i="17" s="1"/>
  <c r="BH107" i="17"/>
  <c r="BJ107" i="17" s="1"/>
  <c r="BH122" i="17"/>
  <c r="BJ122" i="17" s="1"/>
  <c r="BH56" i="17"/>
  <c r="BH68" i="17"/>
  <c r="BJ68" i="17" s="1"/>
  <c r="BH49" i="17"/>
  <c r="BJ49" i="17" s="1"/>
  <c r="BH51" i="17"/>
  <c r="BJ51" i="17" s="1"/>
  <c r="BH39" i="17"/>
  <c r="BJ39" i="17" s="1"/>
  <c r="BH85" i="17"/>
  <c r="BJ85" i="17" s="1"/>
  <c r="BH59" i="17"/>
  <c r="BH97" i="17"/>
  <c r="BJ97" i="17" s="1"/>
  <c r="BH104" i="17"/>
  <c r="BH125" i="17"/>
  <c r="BH55" i="17"/>
  <c r="BJ55" i="17" s="1"/>
  <c r="BH80" i="17"/>
  <c r="BJ80" i="17" s="1"/>
  <c r="BH91" i="17"/>
  <c r="BH72" i="17"/>
  <c r="BJ72" i="17" s="1"/>
  <c r="BH93" i="17"/>
  <c r="BH115" i="17"/>
  <c r="BJ115" i="17" s="1"/>
  <c r="BH48" i="17"/>
  <c r="BJ48" i="17" s="1"/>
  <c r="BH92" i="17"/>
  <c r="BH21" i="17"/>
  <c r="BJ21" i="17" s="1"/>
  <c r="BH58" i="17"/>
  <c r="BJ58" i="17" s="1"/>
  <c r="BH96" i="17"/>
  <c r="BJ96" i="17" s="1"/>
  <c r="BH50" i="17"/>
  <c r="BH24" i="17"/>
  <c r="BH127" i="17"/>
  <c r="BJ127" i="17" s="1"/>
  <c r="BH70" i="17"/>
  <c r="BJ70" i="17" s="1"/>
  <c r="BH45" i="17"/>
  <c r="BJ45" i="17" s="1"/>
  <c r="BH82" i="17"/>
  <c r="BH99" i="17"/>
  <c r="BJ99" i="17" s="1"/>
  <c r="BH88" i="17"/>
  <c r="BJ88" i="17" s="1"/>
  <c r="BH35" i="17"/>
  <c r="BJ35" i="17" s="1"/>
  <c r="BH94" i="17"/>
  <c r="BJ94" i="17" s="1"/>
  <c r="BH101" i="17"/>
  <c r="BJ101" i="17" s="1"/>
  <c r="BH90" i="17"/>
  <c r="BJ90" i="17" s="1"/>
  <c r="BH78" i="17"/>
  <c r="BJ78" i="17" s="1"/>
  <c r="BH100" i="17"/>
  <c r="BJ100" i="17" s="1"/>
  <c r="BH116" i="17"/>
  <c r="BJ116" i="17" s="1"/>
  <c r="BH38" i="17"/>
  <c r="BJ38" i="17" s="1"/>
  <c r="BH81" i="17"/>
  <c r="BJ81" i="17" s="1"/>
  <c r="BH74" i="17"/>
  <c r="BJ74" i="17" s="1"/>
  <c r="BH83" i="17"/>
  <c r="BJ83" i="17" s="1"/>
  <c r="BH33" i="17"/>
  <c r="BJ33" i="17" s="1"/>
  <c r="CS422" i="17"/>
  <c r="CS517" i="17"/>
  <c r="CS435" i="17"/>
  <c r="CS491" i="17"/>
  <c r="CS462" i="17"/>
  <c r="CS515" i="17"/>
  <c r="CS433" i="17"/>
  <c r="CS503" i="17"/>
  <c r="CS418" i="17"/>
  <c r="CS450" i="17"/>
  <c r="CS496" i="17"/>
  <c r="CS483" i="17"/>
  <c r="CS468" i="17"/>
  <c r="CS471" i="17"/>
  <c r="CS481" i="17"/>
  <c r="CS424" i="17"/>
  <c r="CS499" i="17"/>
  <c r="CS416" i="17"/>
  <c r="CS522" i="17"/>
  <c r="CS504" i="17"/>
  <c r="CS520" i="17"/>
  <c r="CS434" i="17"/>
  <c r="CS488" i="17"/>
  <c r="CS508" i="17"/>
  <c r="CS476" i="17"/>
  <c r="CS409" i="17"/>
  <c r="CS429" i="17"/>
  <c r="CS523" i="17"/>
  <c r="CS466" i="17"/>
  <c r="CS444" i="17"/>
  <c r="CS414" i="17"/>
  <c r="CS425" i="17"/>
  <c r="CS498" i="17"/>
  <c r="CS431" i="17"/>
  <c r="CS514" i="17"/>
  <c r="CS513" i="17"/>
  <c r="CS516" i="17"/>
  <c r="CS490" i="17"/>
  <c r="CS519" i="17"/>
  <c r="CS511" i="17"/>
  <c r="CS412" i="17"/>
  <c r="CS494" i="17"/>
  <c r="CS482" i="17"/>
  <c r="CS451" i="17"/>
  <c r="CS475" i="17"/>
  <c r="CS474" i="17"/>
  <c r="CS421" i="17"/>
  <c r="CS492" i="17"/>
  <c r="CS524" i="17"/>
  <c r="CS428" i="17"/>
  <c r="CS507" i="17"/>
  <c r="CS411" i="17"/>
  <c r="CS470" i="17"/>
  <c r="CS501" i="17"/>
  <c r="CS410" i="17"/>
  <c r="CS415" i="17"/>
  <c r="CS419" i="17"/>
  <c r="CS423" i="17"/>
  <c r="CS446" i="17"/>
  <c r="CS440" i="17"/>
  <c r="CS427" i="17"/>
  <c r="CS495" i="17"/>
  <c r="CS473" i="17"/>
  <c r="CS448" i="17"/>
  <c r="CS443" i="17"/>
  <c r="CS455" i="17"/>
  <c r="CS512" i="17"/>
  <c r="CS441" i="17"/>
  <c r="CS413" i="17"/>
  <c r="CS463" i="17"/>
  <c r="CS478" i="17"/>
  <c r="CS430" i="17"/>
  <c r="CS465" i="17"/>
  <c r="CS477" i="17"/>
  <c r="CS472" i="17"/>
  <c r="CS459" i="17"/>
  <c r="CS485" i="17"/>
  <c r="CS480" i="17"/>
  <c r="CS489" i="17"/>
  <c r="CS426" i="17"/>
  <c r="CS417" i="17"/>
  <c r="CS447" i="17"/>
  <c r="CS449" i="17"/>
  <c r="CS458" i="17"/>
  <c r="CS502" i="17"/>
  <c r="CS454" i="17"/>
  <c r="CS467" i="17"/>
  <c r="CS500" i="17"/>
  <c r="CS484" i="17"/>
  <c r="CS436" i="17"/>
  <c r="CS408" i="17"/>
  <c r="CS479" i="17"/>
  <c r="CS445" i="17"/>
  <c r="CS497" i="17"/>
  <c r="CS442" i="17"/>
  <c r="CS439" i="17"/>
  <c r="CS486" i="17"/>
  <c r="CS493" i="17"/>
  <c r="CS438" i="17"/>
  <c r="CS506" i="17"/>
  <c r="CS456" i="17"/>
  <c r="CS505" i="17"/>
  <c r="CS509" i="17"/>
  <c r="CS487" i="17"/>
  <c r="CS461" i="17"/>
  <c r="CS464" i="17"/>
  <c r="CS453" i="17"/>
  <c r="CS452" i="17"/>
  <c r="CS437" i="17"/>
  <c r="CS432" i="17"/>
  <c r="CS469" i="17"/>
  <c r="CS460" i="17"/>
  <c r="CS518" i="17"/>
  <c r="CS457" i="17"/>
  <c r="CS510" i="17"/>
  <c r="CS521" i="17"/>
  <c r="CS420" i="17"/>
  <c r="CA160" i="17"/>
  <c r="CA255" i="17"/>
  <c r="CA185" i="17"/>
  <c r="CA250" i="17"/>
  <c r="CA226" i="17"/>
  <c r="CA166" i="17"/>
  <c r="CA211" i="17"/>
  <c r="CA162" i="17"/>
  <c r="CA217" i="17"/>
  <c r="CA229" i="17"/>
  <c r="CA262" i="17"/>
  <c r="CA193" i="17"/>
  <c r="CA254" i="17"/>
  <c r="CA180" i="17"/>
  <c r="CA154" i="17"/>
  <c r="CA216" i="17"/>
  <c r="CA239" i="17"/>
  <c r="CA234" i="17"/>
  <c r="CA210" i="17"/>
  <c r="CA172" i="17"/>
  <c r="CA205" i="17"/>
  <c r="CA224" i="17"/>
  <c r="CA192" i="17"/>
  <c r="CA186" i="17"/>
  <c r="CA247" i="17"/>
  <c r="CA223" i="17"/>
  <c r="CA237" i="17"/>
  <c r="CA233" i="17"/>
  <c r="CA183" i="17"/>
  <c r="CA167" i="17"/>
  <c r="CA182" i="17"/>
  <c r="CA219" i="17"/>
  <c r="CA218" i="17"/>
  <c r="CA244" i="17"/>
  <c r="CA251" i="17"/>
  <c r="CA199" i="17"/>
  <c r="CA152" i="17"/>
  <c r="CA171" i="17"/>
  <c r="CA220" i="17"/>
  <c r="CA198" i="17"/>
  <c r="CA170" i="17"/>
  <c r="CA246" i="17"/>
  <c r="CA253" i="17"/>
  <c r="CA158" i="17"/>
  <c r="CA149" i="17"/>
  <c r="CA184" i="17"/>
  <c r="CA215" i="17"/>
  <c r="CA200" i="17"/>
  <c r="CA245" i="17"/>
  <c r="CA196" i="17"/>
  <c r="CA206" i="17"/>
  <c r="CA248" i="17"/>
  <c r="CA147" i="17"/>
  <c r="CA157" i="17"/>
  <c r="CA227" i="17"/>
  <c r="CA155" i="17"/>
  <c r="CA148" i="17"/>
  <c r="CA249" i="17"/>
  <c r="CA190" i="17"/>
  <c r="CA242" i="17"/>
  <c r="CA175" i="17"/>
  <c r="CA238" i="17"/>
  <c r="CA181" i="17"/>
  <c r="CA252" i="17"/>
  <c r="CA179" i="17"/>
  <c r="CA187" i="17"/>
  <c r="CA231" i="17"/>
  <c r="CA257" i="17"/>
  <c r="CA164" i="17"/>
  <c r="CA146" i="17"/>
  <c r="CA173" i="17"/>
  <c r="CA197" i="17"/>
  <c r="CA240" i="17"/>
  <c r="CA214" i="17"/>
  <c r="CA177" i="17"/>
  <c r="CA212" i="17"/>
  <c r="CA163" i="17"/>
  <c r="CA213" i="17"/>
  <c r="CA169" i="17"/>
  <c r="CA228" i="17"/>
  <c r="CA221" i="17"/>
  <c r="CA156" i="17"/>
  <c r="CA195" i="17"/>
  <c r="CA174" i="17"/>
  <c r="CA168" i="17"/>
  <c r="CA188" i="17"/>
  <c r="CA153" i="17"/>
  <c r="CA208" i="17"/>
  <c r="CA222" i="17"/>
  <c r="CA204" i="17"/>
  <c r="CA258" i="17"/>
  <c r="CA225" i="17"/>
  <c r="CA191" i="17"/>
  <c r="CA202" i="17"/>
  <c r="CA235" i="17"/>
  <c r="CA209" i="17"/>
  <c r="CA150" i="17"/>
  <c r="CA232" i="17"/>
  <c r="CA260" i="17"/>
  <c r="CA243" i="17"/>
  <c r="CA151" i="17"/>
  <c r="CA178" i="17"/>
  <c r="CA201" i="17"/>
  <c r="CA165" i="17"/>
  <c r="CA259" i="17"/>
  <c r="CA176" i="17"/>
  <c r="CA230" i="17"/>
  <c r="CA236" i="17"/>
  <c r="CA194" i="17"/>
  <c r="CA256" i="17"/>
  <c r="CA203" i="17"/>
  <c r="CA241" i="17"/>
  <c r="CA161" i="17"/>
  <c r="CA261" i="17"/>
  <c r="CA159" i="17"/>
  <c r="CA207" i="17"/>
  <c r="CA189" i="17"/>
  <c r="CB160" i="17"/>
  <c r="CB255" i="17"/>
  <c r="CB200" i="17"/>
  <c r="CB211" i="17"/>
  <c r="CB214" i="17"/>
  <c r="CB248" i="17"/>
  <c r="CB244" i="17"/>
  <c r="CB230" i="17"/>
  <c r="CB239" i="17"/>
  <c r="CB236" i="17"/>
  <c r="CB242" i="17"/>
  <c r="CB247" i="17"/>
  <c r="CB253" i="17"/>
  <c r="CB223" i="17"/>
  <c r="CB257" i="17"/>
  <c r="CB146" i="17"/>
  <c r="CB149" i="17"/>
  <c r="CB240" i="17"/>
  <c r="CB208" i="17"/>
  <c r="CB183" i="17"/>
  <c r="CB167" i="17"/>
  <c r="CB166" i="17"/>
  <c r="CB245" i="17"/>
  <c r="CB225" i="17"/>
  <c r="CB196" i="17"/>
  <c r="CB202" i="17"/>
  <c r="CB219" i="17"/>
  <c r="CB176" i="17"/>
  <c r="CB251" i="17"/>
  <c r="CB262" i="17"/>
  <c r="CB254" i="17"/>
  <c r="CB199" i="17"/>
  <c r="CB157" i="17"/>
  <c r="CB148" i="17"/>
  <c r="CB249" i="17"/>
  <c r="CB172" i="17"/>
  <c r="CB171" i="17"/>
  <c r="CB181" i="17"/>
  <c r="CB194" i="17"/>
  <c r="CB173" i="17"/>
  <c r="CB197" i="17"/>
  <c r="CB256" i="17"/>
  <c r="CB215" i="17"/>
  <c r="CB250" i="17"/>
  <c r="CB226" i="17"/>
  <c r="CB162" i="17"/>
  <c r="CB182" i="17"/>
  <c r="CB165" i="17"/>
  <c r="CB147" i="17"/>
  <c r="CB212" i="17"/>
  <c r="CB193" i="17"/>
  <c r="CB154" i="17"/>
  <c r="CB227" i="17"/>
  <c r="CB216" i="17"/>
  <c r="CB155" i="17"/>
  <c r="CB234" i="17"/>
  <c r="CB210" i="17"/>
  <c r="CB220" i="17"/>
  <c r="CB198" i="17"/>
  <c r="CB224" i="17"/>
  <c r="CB192" i="17"/>
  <c r="CB186" i="17"/>
  <c r="CB175" i="17"/>
  <c r="CB213" i="17"/>
  <c r="CB169" i="17"/>
  <c r="CB179" i="17"/>
  <c r="CB246" i="17"/>
  <c r="CB261" i="17"/>
  <c r="CB187" i="17"/>
  <c r="CB228" i="17"/>
  <c r="CB231" i="17"/>
  <c r="CB158" i="17"/>
  <c r="CB164" i="17"/>
  <c r="CB218" i="17"/>
  <c r="CB180" i="17"/>
  <c r="CB243" i="17"/>
  <c r="CB170" i="17"/>
  <c r="CB151" i="17"/>
  <c r="CB222" i="17"/>
  <c r="CB204" i="17"/>
  <c r="CB161" i="17"/>
  <c r="CB260" i="17"/>
  <c r="CB195" i="17"/>
  <c r="CB221" i="17"/>
  <c r="CB185" i="17"/>
  <c r="CB217" i="17"/>
  <c r="CB206" i="17"/>
  <c r="CB229" i="17"/>
  <c r="CB152" i="17"/>
  <c r="CB190" i="17"/>
  <c r="CB163" i="17"/>
  <c r="CB238" i="17"/>
  <c r="CB252" i="17"/>
  <c r="CB237" i="17"/>
  <c r="CB184" i="17"/>
  <c r="CB178" i="17"/>
  <c r="CB156" i="17"/>
  <c r="CB174" i="17"/>
  <c r="CB188" i="17"/>
  <c r="CB258" i="17"/>
  <c r="CB168" i="17"/>
  <c r="CB259" i="17"/>
  <c r="CB205" i="17"/>
  <c r="CB232" i="17"/>
  <c r="CB207" i="17"/>
  <c r="CB191" i="17"/>
  <c r="CB177" i="17"/>
  <c r="CB235" i="17"/>
  <c r="CB153" i="17"/>
  <c r="CB150" i="17"/>
  <c r="CB203" i="17"/>
  <c r="CB241" i="17"/>
  <c r="CB189" i="17"/>
  <c r="CB201" i="17"/>
  <c r="CB209" i="17"/>
  <c r="CB233" i="17"/>
  <c r="CB159" i="17"/>
  <c r="O34" i="2"/>
  <c r="M34" i="2"/>
  <c r="A36" i="21"/>
  <c r="A37" i="2"/>
  <c r="E36" i="2"/>
  <c r="P36" i="2"/>
  <c r="D36" i="2"/>
  <c r="B36" i="2"/>
  <c r="A84" i="9"/>
  <c r="A44" i="11" s="1"/>
  <c r="C36" i="2"/>
  <c r="N36" i="2"/>
  <c r="E84" i="9" s="1"/>
  <c r="CK291" i="17"/>
  <c r="CK386" i="17"/>
  <c r="CK297" i="17"/>
  <c r="CK348" i="17"/>
  <c r="CK335" i="17"/>
  <c r="CK302" i="17"/>
  <c r="CK333" i="17"/>
  <c r="CK341" i="17"/>
  <c r="CK336" i="17"/>
  <c r="CK373" i="17"/>
  <c r="CK325" i="17"/>
  <c r="CK339" i="17"/>
  <c r="CK309" i="17"/>
  <c r="CK372" i="17"/>
  <c r="CK292" i="17"/>
  <c r="CK287" i="17"/>
  <c r="CK307" i="17"/>
  <c r="CK310" i="17"/>
  <c r="CK392" i="17"/>
  <c r="CK314" i="17"/>
  <c r="CK352" i="17"/>
  <c r="CK342" i="17"/>
  <c r="CK365" i="17"/>
  <c r="CK304" i="17"/>
  <c r="CK353" i="17"/>
  <c r="CK387" i="17"/>
  <c r="CK371" i="17"/>
  <c r="CK338" i="17"/>
  <c r="CK283" i="17"/>
  <c r="CK305" i="17"/>
  <c r="CK378" i="17"/>
  <c r="CK301" i="17"/>
  <c r="CK389" i="17"/>
  <c r="CK370" i="17"/>
  <c r="CK345" i="17"/>
  <c r="CK320" i="17"/>
  <c r="CK358" i="17"/>
  <c r="CK375" i="17"/>
  <c r="CK374" i="17"/>
  <c r="CK315" i="17"/>
  <c r="CK282" i="17"/>
  <c r="CK330" i="17"/>
  <c r="CK377" i="17"/>
  <c r="CK363" i="17"/>
  <c r="CK393" i="17"/>
  <c r="CK331" i="17"/>
  <c r="CK290" i="17"/>
  <c r="CK359" i="17"/>
  <c r="CK334" i="17"/>
  <c r="CK323" i="17"/>
  <c r="CK300" i="17"/>
  <c r="CK369" i="17"/>
  <c r="CK347" i="17"/>
  <c r="CK357" i="17"/>
  <c r="CK362" i="17"/>
  <c r="CK332" i="17"/>
  <c r="CK286" i="17"/>
  <c r="CK376" i="17"/>
  <c r="CK293" i="17"/>
  <c r="CK349" i="17"/>
  <c r="CK391" i="17"/>
  <c r="CK294" i="17"/>
  <c r="CK299" i="17"/>
  <c r="CK319" i="17"/>
  <c r="CK360" i="17"/>
  <c r="CK354" i="17"/>
  <c r="CK366" i="17"/>
  <c r="CK298" i="17"/>
  <c r="CK279" i="17"/>
  <c r="CK313" i="17"/>
  <c r="CK380" i="17"/>
  <c r="CK329" i="17"/>
  <c r="CK355" i="17"/>
  <c r="CK379" i="17"/>
  <c r="CK306" i="17"/>
  <c r="CK346" i="17"/>
  <c r="CK316" i="17"/>
  <c r="CK384" i="17"/>
  <c r="CK303" i="17"/>
  <c r="CK388" i="17"/>
  <c r="CK383" i="17"/>
  <c r="CK284" i="17"/>
  <c r="CK343" i="17"/>
  <c r="CK340" i="17"/>
  <c r="CK317" i="17"/>
  <c r="CK295" i="17"/>
  <c r="CK312" i="17"/>
  <c r="CK327" i="17"/>
  <c r="CK318" i="17"/>
  <c r="CK281" i="17"/>
  <c r="CK381" i="17"/>
  <c r="CK385" i="17"/>
  <c r="CK351" i="17"/>
  <c r="CK337" i="17"/>
  <c r="CK368" i="17"/>
  <c r="CK350" i="17"/>
  <c r="CK382" i="17"/>
  <c r="CK328" i="17"/>
  <c r="CK311" i="17"/>
  <c r="CK344" i="17"/>
  <c r="CK321" i="17"/>
  <c r="CK289" i="17"/>
  <c r="CK361" i="17"/>
  <c r="CK322" i="17"/>
  <c r="CK288" i="17"/>
  <c r="CK280" i="17"/>
  <c r="CK326" i="17"/>
  <c r="CK278" i="17"/>
  <c r="CK324" i="17"/>
  <c r="CK285" i="17"/>
  <c r="CK367" i="17"/>
  <c r="CK296" i="17"/>
  <c r="CK390" i="17"/>
  <c r="CK364" i="17"/>
  <c r="CK277" i="17"/>
  <c r="CK356" i="17"/>
  <c r="CK308" i="17"/>
  <c r="J36" i="2"/>
  <c r="CW422" i="17"/>
  <c r="CW517" i="17"/>
  <c r="CW429" i="17"/>
  <c r="CW505" i="17"/>
  <c r="CW413" i="17"/>
  <c r="CW523" i="17"/>
  <c r="CW466" i="17"/>
  <c r="CW444" i="17"/>
  <c r="CW414" i="17"/>
  <c r="CW425" i="17"/>
  <c r="CW468" i="17"/>
  <c r="CW498" i="17"/>
  <c r="CW431" i="17"/>
  <c r="CW514" i="17"/>
  <c r="CW484" i="17"/>
  <c r="CW516" i="17"/>
  <c r="CW490" i="17"/>
  <c r="CW519" i="17"/>
  <c r="CW504" i="17"/>
  <c r="CW511" i="17"/>
  <c r="CW494" i="17"/>
  <c r="CW482" i="17"/>
  <c r="CW451" i="17"/>
  <c r="CW521" i="17"/>
  <c r="CW475" i="17"/>
  <c r="CW474" i="17"/>
  <c r="CW421" i="17"/>
  <c r="CW512" i="17"/>
  <c r="CW492" i="17"/>
  <c r="CW428" i="17"/>
  <c r="CW507" i="17"/>
  <c r="CW447" i="17"/>
  <c r="CW411" i="17"/>
  <c r="CW470" i="17"/>
  <c r="CW410" i="17"/>
  <c r="CW415" i="17"/>
  <c r="CW419" i="17"/>
  <c r="CW423" i="17"/>
  <c r="CW446" i="17"/>
  <c r="CW440" i="17"/>
  <c r="CW432" i="17"/>
  <c r="CW416" i="17"/>
  <c r="CW427" i="17"/>
  <c r="CW436" i="17"/>
  <c r="CW495" i="17"/>
  <c r="CW520" i="17"/>
  <c r="CW473" i="17"/>
  <c r="CW412" i="17"/>
  <c r="CW443" i="17"/>
  <c r="CW455" i="17"/>
  <c r="CW441" i="17"/>
  <c r="CW409" i="17"/>
  <c r="CW467" i="17"/>
  <c r="CW518" i="17"/>
  <c r="CW453" i="17"/>
  <c r="CW501" i="17"/>
  <c r="CW437" i="17"/>
  <c r="CW463" i="17"/>
  <c r="CW478" i="17"/>
  <c r="CW513" i="17"/>
  <c r="CW469" i="17"/>
  <c r="CW457" i="17"/>
  <c r="CW510" i="17"/>
  <c r="CW408" i="17"/>
  <c r="CW448" i="17"/>
  <c r="CW430" i="17"/>
  <c r="CW508" i="17"/>
  <c r="CW465" i="17"/>
  <c r="CW477" i="17"/>
  <c r="CW462" i="17"/>
  <c r="CW452" i="17"/>
  <c r="CW488" i="17"/>
  <c r="CW476" i="17"/>
  <c r="CW479" i="17"/>
  <c r="CW445" i="17"/>
  <c r="CW442" i="17"/>
  <c r="CW439" i="17"/>
  <c r="CW486" i="17"/>
  <c r="CW493" i="17"/>
  <c r="CW420" i="17"/>
  <c r="CW438" i="17"/>
  <c r="CW506" i="17"/>
  <c r="CW459" i="17"/>
  <c r="CW435" i="17"/>
  <c r="CW450" i="17"/>
  <c r="CW481" i="17"/>
  <c r="CW500" i="17"/>
  <c r="CW499" i="17"/>
  <c r="CW522" i="17"/>
  <c r="CW509" i="17"/>
  <c r="CW460" i="17"/>
  <c r="CW456" i="17"/>
  <c r="CW433" i="17"/>
  <c r="CW434" i="17"/>
  <c r="CW472" i="17"/>
  <c r="CW485" i="17"/>
  <c r="CW489" i="17"/>
  <c r="CW417" i="17"/>
  <c r="CW515" i="17"/>
  <c r="CW503" i="17"/>
  <c r="CW418" i="17"/>
  <c r="CW471" i="17"/>
  <c r="CW524" i="17"/>
  <c r="CW449" i="17"/>
  <c r="CW487" i="17"/>
  <c r="CW461" i="17"/>
  <c r="CW497" i="17"/>
  <c r="CW458" i="17"/>
  <c r="CW502" i="17"/>
  <c r="CW464" i="17"/>
  <c r="CW480" i="17"/>
  <c r="CW454" i="17"/>
  <c r="CW491" i="17"/>
  <c r="CW496" i="17"/>
  <c r="CW483" i="17"/>
  <c r="CW424" i="17"/>
  <c r="CW426" i="17"/>
  <c r="BZ160" i="17"/>
  <c r="BZ255" i="17"/>
  <c r="BZ167" i="17"/>
  <c r="BZ211" i="17"/>
  <c r="BZ225" i="17"/>
  <c r="BZ214" i="17"/>
  <c r="BZ199" i="17"/>
  <c r="CD199" i="17" s="1"/>
  <c r="BZ180" i="17"/>
  <c r="BZ216" i="17"/>
  <c r="BZ249" i="17"/>
  <c r="BZ172" i="17"/>
  <c r="CD172" i="17" s="1"/>
  <c r="BZ224" i="17"/>
  <c r="BZ192" i="17"/>
  <c r="BZ242" i="17"/>
  <c r="BZ253" i="17"/>
  <c r="CD253" i="17" s="1"/>
  <c r="BZ146" i="17"/>
  <c r="BZ149" i="17"/>
  <c r="BZ215" i="17"/>
  <c r="BZ245" i="17"/>
  <c r="CD245" i="17" s="1"/>
  <c r="BZ206" i="17"/>
  <c r="BZ202" i="17"/>
  <c r="BZ219" i="17"/>
  <c r="BZ244" i="17"/>
  <c r="CD244" i="17" s="1"/>
  <c r="BZ251" i="17"/>
  <c r="BZ193" i="17"/>
  <c r="BZ230" i="17"/>
  <c r="BZ157" i="17"/>
  <c r="CD157" i="17" s="1"/>
  <c r="BZ152" i="17"/>
  <c r="BZ190" i="17"/>
  <c r="BZ171" i="17"/>
  <c r="BZ220" i="17"/>
  <c r="CD220" i="17" s="1"/>
  <c r="BZ175" i="17"/>
  <c r="BZ169" i="17"/>
  <c r="BZ238" i="17"/>
  <c r="BZ181" i="17"/>
  <c r="CD181" i="17" s="1"/>
  <c r="BZ194" i="17"/>
  <c r="BZ231" i="17"/>
  <c r="BZ173" i="17"/>
  <c r="BZ197" i="17"/>
  <c r="BZ184" i="17"/>
  <c r="BZ200" i="17"/>
  <c r="BZ185" i="17"/>
  <c r="BZ250" i="17"/>
  <c r="BZ226" i="17"/>
  <c r="BZ162" i="17"/>
  <c r="BZ217" i="17"/>
  <c r="BZ196" i="17"/>
  <c r="CD196" i="17" s="1"/>
  <c r="BZ191" i="17"/>
  <c r="BZ177" i="17"/>
  <c r="BZ182" i="17"/>
  <c r="BZ165" i="17"/>
  <c r="CD165" i="17" s="1"/>
  <c r="BZ248" i="17"/>
  <c r="BZ262" i="17"/>
  <c r="BZ147" i="17"/>
  <c r="BZ154" i="17"/>
  <c r="CD154" i="17" s="1"/>
  <c r="BZ227" i="17"/>
  <c r="BZ155" i="17"/>
  <c r="BZ148" i="17"/>
  <c r="BZ234" i="17"/>
  <c r="CD234" i="17" s="1"/>
  <c r="BZ210" i="17"/>
  <c r="BZ209" i="17"/>
  <c r="BZ186" i="17"/>
  <c r="BZ213" i="17"/>
  <c r="BZ252" i="17"/>
  <c r="BZ179" i="17"/>
  <c r="BZ246" i="17"/>
  <c r="BZ261" i="17"/>
  <c r="CD261" i="17" s="1"/>
  <c r="BZ187" i="17"/>
  <c r="BZ158" i="17"/>
  <c r="BZ233" i="17"/>
  <c r="BZ164" i="17"/>
  <c r="CD164" i="17" s="1"/>
  <c r="BZ151" i="17"/>
  <c r="BZ240" i="17"/>
  <c r="BZ218" i="17"/>
  <c r="BZ259" i="17"/>
  <c r="CD259" i="17" s="1"/>
  <c r="BZ198" i="17"/>
  <c r="BZ170" i="17"/>
  <c r="BZ223" i="17"/>
  <c r="BZ208" i="17"/>
  <c r="CD208" i="17" s="1"/>
  <c r="BZ156" i="17"/>
  <c r="BZ195" i="17"/>
  <c r="BZ168" i="17"/>
  <c r="BZ188" i="17"/>
  <c r="CD188" i="17" s="1"/>
  <c r="BZ204" i="17"/>
  <c r="BZ221" i="17"/>
  <c r="BZ166" i="17"/>
  <c r="BZ176" i="17"/>
  <c r="CD176" i="17" s="1"/>
  <c r="BZ254" i="17"/>
  <c r="BZ239" i="17"/>
  <c r="BZ243" i="17"/>
  <c r="BZ205" i="17"/>
  <c r="BZ236" i="17"/>
  <c r="BZ247" i="17"/>
  <c r="BZ256" i="17"/>
  <c r="BZ183" i="17"/>
  <c r="CD183" i="17" s="1"/>
  <c r="BZ178" i="17"/>
  <c r="BZ232" i="17"/>
  <c r="BZ241" i="17"/>
  <c r="BZ260" i="17"/>
  <c r="CD260" i="17" s="1"/>
  <c r="BZ201" i="17"/>
  <c r="BZ258" i="17"/>
  <c r="BZ212" i="17"/>
  <c r="BZ228" i="17"/>
  <c r="CD228" i="17" s="1"/>
  <c r="BZ237" i="17"/>
  <c r="BZ161" i="17"/>
  <c r="BZ174" i="17"/>
  <c r="BZ163" i="17"/>
  <c r="CD163" i="17" s="1"/>
  <c r="BZ153" i="17"/>
  <c r="BZ222" i="17"/>
  <c r="BZ159" i="17"/>
  <c r="BZ150" i="17"/>
  <c r="CD150" i="17" s="1"/>
  <c r="BZ203" i="17"/>
  <c r="BZ207" i="17"/>
  <c r="BZ189" i="17"/>
  <c r="BZ229" i="17"/>
  <c r="CD229" i="17" s="1"/>
  <c r="BZ235" i="17"/>
  <c r="BZ257" i="17"/>
  <c r="D35" i="21"/>
  <c r="I35" i="21" s="1"/>
  <c r="C83" i="9"/>
  <c r="G35" i="2"/>
  <c r="K35" i="2"/>
  <c r="A53" i="22"/>
  <c r="B35" i="21"/>
  <c r="G34" i="21"/>
  <c r="H34" i="21"/>
  <c r="CV517" i="17"/>
  <c r="CV422" i="17"/>
  <c r="CV501" i="17"/>
  <c r="CV523" i="17"/>
  <c r="CV466" i="17"/>
  <c r="CV433" i="17"/>
  <c r="CV481" i="17"/>
  <c r="CV431" i="17"/>
  <c r="CV516" i="17"/>
  <c r="CV490" i="17"/>
  <c r="CV416" i="17"/>
  <c r="CV519" i="17"/>
  <c r="CV436" i="17"/>
  <c r="CV520" i="17"/>
  <c r="CV511" i="17"/>
  <c r="CV494" i="17"/>
  <c r="CV482" i="17"/>
  <c r="CV451" i="17"/>
  <c r="CV475" i="17"/>
  <c r="CV474" i="17"/>
  <c r="CV476" i="17"/>
  <c r="CV524" i="17"/>
  <c r="CV507" i="17"/>
  <c r="CV447" i="17"/>
  <c r="CV429" i="17"/>
  <c r="CV411" i="17"/>
  <c r="CV470" i="17"/>
  <c r="CV518" i="17"/>
  <c r="CV413" i="17"/>
  <c r="CV415" i="17"/>
  <c r="CV419" i="17"/>
  <c r="CV444" i="17"/>
  <c r="CV423" i="17"/>
  <c r="CV425" i="17"/>
  <c r="CV446" i="17"/>
  <c r="CV496" i="17"/>
  <c r="CV440" i="17"/>
  <c r="CV469" i="17"/>
  <c r="CV522" i="17"/>
  <c r="CV427" i="17"/>
  <c r="CV509" i="17"/>
  <c r="CV510" i="17"/>
  <c r="CV495" i="17"/>
  <c r="CV408" i="17"/>
  <c r="CV521" i="17"/>
  <c r="CV443" i="17"/>
  <c r="CV455" i="17"/>
  <c r="CV492" i="17"/>
  <c r="CV428" i="17"/>
  <c r="CV467" i="17"/>
  <c r="CV453" i="17"/>
  <c r="CV410" i="17"/>
  <c r="CV505" i="17"/>
  <c r="CV452" i="17"/>
  <c r="CV414" i="17"/>
  <c r="CV463" i="17"/>
  <c r="CV478" i="17"/>
  <c r="CV498" i="17"/>
  <c r="CV500" i="17"/>
  <c r="CV514" i="17"/>
  <c r="CV513" i="17"/>
  <c r="CV473" i="17"/>
  <c r="CV412" i="17"/>
  <c r="CV448" i="17"/>
  <c r="CV430" i="17"/>
  <c r="CV421" i="17"/>
  <c r="CV441" i="17"/>
  <c r="CV515" i="17"/>
  <c r="CV503" i="17"/>
  <c r="CV418" i="17"/>
  <c r="CV471" i="17"/>
  <c r="CV484" i="17"/>
  <c r="CV488" i="17"/>
  <c r="CV409" i="17"/>
  <c r="CV479" i="17"/>
  <c r="CV442" i="17"/>
  <c r="CV439" i="17"/>
  <c r="CV486" i="17"/>
  <c r="CV480" i="17"/>
  <c r="CV489" i="17"/>
  <c r="CV438" i="17"/>
  <c r="CV417" i="17"/>
  <c r="CV472" i="17"/>
  <c r="CV459" i="17"/>
  <c r="CV461" i="17"/>
  <c r="CV464" i="17"/>
  <c r="CV491" i="17"/>
  <c r="CV483" i="17"/>
  <c r="CV468" i="17"/>
  <c r="CV432" i="17"/>
  <c r="CV424" i="17"/>
  <c r="CV504" i="17"/>
  <c r="CV434" i="17"/>
  <c r="CV465" i="17"/>
  <c r="CV445" i="17"/>
  <c r="CV485" i="17"/>
  <c r="CV497" i="17"/>
  <c r="CV502" i="17"/>
  <c r="CV493" i="17"/>
  <c r="CV456" i="17"/>
  <c r="CV450" i="17"/>
  <c r="CV499" i="17"/>
  <c r="CV508" i="17"/>
  <c r="CV512" i="17"/>
  <c r="CV435" i="17"/>
  <c r="CV462" i="17"/>
  <c r="CV457" i="17"/>
  <c r="CV477" i="17"/>
  <c r="CV487" i="17"/>
  <c r="CV458" i="17"/>
  <c r="CV460" i="17"/>
  <c r="CV454" i="17"/>
  <c r="CV506" i="17"/>
  <c r="CV437" i="17"/>
  <c r="CV449" i="17"/>
  <c r="CV420" i="17"/>
  <c r="CV426" i="17"/>
  <c r="CI291" i="17"/>
  <c r="CI386" i="17"/>
  <c r="CN386" i="17" s="1"/>
  <c r="CI335" i="17"/>
  <c r="CI363" i="17"/>
  <c r="CI302" i="17"/>
  <c r="CI313" i="17"/>
  <c r="CI333" i="17"/>
  <c r="CI365" i="17"/>
  <c r="CI304" i="17"/>
  <c r="CI359" i="17"/>
  <c r="CN359" i="17" s="1"/>
  <c r="CI329" i="17"/>
  <c r="CI355" i="17"/>
  <c r="CI317" i="17"/>
  <c r="CI301" i="17"/>
  <c r="CN301" i="17" s="1"/>
  <c r="CI321" i="17"/>
  <c r="CI320" i="17"/>
  <c r="CI289" i="17"/>
  <c r="CI287" i="17"/>
  <c r="CI391" i="17"/>
  <c r="CI310" i="17"/>
  <c r="CI392" i="17"/>
  <c r="CI314" i="17"/>
  <c r="CI281" i="17"/>
  <c r="CI279" i="17"/>
  <c r="CI342" i="17"/>
  <c r="CI297" i="17"/>
  <c r="CI343" i="17"/>
  <c r="CI341" i="17"/>
  <c r="CI311" i="17"/>
  <c r="CI338" i="17"/>
  <c r="CI373" i="17"/>
  <c r="CI378" i="17"/>
  <c r="CI300" i="17"/>
  <c r="CI295" i="17"/>
  <c r="CN295" i="17" s="1"/>
  <c r="CI325" i="17"/>
  <c r="CI347" i="17"/>
  <c r="CI370" i="17"/>
  <c r="CI339" i="17"/>
  <c r="CN339" i="17" s="1"/>
  <c r="CI309" i="17"/>
  <c r="CI327" i="17"/>
  <c r="CI358" i="17"/>
  <c r="CI379" i="17"/>
  <c r="CI332" i="17"/>
  <c r="CI376" i="17"/>
  <c r="CI374" i="17"/>
  <c r="CI315" i="17"/>
  <c r="CN315" i="17" s="1"/>
  <c r="CI307" i="17"/>
  <c r="CI299" i="17"/>
  <c r="CI360" i="17"/>
  <c r="CI282" i="17"/>
  <c r="CI330" i="17"/>
  <c r="CI328" i="17"/>
  <c r="CI280" i="17"/>
  <c r="CI393" i="17"/>
  <c r="CI331" i="17"/>
  <c r="CI380" i="17"/>
  <c r="CI353" i="17"/>
  <c r="CI290" i="17"/>
  <c r="CN290" i="17" s="1"/>
  <c r="CI334" i="17"/>
  <c r="CI387" i="17"/>
  <c r="CI371" i="17"/>
  <c r="CI340" i="17"/>
  <c r="CN340" i="17" s="1"/>
  <c r="CI305" i="17"/>
  <c r="CI344" i="17"/>
  <c r="CI312" i="17"/>
  <c r="CI389" i="17"/>
  <c r="CN389" i="17" s="1"/>
  <c r="CI356" i="17"/>
  <c r="CI345" i="17"/>
  <c r="CI362" i="17"/>
  <c r="CI286" i="17"/>
  <c r="CI308" i="17"/>
  <c r="CI294" i="17"/>
  <c r="CI319" i="17"/>
  <c r="CI284" i="17"/>
  <c r="CI354" i="17"/>
  <c r="CI366" i="17"/>
  <c r="CI298" i="17"/>
  <c r="CI377" i="17"/>
  <c r="CN377" i="17" s="1"/>
  <c r="CI323" i="17"/>
  <c r="CI357" i="17"/>
  <c r="CI375" i="17"/>
  <c r="CI349" i="17"/>
  <c r="CN349" i="17" s="1"/>
  <c r="CI306" i="17"/>
  <c r="CI346" i="17"/>
  <c r="CI352" i="17"/>
  <c r="CI303" i="17"/>
  <c r="CN303" i="17" s="1"/>
  <c r="CI361" i="17"/>
  <c r="CI368" i="17"/>
  <c r="CI383" i="17"/>
  <c r="CI384" i="17"/>
  <c r="CI277" i="17"/>
  <c r="CI348" i="17"/>
  <c r="CI369" i="17"/>
  <c r="CI292" i="17"/>
  <c r="CN292" i="17" s="1"/>
  <c r="CI318" i="17"/>
  <c r="CI324" i="17"/>
  <c r="CI351" i="17"/>
  <c r="CI285" i="17"/>
  <c r="CN285" i="17" s="1"/>
  <c r="CI350" i="17"/>
  <c r="CI296" i="17"/>
  <c r="CI364" i="17"/>
  <c r="CI382" i="17"/>
  <c r="CN382" i="17" s="1"/>
  <c r="CI336" i="17"/>
  <c r="CI283" i="17"/>
  <c r="CI293" i="17"/>
  <c r="CI322" i="17"/>
  <c r="CI326" i="17"/>
  <c r="CI278" i="17"/>
  <c r="CI372" i="17"/>
  <c r="CI316" i="17"/>
  <c r="CI381" i="17"/>
  <c r="CI385" i="17"/>
  <c r="CI337" i="17"/>
  <c r="CI288" i="17"/>
  <c r="CI367" i="17"/>
  <c r="CI390" i="17"/>
  <c r="CI388" i="17"/>
  <c r="CC160" i="17"/>
  <c r="CC255" i="17"/>
  <c r="CC166" i="17"/>
  <c r="CC225" i="17"/>
  <c r="CC202" i="17"/>
  <c r="CC259" i="17"/>
  <c r="CC244" i="17"/>
  <c r="CC262" i="17"/>
  <c r="CC254" i="17"/>
  <c r="CC235" i="17"/>
  <c r="CC152" i="17"/>
  <c r="CC239" i="17"/>
  <c r="CC243" i="17"/>
  <c r="CC249" i="17"/>
  <c r="CC220" i="17"/>
  <c r="CC163" i="17"/>
  <c r="CC247" i="17"/>
  <c r="CC194" i="17"/>
  <c r="CC253" i="17"/>
  <c r="CC149" i="17"/>
  <c r="CC151" i="17"/>
  <c r="CC184" i="17"/>
  <c r="CC183" i="17"/>
  <c r="CC200" i="17"/>
  <c r="CC250" i="17"/>
  <c r="CC226" i="17"/>
  <c r="CC245" i="17"/>
  <c r="CC211" i="17"/>
  <c r="CC162" i="17"/>
  <c r="CC196" i="17"/>
  <c r="CC191" i="17"/>
  <c r="CC182" i="17"/>
  <c r="CC248" i="17"/>
  <c r="CC193" i="17"/>
  <c r="CC157" i="17"/>
  <c r="CC154" i="17"/>
  <c r="CC148" i="17"/>
  <c r="CC234" i="17"/>
  <c r="CC210" i="17"/>
  <c r="CC198" i="17"/>
  <c r="CC186" i="17"/>
  <c r="CC169" i="17"/>
  <c r="CC181" i="17"/>
  <c r="CC252" i="17"/>
  <c r="CC246" i="17"/>
  <c r="CC158" i="17"/>
  <c r="CC164" i="17"/>
  <c r="CC173" i="17"/>
  <c r="CC197" i="17"/>
  <c r="CC240" i="17"/>
  <c r="CC215" i="17"/>
  <c r="CC185" i="17"/>
  <c r="CC167" i="17"/>
  <c r="CC217" i="17"/>
  <c r="CC206" i="17"/>
  <c r="CC177" i="17"/>
  <c r="CC219" i="17"/>
  <c r="CC218" i="17"/>
  <c r="CC165" i="17"/>
  <c r="CC176" i="17"/>
  <c r="CC251" i="17"/>
  <c r="CC212" i="17"/>
  <c r="CC199" i="17"/>
  <c r="CC190" i="17"/>
  <c r="CC171" i="17"/>
  <c r="CC209" i="17"/>
  <c r="CC236" i="17"/>
  <c r="CC175" i="17"/>
  <c r="CC213" i="17"/>
  <c r="CC238" i="17"/>
  <c r="CC170" i="17"/>
  <c r="CC261" i="17"/>
  <c r="CC223" i="17"/>
  <c r="CC228" i="17"/>
  <c r="CC233" i="17"/>
  <c r="CC256" i="17"/>
  <c r="CC205" i="17"/>
  <c r="CC146" i="17"/>
  <c r="CC208" i="17"/>
  <c r="CC178" i="17"/>
  <c r="CC232" i="17"/>
  <c r="CC260" i="17"/>
  <c r="CC174" i="17"/>
  <c r="CC258" i="17"/>
  <c r="CC221" i="17"/>
  <c r="CC188" i="17"/>
  <c r="CC230" i="17"/>
  <c r="CC227" i="17"/>
  <c r="CC216" i="17"/>
  <c r="CC179" i="17"/>
  <c r="CC187" i="17"/>
  <c r="CC231" i="17"/>
  <c r="CC159" i="17"/>
  <c r="CC150" i="17"/>
  <c r="CC241" i="17"/>
  <c r="CC195" i="17"/>
  <c r="CC201" i="17"/>
  <c r="CC147" i="17"/>
  <c r="CC192" i="17"/>
  <c r="CC242" i="17"/>
  <c r="CC222" i="17"/>
  <c r="CC203" i="17"/>
  <c r="CC161" i="17"/>
  <c r="CC229" i="17"/>
  <c r="CC180" i="17"/>
  <c r="CC155" i="17"/>
  <c r="CC172" i="17"/>
  <c r="CC237" i="17"/>
  <c r="CC257" i="17"/>
  <c r="CC204" i="17"/>
  <c r="CC189" i="17"/>
  <c r="CC214" i="17"/>
  <c r="CC224" i="17"/>
  <c r="CC153" i="17"/>
  <c r="CC156" i="17"/>
  <c r="CC207" i="17"/>
  <c r="CC168" i="17"/>
  <c r="BQ37" i="15"/>
  <c r="BQ132" i="15"/>
  <c r="BQ98" i="15"/>
  <c r="BT98" i="15" s="1"/>
  <c r="BQ49" i="15"/>
  <c r="BQ106" i="15"/>
  <c r="BQ56" i="15"/>
  <c r="BQ138" i="15"/>
  <c r="BQ130" i="15"/>
  <c r="BQ33" i="15"/>
  <c r="BQ66" i="15"/>
  <c r="BQ65" i="15"/>
  <c r="BT65" i="15" s="1"/>
  <c r="BQ84" i="15"/>
  <c r="BQ111" i="15"/>
  <c r="BQ89" i="15"/>
  <c r="BQ59" i="15"/>
  <c r="BT59" i="15" s="1"/>
  <c r="BQ75" i="15"/>
  <c r="BQ137" i="15"/>
  <c r="BQ63" i="15"/>
  <c r="BQ35" i="15"/>
  <c r="BT35" i="15" s="1"/>
  <c r="BQ67" i="15"/>
  <c r="BQ120" i="15"/>
  <c r="BQ92" i="15"/>
  <c r="BQ60" i="15"/>
  <c r="BQ81" i="15"/>
  <c r="BQ76" i="15"/>
  <c r="BQ83" i="15"/>
  <c r="BQ118" i="15"/>
  <c r="BT118" i="15" s="1"/>
  <c r="BQ95" i="15"/>
  <c r="BQ32" i="15"/>
  <c r="BQ127" i="15"/>
  <c r="BQ133" i="15"/>
  <c r="BT133" i="15" s="1"/>
  <c r="BQ97" i="15"/>
  <c r="BQ113" i="15"/>
  <c r="BQ58" i="15"/>
  <c r="BQ129" i="15"/>
  <c r="BQ139" i="15"/>
  <c r="BQ96" i="15"/>
  <c r="BQ42" i="15"/>
  <c r="BQ136" i="15"/>
  <c r="BT136" i="15" s="1"/>
  <c r="BQ53" i="15"/>
  <c r="BQ47" i="15"/>
  <c r="BQ28" i="15"/>
  <c r="BQ55" i="15"/>
  <c r="BQ31" i="15"/>
  <c r="BQ23" i="15"/>
  <c r="BQ135" i="15"/>
  <c r="BQ88" i="15"/>
  <c r="BQ39" i="15"/>
  <c r="BQ116" i="15"/>
  <c r="BQ122" i="15"/>
  <c r="BQ24" i="15"/>
  <c r="BT24" i="15" s="1"/>
  <c r="BQ61" i="15"/>
  <c r="BQ30" i="15"/>
  <c r="BQ64" i="15"/>
  <c r="BQ109" i="15"/>
  <c r="BQ112" i="15"/>
  <c r="BQ91" i="15"/>
  <c r="BQ108" i="15"/>
  <c r="BQ38" i="15"/>
  <c r="BQ45" i="15"/>
  <c r="BQ50" i="15"/>
  <c r="BQ36" i="15"/>
  <c r="BQ107" i="15"/>
  <c r="BT107" i="15" s="1"/>
  <c r="BQ124" i="15"/>
  <c r="BQ44" i="15"/>
  <c r="BQ134" i="15"/>
  <c r="BQ93" i="15"/>
  <c r="BT93" i="15" s="1"/>
  <c r="BQ128" i="15"/>
  <c r="BQ85" i="15"/>
  <c r="BQ46" i="15"/>
  <c r="BQ70" i="15"/>
  <c r="BQ57" i="15"/>
  <c r="BQ43" i="15"/>
  <c r="BQ104" i="15"/>
  <c r="BQ82" i="15"/>
  <c r="BQ90" i="15"/>
  <c r="BQ62" i="15"/>
  <c r="BQ29" i="15"/>
  <c r="BQ110" i="15"/>
  <c r="BT110" i="15" s="1"/>
  <c r="BQ72" i="15"/>
  <c r="BQ102" i="15"/>
  <c r="BQ40" i="15"/>
  <c r="BQ125" i="15"/>
  <c r="BT125" i="15" s="1"/>
  <c r="BQ74" i="15"/>
  <c r="BQ117" i="15"/>
  <c r="BQ126" i="15"/>
  <c r="BQ27" i="15"/>
  <c r="BT27" i="15" s="1"/>
  <c r="BQ131" i="15"/>
  <c r="BQ79" i="15"/>
  <c r="BQ78" i="15"/>
  <c r="BQ103" i="15"/>
  <c r="BQ105" i="15"/>
  <c r="BQ87" i="15"/>
  <c r="BQ54" i="15"/>
  <c r="BQ101" i="15"/>
  <c r="BQ52" i="15"/>
  <c r="BQ121" i="15"/>
  <c r="BQ100" i="15"/>
  <c r="BQ26" i="15"/>
  <c r="BQ68" i="15"/>
  <c r="BQ114" i="15"/>
  <c r="BQ34" i="15"/>
  <c r="BQ73" i="15"/>
  <c r="BQ69" i="15"/>
  <c r="BQ51" i="15"/>
  <c r="BQ115" i="15"/>
  <c r="BQ71" i="15"/>
  <c r="BT71" i="15" s="1"/>
  <c r="BQ86" i="15"/>
  <c r="BQ123" i="15"/>
  <c r="BQ80" i="15"/>
  <c r="BQ77" i="15"/>
  <c r="BT77" i="15" s="1"/>
  <c r="BQ41" i="15"/>
  <c r="BQ25" i="15"/>
  <c r="BQ94" i="15"/>
  <c r="BQ99" i="15"/>
  <c r="BT99" i="15" s="1"/>
  <c r="BQ48" i="15"/>
  <c r="BQ119" i="15"/>
  <c r="I34" i="2"/>
  <c r="F34" i="21" s="1"/>
  <c r="L34" i="2"/>
  <c r="CU422" i="17"/>
  <c r="CU517" i="17"/>
  <c r="CU453" i="17"/>
  <c r="CU410" i="17"/>
  <c r="CU462" i="17"/>
  <c r="CU413" i="17"/>
  <c r="CU515" i="17"/>
  <c r="CU466" i="17"/>
  <c r="CU419" i="17"/>
  <c r="CU503" i="17"/>
  <c r="CU444" i="17"/>
  <c r="CU423" i="17"/>
  <c r="CU414" i="17"/>
  <c r="CU437" i="17"/>
  <c r="CU440" i="17"/>
  <c r="CU498" i="17"/>
  <c r="CU514" i="17"/>
  <c r="CU490" i="17"/>
  <c r="CU499" i="17"/>
  <c r="CU469" i="17"/>
  <c r="CU427" i="17"/>
  <c r="CU457" i="17"/>
  <c r="CU495" i="17"/>
  <c r="CU408" i="17"/>
  <c r="CU482" i="17"/>
  <c r="CU443" i="17"/>
  <c r="CU474" i="17"/>
  <c r="CU455" i="17"/>
  <c r="CU465" i="17"/>
  <c r="CU492" i="17"/>
  <c r="CU428" i="17"/>
  <c r="CU409" i="17"/>
  <c r="CU477" i="17"/>
  <c r="CU470" i="17"/>
  <c r="CU467" i="17"/>
  <c r="CU518" i="17"/>
  <c r="CU505" i="17"/>
  <c r="CU523" i="17"/>
  <c r="CU452" i="17"/>
  <c r="CU433" i="17"/>
  <c r="CU463" i="17"/>
  <c r="CU496" i="17"/>
  <c r="CU481" i="17"/>
  <c r="CU500" i="17"/>
  <c r="CU519" i="17"/>
  <c r="CU510" i="17"/>
  <c r="CU511" i="17"/>
  <c r="CU412" i="17"/>
  <c r="CU494" i="17"/>
  <c r="CU521" i="17"/>
  <c r="CU448" i="17"/>
  <c r="CU507" i="17"/>
  <c r="CU429" i="17"/>
  <c r="CU411" i="17"/>
  <c r="CU435" i="17"/>
  <c r="CU501" i="17"/>
  <c r="CU491" i="17"/>
  <c r="CU415" i="17"/>
  <c r="CU425" i="17"/>
  <c r="CU446" i="17"/>
  <c r="CU483" i="17"/>
  <c r="CU468" i="17"/>
  <c r="CU471" i="17"/>
  <c r="CU432" i="17"/>
  <c r="CU424" i="17"/>
  <c r="CU484" i="17"/>
  <c r="CU504" i="17"/>
  <c r="CU488" i="17"/>
  <c r="CU508" i="17"/>
  <c r="CU421" i="17"/>
  <c r="CU512" i="17"/>
  <c r="CU478" i="17"/>
  <c r="CU450" i="17"/>
  <c r="CU513" i="17"/>
  <c r="CU509" i="17"/>
  <c r="CU475" i="17"/>
  <c r="CU447" i="17"/>
  <c r="CU449" i="17"/>
  <c r="CU461" i="17"/>
  <c r="CU458" i="17"/>
  <c r="CU502" i="17"/>
  <c r="CU486" i="17"/>
  <c r="CU438" i="17"/>
  <c r="CU456" i="17"/>
  <c r="CU506" i="17"/>
  <c r="CU476" i="17"/>
  <c r="CU479" i="17"/>
  <c r="CU480" i="17"/>
  <c r="CU418" i="17"/>
  <c r="CU431" i="17"/>
  <c r="CU522" i="17"/>
  <c r="CU520" i="17"/>
  <c r="CU430" i="17"/>
  <c r="CU441" i="17"/>
  <c r="CU487" i="17"/>
  <c r="CU485" i="17"/>
  <c r="CU460" i="17"/>
  <c r="CU489" i="17"/>
  <c r="CU417" i="17"/>
  <c r="CU426" i="17"/>
  <c r="CU516" i="17"/>
  <c r="CU416" i="17"/>
  <c r="CU434" i="17"/>
  <c r="CU451" i="17"/>
  <c r="CU439" i="17"/>
  <c r="CU473" i="17"/>
  <c r="CU524" i="17"/>
  <c r="CU445" i="17"/>
  <c r="CU472" i="17"/>
  <c r="CU459" i="17"/>
  <c r="CU442" i="17"/>
  <c r="CU464" i="17"/>
  <c r="CU493" i="17"/>
  <c r="CU420" i="17"/>
  <c r="CU454" i="17"/>
  <c r="CU436" i="17"/>
  <c r="CU497" i="17"/>
  <c r="C35" i="21"/>
  <c r="B83" i="9"/>
  <c r="C43" i="11" s="1"/>
  <c r="G43" i="11" s="1"/>
  <c r="F35" i="2"/>
  <c r="CJ386" i="17"/>
  <c r="CJ291" i="17"/>
  <c r="CJ331" i="17"/>
  <c r="CJ290" i="17"/>
  <c r="CJ334" i="17"/>
  <c r="CJ387" i="17"/>
  <c r="CJ371" i="17"/>
  <c r="CJ369" i="17"/>
  <c r="CJ357" i="17"/>
  <c r="CJ362" i="17"/>
  <c r="CJ286" i="17"/>
  <c r="CJ293" i="17"/>
  <c r="CJ349" i="17"/>
  <c r="CJ294" i="17"/>
  <c r="CJ319" i="17"/>
  <c r="CJ284" i="17"/>
  <c r="CJ354" i="17"/>
  <c r="CJ366" i="17"/>
  <c r="CJ298" i="17"/>
  <c r="CJ313" i="17"/>
  <c r="CJ380" i="17"/>
  <c r="CJ336" i="17"/>
  <c r="CJ340" i="17"/>
  <c r="CJ329" i="17"/>
  <c r="CJ283" i="17"/>
  <c r="CJ326" i="17"/>
  <c r="CJ323" i="17"/>
  <c r="CJ317" i="17"/>
  <c r="CJ356" i="17"/>
  <c r="CJ321" i="17"/>
  <c r="CJ278" i="17"/>
  <c r="CJ289" i="17"/>
  <c r="CJ375" i="17"/>
  <c r="CJ308" i="17"/>
  <c r="CJ306" i="17"/>
  <c r="CJ346" i="17"/>
  <c r="CJ392" i="17"/>
  <c r="CJ318" i="17"/>
  <c r="CJ281" i="17"/>
  <c r="CJ352" i="17"/>
  <c r="CJ297" i="17"/>
  <c r="CJ335" i="17"/>
  <c r="CJ363" i="17"/>
  <c r="CJ302" i="17"/>
  <c r="CJ333" i="17"/>
  <c r="CJ393" i="17"/>
  <c r="CJ304" i="17"/>
  <c r="CJ341" i="17"/>
  <c r="CJ359" i="17"/>
  <c r="CJ355" i="17"/>
  <c r="CJ373" i="17"/>
  <c r="CJ325" i="17"/>
  <c r="CJ309" i="17"/>
  <c r="CJ372" i="17"/>
  <c r="CJ292" i="17"/>
  <c r="CJ320" i="17"/>
  <c r="CJ376" i="17"/>
  <c r="CJ287" i="17"/>
  <c r="CJ391" i="17"/>
  <c r="CJ360" i="17"/>
  <c r="CJ310" i="17"/>
  <c r="CJ314" i="17"/>
  <c r="CJ279" i="17"/>
  <c r="CJ342" i="17"/>
  <c r="CJ311" i="17"/>
  <c r="CJ338" i="17"/>
  <c r="CJ389" i="17"/>
  <c r="CJ339" i="17"/>
  <c r="CJ377" i="17"/>
  <c r="CJ316" i="17"/>
  <c r="CJ324" i="17"/>
  <c r="CJ288" i="17"/>
  <c r="CJ285" i="17"/>
  <c r="CJ367" i="17"/>
  <c r="CJ390" i="17"/>
  <c r="CJ382" i="17"/>
  <c r="CJ277" i="17"/>
  <c r="CJ282" i="17"/>
  <c r="CJ385" i="17"/>
  <c r="CJ351" i="17"/>
  <c r="CJ350" i="17"/>
  <c r="CJ364" i="17"/>
  <c r="CJ365" i="17"/>
  <c r="CJ353" i="17"/>
  <c r="CJ312" i="17"/>
  <c r="CJ370" i="17"/>
  <c r="CJ358" i="17"/>
  <c r="CJ379" i="17"/>
  <c r="CJ330" i="17"/>
  <c r="CJ384" i="17"/>
  <c r="CJ361" i="17"/>
  <c r="CJ322" i="17"/>
  <c r="CJ383" i="17"/>
  <c r="CJ328" i="17"/>
  <c r="CJ344" i="17"/>
  <c r="CJ347" i="17"/>
  <c r="CJ381" i="17"/>
  <c r="CJ280" i="17"/>
  <c r="CJ343" i="17"/>
  <c r="CJ305" i="17"/>
  <c r="CJ378" i="17"/>
  <c r="CJ300" i="17"/>
  <c r="CJ295" i="17"/>
  <c r="CJ301" i="17"/>
  <c r="CJ345" i="17"/>
  <c r="CJ327" i="17"/>
  <c r="CJ374" i="17"/>
  <c r="CJ315" i="17"/>
  <c r="CJ307" i="17"/>
  <c r="CJ299" i="17"/>
  <c r="CJ303" i="17"/>
  <c r="CJ368" i="17"/>
  <c r="CJ388" i="17"/>
  <c r="CJ296" i="17"/>
  <c r="CJ348" i="17"/>
  <c r="CJ332" i="17"/>
  <c r="CJ337" i="17"/>
  <c r="CR422" i="17"/>
  <c r="CR517" i="17"/>
  <c r="CX517" i="17" s="1"/>
  <c r="CR435" i="17"/>
  <c r="CR453" i="17"/>
  <c r="CR491" i="17"/>
  <c r="CR462" i="17"/>
  <c r="CX462" i="17" s="1"/>
  <c r="CR515" i="17"/>
  <c r="CR503" i="17"/>
  <c r="CR418" i="17"/>
  <c r="CR414" i="17"/>
  <c r="CX414" i="17" s="1"/>
  <c r="CR425" i="17"/>
  <c r="CR437" i="17"/>
  <c r="CR450" i="17"/>
  <c r="CR483" i="17"/>
  <c r="CX483" i="17" s="1"/>
  <c r="CR468" i="17"/>
  <c r="CR471" i="17"/>
  <c r="CR432" i="17"/>
  <c r="CR424" i="17"/>
  <c r="CX424" i="17" s="1"/>
  <c r="CR484" i="17"/>
  <c r="CR499" i="17"/>
  <c r="CR469" i="17"/>
  <c r="CR457" i="17"/>
  <c r="CX457" i="17" s="1"/>
  <c r="CR504" i="17"/>
  <c r="CR434" i="17"/>
  <c r="CR488" i="17"/>
  <c r="CR508" i="17"/>
  <c r="CX508" i="17" s="1"/>
  <c r="CR512" i="17"/>
  <c r="CR518" i="17"/>
  <c r="CR501" i="17"/>
  <c r="CR505" i="17"/>
  <c r="CX505" i="17" s="1"/>
  <c r="CR413" i="17"/>
  <c r="CR523" i="17"/>
  <c r="CR466" i="17"/>
  <c r="CR431" i="17"/>
  <c r="CX431" i="17" s="1"/>
  <c r="CR516" i="17"/>
  <c r="CR490" i="17"/>
  <c r="CR416" i="17"/>
  <c r="CR519" i="17"/>
  <c r="CR522" i="17"/>
  <c r="CR436" i="17"/>
  <c r="CR510" i="17"/>
  <c r="CR520" i="17"/>
  <c r="CX520" i="17" s="1"/>
  <c r="CR511" i="17"/>
  <c r="CR494" i="17"/>
  <c r="CX494" i="17" s="1"/>
  <c r="CR482" i="17"/>
  <c r="CR451" i="17"/>
  <c r="CX451" i="17" s="1"/>
  <c r="CR521" i="17"/>
  <c r="CR475" i="17"/>
  <c r="CR474" i="17"/>
  <c r="CR465" i="17"/>
  <c r="CR476" i="17"/>
  <c r="CR524" i="17"/>
  <c r="CR507" i="17"/>
  <c r="CR477" i="17"/>
  <c r="CR411" i="17"/>
  <c r="CR470" i="17"/>
  <c r="CR410" i="17"/>
  <c r="CR415" i="17"/>
  <c r="CX415" i="17" s="1"/>
  <c r="CR433" i="17"/>
  <c r="CR419" i="17"/>
  <c r="CR444" i="17"/>
  <c r="CR423" i="17"/>
  <c r="CX423" i="17" s="1"/>
  <c r="CR446" i="17"/>
  <c r="CR496" i="17"/>
  <c r="CR440" i="17"/>
  <c r="CR481" i="17"/>
  <c r="CX481" i="17" s="1"/>
  <c r="CR498" i="17"/>
  <c r="CR514" i="17"/>
  <c r="CR427" i="17"/>
  <c r="CR495" i="17"/>
  <c r="CX495" i="17" s="1"/>
  <c r="CR408" i="17"/>
  <c r="CR473" i="17"/>
  <c r="CR443" i="17"/>
  <c r="CR421" i="17"/>
  <c r="CX421" i="17" s="1"/>
  <c r="CR455" i="17"/>
  <c r="CR492" i="17"/>
  <c r="CR428" i="17"/>
  <c r="CR409" i="17"/>
  <c r="CX409" i="17" s="1"/>
  <c r="CR429" i="17"/>
  <c r="CR412" i="17"/>
  <c r="CR472" i="17"/>
  <c r="CR459" i="17"/>
  <c r="CX459" i="17" s="1"/>
  <c r="CR464" i="17"/>
  <c r="CR420" i="17"/>
  <c r="CR426" i="17"/>
  <c r="CR445" i="17"/>
  <c r="CX445" i="17" s="1"/>
  <c r="CR487" i="17"/>
  <c r="CR458" i="17"/>
  <c r="CR460" i="17"/>
  <c r="CR489" i="17"/>
  <c r="CX489" i="17" s="1"/>
  <c r="CR452" i="17"/>
  <c r="CR509" i="17"/>
  <c r="CR479" i="17"/>
  <c r="CR449" i="17"/>
  <c r="CR485" i="17"/>
  <c r="CR461" i="17"/>
  <c r="CR442" i="17"/>
  <c r="CR502" i="17"/>
  <c r="CR439" i="17"/>
  <c r="CR486" i="17"/>
  <c r="CR480" i="17"/>
  <c r="CR438" i="17"/>
  <c r="CR456" i="17"/>
  <c r="CR506" i="17"/>
  <c r="CR441" i="17"/>
  <c r="CR497" i="17"/>
  <c r="CX497" i="17" s="1"/>
  <c r="CR493" i="17"/>
  <c r="CR454" i="17"/>
  <c r="CR467" i="17"/>
  <c r="CR463" i="17"/>
  <c r="CX463" i="17" s="1"/>
  <c r="CR478" i="17"/>
  <c r="CR500" i="17"/>
  <c r="CR448" i="17"/>
  <c r="CR430" i="17"/>
  <c r="CX430" i="17" s="1"/>
  <c r="CR447" i="17"/>
  <c r="CR417" i="17"/>
  <c r="CR513" i="17"/>
  <c r="B43" i="11"/>
  <c r="D43" i="11" s="1"/>
  <c r="E43" i="11" s="1"/>
  <c r="F43" i="11" s="1"/>
  <c r="F83" i="9"/>
  <c r="BS37" i="15"/>
  <c r="BS132" i="15"/>
  <c r="BS98" i="15"/>
  <c r="BS24" i="15"/>
  <c r="BS123" i="15"/>
  <c r="BS64" i="15"/>
  <c r="BS76" i="15"/>
  <c r="BS112" i="15"/>
  <c r="BS83" i="15"/>
  <c r="BS79" i="15"/>
  <c r="BS66" i="15"/>
  <c r="BS113" i="15"/>
  <c r="BS84" i="15"/>
  <c r="BS129" i="15"/>
  <c r="BS77" i="15"/>
  <c r="BS134" i="15"/>
  <c r="BS29" i="15"/>
  <c r="BS128" i="15"/>
  <c r="BS57" i="15"/>
  <c r="BS116" i="15"/>
  <c r="BS122" i="15"/>
  <c r="BS126" i="15"/>
  <c r="BS92" i="15"/>
  <c r="BS30" i="15"/>
  <c r="BS60" i="15"/>
  <c r="BS131" i="15"/>
  <c r="BS91" i="15"/>
  <c r="BS108" i="15"/>
  <c r="BS38" i="15"/>
  <c r="BS104" i="15"/>
  <c r="BS80" i="15"/>
  <c r="BS133" i="15"/>
  <c r="BS124" i="15"/>
  <c r="BS58" i="15"/>
  <c r="BS103" i="15"/>
  <c r="BS42" i="15"/>
  <c r="BS110" i="15"/>
  <c r="BS41" i="15"/>
  <c r="BS25" i="15"/>
  <c r="BS28" i="15"/>
  <c r="BS72" i="15"/>
  <c r="BS46" i="15"/>
  <c r="BS70" i="15"/>
  <c r="BS27" i="15"/>
  <c r="BS49" i="15"/>
  <c r="BS86" i="15"/>
  <c r="BS43" i="15"/>
  <c r="BS56" i="15"/>
  <c r="BS109" i="15"/>
  <c r="BS33" i="15"/>
  <c r="BS78" i="15"/>
  <c r="BS65" i="15"/>
  <c r="BS50" i="15"/>
  <c r="BS36" i="15"/>
  <c r="BS44" i="15"/>
  <c r="BS139" i="15"/>
  <c r="BS111" i="15"/>
  <c r="BS62" i="15"/>
  <c r="BS89" i="15"/>
  <c r="BS53" i="15"/>
  <c r="BS63" i="15"/>
  <c r="BS55" i="15"/>
  <c r="BS31" i="15"/>
  <c r="BS105" i="15"/>
  <c r="BS68" i="15"/>
  <c r="BS114" i="15"/>
  <c r="BS120" i="15"/>
  <c r="BS94" i="15"/>
  <c r="BS118" i="15"/>
  <c r="BS95" i="15"/>
  <c r="BS107" i="15"/>
  <c r="BS59" i="15"/>
  <c r="BS75" i="15"/>
  <c r="BS137" i="15"/>
  <c r="BS136" i="15"/>
  <c r="BS47" i="15"/>
  <c r="BS93" i="15"/>
  <c r="BS88" i="15"/>
  <c r="BS48" i="15"/>
  <c r="BS54" i="15"/>
  <c r="BS69" i="15"/>
  <c r="BS119" i="15"/>
  <c r="BS125" i="15"/>
  <c r="BS71" i="15"/>
  <c r="BS121" i="15"/>
  <c r="BS74" i="15"/>
  <c r="BS130" i="15"/>
  <c r="BS127" i="15"/>
  <c r="BS97" i="15"/>
  <c r="BS96" i="15"/>
  <c r="BS35" i="15"/>
  <c r="BS99" i="15"/>
  <c r="BS73" i="15"/>
  <c r="BS101" i="15"/>
  <c r="BS52" i="15"/>
  <c r="BS115" i="15"/>
  <c r="BS81" i="15"/>
  <c r="BS82" i="15"/>
  <c r="BS90" i="15"/>
  <c r="BS135" i="15"/>
  <c r="BS39" i="15"/>
  <c r="BS87" i="15"/>
  <c r="BS117" i="15"/>
  <c r="BS106" i="15"/>
  <c r="BS61" i="15"/>
  <c r="BS138" i="15"/>
  <c r="BS100" i="15"/>
  <c r="BS45" i="15"/>
  <c r="BS26" i="15"/>
  <c r="BS85" i="15"/>
  <c r="BS23" i="15"/>
  <c r="BS34" i="15"/>
  <c r="BS102" i="15"/>
  <c r="BS40" i="15"/>
  <c r="BS51" i="15"/>
  <c r="BS32" i="15"/>
  <c r="BS67" i="15"/>
  <c r="CM386" i="17"/>
  <c r="CM291" i="17"/>
  <c r="CM343" i="17"/>
  <c r="CM341" i="17"/>
  <c r="CM311" i="17"/>
  <c r="CM329" i="17"/>
  <c r="CM338" i="17"/>
  <c r="CM317" i="17"/>
  <c r="CM373" i="17"/>
  <c r="CM378" i="17"/>
  <c r="CM300" i="17"/>
  <c r="CM295" i="17"/>
  <c r="CM325" i="17"/>
  <c r="CM347" i="17"/>
  <c r="CM370" i="17"/>
  <c r="CM345" i="17"/>
  <c r="CM339" i="17"/>
  <c r="CM309" i="17"/>
  <c r="CM327" i="17"/>
  <c r="CM358" i="17"/>
  <c r="CM379" i="17"/>
  <c r="CM332" i="17"/>
  <c r="CM376" i="17"/>
  <c r="CM374" i="17"/>
  <c r="CM315" i="17"/>
  <c r="CM307" i="17"/>
  <c r="CM299" i="17"/>
  <c r="CM360" i="17"/>
  <c r="CM282" i="17"/>
  <c r="CM330" i="17"/>
  <c r="CM316" i="17"/>
  <c r="CM297" i="17"/>
  <c r="CM328" i="17"/>
  <c r="CM313" i="17"/>
  <c r="CM333" i="17"/>
  <c r="CM280" i="17"/>
  <c r="CM331" i="17"/>
  <c r="CM380" i="17"/>
  <c r="CM353" i="17"/>
  <c r="CM290" i="17"/>
  <c r="CM334" i="17"/>
  <c r="CM387" i="17"/>
  <c r="CM371" i="17"/>
  <c r="CM340" i="17"/>
  <c r="CM305" i="17"/>
  <c r="CM344" i="17"/>
  <c r="CM312" i="17"/>
  <c r="CM389" i="17"/>
  <c r="CM356" i="17"/>
  <c r="CM362" i="17"/>
  <c r="CM286" i="17"/>
  <c r="CM308" i="17"/>
  <c r="CM294" i="17"/>
  <c r="CM319" i="17"/>
  <c r="CM284" i="17"/>
  <c r="CM354" i="17"/>
  <c r="CM366" i="17"/>
  <c r="CM298" i="17"/>
  <c r="CM348" i="17"/>
  <c r="CM365" i="17"/>
  <c r="CM336" i="17"/>
  <c r="CM283" i="17"/>
  <c r="CM326" i="17"/>
  <c r="CM323" i="17"/>
  <c r="CM369" i="17"/>
  <c r="CM301" i="17"/>
  <c r="CM357" i="17"/>
  <c r="CM278" i="17"/>
  <c r="CM372" i="17"/>
  <c r="CM292" i="17"/>
  <c r="CM375" i="17"/>
  <c r="CM293" i="17"/>
  <c r="CM306" i="17"/>
  <c r="CM346" i="17"/>
  <c r="CM318" i="17"/>
  <c r="CM352" i="17"/>
  <c r="CM304" i="17"/>
  <c r="CM391" i="17"/>
  <c r="CM310" i="17"/>
  <c r="CM392" i="17"/>
  <c r="CM314" i="17"/>
  <c r="CM342" i="17"/>
  <c r="CM324" i="17"/>
  <c r="CM351" i="17"/>
  <c r="CM350" i="17"/>
  <c r="CM296" i="17"/>
  <c r="CM364" i="17"/>
  <c r="CM368" i="17"/>
  <c r="CM285" i="17"/>
  <c r="CM320" i="17"/>
  <c r="CM287" i="17"/>
  <c r="CM281" i="17"/>
  <c r="CM385" i="17"/>
  <c r="CM337" i="17"/>
  <c r="CM288" i="17"/>
  <c r="CM367" i="17"/>
  <c r="CM390" i="17"/>
  <c r="CM382" i="17"/>
  <c r="CM277" i="17"/>
  <c r="CM302" i="17"/>
  <c r="CM393" i="17"/>
  <c r="CM355" i="17"/>
  <c r="CM321" i="17"/>
  <c r="CM289" i="17"/>
  <c r="CM303" i="17"/>
  <c r="CM383" i="17"/>
  <c r="CM335" i="17"/>
  <c r="CM363" i="17"/>
  <c r="CM359" i="17"/>
  <c r="CM349" i="17"/>
  <c r="CM279" i="17"/>
  <c r="CM384" i="17"/>
  <c r="CM381" i="17"/>
  <c r="CM361" i="17"/>
  <c r="CM322" i="17"/>
  <c r="CM388" i="17"/>
  <c r="CM377" i="17"/>
  <c r="CT422" i="17"/>
  <c r="CT517" i="17"/>
  <c r="CT411" i="17"/>
  <c r="CT470" i="17"/>
  <c r="CT467" i="17"/>
  <c r="CT410" i="17"/>
  <c r="CT446" i="17"/>
  <c r="CT431" i="17"/>
  <c r="CT513" i="17"/>
  <c r="CT499" i="17"/>
  <c r="CT416" i="17"/>
  <c r="CT436" i="17"/>
  <c r="CT509" i="17"/>
  <c r="CT520" i="17"/>
  <c r="CT473" i="17"/>
  <c r="CT476" i="17"/>
  <c r="CT507" i="17"/>
  <c r="CT441" i="17"/>
  <c r="CT479" i="17"/>
  <c r="CT445" i="17"/>
  <c r="CT435" i="17"/>
  <c r="CT518" i="17"/>
  <c r="CT453" i="17"/>
  <c r="CT491" i="17"/>
  <c r="CT413" i="17"/>
  <c r="CT515" i="17"/>
  <c r="CT444" i="17"/>
  <c r="CT437" i="17"/>
  <c r="CT478" i="17"/>
  <c r="CT496" i="17"/>
  <c r="CT440" i="17"/>
  <c r="CT483" i="17"/>
  <c r="CT471" i="17"/>
  <c r="CT500" i="17"/>
  <c r="CT469" i="17"/>
  <c r="CT457" i="17"/>
  <c r="CT510" i="17"/>
  <c r="CT495" i="17"/>
  <c r="CT408" i="17"/>
  <c r="CT430" i="17"/>
  <c r="CT465" i="17"/>
  <c r="CT492" i="17"/>
  <c r="CT428" i="17"/>
  <c r="CT409" i="17"/>
  <c r="CT477" i="17"/>
  <c r="CT505" i="17"/>
  <c r="CT462" i="17"/>
  <c r="CT415" i="17"/>
  <c r="CT452" i="17"/>
  <c r="CT433" i="17"/>
  <c r="CT503" i="17"/>
  <c r="CT418" i="17"/>
  <c r="CT450" i="17"/>
  <c r="CT481" i="17"/>
  <c r="CT522" i="17"/>
  <c r="CT412" i="17"/>
  <c r="CT434" i="17"/>
  <c r="CT451" i="17"/>
  <c r="CT521" i="17"/>
  <c r="CT448" i="17"/>
  <c r="CT475" i="17"/>
  <c r="CT508" i="17"/>
  <c r="CT423" i="17"/>
  <c r="CT414" i="17"/>
  <c r="CT514" i="17"/>
  <c r="CT494" i="17"/>
  <c r="CT487" i="17"/>
  <c r="CT497" i="17"/>
  <c r="CT480" i="17"/>
  <c r="CT474" i="17"/>
  <c r="CT472" i="17"/>
  <c r="CT442" i="17"/>
  <c r="CT486" i="17"/>
  <c r="CT493" i="17"/>
  <c r="CT420" i="17"/>
  <c r="CT429" i="17"/>
  <c r="CT501" i="17"/>
  <c r="CT523" i="17"/>
  <c r="CT419" i="17"/>
  <c r="CT463" i="17"/>
  <c r="CT484" i="17"/>
  <c r="CT443" i="17"/>
  <c r="CT455" i="17"/>
  <c r="CT512" i="17"/>
  <c r="CT449" i="17"/>
  <c r="CT459" i="17"/>
  <c r="CT461" i="17"/>
  <c r="CT458" i="17"/>
  <c r="CT502" i="17"/>
  <c r="CT454" i="17"/>
  <c r="CT456" i="17"/>
  <c r="CT464" i="17"/>
  <c r="CT506" i="17"/>
  <c r="CT466" i="17"/>
  <c r="CT425" i="17"/>
  <c r="CT468" i="17"/>
  <c r="CT498" i="17"/>
  <c r="CT432" i="17"/>
  <c r="CT424" i="17"/>
  <c r="CT490" i="17"/>
  <c r="CT519" i="17"/>
  <c r="CT427" i="17"/>
  <c r="CT504" i="17"/>
  <c r="CT482" i="17"/>
  <c r="CT488" i="17"/>
  <c r="CT421" i="17"/>
  <c r="CT524" i="17"/>
  <c r="CT447" i="17"/>
  <c r="CT485" i="17"/>
  <c r="CT439" i="17"/>
  <c r="CT460" i="17"/>
  <c r="CT489" i="17"/>
  <c r="CT426" i="17"/>
  <c r="CT417" i="17"/>
  <c r="CT516" i="17"/>
  <c r="CT511" i="17"/>
  <c r="CT438" i="17"/>
  <c r="E35" i="21"/>
  <c r="J35" i="21" s="1"/>
  <c r="D83" i="9"/>
  <c r="H35" i="2"/>
  <c r="BR37" i="15"/>
  <c r="BR132" i="15"/>
  <c r="BR98" i="15"/>
  <c r="BR49" i="15"/>
  <c r="BR24" i="15"/>
  <c r="BR64" i="15"/>
  <c r="BR76" i="15"/>
  <c r="BR112" i="15"/>
  <c r="BR33" i="15"/>
  <c r="BR66" i="15"/>
  <c r="BR65" i="15"/>
  <c r="BR84" i="15"/>
  <c r="BR111" i="15"/>
  <c r="BR89" i="15"/>
  <c r="BR59" i="15"/>
  <c r="BR75" i="15"/>
  <c r="BR134" i="15"/>
  <c r="BR137" i="15"/>
  <c r="BR63" i="15"/>
  <c r="BR128" i="15"/>
  <c r="BR35" i="15"/>
  <c r="BR67" i="15"/>
  <c r="BR116" i="15"/>
  <c r="BR122" i="15"/>
  <c r="BR126" i="15"/>
  <c r="BR92" i="15"/>
  <c r="BR30" i="15"/>
  <c r="BR60" i="15"/>
  <c r="BR81" i="15"/>
  <c r="BR83" i="15"/>
  <c r="BR108" i="15"/>
  <c r="BR38" i="15"/>
  <c r="BR95" i="15"/>
  <c r="BR104" i="15"/>
  <c r="BR127" i="15"/>
  <c r="BR80" i="15"/>
  <c r="BR133" i="15"/>
  <c r="BR97" i="15"/>
  <c r="BR113" i="15"/>
  <c r="BR124" i="15"/>
  <c r="BR58" i="15"/>
  <c r="BR129" i="15"/>
  <c r="BR139" i="15"/>
  <c r="BR42" i="15"/>
  <c r="BR53" i="15"/>
  <c r="BR110" i="15"/>
  <c r="BR47" i="15"/>
  <c r="BR28" i="15"/>
  <c r="BR55" i="15"/>
  <c r="BR31" i="15"/>
  <c r="BR72" i="15"/>
  <c r="BR46" i="15"/>
  <c r="BR23" i="15"/>
  <c r="BR135" i="15"/>
  <c r="BR39" i="15"/>
  <c r="BR70" i="15"/>
  <c r="BR86" i="15"/>
  <c r="BR56" i="15"/>
  <c r="BR61" i="15"/>
  <c r="BR109" i="15"/>
  <c r="BR91" i="15"/>
  <c r="BR78" i="15"/>
  <c r="BR45" i="15"/>
  <c r="BR50" i="15"/>
  <c r="BR36" i="15"/>
  <c r="BR107" i="15"/>
  <c r="BR44" i="15"/>
  <c r="BR62" i="15"/>
  <c r="BR93" i="15"/>
  <c r="BR85" i="15"/>
  <c r="BR57" i="15"/>
  <c r="BR68" i="15"/>
  <c r="BR114" i="15"/>
  <c r="BR120" i="15"/>
  <c r="BR94" i="15"/>
  <c r="BR130" i="15"/>
  <c r="BR29" i="15"/>
  <c r="BR136" i="15"/>
  <c r="BR88" i="15"/>
  <c r="BR48" i="15"/>
  <c r="BR54" i="15"/>
  <c r="BR125" i="15"/>
  <c r="BR74" i="15"/>
  <c r="BR117" i="15"/>
  <c r="BR51" i="15"/>
  <c r="BR106" i="15"/>
  <c r="BR43" i="15"/>
  <c r="BR138" i="15"/>
  <c r="BR100" i="15"/>
  <c r="BR131" i="15"/>
  <c r="BR79" i="15"/>
  <c r="BR103" i="15"/>
  <c r="BR96" i="15"/>
  <c r="BR105" i="15"/>
  <c r="BR87" i="15"/>
  <c r="BR101" i="15"/>
  <c r="BR52" i="15"/>
  <c r="BR121" i="15"/>
  <c r="BR118" i="15"/>
  <c r="BR73" i="15"/>
  <c r="BR115" i="15"/>
  <c r="BR71" i="15"/>
  <c r="BR27" i="15"/>
  <c r="BR32" i="15"/>
  <c r="BR77" i="15"/>
  <c r="BR41" i="15"/>
  <c r="BR25" i="15"/>
  <c r="BR26" i="15"/>
  <c r="BR34" i="15"/>
  <c r="BR99" i="15"/>
  <c r="BR102" i="15"/>
  <c r="BR40" i="15"/>
  <c r="BR119" i="15"/>
  <c r="BR123" i="15"/>
  <c r="BR82" i="15"/>
  <c r="BR90" i="15"/>
  <c r="BR69" i="15"/>
  <c r="CL291" i="17"/>
  <c r="CL386" i="17"/>
  <c r="CL335" i="17"/>
  <c r="CL363" i="17"/>
  <c r="CL302" i="17"/>
  <c r="CL365" i="17"/>
  <c r="CL304" i="17"/>
  <c r="CL353" i="17"/>
  <c r="CL359" i="17"/>
  <c r="CL355" i="17"/>
  <c r="CL305" i="17"/>
  <c r="CL378" i="17"/>
  <c r="CL301" i="17"/>
  <c r="CL389" i="17"/>
  <c r="CL345" i="17"/>
  <c r="CL320" i="17"/>
  <c r="CL287" i="17"/>
  <c r="CL391" i="17"/>
  <c r="CL294" i="17"/>
  <c r="CL306" i="17"/>
  <c r="CL279" i="17"/>
  <c r="CL377" i="17"/>
  <c r="CL343" i="17"/>
  <c r="CL311" i="17"/>
  <c r="CL326" i="17"/>
  <c r="CL300" i="17"/>
  <c r="CL369" i="17"/>
  <c r="CL295" i="17"/>
  <c r="CL347" i="17"/>
  <c r="CL357" i="17"/>
  <c r="CL278" i="17"/>
  <c r="CL339" i="17"/>
  <c r="CL327" i="17"/>
  <c r="CL362" i="17"/>
  <c r="CL379" i="17"/>
  <c r="CL332" i="17"/>
  <c r="CL376" i="17"/>
  <c r="CL315" i="17"/>
  <c r="CL293" i="17"/>
  <c r="CL349" i="17"/>
  <c r="CL307" i="17"/>
  <c r="CL299" i="17"/>
  <c r="CL360" i="17"/>
  <c r="CL392" i="17"/>
  <c r="CL314" i="17"/>
  <c r="CL328" i="17"/>
  <c r="CL313" i="17"/>
  <c r="CL280" i="17"/>
  <c r="CL331" i="17"/>
  <c r="CL380" i="17"/>
  <c r="CL334" i="17"/>
  <c r="CL387" i="17"/>
  <c r="CL371" i="17"/>
  <c r="CL340" i="17"/>
  <c r="CL329" i="17"/>
  <c r="CL338" i="17"/>
  <c r="CL317" i="17"/>
  <c r="CL344" i="17"/>
  <c r="CL312" i="17"/>
  <c r="CL370" i="17"/>
  <c r="CL356" i="17"/>
  <c r="CL321" i="17"/>
  <c r="CL289" i="17"/>
  <c r="CL286" i="17"/>
  <c r="CL308" i="17"/>
  <c r="CL319" i="17"/>
  <c r="CL310" i="17"/>
  <c r="CL282" i="17"/>
  <c r="CL284" i="17"/>
  <c r="CL281" i="17"/>
  <c r="CL330" i="17"/>
  <c r="CL366" i="17"/>
  <c r="CL298" i="17"/>
  <c r="CL342" i="17"/>
  <c r="CL333" i="17"/>
  <c r="CL336" i="17"/>
  <c r="CL283" i="17"/>
  <c r="CL325" i="17"/>
  <c r="CL381" i="17"/>
  <c r="CL385" i="17"/>
  <c r="CL303" i="17"/>
  <c r="CL337" i="17"/>
  <c r="CL322" i="17"/>
  <c r="CL368" i="17"/>
  <c r="CL390" i="17"/>
  <c r="CL383" i="17"/>
  <c r="CL346" i="17"/>
  <c r="CL354" i="17"/>
  <c r="CL384" i="17"/>
  <c r="CL388" i="17"/>
  <c r="CL348" i="17"/>
  <c r="CL341" i="17"/>
  <c r="CL323" i="17"/>
  <c r="CL373" i="17"/>
  <c r="CL358" i="17"/>
  <c r="CL375" i="17"/>
  <c r="CL352" i="17"/>
  <c r="CL324" i="17"/>
  <c r="CL351" i="17"/>
  <c r="CL285" i="17"/>
  <c r="CL350" i="17"/>
  <c r="CL296" i="17"/>
  <c r="CL364" i="17"/>
  <c r="CL277" i="17"/>
  <c r="CL290" i="17"/>
  <c r="CL318" i="17"/>
  <c r="CL297" i="17"/>
  <c r="CL393" i="17"/>
  <c r="CL309" i="17"/>
  <c r="CL292" i="17"/>
  <c r="CL374" i="17"/>
  <c r="CL316" i="17"/>
  <c r="CL361" i="17"/>
  <c r="CL288" i="17"/>
  <c r="CL367" i="17"/>
  <c r="CL382" i="17"/>
  <c r="CL372" i="17"/>
  <c r="CX502" i="17" l="1"/>
  <c r="CX519" i="17"/>
  <c r="BT73" i="15"/>
  <c r="BT101" i="15"/>
  <c r="BT82" i="15"/>
  <c r="BT70" i="15"/>
  <c r="BT38" i="15"/>
  <c r="BT138" i="15"/>
  <c r="CN322" i="17"/>
  <c r="CD167" i="17"/>
  <c r="CX513" i="17"/>
  <c r="CX448" i="17"/>
  <c r="CX467" i="17"/>
  <c r="CX441" i="17"/>
  <c r="CX480" i="17"/>
  <c r="CX442" i="17"/>
  <c r="CX479" i="17"/>
  <c r="CX460" i="17"/>
  <c r="CX426" i="17"/>
  <c r="CX472" i="17"/>
  <c r="CX428" i="17"/>
  <c r="CX443" i="17"/>
  <c r="CX427" i="17"/>
  <c r="CX440" i="17"/>
  <c r="CX444" i="17"/>
  <c r="CX410" i="17"/>
  <c r="CX507" i="17"/>
  <c r="CX474" i="17"/>
  <c r="CX482" i="17"/>
  <c r="CX510" i="17"/>
  <c r="CX416" i="17"/>
  <c r="CX466" i="17"/>
  <c r="CX501" i="17"/>
  <c r="CX488" i="17"/>
  <c r="CX469" i="17"/>
  <c r="CX432" i="17"/>
  <c r="CX450" i="17"/>
  <c r="CX418" i="17"/>
  <c r="CX491" i="17"/>
  <c r="CX422" i="17"/>
  <c r="H35" i="21"/>
  <c r="G35" i="21"/>
  <c r="BT94" i="15"/>
  <c r="BT80" i="15"/>
  <c r="BT115" i="15"/>
  <c r="BT34" i="15"/>
  <c r="BT100" i="15"/>
  <c r="BT54" i="15"/>
  <c r="BT78" i="15"/>
  <c r="BT126" i="15"/>
  <c r="BT40" i="15"/>
  <c r="BT29" i="15"/>
  <c r="BT104" i="15"/>
  <c r="BT46" i="15"/>
  <c r="BT134" i="15"/>
  <c r="BT36" i="15"/>
  <c r="BT108" i="15"/>
  <c r="BT64" i="15"/>
  <c r="BT122" i="15"/>
  <c r="BT135" i="15"/>
  <c r="BT28" i="15"/>
  <c r="BT42" i="15"/>
  <c r="BT58" i="15"/>
  <c r="BT127" i="15"/>
  <c r="BT83" i="15"/>
  <c r="BT92" i="15"/>
  <c r="BT63" i="15"/>
  <c r="BT89" i="15"/>
  <c r="BT66" i="15"/>
  <c r="BT56" i="15"/>
  <c r="BT132" i="15"/>
  <c r="CN388" i="17"/>
  <c r="CN337" i="17"/>
  <c r="CN372" i="17"/>
  <c r="CN293" i="17"/>
  <c r="CN364" i="17"/>
  <c r="CN351" i="17"/>
  <c r="CN369" i="17"/>
  <c r="CN383" i="17"/>
  <c r="CN352" i="17"/>
  <c r="CN375" i="17"/>
  <c r="CN298" i="17"/>
  <c r="CN319" i="17"/>
  <c r="CN362" i="17"/>
  <c r="CN312" i="17"/>
  <c r="CN371" i="17"/>
  <c r="CN353" i="17"/>
  <c r="CN280" i="17"/>
  <c r="CN360" i="17"/>
  <c r="CN374" i="17"/>
  <c r="CN358" i="17"/>
  <c r="CN370" i="17"/>
  <c r="CN300" i="17"/>
  <c r="CN311" i="17"/>
  <c r="CN342" i="17"/>
  <c r="CN392" i="17"/>
  <c r="CN289" i="17"/>
  <c r="CN317" i="17"/>
  <c r="CN304" i="17"/>
  <c r="CN302" i="17"/>
  <c r="CN291" i="17"/>
  <c r="CD189" i="17"/>
  <c r="CD159" i="17"/>
  <c r="CD174" i="17"/>
  <c r="CD212" i="17"/>
  <c r="CD241" i="17"/>
  <c r="CD256" i="17"/>
  <c r="CD243" i="17"/>
  <c r="CD166" i="17"/>
  <c r="CD168" i="17"/>
  <c r="CD223" i="17"/>
  <c r="CD218" i="17"/>
  <c r="CD233" i="17"/>
  <c r="CD246" i="17"/>
  <c r="CD186" i="17"/>
  <c r="CD148" i="17"/>
  <c r="CD147" i="17"/>
  <c r="CD182" i="17"/>
  <c r="CD217" i="17"/>
  <c r="CD185" i="17"/>
  <c r="CD173" i="17"/>
  <c r="CD238" i="17"/>
  <c r="CD171" i="17"/>
  <c r="CD230" i="17"/>
  <c r="CD219" i="17"/>
  <c r="CD215" i="17"/>
  <c r="CD242" i="17"/>
  <c r="CD249" i="17"/>
  <c r="CD214" i="17"/>
  <c r="CD255" i="17"/>
  <c r="C36" i="21"/>
  <c r="B84" i="9"/>
  <c r="C44" i="11" s="1"/>
  <c r="F36" i="2"/>
  <c r="BJ82" i="17"/>
  <c r="BJ24" i="17"/>
  <c r="BJ93" i="17"/>
  <c r="BJ59" i="17"/>
  <c r="BJ42" i="17"/>
  <c r="BJ67" i="17"/>
  <c r="BJ103" i="17"/>
  <c r="BJ15" i="17"/>
  <c r="BJ89" i="17"/>
  <c r="CX438" i="17"/>
  <c r="CX477" i="17"/>
  <c r="BT103" i="15"/>
  <c r="BT55" i="15"/>
  <c r="BT60" i="15"/>
  <c r="CN316" i="17"/>
  <c r="CN284" i="17"/>
  <c r="CN286" i="17"/>
  <c r="CN282" i="17"/>
  <c r="CN379" i="17"/>
  <c r="CN338" i="17"/>
  <c r="CN313" i="17"/>
  <c r="D36" i="21"/>
  <c r="I36" i="21" s="1"/>
  <c r="C84" i="9"/>
  <c r="G36" i="2"/>
  <c r="CX417" i="17"/>
  <c r="CX500" i="17"/>
  <c r="CX454" i="17"/>
  <c r="CX506" i="17"/>
  <c r="CX486" i="17"/>
  <c r="CX461" i="17"/>
  <c r="CX509" i="17"/>
  <c r="CX458" i="17"/>
  <c r="CX420" i="17"/>
  <c r="CX412" i="17"/>
  <c r="CX492" i="17"/>
  <c r="CX473" i="17"/>
  <c r="CX514" i="17"/>
  <c r="CX496" i="17"/>
  <c r="CX419" i="17"/>
  <c r="CX470" i="17"/>
  <c r="CX524" i="17"/>
  <c r="CX475" i="17"/>
  <c r="CX436" i="17"/>
  <c r="CX490" i="17"/>
  <c r="CX523" i="17"/>
  <c r="CX518" i="17"/>
  <c r="CX434" i="17"/>
  <c r="CX499" i="17"/>
  <c r="CX471" i="17"/>
  <c r="CX437" i="17"/>
  <c r="CX503" i="17"/>
  <c r="CX453" i="17"/>
  <c r="I35" i="2"/>
  <c r="F35" i="21" s="1"/>
  <c r="L35" i="2"/>
  <c r="BT119" i="15"/>
  <c r="BT25" i="15"/>
  <c r="BT123" i="15"/>
  <c r="BT51" i="15"/>
  <c r="BT114" i="15"/>
  <c r="BT121" i="15"/>
  <c r="BT87" i="15"/>
  <c r="BT79" i="15"/>
  <c r="BT117" i="15"/>
  <c r="BT102" i="15"/>
  <c r="BT62" i="15"/>
  <c r="BT43" i="15"/>
  <c r="BT85" i="15"/>
  <c r="BT44" i="15"/>
  <c r="BT50" i="15"/>
  <c r="BT91" i="15"/>
  <c r="BT30" i="15"/>
  <c r="BT116" i="15"/>
  <c r="BT23" i="15"/>
  <c r="BT47" i="15"/>
  <c r="BT96" i="15"/>
  <c r="BT113" i="15"/>
  <c r="BT32" i="15"/>
  <c r="BT76" i="15"/>
  <c r="BT120" i="15"/>
  <c r="BT137" i="15"/>
  <c r="BT111" i="15"/>
  <c r="BT33" i="15"/>
  <c r="BT106" i="15"/>
  <c r="BT37" i="15"/>
  <c r="CN390" i="17"/>
  <c r="CN385" i="17"/>
  <c r="CN278" i="17"/>
  <c r="CN283" i="17"/>
  <c r="CN296" i="17"/>
  <c r="CN324" i="17"/>
  <c r="CN348" i="17"/>
  <c r="CN368" i="17"/>
  <c r="CN346" i="17"/>
  <c r="CN357" i="17"/>
  <c r="CN366" i="17"/>
  <c r="CN294" i="17"/>
  <c r="CN345" i="17"/>
  <c r="CN344" i="17"/>
  <c r="CN387" i="17"/>
  <c r="CN380" i="17"/>
  <c r="CN328" i="17"/>
  <c r="CN299" i="17"/>
  <c r="CN376" i="17"/>
  <c r="CN327" i="17"/>
  <c r="CN347" i="17"/>
  <c r="CN378" i="17"/>
  <c r="CN341" i="17"/>
  <c r="CN279" i="17"/>
  <c r="CN310" i="17"/>
  <c r="CN320" i="17"/>
  <c r="CN355" i="17"/>
  <c r="CN365" i="17"/>
  <c r="CN363" i="17"/>
  <c r="CD257" i="17"/>
  <c r="CD207" i="17"/>
  <c r="CD222" i="17"/>
  <c r="CD161" i="17"/>
  <c r="CD258" i="17"/>
  <c r="CD232" i="17"/>
  <c r="CD247" i="17"/>
  <c r="CD239" i="17"/>
  <c r="CD221" i="17"/>
  <c r="CD195" i="17"/>
  <c r="CD170" i="17"/>
  <c r="CD240" i="17"/>
  <c r="CD158" i="17"/>
  <c r="CD179" i="17"/>
  <c r="CD209" i="17"/>
  <c r="CD155" i="17"/>
  <c r="CD262" i="17"/>
  <c r="CD177" i="17"/>
  <c r="CD162" i="17"/>
  <c r="CD200" i="17"/>
  <c r="CD231" i="17"/>
  <c r="CD169" i="17"/>
  <c r="CD190" i="17"/>
  <c r="CD193" i="17"/>
  <c r="CD202" i="17"/>
  <c r="CD149" i="17"/>
  <c r="CD192" i="17"/>
  <c r="CD216" i="17"/>
  <c r="CD225" i="17"/>
  <c r="CD160" i="17"/>
  <c r="O36" i="2"/>
  <c r="M36" i="2"/>
  <c r="E36" i="21"/>
  <c r="J36" i="21" s="1"/>
  <c r="D84" i="9"/>
  <c r="H36" i="2"/>
  <c r="BJ50" i="17"/>
  <c r="BJ92" i="17"/>
  <c r="BJ125" i="17"/>
  <c r="BJ20" i="17"/>
  <c r="BJ28" i="17"/>
  <c r="BJ114" i="17"/>
  <c r="BJ126" i="17"/>
  <c r="BJ16" i="17"/>
  <c r="CX449" i="17"/>
  <c r="CX465" i="17"/>
  <c r="BT26" i="15"/>
  <c r="BT109" i="15"/>
  <c r="BT88" i="15"/>
  <c r="BT129" i="15"/>
  <c r="CN288" i="17"/>
  <c r="CN384" i="17"/>
  <c r="CN393" i="17"/>
  <c r="CN297" i="17"/>
  <c r="CN314" i="17"/>
  <c r="CN287" i="17"/>
  <c r="CD205" i="17"/>
  <c r="CD213" i="17"/>
  <c r="CD250" i="17"/>
  <c r="CD197" i="17"/>
  <c r="B44" i="11"/>
  <c r="D44" i="11" s="1"/>
  <c r="E44" i="11" s="1"/>
  <c r="F44" i="11" s="1"/>
  <c r="F84" i="9"/>
  <c r="A54" i="22"/>
  <c r="B36" i="21"/>
  <c r="CX447" i="17"/>
  <c r="CX478" i="17"/>
  <c r="CX493" i="17"/>
  <c r="CX456" i="17"/>
  <c r="CX439" i="17"/>
  <c r="CX485" i="17"/>
  <c r="CX452" i="17"/>
  <c r="CX487" i="17"/>
  <c r="CX464" i="17"/>
  <c r="CX429" i="17"/>
  <c r="CX455" i="17"/>
  <c r="CX408" i="17"/>
  <c r="CX498" i="17"/>
  <c r="CX446" i="17"/>
  <c r="CX433" i="17"/>
  <c r="CX411" i="17"/>
  <c r="CX476" i="17"/>
  <c r="CX521" i="17"/>
  <c r="CX511" i="17"/>
  <c r="CX522" i="17"/>
  <c r="CX516" i="17"/>
  <c r="CX413" i="17"/>
  <c r="CX512" i="17"/>
  <c r="CX504" i="17"/>
  <c r="CX484" i="17"/>
  <c r="CX468" i="17"/>
  <c r="CX425" i="17"/>
  <c r="CX515" i="17"/>
  <c r="CX435" i="17"/>
  <c r="BT48" i="15"/>
  <c r="BT41" i="15"/>
  <c r="BT86" i="15"/>
  <c r="BT69" i="15"/>
  <c r="BT68" i="15"/>
  <c r="BT52" i="15"/>
  <c r="BT105" i="15"/>
  <c r="BT131" i="15"/>
  <c r="BT74" i="15"/>
  <c r="BT72" i="15"/>
  <c r="BT90" i="15"/>
  <c r="BT57" i="15"/>
  <c r="BT128" i="15"/>
  <c r="BT124" i="15"/>
  <c r="BT45" i="15"/>
  <c r="BT112" i="15"/>
  <c r="BT61" i="15"/>
  <c r="BT39" i="15"/>
  <c r="BT31" i="15"/>
  <c r="BT53" i="15"/>
  <c r="BT139" i="15"/>
  <c r="BT97" i="15"/>
  <c r="BT95" i="15"/>
  <c r="BT81" i="15"/>
  <c r="BT67" i="15"/>
  <c r="BT75" i="15"/>
  <c r="BT84" i="15"/>
  <c r="BT130" i="15"/>
  <c r="BT49" i="15"/>
  <c r="CN367" i="17"/>
  <c r="CN381" i="17"/>
  <c r="CN326" i="17"/>
  <c r="CN336" i="17"/>
  <c r="CN350" i="17"/>
  <c r="CN318" i="17"/>
  <c r="CN277" i="17"/>
  <c r="CN361" i="17"/>
  <c r="CN306" i="17"/>
  <c r="CN323" i="17"/>
  <c r="CN354" i="17"/>
  <c r="CN308" i="17"/>
  <c r="CN356" i="17"/>
  <c r="CN305" i="17"/>
  <c r="CN334" i="17"/>
  <c r="CN331" i="17"/>
  <c r="CN330" i="17"/>
  <c r="CN307" i="17"/>
  <c r="CN332" i="17"/>
  <c r="CN309" i="17"/>
  <c r="CN325" i="17"/>
  <c r="CN373" i="17"/>
  <c r="CN343" i="17"/>
  <c r="CN281" i="17"/>
  <c r="CN391" i="17"/>
  <c r="CN321" i="17"/>
  <c r="CN329" i="17"/>
  <c r="CN333" i="17"/>
  <c r="CN335" i="17"/>
  <c r="K36" i="2"/>
  <c r="CD235" i="17"/>
  <c r="CD203" i="17"/>
  <c r="CD153" i="17"/>
  <c r="CD237" i="17"/>
  <c r="CD201" i="17"/>
  <c r="CD178" i="17"/>
  <c r="CD236" i="17"/>
  <c r="CD254" i="17"/>
  <c r="CD204" i="17"/>
  <c r="CD156" i="17"/>
  <c r="CD198" i="17"/>
  <c r="CD151" i="17"/>
  <c r="CD187" i="17"/>
  <c r="CD252" i="17"/>
  <c r="CD210" i="17"/>
  <c r="CD227" i="17"/>
  <c r="CD248" i="17"/>
  <c r="CD191" i="17"/>
  <c r="CD226" i="17"/>
  <c r="CD184" i="17"/>
  <c r="CD194" i="17"/>
  <c r="CD175" i="17"/>
  <c r="CD152" i="17"/>
  <c r="CD251" i="17"/>
  <c r="CD206" i="17"/>
  <c r="CD146" i="17"/>
  <c r="CD224" i="17"/>
  <c r="CD180" i="17"/>
  <c r="CD211" i="17"/>
  <c r="A37" i="21"/>
  <c r="A85" i="9"/>
  <c r="A45" i="11" s="1"/>
  <c r="A38" i="2"/>
  <c r="E37" i="2"/>
  <c r="P37" i="2"/>
  <c r="D37" i="2"/>
  <c r="C37" i="2"/>
  <c r="N37" i="2"/>
  <c r="E85" i="9" s="1"/>
  <c r="B37" i="2"/>
  <c r="BJ91" i="17"/>
  <c r="BJ104" i="17"/>
  <c r="BJ56" i="17"/>
  <c r="BJ84" i="17"/>
  <c r="BJ53" i="17"/>
  <c r="BJ34" i="17"/>
  <c r="BJ44" i="17"/>
  <c r="BJ29" i="17"/>
  <c r="D37" i="21" l="1"/>
  <c r="I37" i="21" s="1"/>
  <c r="C85" i="9"/>
  <c r="G37" i="2"/>
  <c r="K37" i="2"/>
  <c r="CW404" i="17"/>
  <c r="CS404" i="17"/>
  <c r="DE403" i="17"/>
  <c r="DA403" i="17"/>
  <c r="DC402" i="17"/>
  <c r="DE401" i="17"/>
  <c r="DA401" i="17"/>
  <c r="CX405" i="17"/>
  <c r="CV404" i="17"/>
  <c r="CR404" i="17"/>
  <c r="DD403" i="17"/>
  <c r="CZ403" i="17"/>
  <c r="DB402" i="17"/>
  <c r="CT404" i="17"/>
  <c r="DB403" i="17"/>
  <c r="CZ402" i="17"/>
  <c r="DC401" i="17"/>
  <c r="DE402" i="17"/>
  <c r="DB401" i="17"/>
  <c r="DD402" i="17"/>
  <c r="CZ401" i="17"/>
  <c r="DC403" i="17"/>
  <c r="DD401" i="17"/>
  <c r="DA402" i="17"/>
  <c r="CU404" i="17"/>
  <c r="I36" i="2"/>
  <c r="F36" i="21" s="1"/>
  <c r="L36" i="2"/>
  <c r="A38" i="21"/>
  <c r="A86" i="9"/>
  <c r="A46" i="11" s="1"/>
  <c r="A39" i="2"/>
  <c r="E38" i="2"/>
  <c r="P38" i="2"/>
  <c r="D38" i="2"/>
  <c r="K38" i="2" s="1"/>
  <c r="C38" i="2"/>
  <c r="B38" i="2"/>
  <c r="N38" i="2"/>
  <c r="E86" i="9" s="1"/>
  <c r="BL9" i="17"/>
  <c r="BI11" i="17"/>
  <c r="BM10" i="17"/>
  <c r="BM8" i="17"/>
  <c r="BJ12" i="17"/>
  <c r="BH11" i="17"/>
  <c r="BL10" i="17"/>
  <c r="BL8" i="17"/>
  <c r="BM9" i="17"/>
  <c r="A55" i="22"/>
  <c r="B37" i="21"/>
  <c r="CL273" i="17"/>
  <c r="CS272" i="17"/>
  <c r="CT271" i="17"/>
  <c r="CP271" i="17"/>
  <c r="CQ270" i="17"/>
  <c r="CK273" i="17"/>
  <c r="CR272" i="17"/>
  <c r="CS271" i="17"/>
  <c r="CT270" i="17"/>
  <c r="CP270" i="17"/>
  <c r="CJ273" i="17"/>
  <c r="CQ272" i="17"/>
  <c r="CR271" i="17"/>
  <c r="CS270" i="17"/>
  <c r="CM273" i="17"/>
  <c r="CP272" i="17"/>
  <c r="CQ271" i="17"/>
  <c r="CR270" i="17"/>
  <c r="CI273" i="17"/>
  <c r="CN274" i="17"/>
  <c r="CT272" i="17"/>
  <c r="C37" i="21"/>
  <c r="B85" i="9"/>
  <c r="C45" i="11" s="1"/>
  <c r="F37" i="2"/>
  <c r="J37" i="2"/>
  <c r="J38" i="2"/>
  <c r="H36" i="21"/>
  <c r="G36" i="21"/>
  <c r="F85" i="9"/>
  <c r="B45" i="11"/>
  <c r="D45" i="11" s="1"/>
  <c r="E45" i="11" s="1"/>
  <c r="F45" i="11" s="1"/>
  <c r="E37" i="21"/>
  <c r="J37" i="21" s="1"/>
  <c r="D85" i="9"/>
  <c r="H37" i="2"/>
  <c r="CB142" i="17"/>
  <c r="CH141" i="17"/>
  <c r="CH140" i="17"/>
  <c r="CH139" i="17"/>
  <c r="CA142" i="17"/>
  <c r="CG141" i="17"/>
  <c r="CG140" i="17"/>
  <c r="CG139" i="17"/>
  <c r="CF140" i="17"/>
  <c r="CC142" i="17"/>
  <c r="CI141" i="17"/>
  <c r="CI139" i="17"/>
  <c r="CD143" i="17"/>
  <c r="BZ142" i="17"/>
  <c r="CF141" i="17"/>
  <c r="CF139" i="17"/>
  <c r="CI140" i="17"/>
  <c r="BT20" i="15"/>
  <c r="BQ19" i="15"/>
  <c r="BV18" i="15"/>
  <c r="BX16" i="15"/>
  <c r="BX17" i="15"/>
  <c r="BW16" i="15"/>
  <c r="BS19" i="15"/>
  <c r="BX18" i="15"/>
  <c r="BW17" i="15"/>
  <c r="BV16" i="15"/>
  <c r="BR19" i="15"/>
  <c r="BW18" i="15"/>
  <c r="BV17" i="15"/>
  <c r="G44" i="11"/>
  <c r="O38" i="2" l="1"/>
  <c r="M38" i="2"/>
  <c r="DE517" i="17"/>
  <c r="DE422" i="17"/>
  <c r="DE467" i="17"/>
  <c r="DE518" i="17"/>
  <c r="DE453" i="17"/>
  <c r="DE413" i="17"/>
  <c r="DE452" i="17"/>
  <c r="DE437" i="17"/>
  <c r="DE463" i="17"/>
  <c r="DE478" i="17"/>
  <c r="DE500" i="17"/>
  <c r="DE469" i="17"/>
  <c r="DE522" i="17"/>
  <c r="DE509" i="17"/>
  <c r="DE510" i="17"/>
  <c r="DE412" i="17"/>
  <c r="DE448" i="17"/>
  <c r="DE430" i="17"/>
  <c r="DE479" i="17"/>
  <c r="DE435" i="17"/>
  <c r="DE491" i="17"/>
  <c r="DE462" i="17"/>
  <c r="DE515" i="17"/>
  <c r="DE503" i="17"/>
  <c r="DE418" i="17"/>
  <c r="DE414" i="17"/>
  <c r="DE425" i="17"/>
  <c r="DE450" i="17"/>
  <c r="DE483" i="17"/>
  <c r="DE468" i="17"/>
  <c r="DE471" i="17"/>
  <c r="DE498" i="17"/>
  <c r="DE432" i="17"/>
  <c r="DE514" i="17"/>
  <c r="DE424" i="17"/>
  <c r="DE484" i="17"/>
  <c r="DE499" i="17"/>
  <c r="DE504" i="17"/>
  <c r="DE434" i="17"/>
  <c r="DE521" i="17"/>
  <c r="DE488" i="17"/>
  <c r="DE508" i="17"/>
  <c r="DE512" i="17"/>
  <c r="DE465" i="17"/>
  <c r="DE523" i="17"/>
  <c r="DE466" i="17"/>
  <c r="DE433" i="17"/>
  <c r="DE481" i="17"/>
  <c r="DE431" i="17"/>
  <c r="DE516" i="17"/>
  <c r="DE490" i="17"/>
  <c r="DE416" i="17"/>
  <c r="DE519" i="17"/>
  <c r="DE436" i="17"/>
  <c r="DE520" i="17"/>
  <c r="DE473" i="17"/>
  <c r="DE511" i="17"/>
  <c r="DE494" i="17"/>
  <c r="DE482" i="17"/>
  <c r="DE451" i="17"/>
  <c r="DE475" i="17"/>
  <c r="DE474" i="17"/>
  <c r="DE421" i="17"/>
  <c r="DE476" i="17"/>
  <c r="DE524" i="17"/>
  <c r="DE507" i="17"/>
  <c r="DE441" i="17"/>
  <c r="DE409" i="17"/>
  <c r="DE477" i="17"/>
  <c r="DE501" i="17"/>
  <c r="DE444" i="17"/>
  <c r="DE440" i="17"/>
  <c r="DE513" i="17"/>
  <c r="DE457" i="17"/>
  <c r="DE495" i="17"/>
  <c r="DE443" i="17"/>
  <c r="DE447" i="17"/>
  <c r="DE487" i="17"/>
  <c r="DE461" i="17"/>
  <c r="DE458" i="17"/>
  <c r="DE502" i="17"/>
  <c r="DE460" i="17"/>
  <c r="DE489" i="17"/>
  <c r="DE454" i="17"/>
  <c r="DE445" i="17"/>
  <c r="DE456" i="17"/>
  <c r="DE429" i="17"/>
  <c r="DE470" i="17"/>
  <c r="DE446" i="17"/>
  <c r="DE427" i="17"/>
  <c r="DE428" i="17"/>
  <c r="DE449" i="17"/>
  <c r="DE472" i="17"/>
  <c r="DE459" i="17"/>
  <c r="DE485" i="17"/>
  <c r="DE464" i="17"/>
  <c r="DE420" i="17"/>
  <c r="DE426" i="17"/>
  <c r="DE506" i="17"/>
  <c r="DE417" i="17"/>
  <c r="DE492" i="17"/>
  <c r="DE493" i="17"/>
  <c r="DE410" i="17"/>
  <c r="DE505" i="17"/>
  <c r="DE415" i="17"/>
  <c r="DE419" i="17"/>
  <c r="DE423" i="17"/>
  <c r="DE496" i="17"/>
  <c r="DE408" i="17"/>
  <c r="DE455" i="17"/>
  <c r="DE497" i="17"/>
  <c r="DE442" i="17"/>
  <c r="DE439" i="17"/>
  <c r="DE486" i="17"/>
  <c r="DE480" i="17"/>
  <c r="DE438" i="17"/>
  <c r="DE411" i="17"/>
  <c r="BX132" i="15"/>
  <c r="BX37" i="15"/>
  <c r="BX126" i="15"/>
  <c r="BX27" i="15"/>
  <c r="BX43" i="15"/>
  <c r="BX92" i="15"/>
  <c r="BX30" i="15"/>
  <c r="BX60" i="15"/>
  <c r="BX81" i="15"/>
  <c r="BX109" i="15"/>
  <c r="BX108" i="15"/>
  <c r="BX38" i="15"/>
  <c r="BX104" i="15"/>
  <c r="BX127" i="15"/>
  <c r="BX80" i="15"/>
  <c r="BX107" i="15"/>
  <c r="BX97" i="15"/>
  <c r="BX124" i="15"/>
  <c r="BX58" i="15"/>
  <c r="BX42" i="15"/>
  <c r="BX110" i="15"/>
  <c r="BX28" i="15"/>
  <c r="BX72" i="15"/>
  <c r="BX46" i="15"/>
  <c r="BX135" i="15"/>
  <c r="BX70" i="15"/>
  <c r="BX105" i="15"/>
  <c r="BX86" i="15"/>
  <c r="BX56" i="15"/>
  <c r="BX123" i="15"/>
  <c r="BX131" i="15"/>
  <c r="BX79" i="15"/>
  <c r="BX78" i="15"/>
  <c r="BX50" i="15"/>
  <c r="BX36" i="15"/>
  <c r="BX44" i="15"/>
  <c r="BX62" i="15"/>
  <c r="BX59" i="15"/>
  <c r="BX75" i="15"/>
  <c r="BX137" i="15"/>
  <c r="BX53" i="15"/>
  <c r="BX35" i="15"/>
  <c r="BX67" i="15"/>
  <c r="BX57" i="15"/>
  <c r="BX68" i="15"/>
  <c r="BX114" i="15"/>
  <c r="BX120" i="15"/>
  <c r="BX106" i="15"/>
  <c r="BX138" i="15"/>
  <c r="BX130" i="15"/>
  <c r="BX100" i="15"/>
  <c r="BX83" i="15"/>
  <c r="BX118" i="15"/>
  <c r="BX32" i="15"/>
  <c r="BX82" i="15"/>
  <c r="BX113" i="15"/>
  <c r="BX90" i="15"/>
  <c r="BX129" i="15"/>
  <c r="BX103" i="15"/>
  <c r="BX96" i="15"/>
  <c r="BX136" i="15"/>
  <c r="BX63" i="15"/>
  <c r="BX41" i="15"/>
  <c r="BX25" i="15"/>
  <c r="BX26" i="15"/>
  <c r="BX88" i="15"/>
  <c r="BX34" i="15"/>
  <c r="BX64" i="15"/>
  <c r="BX112" i="15"/>
  <c r="BX77" i="15"/>
  <c r="BX111" i="15"/>
  <c r="BX39" i="15"/>
  <c r="BX51" i="15"/>
  <c r="BX52" i="15"/>
  <c r="BX48" i="15"/>
  <c r="BX54" i="15"/>
  <c r="BX49" i="15"/>
  <c r="BX91" i="15"/>
  <c r="BX65" i="15"/>
  <c r="BX133" i="15"/>
  <c r="BX84" i="15"/>
  <c r="BX47" i="15"/>
  <c r="BX93" i="15"/>
  <c r="BX55" i="15"/>
  <c r="BX94" i="15"/>
  <c r="BX102" i="15"/>
  <c r="BX117" i="15"/>
  <c r="BX40" i="15"/>
  <c r="BX119" i="15"/>
  <c r="BX115" i="15"/>
  <c r="BX71" i="15"/>
  <c r="BX24" i="15"/>
  <c r="BX61" i="15"/>
  <c r="BX76" i="15"/>
  <c r="BX45" i="15"/>
  <c r="BX89" i="15"/>
  <c r="BX85" i="15"/>
  <c r="BX99" i="15"/>
  <c r="BX98" i="15"/>
  <c r="BX33" i="15"/>
  <c r="BX95" i="15"/>
  <c r="BX134" i="15"/>
  <c r="BX29" i="15"/>
  <c r="BX128" i="15"/>
  <c r="BX31" i="15"/>
  <c r="BX116" i="15"/>
  <c r="BX122" i="15"/>
  <c r="BX74" i="15"/>
  <c r="BX73" i="15"/>
  <c r="BX125" i="15"/>
  <c r="BX121" i="15"/>
  <c r="BX66" i="15"/>
  <c r="BX139" i="15"/>
  <c r="BX23" i="15"/>
  <c r="BX87" i="15"/>
  <c r="BX101" i="15"/>
  <c r="BX69" i="15"/>
  <c r="I37" i="2"/>
  <c r="F37" i="21" s="1"/>
  <c r="L37" i="2"/>
  <c r="B46" i="11"/>
  <c r="D46" i="11" s="1"/>
  <c r="E46" i="11" s="1"/>
  <c r="F46" i="11" s="1"/>
  <c r="F86" i="9"/>
  <c r="A56" i="22"/>
  <c r="B38" i="21"/>
  <c r="CZ422" i="17"/>
  <c r="CZ517" i="17"/>
  <c r="CZ467" i="17"/>
  <c r="CZ505" i="17"/>
  <c r="CZ523" i="17"/>
  <c r="CZ452" i="17"/>
  <c r="CZ433" i="17"/>
  <c r="CZ463" i="17"/>
  <c r="CZ496" i="17"/>
  <c r="DF496" i="17" s="1"/>
  <c r="CZ481" i="17"/>
  <c r="CZ500" i="17"/>
  <c r="CZ514" i="17"/>
  <c r="CZ490" i="17"/>
  <c r="CZ519" i="17"/>
  <c r="CZ522" i="17"/>
  <c r="CZ511" i="17"/>
  <c r="CZ412" i="17"/>
  <c r="DF412" i="17" s="1"/>
  <c r="CZ494" i="17"/>
  <c r="CZ521" i="17"/>
  <c r="CZ448" i="17"/>
  <c r="CZ474" i="17"/>
  <c r="CZ507" i="17"/>
  <c r="CZ479" i="17"/>
  <c r="CZ429" i="17"/>
  <c r="CZ411" i="17"/>
  <c r="DF411" i="17" s="1"/>
  <c r="CZ435" i="17"/>
  <c r="CZ470" i="17"/>
  <c r="CZ518" i="17"/>
  <c r="CZ501" i="17"/>
  <c r="DF501" i="17" s="1"/>
  <c r="CZ491" i="17"/>
  <c r="CZ425" i="17"/>
  <c r="CZ446" i="17"/>
  <c r="CZ483" i="17"/>
  <c r="CZ468" i="17"/>
  <c r="CZ471" i="17"/>
  <c r="CZ432" i="17"/>
  <c r="CZ424" i="17"/>
  <c r="CZ484" i="17"/>
  <c r="CZ504" i="17"/>
  <c r="CZ510" i="17"/>
  <c r="CZ488" i="17"/>
  <c r="DF488" i="17" s="1"/>
  <c r="CZ508" i="17"/>
  <c r="CZ421" i="17"/>
  <c r="CZ512" i="17"/>
  <c r="CZ410" i="17"/>
  <c r="CZ418" i="17"/>
  <c r="CZ414" i="17"/>
  <c r="CZ478" i="17"/>
  <c r="CZ450" i="17"/>
  <c r="CZ431" i="17"/>
  <c r="CZ513" i="17"/>
  <c r="CZ516" i="17"/>
  <c r="CZ416" i="17"/>
  <c r="CZ436" i="17"/>
  <c r="CZ509" i="17"/>
  <c r="CZ520" i="17"/>
  <c r="CZ473" i="17"/>
  <c r="DF473" i="17" s="1"/>
  <c r="CZ434" i="17"/>
  <c r="CZ451" i="17"/>
  <c r="CZ475" i="17"/>
  <c r="CZ430" i="17"/>
  <c r="CZ476" i="17"/>
  <c r="CZ524" i="17"/>
  <c r="CZ441" i="17"/>
  <c r="CZ515" i="17"/>
  <c r="CZ466" i="17"/>
  <c r="CZ498" i="17"/>
  <c r="CZ469" i="17"/>
  <c r="CZ492" i="17"/>
  <c r="CZ487" i="17"/>
  <c r="CZ485" i="17"/>
  <c r="CZ442" i="17"/>
  <c r="CZ460" i="17"/>
  <c r="CZ489" i="17"/>
  <c r="CZ417" i="17"/>
  <c r="CZ447" i="17"/>
  <c r="CZ486" i="17"/>
  <c r="CZ454" i="17"/>
  <c r="CZ453" i="17"/>
  <c r="CZ413" i="17"/>
  <c r="CZ415" i="17"/>
  <c r="CZ503" i="17"/>
  <c r="CZ444" i="17"/>
  <c r="CZ437" i="17"/>
  <c r="CZ440" i="17"/>
  <c r="CZ457" i="17"/>
  <c r="CZ495" i="17"/>
  <c r="CZ443" i="17"/>
  <c r="CZ409" i="17"/>
  <c r="CZ445" i="17"/>
  <c r="CZ472" i="17"/>
  <c r="CZ459" i="17"/>
  <c r="CZ502" i="17"/>
  <c r="CZ464" i="17"/>
  <c r="CZ493" i="17"/>
  <c r="CZ420" i="17"/>
  <c r="CZ506" i="17"/>
  <c r="CZ462" i="17"/>
  <c r="CZ419" i="17"/>
  <c r="CZ423" i="17"/>
  <c r="CZ499" i="17"/>
  <c r="CZ408" i="17"/>
  <c r="CZ455" i="17"/>
  <c r="CZ449" i="17"/>
  <c r="CZ461" i="17"/>
  <c r="CZ456" i="17"/>
  <c r="CZ427" i="17"/>
  <c r="CZ482" i="17"/>
  <c r="CZ465" i="17"/>
  <c r="DF465" i="17" s="1"/>
  <c r="CZ428" i="17"/>
  <c r="CZ477" i="17"/>
  <c r="CZ497" i="17"/>
  <c r="CZ458" i="17"/>
  <c r="CZ439" i="17"/>
  <c r="CZ480" i="17"/>
  <c r="CZ438" i="17"/>
  <c r="CZ426" i="17"/>
  <c r="DC422" i="17"/>
  <c r="DC517" i="17"/>
  <c r="DC435" i="17"/>
  <c r="DC518" i="17"/>
  <c r="DC453" i="17"/>
  <c r="DC413" i="17"/>
  <c r="DC444" i="17"/>
  <c r="DC423" i="17"/>
  <c r="DC437" i="17"/>
  <c r="DC478" i="17"/>
  <c r="DC496" i="17"/>
  <c r="DC440" i="17"/>
  <c r="DC483" i="17"/>
  <c r="DC500" i="17"/>
  <c r="DC469" i="17"/>
  <c r="DC427" i="17"/>
  <c r="DC457" i="17"/>
  <c r="DC510" i="17"/>
  <c r="DC408" i="17"/>
  <c r="DC430" i="17"/>
  <c r="DC443" i="17"/>
  <c r="DC465" i="17"/>
  <c r="DC492" i="17"/>
  <c r="DC428" i="17"/>
  <c r="DC409" i="17"/>
  <c r="DC477" i="17"/>
  <c r="DC505" i="17"/>
  <c r="DC462" i="17"/>
  <c r="DC523" i="17"/>
  <c r="DC415" i="17"/>
  <c r="DC452" i="17"/>
  <c r="DC433" i="17"/>
  <c r="DC503" i="17"/>
  <c r="DC418" i="17"/>
  <c r="DC450" i="17"/>
  <c r="DC481" i="17"/>
  <c r="DC431" i="17"/>
  <c r="DC499" i="17"/>
  <c r="DC522" i="17"/>
  <c r="DC434" i="17"/>
  <c r="DC451" i="17"/>
  <c r="DC521" i="17"/>
  <c r="DC448" i="17"/>
  <c r="DC508" i="17"/>
  <c r="DC455" i="17"/>
  <c r="DC429" i="17"/>
  <c r="DC501" i="17"/>
  <c r="DC491" i="17"/>
  <c r="DC466" i="17"/>
  <c r="DC419" i="17"/>
  <c r="DC414" i="17"/>
  <c r="DC425" i="17"/>
  <c r="DC468" i="17"/>
  <c r="DC498" i="17"/>
  <c r="DC432" i="17"/>
  <c r="DC514" i="17"/>
  <c r="DC424" i="17"/>
  <c r="DC484" i="17"/>
  <c r="DC516" i="17"/>
  <c r="DC490" i="17"/>
  <c r="DC519" i="17"/>
  <c r="DC504" i="17"/>
  <c r="DC495" i="17"/>
  <c r="DC511" i="17"/>
  <c r="DC494" i="17"/>
  <c r="DC482" i="17"/>
  <c r="DC488" i="17"/>
  <c r="DC474" i="17"/>
  <c r="DC421" i="17"/>
  <c r="DC512" i="17"/>
  <c r="DC524" i="17"/>
  <c r="DC507" i="17"/>
  <c r="DC411" i="17"/>
  <c r="DC470" i="17"/>
  <c r="DC446" i="17"/>
  <c r="DC471" i="17"/>
  <c r="DC513" i="17"/>
  <c r="DC509" i="17"/>
  <c r="DC449" i="17"/>
  <c r="DC461" i="17"/>
  <c r="DC458" i="17"/>
  <c r="DC502" i="17"/>
  <c r="DC454" i="17"/>
  <c r="DC456" i="17"/>
  <c r="DC497" i="17"/>
  <c r="DC441" i="17"/>
  <c r="DC479" i="17"/>
  <c r="DC447" i="17"/>
  <c r="DC487" i="17"/>
  <c r="DC485" i="17"/>
  <c r="DC460" i="17"/>
  <c r="DC489" i="17"/>
  <c r="DC426" i="17"/>
  <c r="DC417" i="17"/>
  <c r="DC506" i="17"/>
  <c r="DC515" i="17"/>
  <c r="DC416" i="17"/>
  <c r="DC520" i="17"/>
  <c r="DC476" i="17"/>
  <c r="DC467" i="17"/>
  <c r="DC410" i="17"/>
  <c r="DC473" i="17"/>
  <c r="DC412" i="17"/>
  <c r="DC475" i="17"/>
  <c r="DC445" i="17"/>
  <c r="DC472" i="17"/>
  <c r="DC459" i="17"/>
  <c r="DC442" i="17"/>
  <c r="DC439" i="17"/>
  <c r="DC464" i="17"/>
  <c r="DC486" i="17"/>
  <c r="DC493" i="17"/>
  <c r="DC420" i="17"/>
  <c r="DC438" i="17"/>
  <c r="DC463" i="17"/>
  <c r="DC436" i="17"/>
  <c r="DC480" i="17"/>
  <c r="D38" i="21"/>
  <c r="I38" i="21" s="1"/>
  <c r="C86" i="9"/>
  <c r="G38" i="2"/>
  <c r="O37" i="2"/>
  <c r="M37" i="2"/>
  <c r="CR386" i="17"/>
  <c r="CR291" i="17"/>
  <c r="CR328" i="17"/>
  <c r="CR280" i="17"/>
  <c r="CR331" i="17"/>
  <c r="CR380" i="17"/>
  <c r="CR290" i="17"/>
  <c r="CR334" i="17"/>
  <c r="CR387" i="17"/>
  <c r="CR371" i="17"/>
  <c r="CR340" i="17"/>
  <c r="CR317" i="17"/>
  <c r="CR344" i="17"/>
  <c r="CR312" i="17"/>
  <c r="CR356" i="17"/>
  <c r="CR362" i="17"/>
  <c r="CR286" i="17"/>
  <c r="CR308" i="17"/>
  <c r="CR294" i="17"/>
  <c r="CR319" i="17"/>
  <c r="CR392" i="17"/>
  <c r="CR284" i="17"/>
  <c r="CR354" i="17"/>
  <c r="CR366" i="17"/>
  <c r="CR298" i="17"/>
  <c r="CR348" i="17"/>
  <c r="CR313" i="17"/>
  <c r="CR333" i="17"/>
  <c r="CR393" i="17"/>
  <c r="CR353" i="17"/>
  <c r="CR336" i="17"/>
  <c r="CR329" i="17"/>
  <c r="CR283" i="17"/>
  <c r="CR326" i="17"/>
  <c r="CR323" i="17"/>
  <c r="CR305" i="17"/>
  <c r="CR278" i="17"/>
  <c r="CR372" i="17"/>
  <c r="CR292" i="17"/>
  <c r="CR375" i="17"/>
  <c r="CR306" i="17"/>
  <c r="CR346" i="17"/>
  <c r="CR318" i="17"/>
  <c r="CR281" i="17"/>
  <c r="CR352" i="17"/>
  <c r="CR297" i="17"/>
  <c r="CR335" i="17"/>
  <c r="CR363" i="17"/>
  <c r="CR302" i="17"/>
  <c r="CR365" i="17"/>
  <c r="CR304" i="17"/>
  <c r="CR359" i="17"/>
  <c r="CR355" i="17"/>
  <c r="CR373" i="17"/>
  <c r="CR369" i="17"/>
  <c r="CR301" i="17"/>
  <c r="CR389" i="17"/>
  <c r="CR309" i="17"/>
  <c r="CR320" i="17"/>
  <c r="CR287" i="17"/>
  <c r="CR391" i="17"/>
  <c r="CR310" i="17"/>
  <c r="CR314" i="17"/>
  <c r="CR279" i="17"/>
  <c r="CR342" i="17"/>
  <c r="CR341" i="17"/>
  <c r="CR370" i="17"/>
  <c r="CR345" i="17"/>
  <c r="CR358" i="17"/>
  <c r="CR379" i="17"/>
  <c r="CR332" i="17"/>
  <c r="CR330" i="17"/>
  <c r="CR288" i="17"/>
  <c r="CR367" i="17"/>
  <c r="CR390" i="17"/>
  <c r="CR382" i="17"/>
  <c r="CR324" i="17"/>
  <c r="CR350" i="17"/>
  <c r="CR343" i="17"/>
  <c r="CR378" i="17"/>
  <c r="CR295" i="17"/>
  <c r="CR327" i="17"/>
  <c r="CR376" i="17"/>
  <c r="CR374" i="17"/>
  <c r="CR315" i="17"/>
  <c r="CR349" i="17"/>
  <c r="CR307" i="17"/>
  <c r="CR299" i="17"/>
  <c r="CR360" i="17"/>
  <c r="CR316" i="17"/>
  <c r="CR384" i="17"/>
  <c r="CR385" i="17"/>
  <c r="CR361" i="17"/>
  <c r="CR337" i="17"/>
  <c r="CR322" i="17"/>
  <c r="CR388" i="17"/>
  <c r="CR383" i="17"/>
  <c r="CR277" i="17"/>
  <c r="CR338" i="17"/>
  <c r="CR300" i="17"/>
  <c r="CR325" i="17"/>
  <c r="CR357" i="17"/>
  <c r="CR339" i="17"/>
  <c r="CR351" i="17"/>
  <c r="CR285" i="17"/>
  <c r="CR364" i="17"/>
  <c r="CR347" i="17"/>
  <c r="CR321" i="17"/>
  <c r="CR289" i="17"/>
  <c r="CR293" i="17"/>
  <c r="CR282" i="17"/>
  <c r="CR377" i="17"/>
  <c r="CR381" i="17"/>
  <c r="CR303" i="17"/>
  <c r="CR368" i="17"/>
  <c r="CR311" i="17"/>
  <c r="CR296" i="17"/>
  <c r="CS291" i="17"/>
  <c r="CS386" i="17"/>
  <c r="CS348" i="17"/>
  <c r="CS313" i="17"/>
  <c r="CS336" i="17"/>
  <c r="CS340" i="17"/>
  <c r="CS329" i="17"/>
  <c r="CS283" i="17"/>
  <c r="CS326" i="17"/>
  <c r="CS323" i="17"/>
  <c r="CS317" i="17"/>
  <c r="CS321" i="17"/>
  <c r="CS278" i="17"/>
  <c r="CS289" i="17"/>
  <c r="CS375" i="17"/>
  <c r="CS306" i="17"/>
  <c r="CS346" i="17"/>
  <c r="CS318" i="17"/>
  <c r="CS281" i="17"/>
  <c r="CS352" i="17"/>
  <c r="CS297" i="17"/>
  <c r="CS335" i="17"/>
  <c r="CS363" i="17"/>
  <c r="CS302" i="17"/>
  <c r="CS333" i="17"/>
  <c r="CS393" i="17"/>
  <c r="CS304" i="17"/>
  <c r="CS341" i="17"/>
  <c r="CS359" i="17"/>
  <c r="CS355" i="17"/>
  <c r="CS373" i="17"/>
  <c r="CS325" i="17"/>
  <c r="CS309" i="17"/>
  <c r="CS320" i="17"/>
  <c r="CS376" i="17"/>
  <c r="CS308" i="17"/>
  <c r="CS287" i="17"/>
  <c r="CS391" i="17"/>
  <c r="CS360" i="17"/>
  <c r="CS310" i="17"/>
  <c r="CS314" i="17"/>
  <c r="CS279" i="17"/>
  <c r="CS342" i="17"/>
  <c r="CS328" i="17"/>
  <c r="CS280" i="17"/>
  <c r="CS365" i="17"/>
  <c r="CS343" i="17"/>
  <c r="CS353" i="17"/>
  <c r="CS311" i="17"/>
  <c r="CS338" i="17"/>
  <c r="CS305" i="17"/>
  <c r="CS378" i="17"/>
  <c r="CS344" i="17"/>
  <c r="CS300" i="17"/>
  <c r="CS295" i="17"/>
  <c r="CS301" i="17"/>
  <c r="CS312" i="17"/>
  <c r="CS347" i="17"/>
  <c r="CS389" i="17"/>
  <c r="CS370" i="17"/>
  <c r="CS356" i="17"/>
  <c r="CS345" i="17"/>
  <c r="CS339" i="17"/>
  <c r="CS327" i="17"/>
  <c r="CS292" i="17"/>
  <c r="CS358" i="17"/>
  <c r="CS379" i="17"/>
  <c r="CS332" i="17"/>
  <c r="CS374" i="17"/>
  <c r="CS315" i="17"/>
  <c r="CS307" i="17"/>
  <c r="CS299" i="17"/>
  <c r="CS282" i="17"/>
  <c r="CS330" i="17"/>
  <c r="CS377" i="17"/>
  <c r="CS331" i="17"/>
  <c r="CS334" i="17"/>
  <c r="CS369" i="17"/>
  <c r="CS357" i="17"/>
  <c r="CS349" i="17"/>
  <c r="CS294" i="17"/>
  <c r="CS284" i="17"/>
  <c r="CS384" i="17"/>
  <c r="CS361" i="17"/>
  <c r="CS322" i="17"/>
  <c r="CS319" i="17"/>
  <c r="CS354" i="17"/>
  <c r="CS316" i="17"/>
  <c r="CS324" i="17"/>
  <c r="CS367" i="17"/>
  <c r="CS382" i="17"/>
  <c r="CS380" i="17"/>
  <c r="CS387" i="17"/>
  <c r="CS372" i="17"/>
  <c r="CS303" i="17"/>
  <c r="CS368" i="17"/>
  <c r="CS388" i="17"/>
  <c r="CS296" i="17"/>
  <c r="CS383" i="17"/>
  <c r="CS293" i="17"/>
  <c r="CS298" i="17"/>
  <c r="CS288" i="17"/>
  <c r="CS285" i="17"/>
  <c r="CS390" i="17"/>
  <c r="CS371" i="17"/>
  <c r="CS362" i="17"/>
  <c r="CS392" i="17"/>
  <c r="CS366" i="17"/>
  <c r="CS381" i="17"/>
  <c r="CS385" i="17"/>
  <c r="CS351" i="17"/>
  <c r="CS337" i="17"/>
  <c r="CS350" i="17"/>
  <c r="CS364" i="17"/>
  <c r="CS290" i="17"/>
  <c r="CS286" i="17"/>
  <c r="CS277" i="17"/>
  <c r="CP386" i="17"/>
  <c r="CP291" i="17"/>
  <c r="CP363" i="17"/>
  <c r="CP365" i="17"/>
  <c r="CP304" i="17"/>
  <c r="CP353" i="17"/>
  <c r="CP387" i="17"/>
  <c r="CU387" i="17" s="1"/>
  <c r="CP371" i="17"/>
  <c r="CP338" i="17"/>
  <c r="CP305" i="17"/>
  <c r="CP378" i="17"/>
  <c r="CP301" i="17"/>
  <c r="CP389" i="17"/>
  <c r="CP370" i="17"/>
  <c r="CP345" i="17"/>
  <c r="CU345" i="17" s="1"/>
  <c r="CP320" i="17"/>
  <c r="CP358" i="17"/>
  <c r="CP374" i="17"/>
  <c r="CP391" i="17"/>
  <c r="CU391" i="17" s="1"/>
  <c r="CP282" i="17"/>
  <c r="CP330" i="17"/>
  <c r="CP377" i="17"/>
  <c r="CP393" i="17"/>
  <c r="CU393" i="17" s="1"/>
  <c r="CP343" i="17"/>
  <c r="CP290" i="17"/>
  <c r="CP359" i="17"/>
  <c r="CP334" i="17"/>
  <c r="CP311" i="17"/>
  <c r="CP323" i="17"/>
  <c r="CP300" i="17"/>
  <c r="CP369" i="17"/>
  <c r="CU369" i="17" s="1"/>
  <c r="CP295" i="17"/>
  <c r="CP347" i="17"/>
  <c r="CP357" i="17"/>
  <c r="CP362" i="17"/>
  <c r="CP379" i="17"/>
  <c r="CP332" i="17"/>
  <c r="CP286" i="17"/>
  <c r="CP376" i="17"/>
  <c r="CU376" i="17" s="1"/>
  <c r="CP315" i="17"/>
  <c r="CP293" i="17"/>
  <c r="CP349" i="17"/>
  <c r="CP294" i="17"/>
  <c r="CP299" i="17"/>
  <c r="CP319" i="17"/>
  <c r="CP360" i="17"/>
  <c r="CP354" i="17"/>
  <c r="CU354" i="17" s="1"/>
  <c r="CP366" i="17"/>
  <c r="CP298" i="17"/>
  <c r="CP279" i="17"/>
  <c r="CP328" i="17"/>
  <c r="CU328" i="17" s="1"/>
  <c r="CP313" i="17"/>
  <c r="CP280" i="17"/>
  <c r="CP331" i="17"/>
  <c r="CP380" i="17"/>
  <c r="CP340" i="17"/>
  <c r="CP329" i="17"/>
  <c r="CP355" i="17"/>
  <c r="CP326" i="17"/>
  <c r="CU326" i="17" s="1"/>
  <c r="CP317" i="17"/>
  <c r="CP344" i="17"/>
  <c r="CP312" i="17"/>
  <c r="CP356" i="17"/>
  <c r="CU356" i="17" s="1"/>
  <c r="CP321" i="17"/>
  <c r="CP278" i="17"/>
  <c r="CP289" i="17"/>
  <c r="CP375" i="17"/>
  <c r="CU375" i="17" s="1"/>
  <c r="CP308" i="17"/>
  <c r="CP306" i="17"/>
  <c r="CP346" i="17"/>
  <c r="CP284" i="17"/>
  <c r="CU284" i="17" s="1"/>
  <c r="CP318" i="17"/>
  <c r="CP281" i="17"/>
  <c r="CP348" i="17"/>
  <c r="CP341" i="17"/>
  <c r="CU341" i="17" s="1"/>
  <c r="CP373" i="17"/>
  <c r="CP310" i="17"/>
  <c r="CP314" i="17"/>
  <c r="CP381" i="17"/>
  <c r="CU381" i="17" s="1"/>
  <c r="CP385" i="17"/>
  <c r="CP351" i="17"/>
  <c r="CP337" i="17"/>
  <c r="CP368" i="17"/>
  <c r="CP350" i="17"/>
  <c r="CP316" i="17"/>
  <c r="CP383" i="17"/>
  <c r="CP297" i="17"/>
  <c r="CP283" i="17"/>
  <c r="CP309" i="17"/>
  <c r="CP327" i="17"/>
  <c r="CP292" i="17"/>
  <c r="CU292" i="17" s="1"/>
  <c r="CP307" i="17"/>
  <c r="CP352" i="17"/>
  <c r="CP324" i="17"/>
  <c r="CP285" i="17"/>
  <c r="CU285" i="17" s="1"/>
  <c r="CP367" i="17"/>
  <c r="CP296" i="17"/>
  <c r="CP390" i="17"/>
  <c r="CP364" i="17"/>
  <c r="CP382" i="17"/>
  <c r="CP277" i="17"/>
  <c r="CP333" i="17"/>
  <c r="CP325" i="17"/>
  <c r="CU325" i="17" s="1"/>
  <c r="CP339" i="17"/>
  <c r="CP392" i="17"/>
  <c r="CP342" i="17"/>
  <c r="CP384" i="17"/>
  <c r="CP303" i="17"/>
  <c r="CP388" i="17"/>
  <c r="CP335" i="17"/>
  <c r="CP372" i="17"/>
  <c r="CU372" i="17" s="1"/>
  <c r="CP287" i="17"/>
  <c r="CP361" i="17"/>
  <c r="CP322" i="17"/>
  <c r="CP288" i="17"/>
  <c r="CU288" i="17" s="1"/>
  <c r="CP302" i="17"/>
  <c r="CP336" i="17"/>
  <c r="E38" i="21"/>
  <c r="J38" i="21" s="1"/>
  <c r="D86" i="9"/>
  <c r="H38" i="2"/>
  <c r="H37" i="21"/>
  <c r="G37" i="21"/>
  <c r="BV37" i="15"/>
  <c r="BV132" i="15"/>
  <c r="BV98" i="15"/>
  <c r="BV86" i="15"/>
  <c r="BV106" i="15"/>
  <c r="BV24" i="15"/>
  <c r="BV138" i="15"/>
  <c r="BV130" i="15"/>
  <c r="BY130" i="15" s="1"/>
  <c r="BV64" i="15"/>
  <c r="BV81" i="15"/>
  <c r="BV100" i="15"/>
  <c r="BV112" i="15"/>
  <c r="BY112" i="15" s="1"/>
  <c r="BV83" i="15"/>
  <c r="BV95" i="15"/>
  <c r="BV78" i="15"/>
  <c r="BV127" i="15"/>
  <c r="BY127" i="15" s="1"/>
  <c r="BV133" i="15"/>
  <c r="BV97" i="15"/>
  <c r="BY97" i="15" s="1"/>
  <c r="BV113" i="15"/>
  <c r="BV129" i="15"/>
  <c r="BY129" i="15" s="1"/>
  <c r="BV139" i="15"/>
  <c r="BV62" i="15"/>
  <c r="BY62" i="15" s="1"/>
  <c r="BV134" i="15"/>
  <c r="BV53" i="15"/>
  <c r="BV47" i="15"/>
  <c r="BV128" i="15"/>
  <c r="BV26" i="15"/>
  <c r="BV55" i="15"/>
  <c r="BV31" i="15"/>
  <c r="BV23" i="15"/>
  <c r="BV135" i="15"/>
  <c r="BV39" i="15"/>
  <c r="BY39" i="15" s="1"/>
  <c r="BV94" i="15"/>
  <c r="BV126" i="15"/>
  <c r="BV61" i="15"/>
  <c r="BV109" i="15"/>
  <c r="BY109" i="15" s="1"/>
  <c r="BV76" i="15"/>
  <c r="BV91" i="15"/>
  <c r="BV66" i="15"/>
  <c r="BV104" i="15"/>
  <c r="BY104" i="15" s="1"/>
  <c r="BV45" i="15"/>
  <c r="BV80" i="15"/>
  <c r="BY80" i="15" s="1"/>
  <c r="BV107" i="15"/>
  <c r="BV84" i="15"/>
  <c r="BY84" i="15" s="1"/>
  <c r="BV42" i="15"/>
  <c r="BV110" i="15"/>
  <c r="BY110" i="15" s="1"/>
  <c r="BV93" i="15"/>
  <c r="BV85" i="15"/>
  <c r="BY85" i="15" s="1"/>
  <c r="BV72" i="15"/>
  <c r="BV57" i="15"/>
  <c r="BV122" i="15"/>
  <c r="BV27" i="15"/>
  <c r="BY27" i="15" s="1"/>
  <c r="BV43" i="15"/>
  <c r="BV56" i="15"/>
  <c r="BY56" i="15" s="1"/>
  <c r="BV92" i="15"/>
  <c r="BV123" i="15"/>
  <c r="BY123" i="15" s="1"/>
  <c r="BV60" i="15"/>
  <c r="BV131" i="15"/>
  <c r="BY131" i="15" s="1"/>
  <c r="BV79" i="15"/>
  <c r="BV50" i="15"/>
  <c r="BY50" i="15" s="1"/>
  <c r="BV58" i="15"/>
  <c r="BV103" i="15"/>
  <c r="BY103" i="15" s="1"/>
  <c r="BV77" i="15"/>
  <c r="BV29" i="15"/>
  <c r="BY29" i="15" s="1"/>
  <c r="BV41" i="15"/>
  <c r="BV25" i="15"/>
  <c r="BY25" i="15" s="1"/>
  <c r="BV28" i="15"/>
  <c r="BV105" i="15"/>
  <c r="BV116" i="15"/>
  <c r="BV120" i="15"/>
  <c r="BY120" i="15" s="1"/>
  <c r="BV118" i="15"/>
  <c r="BV108" i="15"/>
  <c r="BY108" i="15" s="1"/>
  <c r="BV89" i="15"/>
  <c r="BV68" i="15"/>
  <c r="BY68" i="15" s="1"/>
  <c r="BV34" i="15"/>
  <c r="BV87" i="15"/>
  <c r="BY87" i="15" s="1"/>
  <c r="BV74" i="15"/>
  <c r="BV48" i="15"/>
  <c r="BV101" i="15"/>
  <c r="BV121" i="15"/>
  <c r="BY121" i="15" s="1"/>
  <c r="BV67" i="15"/>
  <c r="BV82" i="15"/>
  <c r="BY82" i="15" s="1"/>
  <c r="BV90" i="15"/>
  <c r="BV111" i="15"/>
  <c r="BY111" i="15" s="1"/>
  <c r="BV59" i="15"/>
  <c r="BV75" i="15"/>
  <c r="BY75" i="15" s="1"/>
  <c r="BV137" i="15"/>
  <c r="BV136" i="15"/>
  <c r="BY136" i="15" s="1"/>
  <c r="BV70" i="15"/>
  <c r="BV99" i="15"/>
  <c r="BV119" i="15"/>
  <c r="BV115" i="15"/>
  <c r="BY115" i="15" s="1"/>
  <c r="BV71" i="15"/>
  <c r="BV125" i="15"/>
  <c r="BV49" i="15"/>
  <c r="BV30" i="15"/>
  <c r="BY30" i="15" s="1"/>
  <c r="BV38" i="15"/>
  <c r="BV65" i="15"/>
  <c r="BY65" i="15" s="1"/>
  <c r="BV36" i="15"/>
  <c r="BV44" i="15"/>
  <c r="BY44" i="15" s="1"/>
  <c r="BV96" i="15"/>
  <c r="BV63" i="15"/>
  <c r="BV35" i="15"/>
  <c r="BV46" i="15"/>
  <c r="BY46" i="15" s="1"/>
  <c r="BV88" i="15"/>
  <c r="BV114" i="15"/>
  <c r="BV102" i="15"/>
  <c r="BV73" i="15"/>
  <c r="BY73" i="15" s="1"/>
  <c r="BV117" i="15"/>
  <c r="BV54" i="15"/>
  <c r="BV40" i="15"/>
  <c r="BV69" i="15"/>
  <c r="BY69" i="15" s="1"/>
  <c r="BV51" i="15"/>
  <c r="BV52" i="15"/>
  <c r="BV33" i="15"/>
  <c r="BV32" i="15"/>
  <c r="BV124" i="15"/>
  <c r="BW132" i="15"/>
  <c r="BW37" i="15"/>
  <c r="BW126" i="15"/>
  <c r="BW92" i="15"/>
  <c r="BW30" i="15"/>
  <c r="BW60" i="15"/>
  <c r="BW81" i="15"/>
  <c r="BW83" i="15"/>
  <c r="BW108" i="15"/>
  <c r="BW38" i="15"/>
  <c r="BW95" i="15"/>
  <c r="BW104" i="15"/>
  <c r="BW127" i="15"/>
  <c r="BW80" i="15"/>
  <c r="BW133" i="15"/>
  <c r="BW97" i="15"/>
  <c r="BW113" i="15"/>
  <c r="BW124" i="15"/>
  <c r="BW58" i="15"/>
  <c r="BW129" i="15"/>
  <c r="BW139" i="15"/>
  <c r="BW42" i="15"/>
  <c r="BW53" i="15"/>
  <c r="BW110" i="15"/>
  <c r="BW47" i="15"/>
  <c r="BW28" i="15"/>
  <c r="BW55" i="15"/>
  <c r="BW31" i="15"/>
  <c r="BW72" i="15"/>
  <c r="BW46" i="15"/>
  <c r="BW23" i="15"/>
  <c r="BW135" i="15"/>
  <c r="BW39" i="15"/>
  <c r="BW70" i="15"/>
  <c r="BW86" i="15"/>
  <c r="BW56" i="15"/>
  <c r="BW61" i="15"/>
  <c r="BW109" i="15"/>
  <c r="BW91" i="15"/>
  <c r="BW78" i="15"/>
  <c r="BW45" i="15"/>
  <c r="BW50" i="15"/>
  <c r="BW36" i="15"/>
  <c r="BW107" i="15"/>
  <c r="BW44" i="15"/>
  <c r="BW62" i="15"/>
  <c r="BW93" i="15"/>
  <c r="BW85" i="15"/>
  <c r="BW57" i="15"/>
  <c r="BW68" i="15"/>
  <c r="BW114" i="15"/>
  <c r="BW120" i="15"/>
  <c r="BW27" i="15"/>
  <c r="BW106" i="15"/>
  <c r="BW43" i="15"/>
  <c r="BW123" i="15"/>
  <c r="BW138" i="15"/>
  <c r="BW130" i="15"/>
  <c r="BW100" i="15"/>
  <c r="BW131" i="15"/>
  <c r="BW118" i="15"/>
  <c r="BW79" i="15"/>
  <c r="BW32" i="15"/>
  <c r="BW82" i="15"/>
  <c r="BW90" i="15"/>
  <c r="BW103" i="15"/>
  <c r="BW77" i="15"/>
  <c r="BW96" i="15"/>
  <c r="BW29" i="15"/>
  <c r="BW136" i="15"/>
  <c r="BW41" i="15"/>
  <c r="BW25" i="15"/>
  <c r="BW26" i="15"/>
  <c r="BW88" i="15"/>
  <c r="BW105" i="15"/>
  <c r="BW34" i="15"/>
  <c r="BW89" i="15"/>
  <c r="BW87" i="15"/>
  <c r="BW101" i="15"/>
  <c r="BW52" i="15"/>
  <c r="BW121" i="15"/>
  <c r="BW94" i="15"/>
  <c r="BW48" i="15"/>
  <c r="BW98" i="15"/>
  <c r="BW84" i="15"/>
  <c r="BW111" i="15"/>
  <c r="BW59" i="15"/>
  <c r="BW75" i="15"/>
  <c r="BW137" i="15"/>
  <c r="BW99" i="15"/>
  <c r="BW102" i="15"/>
  <c r="BW40" i="15"/>
  <c r="BW119" i="15"/>
  <c r="BW115" i="15"/>
  <c r="BW71" i="15"/>
  <c r="BW112" i="15"/>
  <c r="BW33" i="15"/>
  <c r="BW67" i="15"/>
  <c r="BW54" i="15"/>
  <c r="BW125" i="15"/>
  <c r="BW24" i="15"/>
  <c r="BW76" i="15"/>
  <c r="BW66" i="15"/>
  <c r="BW65" i="15"/>
  <c r="BW134" i="15"/>
  <c r="BW63" i="15"/>
  <c r="BW128" i="15"/>
  <c r="BW35" i="15"/>
  <c r="BW116" i="15"/>
  <c r="BW122" i="15"/>
  <c r="BW74" i="15"/>
  <c r="BW73" i="15"/>
  <c r="BW117" i="15"/>
  <c r="BW69" i="15"/>
  <c r="BW51" i="15"/>
  <c r="BW49" i="15"/>
  <c r="BW64" i="15"/>
  <c r="CF160" i="17"/>
  <c r="CF255" i="17"/>
  <c r="CJ255" i="17" s="1"/>
  <c r="CF185" i="17"/>
  <c r="CF250" i="17"/>
  <c r="CF167" i="17"/>
  <c r="CF226" i="17"/>
  <c r="CJ226" i="17" s="1"/>
  <c r="CF166" i="17"/>
  <c r="CF162" i="17"/>
  <c r="CF217" i="17"/>
  <c r="CF177" i="17"/>
  <c r="CF219" i="17"/>
  <c r="CF244" i="17"/>
  <c r="CF251" i="17"/>
  <c r="CF229" i="17"/>
  <c r="CF262" i="17"/>
  <c r="CF254" i="17"/>
  <c r="CF199" i="17"/>
  <c r="CF154" i="17"/>
  <c r="CJ154" i="17" s="1"/>
  <c r="CF152" i="17"/>
  <c r="CF234" i="17"/>
  <c r="CF210" i="17"/>
  <c r="CF171" i="17"/>
  <c r="CF220" i="17"/>
  <c r="CF209" i="17"/>
  <c r="CF186" i="17"/>
  <c r="CF233" i="17"/>
  <c r="CF149" i="17"/>
  <c r="CF184" i="17"/>
  <c r="CF215" i="17"/>
  <c r="CF200" i="17"/>
  <c r="CF245" i="17"/>
  <c r="CF196" i="17"/>
  <c r="CF182" i="17"/>
  <c r="CF218" i="17"/>
  <c r="CF165" i="17"/>
  <c r="CF248" i="17"/>
  <c r="CF147" i="17"/>
  <c r="CF227" i="17"/>
  <c r="CF155" i="17"/>
  <c r="CF148" i="17"/>
  <c r="CF205" i="17"/>
  <c r="CF198" i="17"/>
  <c r="CJ198" i="17" s="1"/>
  <c r="CF175" i="17"/>
  <c r="CF170" i="17"/>
  <c r="CF181" i="17"/>
  <c r="CF252" i="17"/>
  <c r="CF179" i="17"/>
  <c r="CF246" i="17"/>
  <c r="CF187" i="17"/>
  <c r="CF237" i="17"/>
  <c r="CF231" i="17"/>
  <c r="CF257" i="17"/>
  <c r="CF158" i="17"/>
  <c r="CF164" i="17"/>
  <c r="CF240" i="17"/>
  <c r="CF225" i="17"/>
  <c r="CF206" i="17"/>
  <c r="CF191" i="17"/>
  <c r="CF259" i="17"/>
  <c r="CF176" i="17"/>
  <c r="CF212" i="17"/>
  <c r="CF235" i="17"/>
  <c r="CJ235" i="17" s="1"/>
  <c r="CF157" i="17"/>
  <c r="CF243" i="17"/>
  <c r="CF249" i="17"/>
  <c r="CF190" i="17"/>
  <c r="CJ190" i="17" s="1"/>
  <c r="CF236" i="17"/>
  <c r="CF163" i="17"/>
  <c r="CF242" i="17"/>
  <c r="CF213" i="17"/>
  <c r="CJ213" i="17" s="1"/>
  <c r="CF238" i="17"/>
  <c r="CF228" i="17"/>
  <c r="CF146" i="17"/>
  <c r="CF151" i="17"/>
  <c r="CF197" i="17"/>
  <c r="CF256" i="17"/>
  <c r="CF202" i="17"/>
  <c r="CF253" i="17"/>
  <c r="CJ253" i="17" s="1"/>
  <c r="CF183" i="17"/>
  <c r="CF232" i="17"/>
  <c r="CJ232" i="17" s="1"/>
  <c r="CF260" i="17"/>
  <c r="CF174" i="17"/>
  <c r="CJ174" i="17" s="1"/>
  <c r="CF222" i="17"/>
  <c r="CF178" i="17"/>
  <c r="CF241" i="17"/>
  <c r="CF156" i="17"/>
  <c r="CJ156" i="17" s="1"/>
  <c r="CF188" i="17"/>
  <c r="CF258" i="17"/>
  <c r="CF214" i="17"/>
  <c r="CF180" i="17"/>
  <c r="CJ180" i="17" s="1"/>
  <c r="CF172" i="17"/>
  <c r="CF224" i="17"/>
  <c r="CF192" i="17"/>
  <c r="CF169" i="17"/>
  <c r="CJ169" i="17" s="1"/>
  <c r="CF194" i="17"/>
  <c r="CF223" i="17"/>
  <c r="CF173" i="17"/>
  <c r="CF153" i="17"/>
  <c r="CF150" i="17"/>
  <c r="CF203" i="17"/>
  <c r="CF161" i="17"/>
  <c r="CF189" i="17"/>
  <c r="CJ189" i="17" s="1"/>
  <c r="CF230" i="17"/>
  <c r="CF261" i="17"/>
  <c r="CF195" i="17"/>
  <c r="CF193" i="17"/>
  <c r="CF239" i="17"/>
  <c r="CF247" i="17"/>
  <c r="CF208" i="17"/>
  <c r="CF204" i="17"/>
  <c r="CJ204" i="17" s="1"/>
  <c r="CF159" i="17"/>
  <c r="CF221" i="17"/>
  <c r="CF207" i="17"/>
  <c r="CF211" i="17"/>
  <c r="CJ211" i="17" s="1"/>
  <c r="CF216" i="17"/>
  <c r="CF201" i="17"/>
  <c r="CF168" i="17"/>
  <c r="CI160" i="17"/>
  <c r="CI255" i="17"/>
  <c r="CI245" i="17"/>
  <c r="CI214" i="17"/>
  <c r="CI202" i="17"/>
  <c r="CI219" i="17"/>
  <c r="CI244" i="17"/>
  <c r="CI251" i="17"/>
  <c r="CI193" i="17"/>
  <c r="CI230" i="17"/>
  <c r="CI157" i="17"/>
  <c r="CI152" i="17"/>
  <c r="CI171" i="17"/>
  <c r="CI220" i="17"/>
  <c r="CI175" i="17"/>
  <c r="CI169" i="17"/>
  <c r="CI181" i="17"/>
  <c r="CI194" i="17"/>
  <c r="CI231" i="17"/>
  <c r="CI173" i="17"/>
  <c r="CI197" i="17"/>
  <c r="CI184" i="17"/>
  <c r="CI153" i="17"/>
  <c r="CI200" i="17"/>
  <c r="CI185" i="17"/>
  <c r="CI250" i="17"/>
  <c r="CI226" i="17"/>
  <c r="CI166" i="17"/>
  <c r="CI162" i="17"/>
  <c r="CI217" i="17"/>
  <c r="CI196" i="17"/>
  <c r="CI191" i="17"/>
  <c r="CI177" i="17"/>
  <c r="CI165" i="17"/>
  <c r="CI248" i="17"/>
  <c r="CI262" i="17"/>
  <c r="CI147" i="17"/>
  <c r="CI254" i="17"/>
  <c r="CI154" i="17"/>
  <c r="CI227" i="17"/>
  <c r="CI155" i="17"/>
  <c r="CI148" i="17"/>
  <c r="CI234" i="17"/>
  <c r="CI210" i="17"/>
  <c r="CI209" i="17"/>
  <c r="CI186" i="17"/>
  <c r="CI213" i="17"/>
  <c r="CI252" i="17"/>
  <c r="CI179" i="17"/>
  <c r="CI261" i="17"/>
  <c r="CI187" i="17"/>
  <c r="CI233" i="17"/>
  <c r="CI164" i="17"/>
  <c r="CI151" i="17"/>
  <c r="CI240" i="17"/>
  <c r="CI182" i="17"/>
  <c r="CI218" i="17"/>
  <c r="CI259" i="17"/>
  <c r="CI176" i="17"/>
  <c r="CI229" i="17"/>
  <c r="CI212" i="17"/>
  <c r="CI235" i="17"/>
  <c r="CI239" i="17"/>
  <c r="CI243" i="17"/>
  <c r="CI205" i="17"/>
  <c r="CI198" i="17"/>
  <c r="CI236" i="17"/>
  <c r="CI163" i="17"/>
  <c r="CI247" i="17"/>
  <c r="CI170" i="17"/>
  <c r="CI246" i="17"/>
  <c r="CI223" i="17"/>
  <c r="CI228" i="17"/>
  <c r="CI237" i="17"/>
  <c r="CI257" i="17"/>
  <c r="CI256" i="17"/>
  <c r="CI206" i="17"/>
  <c r="CI199" i="17"/>
  <c r="CI180" i="17"/>
  <c r="CI172" i="17"/>
  <c r="CI224" i="17"/>
  <c r="CI192" i="17"/>
  <c r="CI238" i="17"/>
  <c r="CI253" i="17"/>
  <c r="CI183" i="17"/>
  <c r="CI222" i="17"/>
  <c r="CI178" i="17"/>
  <c r="CI232" i="17"/>
  <c r="CI241" i="17"/>
  <c r="CI260" i="17"/>
  <c r="CI201" i="17"/>
  <c r="CI258" i="17"/>
  <c r="CI208" i="17"/>
  <c r="CI156" i="17"/>
  <c r="CI195" i="17"/>
  <c r="CI188" i="17"/>
  <c r="CI167" i="17"/>
  <c r="CI211" i="17"/>
  <c r="CI249" i="17"/>
  <c r="CI190" i="17"/>
  <c r="CI158" i="17"/>
  <c r="CI149" i="17"/>
  <c r="CI215" i="17"/>
  <c r="CI159" i="17"/>
  <c r="CI203" i="17"/>
  <c r="CI207" i="17"/>
  <c r="CI189" i="17"/>
  <c r="CI174" i="17"/>
  <c r="CI225" i="17"/>
  <c r="CI216" i="17"/>
  <c r="CI242" i="17"/>
  <c r="CI204" i="17"/>
  <c r="CI150" i="17"/>
  <c r="CI221" i="17"/>
  <c r="CI161" i="17"/>
  <c r="CI146" i="17"/>
  <c r="CI168" i="17"/>
  <c r="CG160" i="17"/>
  <c r="CG255" i="17"/>
  <c r="CG167" i="17"/>
  <c r="CG166" i="17"/>
  <c r="CG202" i="17"/>
  <c r="CG219" i="17"/>
  <c r="CG165" i="17"/>
  <c r="CG176" i="17"/>
  <c r="CG248" i="17"/>
  <c r="CG251" i="17"/>
  <c r="CG262" i="17"/>
  <c r="CG193" i="17"/>
  <c r="CG254" i="17"/>
  <c r="CG199" i="17"/>
  <c r="CG180" i="17"/>
  <c r="CG172" i="17"/>
  <c r="CG171" i="17"/>
  <c r="CG213" i="17"/>
  <c r="CG169" i="17"/>
  <c r="CG194" i="17"/>
  <c r="CG261" i="17"/>
  <c r="CG215" i="17"/>
  <c r="CG153" i="17"/>
  <c r="CG185" i="17"/>
  <c r="CG250" i="17"/>
  <c r="CG226" i="17"/>
  <c r="CG162" i="17"/>
  <c r="CG217" i="17"/>
  <c r="CG177" i="17"/>
  <c r="CG182" i="17"/>
  <c r="CG244" i="17"/>
  <c r="CG229" i="17"/>
  <c r="CG147" i="17"/>
  <c r="CG154" i="17"/>
  <c r="CG152" i="17"/>
  <c r="CG227" i="17"/>
  <c r="CG155" i="17"/>
  <c r="CG234" i="17"/>
  <c r="CG210" i="17"/>
  <c r="CG205" i="17"/>
  <c r="CG220" i="17"/>
  <c r="CG209" i="17"/>
  <c r="CG198" i="17"/>
  <c r="CG186" i="17"/>
  <c r="CG175" i="17"/>
  <c r="CG179" i="17"/>
  <c r="CG246" i="17"/>
  <c r="CG187" i="17"/>
  <c r="CG237" i="17"/>
  <c r="CG231" i="17"/>
  <c r="CG158" i="17"/>
  <c r="CG233" i="17"/>
  <c r="CG256" i="17"/>
  <c r="CG196" i="17"/>
  <c r="CG206" i="17"/>
  <c r="CG191" i="17"/>
  <c r="CG218" i="17"/>
  <c r="CG259" i="17"/>
  <c r="CG235" i="17"/>
  <c r="CG216" i="17"/>
  <c r="CG148" i="17"/>
  <c r="CG243" i="17"/>
  <c r="CG190" i="17"/>
  <c r="CG224" i="17"/>
  <c r="CG163" i="17"/>
  <c r="CG192" i="17"/>
  <c r="CG238" i="17"/>
  <c r="CG170" i="17"/>
  <c r="CG252" i="17"/>
  <c r="CG253" i="17"/>
  <c r="CG257" i="17"/>
  <c r="CG164" i="17"/>
  <c r="CG149" i="17"/>
  <c r="CG151" i="17"/>
  <c r="CG211" i="17"/>
  <c r="CG225" i="17"/>
  <c r="CG230" i="17"/>
  <c r="CG240" i="17"/>
  <c r="CG178" i="17"/>
  <c r="CG241" i="17"/>
  <c r="CG156" i="17"/>
  <c r="CG189" i="17"/>
  <c r="CG174" i="17"/>
  <c r="CG201" i="17"/>
  <c r="CG188" i="17"/>
  <c r="CG258" i="17"/>
  <c r="CG146" i="17"/>
  <c r="CG183" i="17"/>
  <c r="CG236" i="17"/>
  <c r="CG197" i="17"/>
  <c r="CG184" i="17"/>
  <c r="CG208" i="17"/>
  <c r="CG150" i="17"/>
  <c r="CG221" i="17"/>
  <c r="CG203" i="17"/>
  <c r="CG260" i="17"/>
  <c r="CG168" i="17"/>
  <c r="CG245" i="17"/>
  <c r="CG181" i="17"/>
  <c r="CG228" i="17"/>
  <c r="CG173" i="17"/>
  <c r="CG222" i="17"/>
  <c r="CG195" i="17"/>
  <c r="CG200" i="17"/>
  <c r="CG214" i="17"/>
  <c r="CG242" i="17"/>
  <c r="CG223" i="17"/>
  <c r="CG159" i="17"/>
  <c r="CG232" i="17"/>
  <c r="CG161" i="17"/>
  <c r="CG207" i="17"/>
  <c r="CG212" i="17"/>
  <c r="CG157" i="17"/>
  <c r="CG239" i="17"/>
  <c r="CG249" i="17"/>
  <c r="CG247" i="17"/>
  <c r="CG204" i="17"/>
  <c r="CH160" i="17"/>
  <c r="CH255" i="17"/>
  <c r="CH250" i="17"/>
  <c r="CH226" i="17"/>
  <c r="CH245" i="17"/>
  <c r="CH162" i="17"/>
  <c r="CH196" i="17"/>
  <c r="CH182" i="17"/>
  <c r="CH193" i="17"/>
  <c r="CH235" i="17"/>
  <c r="CH157" i="17"/>
  <c r="CH154" i="17"/>
  <c r="CH152" i="17"/>
  <c r="CH239" i="17"/>
  <c r="CH148" i="17"/>
  <c r="CH234" i="17"/>
  <c r="CH210" i="17"/>
  <c r="CH198" i="17"/>
  <c r="CH186" i="17"/>
  <c r="CH247" i="17"/>
  <c r="CH169" i="17"/>
  <c r="CH181" i="17"/>
  <c r="CH252" i="17"/>
  <c r="CH246" i="17"/>
  <c r="CH223" i="17"/>
  <c r="CH158" i="17"/>
  <c r="CH164" i="17"/>
  <c r="CH173" i="17"/>
  <c r="CH197" i="17"/>
  <c r="CH184" i="17"/>
  <c r="CH153" i="17"/>
  <c r="CH183" i="17"/>
  <c r="CH200" i="17"/>
  <c r="CH185" i="17"/>
  <c r="CH167" i="17"/>
  <c r="CH217" i="17"/>
  <c r="CH206" i="17"/>
  <c r="CH177" i="17"/>
  <c r="CH218" i="17"/>
  <c r="CH165" i="17"/>
  <c r="CH248" i="17"/>
  <c r="CH147" i="17"/>
  <c r="CH212" i="17"/>
  <c r="CH199" i="17"/>
  <c r="CH227" i="17"/>
  <c r="CH190" i="17"/>
  <c r="CH209" i="17"/>
  <c r="CH236" i="17"/>
  <c r="CH213" i="17"/>
  <c r="CH238" i="17"/>
  <c r="CH170" i="17"/>
  <c r="CH179" i="17"/>
  <c r="CH261" i="17"/>
  <c r="CH228" i="17"/>
  <c r="CH233" i="17"/>
  <c r="CH240" i="17"/>
  <c r="CH215" i="17"/>
  <c r="CH214" i="17"/>
  <c r="CH219" i="17"/>
  <c r="CH259" i="17"/>
  <c r="CH176" i="17"/>
  <c r="CH251" i="17"/>
  <c r="CH229" i="17"/>
  <c r="CH230" i="17"/>
  <c r="CH180" i="17"/>
  <c r="CH243" i="17"/>
  <c r="CH172" i="17"/>
  <c r="CH205" i="17"/>
  <c r="CH242" i="17"/>
  <c r="CH175" i="17"/>
  <c r="CH237" i="17"/>
  <c r="CH231" i="17"/>
  <c r="CH257" i="17"/>
  <c r="CH146" i="17"/>
  <c r="CH256" i="17"/>
  <c r="CH216" i="17"/>
  <c r="CH249" i="17"/>
  <c r="CH171" i="17"/>
  <c r="CH163" i="17"/>
  <c r="CH194" i="17"/>
  <c r="CH253" i="17"/>
  <c r="CH187" i="17"/>
  <c r="CH150" i="17"/>
  <c r="CH232" i="17"/>
  <c r="CH241" i="17"/>
  <c r="CH201" i="17"/>
  <c r="CH151" i="17"/>
  <c r="CH195" i="17"/>
  <c r="CH258" i="17"/>
  <c r="CH225" i="17"/>
  <c r="CH191" i="17"/>
  <c r="CH155" i="17"/>
  <c r="CH220" i="17"/>
  <c r="CH149" i="17"/>
  <c r="CH208" i="17"/>
  <c r="CH204" i="17"/>
  <c r="CH189" i="17"/>
  <c r="CH202" i="17"/>
  <c r="CH262" i="17"/>
  <c r="CH178" i="17"/>
  <c r="CH174" i="17"/>
  <c r="CH168" i="17"/>
  <c r="CH166" i="17"/>
  <c r="CH254" i="17"/>
  <c r="CH224" i="17"/>
  <c r="CH192" i="17"/>
  <c r="CH222" i="17"/>
  <c r="CH221" i="17"/>
  <c r="CH156" i="17"/>
  <c r="CH161" i="17"/>
  <c r="CH188" i="17"/>
  <c r="CH211" i="17"/>
  <c r="CH244" i="17"/>
  <c r="CH159" i="17"/>
  <c r="CH203" i="17"/>
  <c r="CH207" i="17"/>
  <c r="CH260" i="17"/>
  <c r="G45" i="11"/>
  <c r="CT386" i="17"/>
  <c r="CT291" i="17"/>
  <c r="CT343" i="17"/>
  <c r="CT290" i="17"/>
  <c r="CT334" i="17"/>
  <c r="CT387" i="17"/>
  <c r="CT311" i="17"/>
  <c r="CT323" i="17"/>
  <c r="CT300" i="17"/>
  <c r="CT369" i="17"/>
  <c r="CT295" i="17"/>
  <c r="CT347" i="17"/>
  <c r="CT357" i="17"/>
  <c r="CT327" i="17"/>
  <c r="CT362" i="17"/>
  <c r="CT379" i="17"/>
  <c r="CT332" i="17"/>
  <c r="CT286" i="17"/>
  <c r="CT376" i="17"/>
  <c r="CT315" i="17"/>
  <c r="CT293" i="17"/>
  <c r="CT349" i="17"/>
  <c r="CT294" i="17"/>
  <c r="CT299" i="17"/>
  <c r="CT319" i="17"/>
  <c r="CT360" i="17"/>
  <c r="CT354" i="17"/>
  <c r="CT366" i="17"/>
  <c r="CT298" i="17"/>
  <c r="CT316" i="17"/>
  <c r="CT328" i="17"/>
  <c r="CT313" i="17"/>
  <c r="CT280" i="17"/>
  <c r="CT331" i="17"/>
  <c r="CT380" i="17"/>
  <c r="CT340" i="17"/>
  <c r="CT329" i="17"/>
  <c r="CT326" i="17"/>
  <c r="CT317" i="17"/>
  <c r="CT344" i="17"/>
  <c r="CT312" i="17"/>
  <c r="CT356" i="17"/>
  <c r="CT321" i="17"/>
  <c r="CT278" i="17"/>
  <c r="CT339" i="17"/>
  <c r="CT289" i="17"/>
  <c r="CT308" i="17"/>
  <c r="CT306" i="17"/>
  <c r="CT346" i="17"/>
  <c r="CT284" i="17"/>
  <c r="CT318" i="17"/>
  <c r="CT281" i="17"/>
  <c r="CT297" i="17"/>
  <c r="CT348" i="17"/>
  <c r="CT335" i="17"/>
  <c r="CT302" i="17"/>
  <c r="CT333" i="17"/>
  <c r="CT393" i="17"/>
  <c r="CT341" i="17"/>
  <c r="CT336" i="17"/>
  <c r="CT371" i="17"/>
  <c r="CT283" i="17"/>
  <c r="CT373" i="17"/>
  <c r="CT325" i="17"/>
  <c r="CT309" i="17"/>
  <c r="CT372" i="17"/>
  <c r="CT292" i="17"/>
  <c r="CT375" i="17"/>
  <c r="CT287" i="17"/>
  <c r="CT310" i="17"/>
  <c r="CT392" i="17"/>
  <c r="CT314" i="17"/>
  <c r="CT352" i="17"/>
  <c r="CT342" i="17"/>
  <c r="CT365" i="17"/>
  <c r="CT353" i="17"/>
  <c r="CT359" i="17"/>
  <c r="CT370" i="17"/>
  <c r="CT358" i="17"/>
  <c r="CT330" i="17"/>
  <c r="CT324" i="17"/>
  <c r="CT285" i="17"/>
  <c r="CT367" i="17"/>
  <c r="CT296" i="17"/>
  <c r="CT390" i="17"/>
  <c r="CT364" i="17"/>
  <c r="CT382" i="17"/>
  <c r="CT277" i="17"/>
  <c r="CT385" i="17"/>
  <c r="CT351" i="17"/>
  <c r="CT350" i="17"/>
  <c r="CT305" i="17"/>
  <c r="CT378" i="17"/>
  <c r="CT301" i="17"/>
  <c r="CT345" i="17"/>
  <c r="CT320" i="17"/>
  <c r="CT374" i="17"/>
  <c r="CT307" i="17"/>
  <c r="CT279" i="17"/>
  <c r="CT361" i="17"/>
  <c r="CT322" i="17"/>
  <c r="CT288" i="17"/>
  <c r="CT383" i="17"/>
  <c r="CT304" i="17"/>
  <c r="CT355" i="17"/>
  <c r="CT338" i="17"/>
  <c r="CT389" i="17"/>
  <c r="CT381" i="17"/>
  <c r="CT368" i="17"/>
  <c r="CT363" i="17"/>
  <c r="CT391" i="17"/>
  <c r="CT282" i="17"/>
  <c r="CT377" i="17"/>
  <c r="CT384" i="17"/>
  <c r="CT303" i="17"/>
  <c r="CT388" i="17"/>
  <c r="CT337" i="17"/>
  <c r="CQ386" i="17"/>
  <c r="CQ291" i="17"/>
  <c r="CQ343" i="17"/>
  <c r="CQ290" i="17"/>
  <c r="CQ311" i="17"/>
  <c r="CQ300" i="17"/>
  <c r="CQ369" i="17"/>
  <c r="CQ295" i="17"/>
  <c r="CQ347" i="17"/>
  <c r="CQ357" i="17"/>
  <c r="CQ278" i="17"/>
  <c r="CQ339" i="17"/>
  <c r="CQ327" i="17"/>
  <c r="CQ358" i="17"/>
  <c r="CQ379" i="17"/>
  <c r="CQ332" i="17"/>
  <c r="CQ376" i="17"/>
  <c r="CQ315" i="17"/>
  <c r="CQ293" i="17"/>
  <c r="CQ349" i="17"/>
  <c r="CQ307" i="17"/>
  <c r="CQ299" i="17"/>
  <c r="CQ360" i="17"/>
  <c r="CQ392" i="17"/>
  <c r="CQ314" i="17"/>
  <c r="CQ318" i="17"/>
  <c r="CQ354" i="17"/>
  <c r="CQ342" i="17"/>
  <c r="CQ316" i="17"/>
  <c r="CQ328" i="17"/>
  <c r="CQ302" i="17"/>
  <c r="CQ313" i="17"/>
  <c r="CQ280" i="17"/>
  <c r="CQ393" i="17"/>
  <c r="CQ331" i="17"/>
  <c r="CQ380" i="17"/>
  <c r="CQ387" i="17"/>
  <c r="CQ371" i="17"/>
  <c r="CQ340" i="17"/>
  <c r="CQ329" i="17"/>
  <c r="CQ317" i="17"/>
  <c r="CQ378" i="17"/>
  <c r="CQ344" i="17"/>
  <c r="CQ312" i="17"/>
  <c r="CQ356" i="17"/>
  <c r="CQ321" i="17"/>
  <c r="CQ289" i="17"/>
  <c r="CQ308" i="17"/>
  <c r="CQ306" i="17"/>
  <c r="CQ319" i="17"/>
  <c r="CQ310" i="17"/>
  <c r="CQ282" i="17"/>
  <c r="CQ284" i="17"/>
  <c r="CQ281" i="17"/>
  <c r="CQ330" i="17"/>
  <c r="CQ297" i="17"/>
  <c r="CQ348" i="17"/>
  <c r="CQ333" i="17"/>
  <c r="CQ341" i="17"/>
  <c r="CQ336" i="17"/>
  <c r="CQ283" i="17"/>
  <c r="CQ326" i="17"/>
  <c r="CQ323" i="17"/>
  <c r="CQ373" i="17"/>
  <c r="CQ325" i="17"/>
  <c r="CQ309" i="17"/>
  <c r="CQ372" i="17"/>
  <c r="CQ362" i="17"/>
  <c r="CQ292" i="17"/>
  <c r="CQ375" i="17"/>
  <c r="CQ374" i="17"/>
  <c r="CQ294" i="17"/>
  <c r="CQ352" i="17"/>
  <c r="CQ298" i="17"/>
  <c r="CQ304" i="17"/>
  <c r="CQ334" i="17"/>
  <c r="CQ355" i="17"/>
  <c r="CQ338" i="17"/>
  <c r="CQ389" i="17"/>
  <c r="CQ324" i="17"/>
  <c r="CQ351" i="17"/>
  <c r="CQ285" i="17"/>
  <c r="CQ296" i="17"/>
  <c r="CQ364" i="17"/>
  <c r="CQ277" i="17"/>
  <c r="CQ279" i="17"/>
  <c r="CQ385" i="17"/>
  <c r="CQ368" i="17"/>
  <c r="CQ390" i="17"/>
  <c r="CQ382" i="17"/>
  <c r="CQ365" i="17"/>
  <c r="CQ353" i="17"/>
  <c r="CQ370" i="17"/>
  <c r="CQ391" i="17"/>
  <c r="CQ361" i="17"/>
  <c r="CQ322" i="17"/>
  <c r="CQ288" i="17"/>
  <c r="CQ367" i="17"/>
  <c r="CQ359" i="17"/>
  <c r="CQ366" i="17"/>
  <c r="CQ381" i="17"/>
  <c r="CQ303" i="17"/>
  <c r="CQ335" i="17"/>
  <c r="CQ363" i="17"/>
  <c r="CQ305" i="17"/>
  <c r="CQ301" i="17"/>
  <c r="CQ345" i="17"/>
  <c r="CQ320" i="17"/>
  <c r="CQ287" i="17"/>
  <c r="CQ346" i="17"/>
  <c r="CQ377" i="17"/>
  <c r="CQ384" i="17"/>
  <c r="CQ350" i="17"/>
  <c r="CQ388" i="17"/>
  <c r="CQ286" i="17"/>
  <c r="CQ337" i="17"/>
  <c r="CQ383" i="17"/>
  <c r="BL29" i="17"/>
  <c r="BL124" i="17"/>
  <c r="BL108" i="17"/>
  <c r="BN108" i="17" s="1"/>
  <c r="BL54" i="17"/>
  <c r="BL119" i="17"/>
  <c r="BN119" i="17" s="1"/>
  <c r="BL27" i="17"/>
  <c r="BL34" i="17"/>
  <c r="BN34" i="17" s="1"/>
  <c r="BL32" i="17"/>
  <c r="BL60" i="17"/>
  <c r="BN60" i="17" s="1"/>
  <c r="BL84" i="17"/>
  <c r="BL52" i="17"/>
  <c r="BN52" i="17" s="1"/>
  <c r="BL65" i="17"/>
  <c r="BL93" i="17"/>
  <c r="BL43" i="17"/>
  <c r="BL70" i="17"/>
  <c r="BL120" i="17"/>
  <c r="BL28" i="17"/>
  <c r="BN28" i="17" s="1"/>
  <c r="BL94" i="17"/>
  <c r="BL75" i="17"/>
  <c r="BL95" i="17"/>
  <c r="BL18" i="17"/>
  <c r="BL20" i="17"/>
  <c r="BL42" i="17"/>
  <c r="BN42" i="17" s="1"/>
  <c r="BL80" i="17"/>
  <c r="BL130" i="17"/>
  <c r="BN130" i="17" s="1"/>
  <c r="BL91" i="17"/>
  <c r="BL17" i="17"/>
  <c r="BL77" i="17"/>
  <c r="BL99" i="17"/>
  <c r="BL106" i="17"/>
  <c r="BL105" i="17"/>
  <c r="BN105" i="17" s="1"/>
  <c r="BL129" i="17"/>
  <c r="BL102" i="17"/>
  <c r="BL98" i="17"/>
  <c r="BL30" i="17"/>
  <c r="BN30" i="17" s="1"/>
  <c r="BL114" i="17"/>
  <c r="BL72" i="17"/>
  <c r="BL25" i="17"/>
  <c r="BL57" i="17"/>
  <c r="BN57" i="17" s="1"/>
  <c r="BL88" i="17"/>
  <c r="BL61" i="17"/>
  <c r="BL107" i="17"/>
  <c r="BL35" i="17"/>
  <c r="BN35" i="17" s="1"/>
  <c r="BL115" i="17"/>
  <c r="BL101" i="17"/>
  <c r="BN101" i="17" s="1"/>
  <c r="BL123" i="17"/>
  <c r="BL46" i="17"/>
  <c r="BN46" i="17" s="1"/>
  <c r="BL131" i="17"/>
  <c r="BL48" i="17"/>
  <c r="BN48" i="17" s="1"/>
  <c r="BL109" i="17"/>
  <c r="BL47" i="17"/>
  <c r="BN47" i="17" s="1"/>
  <c r="BL62" i="17"/>
  <c r="BL26" i="17"/>
  <c r="BN26" i="17" s="1"/>
  <c r="BL44" i="17"/>
  <c r="BL15" i="17"/>
  <c r="BN15" i="17" s="1"/>
  <c r="BL117" i="17"/>
  <c r="BL113" i="17"/>
  <c r="BN113" i="17" s="1"/>
  <c r="BL16" i="17"/>
  <c r="BL76" i="17"/>
  <c r="BL64" i="17"/>
  <c r="BL37" i="17"/>
  <c r="BL22" i="17"/>
  <c r="BL128" i="17"/>
  <c r="BN128" i="17" s="1"/>
  <c r="BL63" i="17"/>
  <c r="BL71" i="17"/>
  <c r="BL69" i="17"/>
  <c r="BL103" i="17"/>
  <c r="BN103" i="17" s="1"/>
  <c r="BL112" i="17"/>
  <c r="BL40" i="17"/>
  <c r="BL89" i="17"/>
  <c r="BL23" i="17"/>
  <c r="BN23" i="17" s="1"/>
  <c r="BL53" i="17"/>
  <c r="BL86" i="17"/>
  <c r="BL90" i="17"/>
  <c r="BL49" i="17"/>
  <c r="BN49" i="17" s="1"/>
  <c r="BL100" i="17"/>
  <c r="BL45" i="17"/>
  <c r="BN45" i="17" s="1"/>
  <c r="BL116" i="17"/>
  <c r="BL50" i="17"/>
  <c r="BL122" i="17"/>
  <c r="BL81" i="17"/>
  <c r="BL92" i="17"/>
  <c r="BL21" i="17"/>
  <c r="BN21" i="17" s="1"/>
  <c r="BL96" i="17"/>
  <c r="BL24" i="17"/>
  <c r="BL126" i="17"/>
  <c r="BL110" i="17"/>
  <c r="BN110" i="17" s="1"/>
  <c r="BL87" i="17"/>
  <c r="BL66" i="17"/>
  <c r="BN66" i="17" s="1"/>
  <c r="BL118" i="17"/>
  <c r="BL59" i="17"/>
  <c r="BN59" i="17" s="1"/>
  <c r="BL74" i="17"/>
  <c r="BL104" i="17"/>
  <c r="BN104" i="17" s="1"/>
  <c r="BL83" i="17"/>
  <c r="BL55" i="17"/>
  <c r="BL39" i="17"/>
  <c r="BL85" i="17"/>
  <c r="BN85" i="17" s="1"/>
  <c r="BL41" i="17"/>
  <c r="BL97" i="17"/>
  <c r="BL78" i="17"/>
  <c r="BL38" i="17"/>
  <c r="BN38" i="17" s="1"/>
  <c r="BL19" i="17"/>
  <c r="BL73" i="17"/>
  <c r="BN73" i="17" s="1"/>
  <c r="BL79" i="17"/>
  <c r="BL67" i="17"/>
  <c r="BN67" i="17" s="1"/>
  <c r="BL111" i="17"/>
  <c r="BL31" i="17"/>
  <c r="BN31" i="17" s="1"/>
  <c r="BL56" i="17"/>
  <c r="BL68" i="17"/>
  <c r="BL51" i="17"/>
  <c r="BL82" i="17"/>
  <c r="BN82" i="17" s="1"/>
  <c r="BL127" i="17"/>
  <c r="BL121" i="17"/>
  <c r="BL36" i="17"/>
  <c r="BL125" i="17"/>
  <c r="BN125" i="17" s="1"/>
  <c r="BL58" i="17"/>
  <c r="BL33" i="17"/>
  <c r="BM124" i="17"/>
  <c r="BM29" i="17"/>
  <c r="BM112" i="17"/>
  <c r="BM19" i="17"/>
  <c r="BM62" i="17"/>
  <c r="BM40" i="17"/>
  <c r="BM23" i="17"/>
  <c r="BM105" i="17"/>
  <c r="BM34" i="17"/>
  <c r="BM117" i="17"/>
  <c r="BM113" i="17"/>
  <c r="BM25" i="17"/>
  <c r="BM87" i="17"/>
  <c r="BM37" i="17"/>
  <c r="BM57" i="17"/>
  <c r="BM36" i="17"/>
  <c r="BM22" i="17"/>
  <c r="BM79" i="17"/>
  <c r="BM67" i="17"/>
  <c r="BM93" i="17"/>
  <c r="BM111" i="17"/>
  <c r="BM18" i="17"/>
  <c r="BM131" i="17"/>
  <c r="BM69" i="17"/>
  <c r="BM31" i="17"/>
  <c r="BM81" i="17"/>
  <c r="BM108" i="17"/>
  <c r="BM77" i="17"/>
  <c r="BM119" i="17"/>
  <c r="BM126" i="17"/>
  <c r="BM129" i="17"/>
  <c r="BM27" i="17"/>
  <c r="BM32" i="17"/>
  <c r="BM98" i="17"/>
  <c r="BM60" i="17"/>
  <c r="BM110" i="17"/>
  <c r="BM114" i="17"/>
  <c r="BM84" i="17"/>
  <c r="BM52" i="17"/>
  <c r="BM61" i="17"/>
  <c r="BM43" i="17"/>
  <c r="BM120" i="17"/>
  <c r="BM53" i="17"/>
  <c r="BM86" i="17"/>
  <c r="BM28" i="17"/>
  <c r="BM75" i="17"/>
  <c r="BM95" i="17"/>
  <c r="BM20" i="17"/>
  <c r="BM80" i="17"/>
  <c r="BM91" i="17"/>
  <c r="BM109" i="17"/>
  <c r="BM54" i="17"/>
  <c r="BM41" i="17"/>
  <c r="BM99" i="17"/>
  <c r="BM89" i="17"/>
  <c r="BM106" i="17"/>
  <c r="BM73" i="17"/>
  <c r="BM72" i="17"/>
  <c r="BM65" i="17"/>
  <c r="BM88" i="17"/>
  <c r="BM128" i="17"/>
  <c r="BM70" i="17"/>
  <c r="BM107" i="17"/>
  <c r="BM35" i="17"/>
  <c r="BM115" i="17"/>
  <c r="BM122" i="17"/>
  <c r="BM94" i="17"/>
  <c r="BM123" i="17"/>
  <c r="BM48" i="17"/>
  <c r="BM17" i="17"/>
  <c r="BM64" i="17"/>
  <c r="BM71" i="17"/>
  <c r="BM103" i="17"/>
  <c r="BM92" i="17"/>
  <c r="BM58" i="17"/>
  <c r="BM96" i="17"/>
  <c r="BM45" i="17"/>
  <c r="BM50" i="17"/>
  <c r="BM85" i="17"/>
  <c r="BM24" i="17"/>
  <c r="BM66" i="17"/>
  <c r="BM68" i="17"/>
  <c r="BM130" i="17"/>
  <c r="BM44" i="17"/>
  <c r="BM15" i="17"/>
  <c r="BM16" i="17"/>
  <c r="BM63" i="17"/>
  <c r="BM42" i="17"/>
  <c r="BM90" i="17"/>
  <c r="BM97" i="17"/>
  <c r="BM78" i="17"/>
  <c r="BM100" i="17"/>
  <c r="BM21" i="17"/>
  <c r="BM116" i="17"/>
  <c r="BM38" i="17"/>
  <c r="BM33" i="17"/>
  <c r="BM127" i="17"/>
  <c r="BM76" i="17"/>
  <c r="BM101" i="17"/>
  <c r="BM56" i="17"/>
  <c r="BM125" i="17"/>
  <c r="BM51" i="17"/>
  <c r="BM39" i="17"/>
  <c r="BM47" i="17"/>
  <c r="BM26" i="17"/>
  <c r="BM121" i="17"/>
  <c r="BM46" i="17"/>
  <c r="BM118" i="17"/>
  <c r="BM59" i="17"/>
  <c r="BM74" i="17"/>
  <c r="BM104" i="17"/>
  <c r="BM49" i="17"/>
  <c r="BM83" i="17"/>
  <c r="BM55" i="17"/>
  <c r="BM82" i="17"/>
  <c r="BM102" i="17"/>
  <c r="BM30" i="17"/>
  <c r="C38" i="21"/>
  <c r="B86" i="9"/>
  <c r="C46" i="11" s="1"/>
  <c r="G46" i="11" s="1"/>
  <c r="F38" i="2"/>
  <c r="A39" i="21"/>
  <c r="A40" i="2"/>
  <c r="E39" i="2"/>
  <c r="A87" i="9"/>
  <c r="A47" i="11" s="1"/>
  <c r="P39" i="2"/>
  <c r="D39" i="2"/>
  <c r="C39" i="2"/>
  <c r="N39" i="2"/>
  <c r="E87" i="9" s="1"/>
  <c r="B39" i="2"/>
  <c r="DD517" i="17"/>
  <c r="DD422" i="17"/>
  <c r="DD429" i="17"/>
  <c r="DD435" i="17"/>
  <c r="DD501" i="17"/>
  <c r="DD491" i="17"/>
  <c r="DD523" i="17"/>
  <c r="DD418" i="17"/>
  <c r="DD425" i="17"/>
  <c r="DD446" i="17"/>
  <c r="DD483" i="17"/>
  <c r="DD468" i="17"/>
  <c r="DD471" i="17"/>
  <c r="DD432" i="17"/>
  <c r="DD424" i="17"/>
  <c r="DD484" i="17"/>
  <c r="DD519" i="17"/>
  <c r="DD504" i="17"/>
  <c r="DD511" i="17"/>
  <c r="DD488" i="17"/>
  <c r="DD508" i="17"/>
  <c r="DD421" i="17"/>
  <c r="DD512" i="17"/>
  <c r="DD507" i="17"/>
  <c r="DD411" i="17"/>
  <c r="DD470" i="17"/>
  <c r="DD415" i="17"/>
  <c r="DD478" i="17"/>
  <c r="DD431" i="17"/>
  <c r="DD513" i="17"/>
  <c r="DD516" i="17"/>
  <c r="DD416" i="17"/>
  <c r="DD436" i="17"/>
  <c r="DD509" i="17"/>
  <c r="DD520" i="17"/>
  <c r="DD473" i="17"/>
  <c r="DD482" i="17"/>
  <c r="DD451" i="17"/>
  <c r="DD475" i="17"/>
  <c r="DD430" i="17"/>
  <c r="DD476" i="17"/>
  <c r="DD524" i="17"/>
  <c r="DD441" i="17"/>
  <c r="DD518" i="17"/>
  <c r="DD453" i="17"/>
  <c r="DD462" i="17"/>
  <c r="DD413" i="17"/>
  <c r="DD466" i="17"/>
  <c r="DD419" i="17"/>
  <c r="DD444" i="17"/>
  <c r="DD423" i="17"/>
  <c r="DD437" i="17"/>
  <c r="DD496" i="17"/>
  <c r="DD440" i="17"/>
  <c r="DD469" i="17"/>
  <c r="DD522" i="17"/>
  <c r="DD427" i="17"/>
  <c r="DD457" i="17"/>
  <c r="DD510" i="17"/>
  <c r="DD495" i="17"/>
  <c r="DD408" i="17"/>
  <c r="DD443" i="17"/>
  <c r="DD455" i="17"/>
  <c r="DD465" i="17"/>
  <c r="DD492" i="17"/>
  <c r="DD428" i="17"/>
  <c r="DD409" i="17"/>
  <c r="DD477" i="17"/>
  <c r="DD515" i="17"/>
  <c r="DD503" i="17"/>
  <c r="DD481" i="17"/>
  <c r="DD514" i="17"/>
  <c r="DD412" i="17"/>
  <c r="DD494" i="17"/>
  <c r="DD474" i="17"/>
  <c r="DD445" i="17"/>
  <c r="DD472" i="17"/>
  <c r="DD459" i="17"/>
  <c r="DD464" i="17"/>
  <c r="DD486" i="17"/>
  <c r="DD493" i="17"/>
  <c r="DD420" i="17"/>
  <c r="DD438" i="17"/>
  <c r="DD487" i="17"/>
  <c r="DD485" i="17"/>
  <c r="DD442" i="17"/>
  <c r="DD460" i="17"/>
  <c r="DD417" i="17"/>
  <c r="DD452" i="17"/>
  <c r="DD490" i="17"/>
  <c r="DD434" i="17"/>
  <c r="DD497" i="17"/>
  <c r="DD458" i="17"/>
  <c r="DD502" i="17"/>
  <c r="DD439" i="17"/>
  <c r="DD480" i="17"/>
  <c r="DD426" i="17"/>
  <c r="DD456" i="17"/>
  <c r="DD410" i="17"/>
  <c r="DD499" i="17"/>
  <c r="DD489" i="17"/>
  <c r="DD467" i="17"/>
  <c r="DD505" i="17"/>
  <c r="DD433" i="17"/>
  <c r="DD414" i="17"/>
  <c r="DD463" i="17"/>
  <c r="DD498" i="17"/>
  <c r="DD500" i="17"/>
  <c r="DD521" i="17"/>
  <c r="DD479" i="17"/>
  <c r="DD447" i="17"/>
  <c r="DD449" i="17"/>
  <c r="DD461" i="17"/>
  <c r="DD454" i="17"/>
  <c r="DD450" i="17"/>
  <c r="DD448" i="17"/>
  <c r="DD506" i="17"/>
  <c r="DB422" i="17"/>
  <c r="DB517" i="17"/>
  <c r="DB411" i="17"/>
  <c r="DB470" i="17"/>
  <c r="DB410" i="17"/>
  <c r="DB415" i="17"/>
  <c r="DB419" i="17"/>
  <c r="DB444" i="17"/>
  <c r="DB423" i="17"/>
  <c r="DB446" i="17"/>
  <c r="DB440" i="17"/>
  <c r="DB432" i="17"/>
  <c r="DB513" i="17"/>
  <c r="DB516" i="17"/>
  <c r="DB427" i="17"/>
  <c r="DB436" i="17"/>
  <c r="DB495" i="17"/>
  <c r="DB520" i="17"/>
  <c r="DB473" i="17"/>
  <c r="DB412" i="17"/>
  <c r="DB443" i="17"/>
  <c r="DB455" i="17"/>
  <c r="DB524" i="17"/>
  <c r="DB441" i="17"/>
  <c r="DB467" i="17"/>
  <c r="DB518" i="17"/>
  <c r="DB453" i="17"/>
  <c r="DB501" i="17"/>
  <c r="DB437" i="17"/>
  <c r="DB463" i="17"/>
  <c r="DB478" i="17"/>
  <c r="DB469" i="17"/>
  <c r="DB457" i="17"/>
  <c r="DB504" i="17"/>
  <c r="DB510" i="17"/>
  <c r="DB430" i="17"/>
  <c r="DB465" i="17"/>
  <c r="DB492" i="17"/>
  <c r="DB476" i="17"/>
  <c r="DB409" i="17"/>
  <c r="DB477" i="17"/>
  <c r="DB435" i="17"/>
  <c r="DB491" i="17"/>
  <c r="DB505" i="17"/>
  <c r="DB462" i="17"/>
  <c r="DB413" i="17"/>
  <c r="DB515" i="17"/>
  <c r="DB452" i="17"/>
  <c r="DB433" i="17"/>
  <c r="DB503" i="17"/>
  <c r="DB418" i="17"/>
  <c r="DB450" i="17"/>
  <c r="DB496" i="17"/>
  <c r="DB483" i="17"/>
  <c r="DB471" i="17"/>
  <c r="DB481" i="17"/>
  <c r="DB500" i="17"/>
  <c r="DB424" i="17"/>
  <c r="DB499" i="17"/>
  <c r="DB522" i="17"/>
  <c r="DB509" i="17"/>
  <c r="DB408" i="17"/>
  <c r="DB434" i="17"/>
  <c r="DB521" i="17"/>
  <c r="DB488" i="17"/>
  <c r="DB428" i="17"/>
  <c r="DB523" i="17"/>
  <c r="DB414" i="17"/>
  <c r="DB514" i="17"/>
  <c r="DB475" i="17"/>
  <c r="DB474" i="17"/>
  <c r="DB497" i="17"/>
  <c r="DB460" i="17"/>
  <c r="DB464" i="17"/>
  <c r="DB456" i="17"/>
  <c r="DB479" i="17"/>
  <c r="DB445" i="17"/>
  <c r="DB486" i="17"/>
  <c r="DB506" i="17"/>
  <c r="DB429" i="17"/>
  <c r="DB416" i="17"/>
  <c r="DB519" i="17"/>
  <c r="DB511" i="17"/>
  <c r="DB494" i="17"/>
  <c r="DB449" i="17"/>
  <c r="DB487" i="17"/>
  <c r="DB461" i="17"/>
  <c r="DB458" i="17"/>
  <c r="DB502" i="17"/>
  <c r="DB480" i="17"/>
  <c r="DB454" i="17"/>
  <c r="DB468" i="17"/>
  <c r="DB508" i="17"/>
  <c r="DB512" i="17"/>
  <c r="DB442" i="17"/>
  <c r="DB439" i="17"/>
  <c r="DB466" i="17"/>
  <c r="DB425" i="17"/>
  <c r="DB498" i="17"/>
  <c r="DB431" i="17"/>
  <c r="DB484" i="17"/>
  <c r="DB490" i="17"/>
  <c r="DB448" i="17"/>
  <c r="DB507" i="17"/>
  <c r="DB447" i="17"/>
  <c r="DB472" i="17"/>
  <c r="DB459" i="17"/>
  <c r="DB485" i="17"/>
  <c r="DB489" i="17"/>
  <c r="DB426" i="17"/>
  <c r="DB417" i="17"/>
  <c r="DB482" i="17"/>
  <c r="DB451" i="17"/>
  <c r="DB421" i="17"/>
  <c r="DB493" i="17"/>
  <c r="DB420" i="17"/>
  <c r="DB438" i="17"/>
  <c r="DA422" i="17"/>
  <c r="DA517" i="17"/>
  <c r="DA411" i="17"/>
  <c r="DA470" i="17"/>
  <c r="DA518" i="17"/>
  <c r="DA453" i="17"/>
  <c r="DA505" i="17"/>
  <c r="DA413" i="17"/>
  <c r="DA415" i="17"/>
  <c r="DA433" i="17"/>
  <c r="DA419" i="17"/>
  <c r="DA444" i="17"/>
  <c r="DA423" i="17"/>
  <c r="DA437" i="17"/>
  <c r="DA446" i="17"/>
  <c r="DA496" i="17"/>
  <c r="DA440" i="17"/>
  <c r="DA481" i="17"/>
  <c r="DA469" i="17"/>
  <c r="DA522" i="17"/>
  <c r="DA427" i="17"/>
  <c r="DA510" i="17"/>
  <c r="DA495" i="17"/>
  <c r="DA408" i="17"/>
  <c r="DA521" i="17"/>
  <c r="DA443" i="17"/>
  <c r="DA455" i="17"/>
  <c r="DA492" i="17"/>
  <c r="DA428" i="17"/>
  <c r="DA429" i="17"/>
  <c r="DA467" i="17"/>
  <c r="DA410" i="17"/>
  <c r="DA452" i="17"/>
  <c r="DA425" i="17"/>
  <c r="DA463" i="17"/>
  <c r="DA478" i="17"/>
  <c r="DA498" i="17"/>
  <c r="DA500" i="17"/>
  <c r="DA514" i="17"/>
  <c r="DA412" i="17"/>
  <c r="DA448" i="17"/>
  <c r="DA430" i="17"/>
  <c r="DA465" i="17"/>
  <c r="DA409" i="17"/>
  <c r="DA435" i="17"/>
  <c r="DA501" i="17"/>
  <c r="DA491" i="17"/>
  <c r="DA462" i="17"/>
  <c r="DA515" i="17"/>
  <c r="DA503" i="17"/>
  <c r="DA418" i="17"/>
  <c r="DA414" i="17"/>
  <c r="DA450" i="17"/>
  <c r="DA483" i="17"/>
  <c r="DA468" i="17"/>
  <c r="DA471" i="17"/>
  <c r="DA432" i="17"/>
  <c r="DA513" i="17"/>
  <c r="DA424" i="17"/>
  <c r="DA484" i="17"/>
  <c r="DA499" i="17"/>
  <c r="DA504" i="17"/>
  <c r="DA509" i="17"/>
  <c r="DA473" i="17"/>
  <c r="DA434" i="17"/>
  <c r="DA488" i="17"/>
  <c r="DA508" i="17"/>
  <c r="DA421" i="17"/>
  <c r="DA512" i="17"/>
  <c r="DA441" i="17"/>
  <c r="DA466" i="17"/>
  <c r="DA431" i="17"/>
  <c r="DA490" i="17"/>
  <c r="DA520" i="17"/>
  <c r="DA524" i="17"/>
  <c r="DA507" i="17"/>
  <c r="DA502" i="17"/>
  <c r="DA489" i="17"/>
  <c r="DA456" i="17"/>
  <c r="DA479" i="17"/>
  <c r="DA439" i="17"/>
  <c r="DA480" i="17"/>
  <c r="DA438" i="17"/>
  <c r="DA457" i="17"/>
  <c r="DA482" i="17"/>
  <c r="DA451" i="17"/>
  <c r="DA476" i="17"/>
  <c r="DA477" i="17"/>
  <c r="DA447" i="17"/>
  <c r="DA445" i="17"/>
  <c r="DA487" i="17"/>
  <c r="DA485" i="17"/>
  <c r="DA458" i="17"/>
  <c r="DA460" i="17"/>
  <c r="DA493" i="17"/>
  <c r="DA454" i="17"/>
  <c r="DA506" i="17"/>
  <c r="DA417" i="17"/>
  <c r="DA519" i="17"/>
  <c r="DA511" i="17"/>
  <c r="DA461" i="17"/>
  <c r="DA442" i="17"/>
  <c r="DA523" i="17"/>
  <c r="DA516" i="17"/>
  <c r="DA416" i="17"/>
  <c r="DA436" i="17"/>
  <c r="DA475" i="17"/>
  <c r="DA474" i="17"/>
  <c r="DA449" i="17"/>
  <c r="DA472" i="17"/>
  <c r="DA459" i="17"/>
  <c r="DA497" i="17"/>
  <c r="DA464" i="17"/>
  <c r="DA420" i="17"/>
  <c r="DA426" i="17"/>
  <c r="DA494" i="17"/>
  <c r="DA486" i="17"/>
  <c r="I38" i="2" l="1"/>
  <c r="F38" i="21" s="1"/>
  <c r="L38" i="2"/>
  <c r="BN50" i="17"/>
  <c r="BN76" i="17"/>
  <c r="BN70" i="17"/>
  <c r="CJ153" i="17"/>
  <c r="CJ164" i="17"/>
  <c r="CJ252" i="17"/>
  <c r="CJ218" i="17"/>
  <c r="CJ171" i="17"/>
  <c r="CJ229" i="17"/>
  <c r="BY32" i="15"/>
  <c r="BY53" i="15"/>
  <c r="BY86" i="15"/>
  <c r="CU364" i="17"/>
  <c r="CU297" i="17"/>
  <c r="CU294" i="17"/>
  <c r="CU378" i="17"/>
  <c r="DF426" i="17"/>
  <c r="DF461" i="17"/>
  <c r="DF502" i="17"/>
  <c r="DF415" i="17"/>
  <c r="DF492" i="17"/>
  <c r="DF483" i="17"/>
  <c r="DF474" i="17"/>
  <c r="DF523" i="17"/>
  <c r="C39" i="21"/>
  <c r="B87" i="9"/>
  <c r="C47" i="11" s="1"/>
  <c r="F39" i="2"/>
  <c r="J39" i="2"/>
  <c r="E39" i="21"/>
  <c r="J39" i="21" s="1"/>
  <c r="D87" i="9"/>
  <c r="H39" i="2"/>
  <c r="BN36" i="17"/>
  <c r="BN51" i="17"/>
  <c r="BN111" i="17"/>
  <c r="BN19" i="17"/>
  <c r="BN41" i="17"/>
  <c r="BN83" i="17"/>
  <c r="BN118" i="17"/>
  <c r="BN126" i="17"/>
  <c r="BN92" i="17"/>
  <c r="BN116" i="17"/>
  <c r="BN90" i="17"/>
  <c r="BN89" i="17"/>
  <c r="BN69" i="17"/>
  <c r="BN22" i="17"/>
  <c r="BN16" i="17"/>
  <c r="BN44" i="17"/>
  <c r="BN109" i="17"/>
  <c r="BN123" i="17"/>
  <c r="BN107" i="17"/>
  <c r="BN25" i="17"/>
  <c r="BN98" i="17"/>
  <c r="BN106" i="17"/>
  <c r="BN91" i="17"/>
  <c r="BN20" i="17"/>
  <c r="BN94" i="17"/>
  <c r="BN43" i="17"/>
  <c r="BN84" i="17"/>
  <c r="BN27" i="17"/>
  <c r="BN124" i="17"/>
  <c r="CJ168" i="17"/>
  <c r="CJ207" i="17"/>
  <c r="CJ208" i="17"/>
  <c r="CJ195" i="17"/>
  <c r="CJ161" i="17"/>
  <c r="CJ173" i="17"/>
  <c r="CJ192" i="17"/>
  <c r="CJ214" i="17"/>
  <c r="CJ241" i="17"/>
  <c r="CJ260" i="17"/>
  <c r="CJ202" i="17"/>
  <c r="CJ146" i="17"/>
  <c r="CJ242" i="17"/>
  <c r="CJ249" i="17"/>
  <c r="CJ212" i="17"/>
  <c r="CJ206" i="17"/>
  <c r="CJ158" i="17"/>
  <c r="CJ187" i="17"/>
  <c r="CJ181" i="17"/>
  <c r="CJ205" i="17"/>
  <c r="CJ147" i="17"/>
  <c r="CJ182" i="17"/>
  <c r="CJ215" i="17"/>
  <c r="CJ186" i="17"/>
  <c r="CJ210" i="17"/>
  <c r="CJ199" i="17"/>
  <c r="CJ251" i="17"/>
  <c r="CJ217" i="17"/>
  <c r="CJ167" i="17"/>
  <c r="CJ160" i="17"/>
  <c r="BY33" i="15"/>
  <c r="BY40" i="15"/>
  <c r="BY102" i="15"/>
  <c r="BY35" i="15"/>
  <c r="BY36" i="15"/>
  <c r="BY49" i="15"/>
  <c r="BY119" i="15"/>
  <c r="BY137" i="15"/>
  <c r="BY90" i="15"/>
  <c r="BY101" i="15"/>
  <c r="BY34" i="15"/>
  <c r="BY118" i="15"/>
  <c r="BY28" i="15"/>
  <c r="BY77" i="15"/>
  <c r="BY79" i="15"/>
  <c r="BY92" i="15"/>
  <c r="BY122" i="15"/>
  <c r="BY93" i="15"/>
  <c r="BY107" i="15"/>
  <c r="BY66" i="15"/>
  <c r="BY61" i="15"/>
  <c r="BY135" i="15"/>
  <c r="BY26" i="15"/>
  <c r="BY134" i="15"/>
  <c r="BY113" i="15"/>
  <c r="BY78" i="15"/>
  <c r="BY100" i="15"/>
  <c r="BY138" i="15"/>
  <c r="BY98" i="15"/>
  <c r="CU322" i="17"/>
  <c r="CU335" i="17"/>
  <c r="CU342" i="17"/>
  <c r="CU333" i="17"/>
  <c r="CU390" i="17"/>
  <c r="CU324" i="17"/>
  <c r="CU327" i="17"/>
  <c r="CU383" i="17"/>
  <c r="CU337" i="17"/>
  <c r="CU314" i="17"/>
  <c r="CU348" i="17"/>
  <c r="CU346" i="17"/>
  <c r="CU289" i="17"/>
  <c r="CU312" i="17"/>
  <c r="CU355" i="17"/>
  <c r="CU331" i="17"/>
  <c r="CU279" i="17"/>
  <c r="CU360" i="17"/>
  <c r="CU349" i="17"/>
  <c r="CU286" i="17"/>
  <c r="CU357" i="17"/>
  <c r="CU300" i="17"/>
  <c r="CU359" i="17"/>
  <c r="CU377" i="17"/>
  <c r="CU374" i="17"/>
  <c r="CU370" i="17"/>
  <c r="CU305" i="17"/>
  <c r="CU353" i="17"/>
  <c r="CU291" i="17"/>
  <c r="DF438" i="17"/>
  <c r="DF497" i="17"/>
  <c r="DF482" i="17"/>
  <c r="DF449" i="17"/>
  <c r="DF423" i="17"/>
  <c r="DF420" i="17"/>
  <c r="DF459" i="17"/>
  <c r="DF443" i="17"/>
  <c r="DF437" i="17"/>
  <c r="DF413" i="17"/>
  <c r="DF447" i="17"/>
  <c r="DF442" i="17"/>
  <c r="DF469" i="17"/>
  <c r="DF441" i="17"/>
  <c r="DF475" i="17"/>
  <c r="DF520" i="17"/>
  <c r="DF516" i="17"/>
  <c r="DF478" i="17"/>
  <c r="DF512" i="17"/>
  <c r="DF510" i="17"/>
  <c r="DF432" i="17"/>
  <c r="DF446" i="17"/>
  <c r="DF518" i="17"/>
  <c r="DF429" i="17"/>
  <c r="DF448" i="17"/>
  <c r="DF511" i="17"/>
  <c r="DF514" i="17"/>
  <c r="DF463" i="17"/>
  <c r="DF505" i="17"/>
  <c r="BN97" i="17"/>
  <c r="BN17" i="17"/>
  <c r="BP10" i="17" s="1"/>
  <c r="CJ193" i="17"/>
  <c r="CJ151" i="17"/>
  <c r="CJ233" i="17"/>
  <c r="CJ177" i="17"/>
  <c r="CU380" i="17"/>
  <c r="CU362" i="17"/>
  <c r="DF458" i="17"/>
  <c r="DF506" i="17"/>
  <c r="DF440" i="17"/>
  <c r="DF460" i="17"/>
  <c r="DF430" i="17"/>
  <c r="DF450" i="17"/>
  <c r="DF490" i="17"/>
  <c r="BN33" i="17"/>
  <c r="BN121" i="17"/>
  <c r="BN68" i="17"/>
  <c r="BN24" i="17"/>
  <c r="BM11" i="17" s="1"/>
  <c r="BN81" i="17"/>
  <c r="BN86" i="17"/>
  <c r="BN40" i="17"/>
  <c r="BN71" i="17"/>
  <c r="BN37" i="17"/>
  <c r="BN61" i="17"/>
  <c r="BN72" i="17"/>
  <c r="BN102" i="17"/>
  <c r="BN99" i="17"/>
  <c r="BN18" i="17"/>
  <c r="BN12" i="17" s="1"/>
  <c r="BN93" i="17"/>
  <c r="BN29" i="17"/>
  <c r="CJ201" i="17"/>
  <c r="CJ221" i="17"/>
  <c r="CJ247" i="17"/>
  <c r="CJ261" i="17"/>
  <c r="CJ203" i="17"/>
  <c r="CJ223" i="17"/>
  <c r="CJ224" i="17"/>
  <c r="CJ258" i="17"/>
  <c r="CJ178" i="17"/>
  <c r="CJ256" i="17"/>
  <c r="CJ228" i="17"/>
  <c r="CJ163" i="17"/>
  <c r="CJ243" i="17"/>
  <c r="CJ176" i="17"/>
  <c r="CJ225" i="17"/>
  <c r="CJ257" i="17"/>
  <c r="CJ246" i="17"/>
  <c r="CJ170" i="17"/>
  <c r="CJ148" i="17"/>
  <c r="CJ248" i="17"/>
  <c r="CJ196" i="17"/>
  <c r="CJ184" i="17"/>
  <c r="CJ209" i="17"/>
  <c r="CJ234" i="17"/>
  <c r="CJ254" i="17"/>
  <c r="CJ244" i="17"/>
  <c r="CJ162" i="17"/>
  <c r="CJ250" i="17"/>
  <c r="BY52" i="15"/>
  <c r="BY54" i="15"/>
  <c r="BY114" i="15"/>
  <c r="BY63" i="15"/>
  <c r="BY125" i="15"/>
  <c r="BY99" i="15"/>
  <c r="BY48" i="15"/>
  <c r="BY57" i="15"/>
  <c r="BY91" i="15"/>
  <c r="BY126" i="15"/>
  <c r="BY23" i="15"/>
  <c r="BY128" i="15"/>
  <c r="BY95" i="15"/>
  <c r="BY81" i="15"/>
  <c r="BY24" i="15"/>
  <c r="BY132" i="15"/>
  <c r="CU336" i="17"/>
  <c r="CU361" i="17"/>
  <c r="CU388" i="17"/>
  <c r="CU392" i="17"/>
  <c r="CU277" i="17"/>
  <c r="CU296" i="17"/>
  <c r="CU352" i="17"/>
  <c r="CU309" i="17"/>
  <c r="CU316" i="17"/>
  <c r="CU351" i="17"/>
  <c r="CU310" i="17"/>
  <c r="CU281" i="17"/>
  <c r="CU306" i="17"/>
  <c r="CU278" i="17"/>
  <c r="CU344" i="17"/>
  <c r="CU329" i="17"/>
  <c r="CU280" i="17"/>
  <c r="CU298" i="17"/>
  <c r="CU319" i="17"/>
  <c r="CU293" i="17"/>
  <c r="CU332" i="17"/>
  <c r="CU347" i="17"/>
  <c r="CU323" i="17"/>
  <c r="CU290" i="17"/>
  <c r="CU330" i="17"/>
  <c r="CU358" i="17"/>
  <c r="CU389" i="17"/>
  <c r="CU338" i="17"/>
  <c r="CU304" i="17"/>
  <c r="CU386" i="17"/>
  <c r="DF480" i="17"/>
  <c r="DF477" i="17"/>
  <c r="DF427" i="17"/>
  <c r="DF455" i="17"/>
  <c r="DF419" i="17"/>
  <c r="DF493" i="17"/>
  <c r="DF472" i="17"/>
  <c r="DF495" i="17"/>
  <c r="DF444" i="17"/>
  <c r="DF453" i="17"/>
  <c r="DF417" i="17"/>
  <c r="DF485" i="17"/>
  <c r="DF498" i="17"/>
  <c r="DF524" i="17"/>
  <c r="DF451" i="17"/>
  <c r="DF509" i="17"/>
  <c r="DF513" i="17"/>
  <c r="DF414" i="17"/>
  <c r="DF421" i="17"/>
  <c r="DF504" i="17"/>
  <c r="DF471" i="17"/>
  <c r="DF425" i="17"/>
  <c r="DF470" i="17"/>
  <c r="DF479" i="17"/>
  <c r="DF521" i="17"/>
  <c r="DF522" i="17"/>
  <c r="DF500" i="17"/>
  <c r="DF433" i="17"/>
  <c r="DF467" i="17"/>
  <c r="B47" i="11"/>
  <c r="D47" i="11" s="1"/>
  <c r="E47" i="11" s="1"/>
  <c r="F47" i="11" s="1"/>
  <c r="F87" i="9"/>
  <c r="BN55" i="17"/>
  <c r="BN75" i="17"/>
  <c r="CJ191" i="17"/>
  <c r="CJ237" i="17"/>
  <c r="CJ227" i="17"/>
  <c r="CJ200" i="17"/>
  <c r="BY105" i="15"/>
  <c r="BY55" i="15"/>
  <c r="CU384" i="17"/>
  <c r="CU368" i="17"/>
  <c r="CU334" i="17"/>
  <c r="CU363" i="17"/>
  <c r="DF499" i="17"/>
  <c r="DF409" i="17"/>
  <c r="DF486" i="17"/>
  <c r="DF515" i="17"/>
  <c r="DF416" i="17"/>
  <c r="DF410" i="17"/>
  <c r="DF424" i="17"/>
  <c r="DF422" i="17"/>
  <c r="D39" i="21"/>
  <c r="I39" i="21" s="1"/>
  <c r="C87" i="9"/>
  <c r="G39" i="2"/>
  <c r="K39" i="2"/>
  <c r="A40" i="21"/>
  <c r="A88" i="9"/>
  <c r="A48" i="11" s="1"/>
  <c r="A41" i="2"/>
  <c r="E40" i="2"/>
  <c r="P40" i="2"/>
  <c r="D40" i="2"/>
  <c r="C40" i="2"/>
  <c r="B40" i="2"/>
  <c r="N40" i="2"/>
  <c r="E88" i="9" s="1"/>
  <c r="A57" i="22"/>
  <c r="B39" i="21"/>
  <c r="G38" i="21"/>
  <c r="H38" i="21"/>
  <c r="BN58" i="17"/>
  <c r="BN127" i="17"/>
  <c r="BN56" i="17"/>
  <c r="BN79" i="17"/>
  <c r="BN78" i="17"/>
  <c r="BN39" i="17"/>
  <c r="BN74" i="17"/>
  <c r="BN87" i="17"/>
  <c r="BN96" i="17"/>
  <c r="BN122" i="17"/>
  <c r="BN100" i="17"/>
  <c r="BN53" i="17"/>
  <c r="BN112" i="17"/>
  <c r="BN63" i="17"/>
  <c r="BN64" i="17"/>
  <c r="BN117" i="17"/>
  <c r="BN62" i="17"/>
  <c r="BN131" i="17"/>
  <c r="BN115" i="17"/>
  <c r="BN88" i="17"/>
  <c r="BN114" i="17"/>
  <c r="BN129" i="17"/>
  <c r="BN77" i="17"/>
  <c r="BN80" i="17"/>
  <c r="BN95" i="17"/>
  <c r="BN120" i="17"/>
  <c r="BN65" i="17"/>
  <c r="BN32" i="17"/>
  <c r="BN54" i="17"/>
  <c r="CJ216" i="17"/>
  <c r="CJ159" i="17"/>
  <c r="CJ239" i="17"/>
  <c r="CJ230" i="17"/>
  <c r="CJ150" i="17"/>
  <c r="CJ194" i="17"/>
  <c r="CJ172" i="17"/>
  <c r="CJ188" i="17"/>
  <c r="CJ222" i="17"/>
  <c r="CJ183" i="17"/>
  <c r="CJ197" i="17"/>
  <c r="CJ238" i="17"/>
  <c r="CJ236" i="17"/>
  <c r="CJ157" i="17"/>
  <c r="CJ259" i="17"/>
  <c r="CJ240" i="17"/>
  <c r="CJ231" i="17"/>
  <c r="CJ179" i="17"/>
  <c r="CJ175" i="17"/>
  <c r="CJ155" i="17"/>
  <c r="CJ165" i="17"/>
  <c r="CJ245" i="17"/>
  <c r="CJ149" i="17"/>
  <c r="CJ220" i="17"/>
  <c r="CJ152" i="17"/>
  <c r="CJ262" i="17"/>
  <c r="CJ219" i="17"/>
  <c r="CJ166" i="17"/>
  <c r="CJ185" i="17"/>
  <c r="BY124" i="15"/>
  <c r="BY51" i="15"/>
  <c r="BY117" i="15"/>
  <c r="BY88" i="15"/>
  <c r="BY96" i="15"/>
  <c r="BY38" i="15"/>
  <c r="BY71" i="15"/>
  <c r="BY70" i="15"/>
  <c r="BY59" i="15"/>
  <c r="BY67" i="15"/>
  <c r="BY74" i="15"/>
  <c r="BY89" i="15"/>
  <c r="BY116" i="15"/>
  <c r="BY41" i="15"/>
  <c r="BY58" i="15"/>
  <c r="BY60" i="15"/>
  <c r="BY43" i="15"/>
  <c r="BY72" i="15"/>
  <c r="BY42" i="15"/>
  <c r="BY45" i="15"/>
  <c r="BY76" i="15"/>
  <c r="BY94" i="15"/>
  <c r="BY31" i="15"/>
  <c r="BY47" i="15"/>
  <c r="BY139" i="15"/>
  <c r="BY133" i="15"/>
  <c r="BY83" i="15"/>
  <c r="BY64" i="15"/>
  <c r="BY106" i="15"/>
  <c r="BY37" i="15"/>
  <c r="CU302" i="17"/>
  <c r="CU287" i="17"/>
  <c r="CU303" i="17"/>
  <c r="CU339" i="17"/>
  <c r="CU382" i="17"/>
  <c r="CU367" i="17"/>
  <c r="CU307" i="17"/>
  <c r="CU283" i="17"/>
  <c r="CU350" i="17"/>
  <c r="CU385" i="17"/>
  <c r="CU373" i="17"/>
  <c r="CU318" i="17"/>
  <c r="CU308" i="17"/>
  <c r="CU321" i="17"/>
  <c r="CU317" i="17"/>
  <c r="CU340" i="17"/>
  <c r="CU313" i="17"/>
  <c r="CU366" i="17"/>
  <c r="CU299" i="17"/>
  <c r="CU315" i="17"/>
  <c r="CU379" i="17"/>
  <c r="CU295" i="17"/>
  <c r="CU311" i="17"/>
  <c r="CU343" i="17"/>
  <c r="CU282" i="17"/>
  <c r="CU320" i="17"/>
  <c r="CU301" i="17"/>
  <c r="CU371" i="17"/>
  <c r="CU365" i="17"/>
  <c r="DF439" i="17"/>
  <c r="DF428" i="17"/>
  <c r="DF456" i="17"/>
  <c r="DF408" i="17"/>
  <c r="DF462" i="17"/>
  <c r="DF464" i="17"/>
  <c r="DF445" i="17"/>
  <c r="DF457" i="17"/>
  <c r="DF503" i="17"/>
  <c r="DF454" i="17"/>
  <c r="DF489" i="17"/>
  <c r="DF487" i="17"/>
  <c r="DF466" i="17"/>
  <c r="DF476" i="17"/>
  <c r="DF434" i="17"/>
  <c r="DF436" i="17"/>
  <c r="DF431" i="17"/>
  <c r="DF418" i="17"/>
  <c r="DF508" i="17"/>
  <c r="DF484" i="17"/>
  <c r="DF468" i="17"/>
  <c r="DF491" i="17"/>
  <c r="DF435" i="17"/>
  <c r="DF507" i="17"/>
  <c r="DF494" i="17"/>
  <c r="DF519" i="17"/>
  <c r="DF481" i="17"/>
  <c r="DF452" i="17"/>
  <c r="DF517" i="17"/>
  <c r="F88" i="9" l="1"/>
  <c r="B48" i="11"/>
  <c r="D48" i="11" s="1"/>
  <c r="E48" i="11" s="1"/>
  <c r="F48" i="11" s="1"/>
  <c r="BP8" i="17"/>
  <c r="CH142" i="17"/>
  <c r="CN141" i="17"/>
  <c r="CN140" i="17"/>
  <c r="CN139" i="17"/>
  <c r="CJ143" i="17"/>
  <c r="CG142" i="17"/>
  <c r="CM141" i="17"/>
  <c r="CM140" i="17"/>
  <c r="CM139" i="17"/>
  <c r="CF142" i="17"/>
  <c r="CL141" i="17"/>
  <c r="CL139" i="17"/>
  <c r="CO140" i="17"/>
  <c r="CL140" i="17"/>
  <c r="CI142" i="17"/>
  <c r="CO141" i="17"/>
  <c r="CO139" i="17"/>
  <c r="O39" i="2"/>
  <c r="M39" i="2"/>
  <c r="H39" i="21"/>
  <c r="G39" i="21"/>
  <c r="DF405" i="17"/>
  <c r="DC404" i="17"/>
  <c r="DK403" i="17"/>
  <c r="DM402" i="17"/>
  <c r="DI402" i="17"/>
  <c r="DK401" i="17"/>
  <c r="DB404" i="17"/>
  <c r="DJ403" i="17"/>
  <c r="DL402" i="17"/>
  <c r="DH402" i="17"/>
  <c r="DD404" i="17"/>
  <c r="DL403" i="17"/>
  <c r="DJ402" i="17"/>
  <c r="DJ401" i="17"/>
  <c r="DA404" i="17"/>
  <c r="DI403" i="17"/>
  <c r="DI401" i="17"/>
  <c r="CZ404" i="17"/>
  <c r="DH403" i="17"/>
  <c r="DM401" i="17"/>
  <c r="DH401" i="17"/>
  <c r="DL401" i="17"/>
  <c r="DK402" i="17"/>
  <c r="DE404" i="17"/>
  <c r="DM403" i="17"/>
  <c r="E40" i="21"/>
  <c r="J40" i="21" s="1"/>
  <c r="D88" i="9"/>
  <c r="H40" i="2"/>
  <c r="BW19" i="15"/>
  <c r="CB18" i="15"/>
  <c r="CA17" i="15"/>
  <c r="BV19" i="15"/>
  <c r="CA18" i="15"/>
  <c r="CC16" i="15"/>
  <c r="CC17" i="15"/>
  <c r="CB16" i="15"/>
  <c r="CC18" i="15"/>
  <c r="CA16" i="15"/>
  <c r="BY20" i="15"/>
  <c r="BX19" i="15"/>
  <c r="CB17" i="15"/>
  <c r="BP9" i="17"/>
  <c r="I39" i="2"/>
  <c r="F39" i="21" s="1"/>
  <c r="L39" i="2"/>
  <c r="A58" i="22"/>
  <c r="B40" i="21"/>
  <c r="C40" i="21"/>
  <c r="B88" i="9"/>
  <c r="C48" i="11" s="1"/>
  <c r="G48" i="11" s="1"/>
  <c r="F40" i="2"/>
  <c r="A41" i="21"/>
  <c r="A89" i="9"/>
  <c r="A49" i="11" s="1"/>
  <c r="A42" i="2"/>
  <c r="E41" i="2"/>
  <c r="P41" i="2"/>
  <c r="D41" i="2"/>
  <c r="N41" i="2"/>
  <c r="E89" i="9" s="1"/>
  <c r="C41" i="2"/>
  <c r="B41" i="2"/>
  <c r="BQ10" i="17"/>
  <c r="BQ9" i="17"/>
  <c r="BL11" i="17"/>
  <c r="J40" i="2"/>
  <c r="BQ8" i="17"/>
  <c r="D40" i="21"/>
  <c r="I40" i="21" s="1"/>
  <c r="C88" i="9"/>
  <c r="G40" i="2"/>
  <c r="K40" i="2"/>
  <c r="CR273" i="17"/>
  <c r="CY272" i="17"/>
  <c r="CZ271" i="17"/>
  <c r="DA270" i="17"/>
  <c r="CW270" i="17"/>
  <c r="CQ273" i="17"/>
  <c r="CX272" i="17"/>
  <c r="CY271" i="17"/>
  <c r="CZ270" i="17"/>
  <c r="CU274" i="17"/>
  <c r="CT273" i="17"/>
  <c r="CP273" i="17"/>
  <c r="DA272" i="17"/>
  <c r="CW272" i="17"/>
  <c r="CX271" i="17"/>
  <c r="CY270" i="17"/>
  <c r="CZ272" i="17"/>
  <c r="DA271" i="17"/>
  <c r="CS273" i="17"/>
  <c r="CW271" i="17"/>
  <c r="CX270" i="17"/>
  <c r="G47" i="11"/>
  <c r="CL255" i="17" l="1"/>
  <c r="CL160" i="17"/>
  <c r="CL250" i="17"/>
  <c r="CL226" i="17"/>
  <c r="CL245" i="17"/>
  <c r="CL162" i="17"/>
  <c r="CL225" i="17"/>
  <c r="CL196" i="17"/>
  <c r="CL182" i="17"/>
  <c r="CL176" i="17"/>
  <c r="CL147" i="17"/>
  <c r="CL212" i="17"/>
  <c r="CL157" i="17"/>
  <c r="CL154" i="17"/>
  <c r="CL227" i="17"/>
  <c r="CL155" i="17"/>
  <c r="CL234" i="17"/>
  <c r="CL249" i="17"/>
  <c r="CL210" i="17"/>
  <c r="CL198" i="17"/>
  <c r="CL186" i="17"/>
  <c r="CL175" i="17"/>
  <c r="CL181" i="17"/>
  <c r="CL179" i="17"/>
  <c r="CL246" i="17"/>
  <c r="CL187" i="17"/>
  <c r="CL231" i="17"/>
  <c r="CL158" i="17"/>
  <c r="CL173" i="17"/>
  <c r="CL197" i="17"/>
  <c r="CL256" i="17"/>
  <c r="CL206" i="17"/>
  <c r="CL191" i="17"/>
  <c r="CL218" i="17"/>
  <c r="CL165" i="17"/>
  <c r="CL259" i="17"/>
  <c r="CL193" i="17"/>
  <c r="CL235" i="17"/>
  <c r="CL180" i="17"/>
  <c r="CL216" i="17"/>
  <c r="CL243" i="17"/>
  <c r="CL190" i="17"/>
  <c r="CL220" i="17"/>
  <c r="CL224" i="17"/>
  <c r="CL236" i="17"/>
  <c r="CL163" i="17"/>
  <c r="CP163" i="17" s="1"/>
  <c r="E163" i="17" s="1"/>
  <c r="CL192" i="17"/>
  <c r="CL213" i="17"/>
  <c r="CL169" i="17"/>
  <c r="CL238" i="17"/>
  <c r="CL170" i="17"/>
  <c r="CL261" i="17"/>
  <c r="CL228" i="17"/>
  <c r="CL164" i="17"/>
  <c r="CL151" i="17"/>
  <c r="CL185" i="17"/>
  <c r="CL211" i="17"/>
  <c r="CL217" i="17"/>
  <c r="CL214" i="17"/>
  <c r="CL177" i="17"/>
  <c r="CL244" i="17"/>
  <c r="CL229" i="17"/>
  <c r="CL230" i="17"/>
  <c r="CL152" i="17"/>
  <c r="CL239" i="17"/>
  <c r="CL172" i="17"/>
  <c r="CL205" i="17"/>
  <c r="CL209" i="17"/>
  <c r="CL242" i="17"/>
  <c r="CL247" i="17"/>
  <c r="CL252" i="17"/>
  <c r="CL223" i="17"/>
  <c r="CL237" i="17"/>
  <c r="CL233" i="17"/>
  <c r="CL146" i="17"/>
  <c r="CL184" i="17"/>
  <c r="CL171" i="17"/>
  <c r="CL257" i="17"/>
  <c r="CL240" i="17"/>
  <c r="CL150" i="17"/>
  <c r="CL203" i="17"/>
  <c r="CL188" i="17"/>
  <c r="CL215" i="17"/>
  <c r="CL178" i="17"/>
  <c r="CL161" i="17"/>
  <c r="CL260" i="17"/>
  <c r="CL166" i="17"/>
  <c r="CL254" i="17"/>
  <c r="CL149" i="17"/>
  <c r="CL153" i="17"/>
  <c r="CL208" i="17"/>
  <c r="CL204" i="17"/>
  <c r="CL159" i="17"/>
  <c r="CL241" i="17"/>
  <c r="CL207" i="17"/>
  <c r="CL189" i="17"/>
  <c r="CL201" i="17"/>
  <c r="CL168" i="17"/>
  <c r="CL200" i="17"/>
  <c r="CL167" i="17"/>
  <c r="CL219" i="17"/>
  <c r="CL148" i="17"/>
  <c r="CL253" i="17"/>
  <c r="CL174" i="17"/>
  <c r="CL258" i="17"/>
  <c r="CL202" i="17"/>
  <c r="CP202" i="17" s="1"/>
  <c r="E202" i="17" s="1"/>
  <c r="CL248" i="17"/>
  <c r="CL251" i="17"/>
  <c r="CL262" i="17"/>
  <c r="CL199" i="17"/>
  <c r="CP199" i="17" s="1"/>
  <c r="E199" i="17" s="1"/>
  <c r="CL183" i="17"/>
  <c r="CL222" i="17"/>
  <c r="CL232" i="17"/>
  <c r="CL221" i="17"/>
  <c r="CL156" i="17"/>
  <c r="CL195" i="17"/>
  <c r="CL194" i="17"/>
  <c r="CN255" i="17"/>
  <c r="CN160" i="17"/>
  <c r="CN200" i="17"/>
  <c r="CN185" i="17"/>
  <c r="CN226" i="17"/>
  <c r="CN217" i="17"/>
  <c r="CN196" i="17"/>
  <c r="CN206" i="17"/>
  <c r="CN177" i="17"/>
  <c r="CN165" i="17"/>
  <c r="CN248" i="17"/>
  <c r="CN147" i="17"/>
  <c r="CN227" i="17"/>
  <c r="CN155" i="17"/>
  <c r="CN148" i="17"/>
  <c r="CN210" i="17"/>
  <c r="CN190" i="17"/>
  <c r="CN209" i="17"/>
  <c r="CN175" i="17"/>
  <c r="CN213" i="17"/>
  <c r="CN238" i="17"/>
  <c r="CN170" i="17"/>
  <c r="CN252" i="17"/>
  <c r="CN179" i="17"/>
  <c r="CN261" i="17"/>
  <c r="CN187" i="17"/>
  <c r="CN231" i="17"/>
  <c r="CN233" i="17"/>
  <c r="CN164" i="17"/>
  <c r="CN240" i="17"/>
  <c r="CN208" i="17"/>
  <c r="CN162" i="17"/>
  <c r="CN191" i="17"/>
  <c r="CN214" i="17"/>
  <c r="CN259" i="17"/>
  <c r="CN176" i="17"/>
  <c r="CN229" i="17"/>
  <c r="CN212" i="17"/>
  <c r="CN235" i="17"/>
  <c r="CN230" i="17"/>
  <c r="CN243" i="17"/>
  <c r="CN205" i="17"/>
  <c r="CN236" i="17"/>
  <c r="CN163" i="17"/>
  <c r="CN228" i="17"/>
  <c r="CN237" i="17"/>
  <c r="CN257" i="17"/>
  <c r="CN151" i="17"/>
  <c r="CN256" i="17"/>
  <c r="CN250" i="17"/>
  <c r="CN166" i="17"/>
  <c r="CN211" i="17"/>
  <c r="CN225" i="17"/>
  <c r="CN202" i="17"/>
  <c r="CN262" i="17"/>
  <c r="CN254" i="17"/>
  <c r="CN180" i="17"/>
  <c r="CN154" i="17"/>
  <c r="CN216" i="17"/>
  <c r="CN239" i="17"/>
  <c r="CN249" i="17"/>
  <c r="CN172" i="17"/>
  <c r="CN224" i="17"/>
  <c r="CN192" i="17"/>
  <c r="CN186" i="17"/>
  <c r="CN242" i="17"/>
  <c r="CN247" i="17"/>
  <c r="CN253" i="17"/>
  <c r="CN223" i="17"/>
  <c r="CN146" i="17"/>
  <c r="CN149" i="17"/>
  <c r="CN167" i="17"/>
  <c r="CN244" i="17"/>
  <c r="CN251" i="17"/>
  <c r="CN152" i="17"/>
  <c r="CN234" i="17"/>
  <c r="CN198" i="17"/>
  <c r="CN173" i="17"/>
  <c r="CN215" i="17"/>
  <c r="CN203" i="17"/>
  <c r="CN189" i="17"/>
  <c r="CN178" i="17"/>
  <c r="CN201" i="17"/>
  <c r="CN258" i="17"/>
  <c r="CN219" i="17"/>
  <c r="CN169" i="17"/>
  <c r="CN158" i="17"/>
  <c r="CN153" i="17"/>
  <c r="CN183" i="17"/>
  <c r="CN222" i="17"/>
  <c r="CN204" i="17"/>
  <c r="CN159" i="17"/>
  <c r="CN221" i="17"/>
  <c r="CN161" i="17"/>
  <c r="CN207" i="17"/>
  <c r="CN168" i="17"/>
  <c r="CN188" i="17"/>
  <c r="CN218" i="17"/>
  <c r="CN199" i="17"/>
  <c r="CN194" i="17"/>
  <c r="CN246" i="17"/>
  <c r="CN150" i="17"/>
  <c r="CN232" i="17"/>
  <c r="CN241" i="17"/>
  <c r="CN245" i="17"/>
  <c r="CN182" i="17"/>
  <c r="CN193" i="17"/>
  <c r="CN157" i="17"/>
  <c r="CN171" i="17"/>
  <c r="CN220" i="17"/>
  <c r="CN181" i="17"/>
  <c r="CN197" i="17"/>
  <c r="CN184" i="17"/>
  <c r="CN156" i="17"/>
  <c r="CN195" i="17"/>
  <c r="CN174" i="17"/>
  <c r="CN260" i="17"/>
  <c r="BP124" i="17"/>
  <c r="BP29" i="17"/>
  <c r="BP112" i="17"/>
  <c r="BP41" i="17"/>
  <c r="BR41" i="17" s="1"/>
  <c r="E41" i="17" s="1"/>
  <c r="BP40" i="17"/>
  <c r="BP89" i="17"/>
  <c r="BP23" i="17"/>
  <c r="BP129" i="17"/>
  <c r="BP27" i="17"/>
  <c r="BP121" i="17"/>
  <c r="BP98" i="17"/>
  <c r="BP110" i="17"/>
  <c r="BR110" i="17" s="1"/>
  <c r="E110" i="17" s="1"/>
  <c r="BP114" i="17"/>
  <c r="BP73" i="17"/>
  <c r="BP87" i="17"/>
  <c r="BP36" i="17"/>
  <c r="BP79" i="17"/>
  <c r="BP128" i="17"/>
  <c r="BP43" i="17"/>
  <c r="BP111" i="17"/>
  <c r="BP53" i="17"/>
  <c r="BP86" i="17"/>
  <c r="BP122" i="17"/>
  <c r="BP75" i="17"/>
  <c r="BR75" i="17" s="1"/>
  <c r="E75" i="17" s="1"/>
  <c r="BP31" i="17"/>
  <c r="BP42" i="17"/>
  <c r="BP130" i="17"/>
  <c r="BP91" i="17"/>
  <c r="BR91" i="17" s="1"/>
  <c r="E91" i="17" s="1"/>
  <c r="BP108" i="17"/>
  <c r="BP54" i="17"/>
  <c r="BP19" i="17"/>
  <c r="BP119" i="17"/>
  <c r="BR119" i="17" s="1"/>
  <c r="E119" i="17" s="1"/>
  <c r="BP106" i="17"/>
  <c r="BP32" i="17"/>
  <c r="BP60" i="17"/>
  <c r="BP84" i="17"/>
  <c r="BR84" i="17" s="1"/>
  <c r="E84" i="17" s="1"/>
  <c r="BP52" i="17"/>
  <c r="BP65" i="17"/>
  <c r="BP67" i="17"/>
  <c r="BP93" i="17"/>
  <c r="BP70" i="17"/>
  <c r="BP107" i="17"/>
  <c r="BP120" i="17"/>
  <c r="BP28" i="17"/>
  <c r="BP94" i="17"/>
  <c r="BP95" i="17"/>
  <c r="BP20" i="17"/>
  <c r="BP80" i="17"/>
  <c r="BP17" i="17"/>
  <c r="BP77" i="17"/>
  <c r="BP26" i="17"/>
  <c r="BP105" i="17"/>
  <c r="BR105" i="17" s="1"/>
  <c r="E105" i="17" s="1"/>
  <c r="BP102" i="17"/>
  <c r="BP30" i="17"/>
  <c r="BP72" i="17"/>
  <c r="BP25" i="17"/>
  <c r="BP57" i="17"/>
  <c r="BP88" i="17"/>
  <c r="BP61" i="17"/>
  <c r="BP66" i="17"/>
  <c r="BR66" i="17" s="1"/>
  <c r="E66" i="17" s="1"/>
  <c r="BP101" i="17"/>
  <c r="BP123" i="17"/>
  <c r="BP46" i="17"/>
  <c r="BP131" i="17"/>
  <c r="BR131" i="17" s="1"/>
  <c r="E131" i="17" s="1"/>
  <c r="BP48" i="17"/>
  <c r="BP118" i="17"/>
  <c r="BP109" i="17"/>
  <c r="BP44" i="17"/>
  <c r="BP113" i="17"/>
  <c r="BP16" i="17"/>
  <c r="BP115" i="17"/>
  <c r="BP18" i="17"/>
  <c r="BP92" i="17"/>
  <c r="BP90" i="17"/>
  <c r="BP97" i="17"/>
  <c r="BP78" i="17"/>
  <c r="BR78" i="17" s="1"/>
  <c r="E78" i="17" s="1"/>
  <c r="BP51" i="17"/>
  <c r="BP21" i="17"/>
  <c r="BP96" i="17"/>
  <c r="BP38" i="17"/>
  <c r="BP33" i="17"/>
  <c r="BP24" i="17"/>
  <c r="BP81" i="17"/>
  <c r="BP68" i="17"/>
  <c r="BR68" i="17" s="1"/>
  <c r="E68" i="17" s="1"/>
  <c r="BP99" i="17"/>
  <c r="BP15" i="17"/>
  <c r="BP63" i="17"/>
  <c r="BP35" i="17"/>
  <c r="BR35" i="17" s="1"/>
  <c r="E35" i="17" s="1"/>
  <c r="BP59" i="17"/>
  <c r="BP74" i="17"/>
  <c r="BP49" i="17"/>
  <c r="BP100" i="17"/>
  <c r="BR100" i="17" s="1"/>
  <c r="E100" i="17" s="1"/>
  <c r="BP45" i="17"/>
  <c r="BP116" i="17"/>
  <c r="BP82" i="17"/>
  <c r="BP34" i="17"/>
  <c r="BR34" i="17" s="1"/>
  <c r="E34" i="17" s="1"/>
  <c r="BP71" i="17"/>
  <c r="BP69" i="17"/>
  <c r="BP103" i="17"/>
  <c r="BP56" i="17"/>
  <c r="BP83" i="17"/>
  <c r="BP39" i="17"/>
  <c r="BP50" i="17"/>
  <c r="BP127" i="17"/>
  <c r="BR127" i="17" s="1"/>
  <c r="E127" i="17" s="1"/>
  <c r="BP47" i="17"/>
  <c r="BP62" i="17"/>
  <c r="BP76" i="17"/>
  <c r="BP37" i="17"/>
  <c r="BP22" i="17"/>
  <c r="BP104" i="17"/>
  <c r="BP125" i="17"/>
  <c r="BP55" i="17"/>
  <c r="BR55" i="17" s="1"/>
  <c r="E55" i="17" s="1"/>
  <c r="BP126" i="17"/>
  <c r="BP117" i="17"/>
  <c r="BP64" i="17"/>
  <c r="BP58" i="17"/>
  <c r="BP85" i="17"/>
  <c r="CY386" i="17"/>
  <c r="CY291" i="17"/>
  <c r="CY335" i="17"/>
  <c r="CY328" i="17"/>
  <c r="CY313" i="17"/>
  <c r="CY280" i="17"/>
  <c r="CY331" i="17"/>
  <c r="CY380" i="17"/>
  <c r="CY340" i="17"/>
  <c r="CY329" i="17"/>
  <c r="CY326" i="17"/>
  <c r="CY317" i="17"/>
  <c r="CY344" i="17"/>
  <c r="CY312" i="17"/>
  <c r="CY356" i="17"/>
  <c r="CY321" i="17"/>
  <c r="CY278" i="17"/>
  <c r="CY339" i="17"/>
  <c r="CY289" i="17"/>
  <c r="CY308" i="17"/>
  <c r="CY287" i="17"/>
  <c r="CY307" i="17"/>
  <c r="CY306" i="17"/>
  <c r="CY346" i="17"/>
  <c r="CY284" i="17"/>
  <c r="CY318" i="17"/>
  <c r="CY281" i="17"/>
  <c r="CY297" i="17"/>
  <c r="CY348" i="17"/>
  <c r="CY302" i="17"/>
  <c r="CY333" i="17"/>
  <c r="CY393" i="17"/>
  <c r="CY341" i="17"/>
  <c r="CY336" i="17"/>
  <c r="CY387" i="17"/>
  <c r="CY371" i="17"/>
  <c r="CY283" i="17"/>
  <c r="CY373" i="17"/>
  <c r="CY325" i="17"/>
  <c r="CY309" i="17"/>
  <c r="CY372" i="17"/>
  <c r="CY292" i="17"/>
  <c r="CY375" i="17"/>
  <c r="CY319" i="17"/>
  <c r="CY310" i="17"/>
  <c r="CY392" i="17"/>
  <c r="CY314" i="17"/>
  <c r="CY352" i="17"/>
  <c r="CY342" i="17"/>
  <c r="CY363" i="17"/>
  <c r="CY365" i="17"/>
  <c r="CY304" i="17"/>
  <c r="CY353" i="17"/>
  <c r="CY359" i="17"/>
  <c r="CY338" i="17"/>
  <c r="CY323" i="17"/>
  <c r="CY305" i="17"/>
  <c r="CY378" i="17"/>
  <c r="CY301" i="17"/>
  <c r="CY389" i="17"/>
  <c r="CY370" i="17"/>
  <c r="CY345" i="17"/>
  <c r="CY320" i="17"/>
  <c r="CY358" i="17"/>
  <c r="CY374" i="17"/>
  <c r="CY391" i="17"/>
  <c r="CY282" i="17"/>
  <c r="CY330" i="17"/>
  <c r="CY279" i="17"/>
  <c r="CY377" i="17"/>
  <c r="CY311" i="17"/>
  <c r="CY379" i="17"/>
  <c r="CY332" i="17"/>
  <c r="CY361" i="17"/>
  <c r="CY322" i="17"/>
  <c r="CY288" i="17"/>
  <c r="CY367" i="17"/>
  <c r="CY324" i="17"/>
  <c r="CY390" i="17"/>
  <c r="CY382" i="17"/>
  <c r="CY277" i="17"/>
  <c r="CY355" i="17"/>
  <c r="CY362" i="17"/>
  <c r="CY376" i="17"/>
  <c r="CY315" i="17"/>
  <c r="CY299" i="17"/>
  <c r="CY360" i="17"/>
  <c r="CY366" i="17"/>
  <c r="CY384" i="17"/>
  <c r="CY303" i="17"/>
  <c r="CY351" i="17"/>
  <c r="CY388" i="17"/>
  <c r="CY383" i="17"/>
  <c r="CY300" i="17"/>
  <c r="CY369" i="17"/>
  <c r="CY357" i="17"/>
  <c r="CY349" i="17"/>
  <c r="CY285" i="17"/>
  <c r="CY296" i="17"/>
  <c r="CY343" i="17"/>
  <c r="CY290" i="17"/>
  <c r="CY295" i="17"/>
  <c r="CY347" i="17"/>
  <c r="CY327" i="17"/>
  <c r="CY286" i="17"/>
  <c r="CY293" i="17"/>
  <c r="CY354" i="17"/>
  <c r="CY298" i="17"/>
  <c r="CY316" i="17"/>
  <c r="CY381" i="17"/>
  <c r="CY385" i="17"/>
  <c r="CY337" i="17"/>
  <c r="CY368" i="17"/>
  <c r="CY350" i="17"/>
  <c r="CY334" i="17"/>
  <c r="CY294" i="17"/>
  <c r="CY364" i="17"/>
  <c r="DA291" i="17"/>
  <c r="DA386" i="17"/>
  <c r="DA297" i="17"/>
  <c r="DA335" i="17"/>
  <c r="DA363" i="17"/>
  <c r="DA302" i="17"/>
  <c r="DA393" i="17"/>
  <c r="DA304" i="17"/>
  <c r="DA341" i="17"/>
  <c r="DA359" i="17"/>
  <c r="DA355" i="17"/>
  <c r="DA373" i="17"/>
  <c r="DA325" i="17"/>
  <c r="DA309" i="17"/>
  <c r="DA320" i="17"/>
  <c r="DA287" i="17"/>
  <c r="DA391" i="17"/>
  <c r="DA310" i="17"/>
  <c r="DA314" i="17"/>
  <c r="DA279" i="17"/>
  <c r="DA342" i="17"/>
  <c r="DA333" i="17"/>
  <c r="DA343" i="17"/>
  <c r="DA353" i="17"/>
  <c r="DA311" i="17"/>
  <c r="DA338" i="17"/>
  <c r="DA305" i="17"/>
  <c r="DA378" i="17"/>
  <c r="DA300" i="17"/>
  <c r="DA295" i="17"/>
  <c r="DA347" i="17"/>
  <c r="DA389" i="17"/>
  <c r="DA370" i="17"/>
  <c r="DA345" i="17"/>
  <c r="DA339" i="17"/>
  <c r="DA327" i="17"/>
  <c r="DA358" i="17"/>
  <c r="DA379" i="17"/>
  <c r="DA332" i="17"/>
  <c r="DA376" i="17"/>
  <c r="DA374" i="17"/>
  <c r="DA315" i="17"/>
  <c r="DA349" i="17"/>
  <c r="DA307" i="17"/>
  <c r="DA299" i="17"/>
  <c r="DA360" i="17"/>
  <c r="DA282" i="17"/>
  <c r="DA330" i="17"/>
  <c r="DA377" i="17"/>
  <c r="DA328" i="17"/>
  <c r="DA280" i="17"/>
  <c r="DA331" i="17"/>
  <c r="DA365" i="17"/>
  <c r="DA380" i="17"/>
  <c r="DA290" i="17"/>
  <c r="DA334" i="17"/>
  <c r="DA387" i="17"/>
  <c r="DA371" i="17"/>
  <c r="DA340" i="17"/>
  <c r="DA344" i="17"/>
  <c r="DA369" i="17"/>
  <c r="DA301" i="17"/>
  <c r="DA312" i="17"/>
  <c r="DA357" i="17"/>
  <c r="DA356" i="17"/>
  <c r="DA362" i="17"/>
  <c r="DA286" i="17"/>
  <c r="DA293" i="17"/>
  <c r="DA308" i="17"/>
  <c r="DA294" i="17"/>
  <c r="DA319" i="17"/>
  <c r="DA284" i="17"/>
  <c r="DA354" i="17"/>
  <c r="DA366" i="17"/>
  <c r="DA298" i="17"/>
  <c r="DA348" i="17"/>
  <c r="DA317" i="17"/>
  <c r="DA321" i="17"/>
  <c r="DA292" i="17"/>
  <c r="DA289" i="17"/>
  <c r="DA392" i="17"/>
  <c r="DA318" i="17"/>
  <c r="DA281" i="17"/>
  <c r="DA303" i="17"/>
  <c r="DA368" i="17"/>
  <c r="DA383" i="17"/>
  <c r="DA352" i="17"/>
  <c r="DA316" i="17"/>
  <c r="DA384" i="17"/>
  <c r="DA361" i="17"/>
  <c r="DA322" i="17"/>
  <c r="DA326" i="17"/>
  <c r="DA278" i="17"/>
  <c r="DA372" i="17"/>
  <c r="DA324" i="17"/>
  <c r="DA385" i="17"/>
  <c r="DA351" i="17"/>
  <c r="DA337" i="17"/>
  <c r="DA350" i="17"/>
  <c r="DA296" i="17"/>
  <c r="DA364" i="17"/>
  <c r="DA382" i="17"/>
  <c r="DA313" i="17"/>
  <c r="DA329" i="17"/>
  <c r="DA306" i="17"/>
  <c r="DA346" i="17"/>
  <c r="DA381" i="17"/>
  <c r="DA388" i="17"/>
  <c r="DA336" i="17"/>
  <c r="DA283" i="17"/>
  <c r="DA288" i="17"/>
  <c r="DA367" i="17"/>
  <c r="DA390" i="17"/>
  <c r="DA277" i="17"/>
  <c r="DA323" i="17"/>
  <c r="DA375" i="17"/>
  <c r="DA285" i="17"/>
  <c r="O40" i="2"/>
  <c r="M40" i="2"/>
  <c r="D41" i="21"/>
  <c r="I41" i="21" s="1"/>
  <c r="C89" i="9"/>
  <c r="G41" i="2"/>
  <c r="K41" i="2"/>
  <c r="CA132" i="15"/>
  <c r="CD132" i="15" s="1"/>
  <c r="E132" i="15" s="1"/>
  <c r="CA37" i="15"/>
  <c r="CA126" i="15"/>
  <c r="CA24" i="15"/>
  <c r="CA61" i="15"/>
  <c r="CD61" i="15" s="1"/>
  <c r="E61" i="15" s="1"/>
  <c r="CA109" i="15"/>
  <c r="CA91" i="15"/>
  <c r="CA45" i="15"/>
  <c r="CA32" i="15"/>
  <c r="CA36" i="15"/>
  <c r="CA82" i="15"/>
  <c r="CA107" i="15"/>
  <c r="CA90" i="15"/>
  <c r="CD90" i="15" s="1"/>
  <c r="E90" i="15" s="1"/>
  <c r="CA44" i="15"/>
  <c r="CA136" i="15"/>
  <c r="CA110" i="15"/>
  <c r="CA93" i="15"/>
  <c r="CD93" i="15" s="1"/>
  <c r="E93" i="15" s="1"/>
  <c r="CA26" i="15"/>
  <c r="CA85" i="15"/>
  <c r="CA57" i="15"/>
  <c r="CA68" i="15"/>
  <c r="CD68" i="15" s="1"/>
  <c r="E68" i="15" s="1"/>
  <c r="CA114" i="15"/>
  <c r="CA34" i="15"/>
  <c r="CA116" i="15"/>
  <c r="CA27" i="15"/>
  <c r="CD27" i="15" s="1"/>
  <c r="E27" i="15" s="1"/>
  <c r="CA98" i="15"/>
  <c r="CA106" i="15"/>
  <c r="CA43" i="15"/>
  <c r="CA123" i="15"/>
  <c r="CD123" i="15" s="1"/>
  <c r="E123" i="15" s="1"/>
  <c r="CA138" i="15"/>
  <c r="CA30" i="15"/>
  <c r="CA130" i="15"/>
  <c r="CA64" i="15"/>
  <c r="CA100" i="15"/>
  <c r="CA131" i="15"/>
  <c r="CA112" i="15"/>
  <c r="CA79" i="15"/>
  <c r="CD79" i="15" s="1"/>
  <c r="E79" i="15" s="1"/>
  <c r="CA38" i="15"/>
  <c r="CA66" i="15"/>
  <c r="CA103" i="15"/>
  <c r="CA77" i="15"/>
  <c r="CA29" i="15"/>
  <c r="CA41" i="15"/>
  <c r="CA128" i="15"/>
  <c r="CA25" i="15"/>
  <c r="CA46" i="15"/>
  <c r="CA70" i="15"/>
  <c r="CA105" i="15"/>
  <c r="CA49" i="15"/>
  <c r="CD49" i="15" s="1"/>
  <c r="E49" i="15" s="1"/>
  <c r="CA86" i="15"/>
  <c r="CA76" i="15"/>
  <c r="CA118" i="15"/>
  <c r="CA33" i="15"/>
  <c r="CA108" i="15"/>
  <c r="CA104" i="15"/>
  <c r="CA78" i="15"/>
  <c r="CA65" i="15"/>
  <c r="CD65" i="15" s="1"/>
  <c r="E65" i="15" s="1"/>
  <c r="CA80" i="15"/>
  <c r="CA84" i="15"/>
  <c r="CA124" i="15"/>
  <c r="CA58" i="15"/>
  <c r="CD58" i="15" s="1"/>
  <c r="E58" i="15" s="1"/>
  <c r="CA111" i="15"/>
  <c r="CA62" i="15"/>
  <c r="CA89" i="15"/>
  <c r="CA59" i="15"/>
  <c r="CD59" i="15" s="1"/>
  <c r="E59" i="15" s="1"/>
  <c r="CA75" i="15"/>
  <c r="CA137" i="15"/>
  <c r="CA42" i="15"/>
  <c r="CA63" i="15"/>
  <c r="CD63" i="15" s="1"/>
  <c r="E63" i="15" s="1"/>
  <c r="CA35" i="15"/>
  <c r="CA72" i="15"/>
  <c r="CA67" i="15"/>
  <c r="CA122" i="15"/>
  <c r="CA94" i="15"/>
  <c r="CA50" i="15"/>
  <c r="CA129" i="15"/>
  <c r="CA134" i="15"/>
  <c r="CA28" i="15"/>
  <c r="CA99" i="15"/>
  <c r="CA74" i="15"/>
  <c r="CA48" i="15"/>
  <c r="CD48" i="15" s="1"/>
  <c r="E48" i="15" s="1"/>
  <c r="CA54" i="15"/>
  <c r="CA119" i="15"/>
  <c r="CA88" i="15"/>
  <c r="CA56" i="15"/>
  <c r="CA92" i="15"/>
  <c r="CA60" i="15"/>
  <c r="CA127" i="15"/>
  <c r="CA133" i="15"/>
  <c r="CD133" i="15" s="1"/>
  <c r="E133" i="15" s="1"/>
  <c r="CA97" i="15"/>
  <c r="CA139" i="15"/>
  <c r="CA53" i="15"/>
  <c r="CA47" i="15"/>
  <c r="CD47" i="15" s="1"/>
  <c r="E47" i="15" s="1"/>
  <c r="CA55" i="15"/>
  <c r="CA102" i="15"/>
  <c r="CA73" i="15"/>
  <c r="CA117" i="15"/>
  <c r="CD117" i="15" s="1"/>
  <c r="E117" i="15" s="1"/>
  <c r="CA69" i="15"/>
  <c r="CA51" i="15"/>
  <c r="CA115" i="15"/>
  <c r="CA71" i="15"/>
  <c r="CD71" i="15" s="1"/>
  <c r="E71" i="15" s="1"/>
  <c r="CA83" i="15"/>
  <c r="CA120" i="15"/>
  <c r="CA101" i="15"/>
  <c r="CA52" i="15"/>
  <c r="CA95" i="15"/>
  <c r="CA113" i="15"/>
  <c r="CA31" i="15"/>
  <c r="CA23" i="15"/>
  <c r="CA135" i="15"/>
  <c r="CA40" i="15"/>
  <c r="CA125" i="15"/>
  <c r="CA81" i="15"/>
  <c r="CD81" i="15" s="1"/>
  <c r="E81" i="15" s="1"/>
  <c r="CA96" i="15"/>
  <c r="CA39" i="15"/>
  <c r="CA87" i="15"/>
  <c r="CA121" i="15"/>
  <c r="CC132" i="15"/>
  <c r="CC37" i="15"/>
  <c r="CC27" i="15"/>
  <c r="CC86" i="15"/>
  <c r="CC43" i="15"/>
  <c r="CC56" i="15"/>
  <c r="CC61" i="15"/>
  <c r="CC95" i="15"/>
  <c r="CC78" i="15"/>
  <c r="CC45" i="15"/>
  <c r="CC50" i="15"/>
  <c r="CC36" i="15"/>
  <c r="CC133" i="15"/>
  <c r="CC107" i="15"/>
  <c r="CC44" i="15"/>
  <c r="CC111" i="15"/>
  <c r="CC62" i="15"/>
  <c r="CC59" i="15"/>
  <c r="CC75" i="15"/>
  <c r="CC137" i="15"/>
  <c r="CC41" i="15"/>
  <c r="CC47" i="15"/>
  <c r="CC93" i="15"/>
  <c r="CC25" i="15"/>
  <c r="CC85" i="15"/>
  <c r="CC55" i="15"/>
  <c r="CC31" i="15"/>
  <c r="CC23" i="15"/>
  <c r="CC39" i="15"/>
  <c r="CC67" i="15"/>
  <c r="CC68" i="15"/>
  <c r="CC114" i="15"/>
  <c r="CC120" i="15"/>
  <c r="CC94" i="15"/>
  <c r="CC49" i="15"/>
  <c r="CC106" i="15"/>
  <c r="CC123" i="15"/>
  <c r="CC138" i="15"/>
  <c r="CC130" i="15"/>
  <c r="CC109" i="15"/>
  <c r="CC100" i="15"/>
  <c r="CC131" i="15"/>
  <c r="CC118" i="15"/>
  <c r="CC33" i="15"/>
  <c r="CC32" i="15"/>
  <c r="CC65" i="15"/>
  <c r="CC127" i="15"/>
  <c r="CC82" i="15"/>
  <c r="CC113" i="15"/>
  <c r="CC90" i="15"/>
  <c r="CC129" i="15"/>
  <c r="CC77" i="15"/>
  <c r="CC89" i="15"/>
  <c r="CC96" i="15"/>
  <c r="CC29" i="15"/>
  <c r="CC136" i="15"/>
  <c r="CC26" i="15"/>
  <c r="CC35" i="15"/>
  <c r="CC135" i="15"/>
  <c r="CC88" i="15"/>
  <c r="CC34" i="15"/>
  <c r="CC98" i="15"/>
  <c r="CC24" i="15"/>
  <c r="CC64" i="15"/>
  <c r="CC81" i="15"/>
  <c r="CC76" i="15"/>
  <c r="CC112" i="15"/>
  <c r="CC83" i="15"/>
  <c r="CC79" i="15"/>
  <c r="CC66" i="15"/>
  <c r="CC97" i="15"/>
  <c r="CC84" i="15"/>
  <c r="CC134" i="15"/>
  <c r="CC128" i="15"/>
  <c r="CC116" i="15"/>
  <c r="CC122" i="15"/>
  <c r="CC110" i="15"/>
  <c r="CC28" i="15"/>
  <c r="CC72" i="15"/>
  <c r="CC87" i="15"/>
  <c r="CC102" i="15"/>
  <c r="CC73" i="15"/>
  <c r="CC101" i="15"/>
  <c r="CC40" i="15"/>
  <c r="CC51" i="15"/>
  <c r="CC105" i="15"/>
  <c r="CC125" i="15"/>
  <c r="CC108" i="15"/>
  <c r="CC58" i="15"/>
  <c r="CC42" i="15"/>
  <c r="CC63" i="15"/>
  <c r="CC70" i="15"/>
  <c r="CC74" i="15"/>
  <c r="CC69" i="15"/>
  <c r="CC115" i="15"/>
  <c r="CC121" i="15"/>
  <c r="CC71" i="15"/>
  <c r="CC92" i="15"/>
  <c r="CC30" i="15"/>
  <c r="CC38" i="15"/>
  <c r="CC99" i="15"/>
  <c r="CC60" i="15"/>
  <c r="CC91" i="15"/>
  <c r="CC80" i="15"/>
  <c r="CC139" i="15"/>
  <c r="CC53" i="15"/>
  <c r="CC46" i="15"/>
  <c r="CC57" i="15"/>
  <c r="CC48" i="15"/>
  <c r="CC117" i="15"/>
  <c r="CC54" i="15"/>
  <c r="CC119" i="15"/>
  <c r="CC126" i="15"/>
  <c r="CC104" i="15"/>
  <c r="CC124" i="15"/>
  <c r="CC103" i="15"/>
  <c r="CC52" i="15"/>
  <c r="DL517" i="17"/>
  <c r="DL422" i="17"/>
  <c r="DL429" i="17"/>
  <c r="DL435" i="17"/>
  <c r="DL501" i="17"/>
  <c r="DL491" i="17"/>
  <c r="DL523" i="17"/>
  <c r="DL415" i="17"/>
  <c r="DL515" i="17"/>
  <c r="DL466" i="17"/>
  <c r="DL503" i="17"/>
  <c r="DL414" i="17"/>
  <c r="DL425" i="17"/>
  <c r="DL483" i="17"/>
  <c r="DL468" i="17"/>
  <c r="DL471" i="17"/>
  <c r="DL498" i="17"/>
  <c r="DL432" i="17"/>
  <c r="DL514" i="17"/>
  <c r="DL424" i="17"/>
  <c r="DL484" i="17"/>
  <c r="DL490" i="17"/>
  <c r="DL412" i="17"/>
  <c r="DL494" i="17"/>
  <c r="DL482" i="17"/>
  <c r="DL488" i="17"/>
  <c r="DL508" i="17"/>
  <c r="DL474" i="17"/>
  <c r="DL421" i="17"/>
  <c r="DL470" i="17"/>
  <c r="DL410" i="17"/>
  <c r="DL446" i="17"/>
  <c r="DL513" i="17"/>
  <c r="DL516" i="17"/>
  <c r="DL499" i="17"/>
  <c r="DL416" i="17"/>
  <c r="DL519" i="17"/>
  <c r="DL436" i="17"/>
  <c r="DL504" i="17"/>
  <c r="DL509" i="17"/>
  <c r="DL473" i="17"/>
  <c r="DL511" i="17"/>
  <c r="DL451" i="17"/>
  <c r="DL475" i="17"/>
  <c r="DL512" i="17"/>
  <c r="DL476" i="17"/>
  <c r="DL524" i="17"/>
  <c r="DL441" i="17"/>
  <c r="DL411" i="17"/>
  <c r="DL518" i="17"/>
  <c r="DL453" i="17"/>
  <c r="DL413" i="17"/>
  <c r="DL419" i="17"/>
  <c r="DL444" i="17"/>
  <c r="DL423" i="17"/>
  <c r="DL437" i="17"/>
  <c r="DL478" i="17"/>
  <c r="DL440" i="17"/>
  <c r="DL431" i="17"/>
  <c r="DL469" i="17"/>
  <c r="DL427" i="17"/>
  <c r="DL457" i="17"/>
  <c r="DL510" i="17"/>
  <c r="DL520" i="17"/>
  <c r="DL430" i="17"/>
  <c r="DL443" i="17"/>
  <c r="DL455" i="17"/>
  <c r="DL465" i="17"/>
  <c r="DL492" i="17"/>
  <c r="DL428" i="17"/>
  <c r="DL409" i="17"/>
  <c r="DL477" i="17"/>
  <c r="DL467" i="17"/>
  <c r="DL450" i="17"/>
  <c r="DL481" i="17"/>
  <c r="DL522" i="17"/>
  <c r="DL479" i="17"/>
  <c r="DL447" i="17"/>
  <c r="DL445" i="17"/>
  <c r="DL472" i="17"/>
  <c r="DL459" i="17"/>
  <c r="DL442" i="17"/>
  <c r="DL464" i="17"/>
  <c r="DL486" i="17"/>
  <c r="DL493" i="17"/>
  <c r="DL420" i="17"/>
  <c r="DL438" i="17"/>
  <c r="DL506" i="17"/>
  <c r="DL487" i="17"/>
  <c r="DL485" i="17"/>
  <c r="DL460" i="17"/>
  <c r="DL489" i="17"/>
  <c r="DL426" i="17"/>
  <c r="DL452" i="17"/>
  <c r="DL418" i="17"/>
  <c r="DL495" i="17"/>
  <c r="DL507" i="17"/>
  <c r="DL497" i="17"/>
  <c r="DL439" i="17"/>
  <c r="DL480" i="17"/>
  <c r="DL456" i="17"/>
  <c r="DL462" i="17"/>
  <c r="DL496" i="17"/>
  <c r="DL417" i="17"/>
  <c r="DL505" i="17"/>
  <c r="DL433" i="17"/>
  <c r="DL463" i="17"/>
  <c r="DL500" i="17"/>
  <c r="DL408" i="17"/>
  <c r="DL434" i="17"/>
  <c r="DL521" i="17"/>
  <c r="DL449" i="17"/>
  <c r="DL461" i="17"/>
  <c r="DL458" i="17"/>
  <c r="DL502" i="17"/>
  <c r="DL454" i="17"/>
  <c r="DL448" i="17"/>
  <c r="DJ517" i="17"/>
  <c r="DJ422" i="17"/>
  <c r="DJ435" i="17"/>
  <c r="DJ501" i="17"/>
  <c r="DJ410" i="17"/>
  <c r="DJ491" i="17"/>
  <c r="DJ462" i="17"/>
  <c r="DJ515" i="17"/>
  <c r="DJ503" i="17"/>
  <c r="DJ418" i="17"/>
  <c r="DJ450" i="17"/>
  <c r="DJ483" i="17"/>
  <c r="DJ468" i="17"/>
  <c r="DJ471" i="17"/>
  <c r="DJ498" i="17"/>
  <c r="DJ432" i="17"/>
  <c r="DJ514" i="17"/>
  <c r="DJ424" i="17"/>
  <c r="DJ484" i="17"/>
  <c r="DJ499" i="17"/>
  <c r="DJ504" i="17"/>
  <c r="DJ473" i="17"/>
  <c r="DJ434" i="17"/>
  <c r="DJ488" i="17"/>
  <c r="DJ508" i="17"/>
  <c r="DJ512" i="17"/>
  <c r="DJ465" i="17"/>
  <c r="DJ409" i="17"/>
  <c r="DJ477" i="17"/>
  <c r="DJ523" i="17"/>
  <c r="DJ466" i="17"/>
  <c r="DJ433" i="17"/>
  <c r="DJ481" i="17"/>
  <c r="DJ431" i="17"/>
  <c r="DJ513" i="17"/>
  <c r="DJ516" i="17"/>
  <c r="DJ490" i="17"/>
  <c r="DJ416" i="17"/>
  <c r="DJ519" i="17"/>
  <c r="DJ436" i="17"/>
  <c r="DJ520" i="17"/>
  <c r="DJ511" i="17"/>
  <c r="DJ494" i="17"/>
  <c r="DJ482" i="17"/>
  <c r="DJ451" i="17"/>
  <c r="DJ475" i="17"/>
  <c r="DJ474" i="17"/>
  <c r="DJ421" i="17"/>
  <c r="DJ476" i="17"/>
  <c r="DJ524" i="17"/>
  <c r="DJ507" i="17"/>
  <c r="DJ429" i="17"/>
  <c r="DJ411" i="17"/>
  <c r="DJ470" i="17"/>
  <c r="DJ415" i="17"/>
  <c r="DJ419" i="17"/>
  <c r="DJ444" i="17"/>
  <c r="DJ423" i="17"/>
  <c r="DJ425" i="17"/>
  <c r="DJ446" i="17"/>
  <c r="DJ496" i="17"/>
  <c r="DJ440" i="17"/>
  <c r="DJ427" i="17"/>
  <c r="DJ457" i="17"/>
  <c r="DJ509" i="17"/>
  <c r="DJ495" i="17"/>
  <c r="DJ408" i="17"/>
  <c r="DJ443" i="17"/>
  <c r="DJ455" i="17"/>
  <c r="DJ492" i="17"/>
  <c r="DJ428" i="17"/>
  <c r="DJ441" i="17"/>
  <c r="DJ452" i="17"/>
  <c r="DJ510" i="17"/>
  <c r="DJ449" i="17"/>
  <c r="DJ472" i="17"/>
  <c r="DJ459" i="17"/>
  <c r="DJ485" i="17"/>
  <c r="DJ461" i="17"/>
  <c r="DJ464" i="17"/>
  <c r="DJ420" i="17"/>
  <c r="DJ426" i="17"/>
  <c r="DJ506" i="17"/>
  <c r="DJ447" i="17"/>
  <c r="DJ454" i="17"/>
  <c r="DJ467" i="17"/>
  <c r="DJ505" i="17"/>
  <c r="DJ414" i="17"/>
  <c r="DJ463" i="17"/>
  <c r="DJ478" i="17"/>
  <c r="DJ500" i="17"/>
  <c r="DJ521" i="17"/>
  <c r="DJ448" i="17"/>
  <c r="DJ430" i="17"/>
  <c r="DJ497" i="17"/>
  <c r="DJ442" i="17"/>
  <c r="DJ439" i="17"/>
  <c r="DJ486" i="17"/>
  <c r="DJ480" i="17"/>
  <c r="DJ489" i="17"/>
  <c r="DJ438" i="17"/>
  <c r="DJ417" i="17"/>
  <c r="DJ456" i="17"/>
  <c r="DJ518" i="17"/>
  <c r="DJ437" i="17"/>
  <c r="DJ469" i="17"/>
  <c r="DJ522" i="17"/>
  <c r="DJ412" i="17"/>
  <c r="DJ487" i="17"/>
  <c r="DJ458" i="17"/>
  <c r="DJ502" i="17"/>
  <c r="DJ460" i="17"/>
  <c r="DJ453" i="17"/>
  <c r="DJ413" i="17"/>
  <c r="DJ479" i="17"/>
  <c r="DJ445" i="17"/>
  <c r="DJ493" i="17"/>
  <c r="DK517" i="17"/>
  <c r="DK422" i="17"/>
  <c r="DK467" i="17"/>
  <c r="DK518" i="17"/>
  <c r="DK453" i="17"/>
  <c r="DK501" i="17"/>
  <c r="DK444" i="17"/>
  <c r="DK437" i="17"/>
  <c r="DK463" i="17"/>
  <c r="DK478" i="17"/>
  <c r="DK496" i="17"/>
  <c r="DK469" i="17"/>
  <c r="DK457" i="17"/>
  <c r="DK510" i="17"/>
  <c r="DK430" i="17"/>
  <c r="DK465" i="17"/>
  <c r="DK492" i="17"/>
  <c r="DK428" i="17"/>
  <c r="DK477" i="17"/>
  <c r="DK479" i="17"/>
  <c r="DK435" i="17"/>
  <c r="DK491" i="17"/>
  <c r="DK505" i="17"/>
  <c r="DK462" i="17"/>
  <c r="DK413" i="17"/>
  <c r="DK515" i="17"/>
  <c r="DK433" i="17"/>
  <c r="DK503" i="17"/>
  <c r="DK418" i="17"/>
  <c r="DK450" i="17"/>
  <c r="DK440" i="17"/>
  <c r="DK483" i="17"/>
  <c r="DK468" i="17"/>
  <c r="DK471" i="17"/>
  <c r="DK481" i="17"/>
  <c r="DK500" i="17"/>
  <c r="DK484" i="17"/>
  <c r="DK499" i="17"/>
  <c r="DK522" i="17"/>
  <c r="DK436" i="17"/>
  <c r="DK509" i="17"/>
  <c r="DK408" i="17"/>
  <c r="DK520" i="17"/>
  <c r="DK434" i="17"/>
  <c r="DK521" i="17"/>
  <c r="DK448" i="17"/>
  <c r="DK429" i="17"/>
  <c r="DK523" i="17"/>
  <c r="DK466" i="17"/>
  <c r="DK452" i="17"/>
  <c r="DK414" i="17"/>
  <c r="DK425" i="17"/>
  <c r="DK498" i="17"/>
  <c r="DK431" i="17"/>
  <c r="DK432" i="17"/>
  <c r="DK514" i="17"/>
  <c r="DK490" i="17"/>
  <c r="DK519" i="17"/>
  <c r="DK511" i="17"/>
  <c r="DK494" i="17"/>
  <c r="DK482" i="17"/>
  <c r="DK451" i="17"/>
  <c r="DK475" i="17"/>
  <c r="DK508" i="17"/>
  <c r="DK474" i="17"/>
  <c r="DK421" i="17"/>
  <c r="DK507" i="17"/>
  <c r="DK470" i="17"/>
  <c r="DK446" i="17"/>
  <c r="DK513" i="17"/>
  <c r="DK416" i="17"/>
  <c r="DK427" i="17"/>
  <c r="DK504" i="17"/>
  <c r="DK412" i="17"/>
  <c r="DK524" i="17"/>
  <c r="DK449" i="17"/>
  <c r="DK487" i="17"/>
  <c r="DK461" i="17"/>
  <c r="DK458" i="17"/>
  <c r="DK502" i="17"/>
  <c r="DK454" i="17"/>
  <c r="DK409" i="17"/>
  <c r="DK472" i="17"/>
  <c r="DK480" i="17"/>
  <c r="DK415" i="17"/>
  <c r="DK419" i="17"/>
  <c r="DK423" i="17"/>
  <c r="DK424" i="17"/>
  <c r="DK516" i="17"/>
  <c r="DK455" i="17"/>
  <c r="DK512" i="17"/>
  <c r="DK447" i="17"/>
  <c r="DK459" i="17"/>
  <c r="DK485" i="17"/>
  <c r="DK460" i="17"/>
  <c r="DK420" i="17"/>
  <c r="DK489" i="17"/>
  <c r="DK426" i="17"/>
  <c r="DK456" i="17"/>
  <c r="DK417" i="17"/>
  <c r="DK506" i="17"/>
  <c r="DK497" i="17"/>
  <c r="DK411" i="17"/>
  <c r="DK410" i="17"/>
  <c r="DK488" i="17"/>
  <c r="DK476" i="17"/>
  <c r="DK441" i="17"/>
  <c r="DK445" i="17"/>
  <c r="DK442" i="17"/>
  <c r="DK439" i="17"/>
  <c r="DK464" i="17"/>
  <c r="DK486" i="17"/>
  <c r="DK493" i="17"/>
  <c r="DK438" i="17"/>
  <c r="DK495" i="17"/>
  <c r="DK473" i="17"/>
  <c r="DK443" i="17"/>
  <c r="CW386" i="17"/>
  <c r="CW291" i="17"/>
  <c r="CW348" i="17"/>
  <c r="CW313" i="17"/>
  <c r="DB313" i="17" s="1"/>
  <c r="E313" i="17" s="1"/>
  <c r="CW333" i="17"/>
  <c r="CW393" i="17"/>
  <c r="CW336" i="17"/>
  <c r="CW329" i="17"/>
  <c r="DB329" i="17" s="1"/>
  <c r="E329" i="17" s="1"/>
  <c r="CW283" i="17"/>
  <c r="CW326" i="17"/>
  <c r="CW323" i="17"/>
  <c r="CW278" i="17"/>
  <c r="CW372" i="17"/>
  <c r="CW292" i="17"/>
  <c r="CW375" i="17"/>
  <c r="CW306" i="17"/>
  <c r="CW346" i="17"/>
  <c r="CW318" i="17"/>
  <c r="CW281" i="17"/>
  <c r="CW352" i="17"/>
  <c r="CW297" i="17"/>
  <c r="CW335" i="17"/>
  <c r="CW363" i="17"/>
  <c r="CW302" i="17"/>
  <c r="CW365" i="17"/>
  <c r="CW304" i="17"/>
  <c r="CW341" i="17"/>
  <c r="CW359" i="17"/>
  <c r="CW355" i="17"/>
  <c r="CW373" i="17"/>
  <c r="CW301" i="17"/>
  <c r="CW325" i="17"/>
  <c r="CW321" i="17"/>
  <c r="CW309" i="17"/>
  <c r="CW320" i="17"/>
  <c r="CW287" i="17"/>
  <c r="CW391" i="17"/>
  <c r="CW310" i="17"/>
  <c r="CW314" i="17"/>
  <c r="CW279" i="17"/>
  <c r="CW342" i="17"/>
  <c r="CW343" i="17"/>
  <c r="CW353" i="17"/>
  <c r="CW311" i="17"/>
  <c r="DB311" i="17" s="1"/>
  <c r="E311" i="17" s="1"/>
  <c r="CW338" i="17"/>
  <c r="CW305" i="17"/>
  <c r="CW378" i="17"/>
  <c r="CW300" i="17"/>
  <c r="DB300" i="17" s="1"/>
  <c r="E300" i="17" s="1"/>
  <c r="CW295" i="17"/>
  <c r="CW347" i="17"/>
  <c r="CW389" i="17"/>
  <c r="CW370" i="17"/>
  <c r="DB370" i="17" s="1"/>
  <c r="E370" i="17" s="1"/>
  <c r="CW345" i="17"/>
  <c r="CW339" i="17"/>
  <c r="CW327" i="17"/>
  <c r="CW358" i="17"/>
  <c r="CW379" i="17"/>
  <c r="CW332" i="17"/>
  <c r="CW376" i="17"/>
  <c r="CW374" i="17"/>
  <c r="DB374" i="17" s="1"/>
  <c r="E374" i="17" s="1"/>
  <c r="CW315" i="17"/>
  <c r="CW349" i="17"/>
  <c r="CW307" i="17"/>
  <c r="CW299" i="17"/>
  <c r="CW360" i="17"/>
  <c r="CW282" i="17"/>
  <c r="CW330" i="17"/>
  <c r="CW377" i="17"/>
  <c r="CW380" i="17"/>
  <c r="CW387" i="17"/>
  <c r="CW317" i="17"/>
  <c r="CW293" i="17"/>
  <c r="CW316" i="17"/>
  <c r="CW384" i="17"/>
  <c r="CW385" i="17"/>
  <c r="CW361" i="17"/>
  <c r="CW322" i="17"/>
  <c r="CW388" i="17"/>
  <c r="CW284" i="17"/>
  <c r="CW390" i="17"/>
  <c r="CW382" i="17"/>
  <c r="CW371" i="17"/>
  <c r="CW340" i="17"/>
  <c r="CW312" i="17"/>
  <c r="DB312" i="17" s="1"/>
  <c r="E312" i="17" s="1"/>
  <c r="CW357" i="17"/>
  <c r="CW362" i="17"/>
  <c r="CW392" i="17"/>
  <c r="CW366" i="17"/>
  <c r="DB366" i="17" s="1"/>
  <c r="E366" i="17" s="1"/>
  <c r="CW381" i="17"/>
  <c r="CW303" i="17"/>
  <c r="CW337" i="17"/>
  <c r="CW368" i="17"/>
  <c r="DB368" i="17" s="1"/>
  <c r="E368" i="17" s="1"/>
  <c r="CW383" i="17"/>
  <c r="CW328" i="17"/>
  <c r="CW331" i="17"/>
  <c r="CW344" i="17"/>
  <c r="CW288" i="17"/>
  <c r="CW367" i="17"/>
  <c r="CW280" i="17"/>
  <c r="CW290" i="17"/>
  <c r="CW369" i="17"/>
  <c r="CW289" i="17"/>
  <c r="CW286" i="17"/>
  <c r="CW319" i="17"/>
  <c r="CW354" i="17"/>
  <c r="CW298" i="17"/>
  <c r="CW324" i="17"/>
  <c r="CW351" i="17"/>
  <c r="DB351" i="17" s="1"/>
  <c r="E351" i="17" s="1"/>
  <c r="CW285" i="17"/>
  <c r="CW350" i="17"/>
  <c r="CW296" i="17"/>
  <c r="CW364" i="17"/>
  <c r="DB364" i="17" s="1"/>
  <c r="E364" i="17" s="1"/>
  <c r="CW334" i="17"/>
  <c r="CW356" i="17"/>
  <c r="CW308" i="17"/>
  <c r="CW294" i="17"/>
  <c r="DB294" i="17" s="1"/>
  <c r="E294" i="17" s="1"/>
  <c r="CW277" i="17"/>
  <c r="A42" i="21"/>
  <c r="A90" i="9"/>
  <c r="A50" i="11" s="1"/>
  <c r="A43" i="2"/>
  <c r="E42" i="2"/>
  <c r="P42" i="2"/>
  <c r="D42" i="2"/>
  <c r="N42" i="2"/>
  <c r="E90" i="9" s="1"/>
  <c r="B42" i="2"/>
  <c r="C42" i="2"/>
  <c r="A59" i="22"/>
  <c r="B41" i="21"/>
  <c r="H40" i="21"/>
  <c r="G40" i="21"/>
  <c r="DH517" i="17"/>
  <c r="DH422" i="17"/>
  <c r="DH411" i="17"/>
  <c r="DH435" i="17"/>
  <c r="DH505" i="17"/>
  <c r="DH462" i="17"/>
  <c r="DN462" i="17" s="1"/>
  <c r="E462" i="17" s="1"/>
  <c r="DH452" i="17"/>
  <c r="DH433" i="17"/>
  <c r="DH418" i="17"/>
  <c r="DH423" i="17"/>
  <c r="DN423" i="17" s="1"/>
  <c r="E423" i="17" s="1"/>
  <c r="DH450" i="17"/>
  <c r="DH481" i="17"/>
  <c r="DH522" i="17"/>
  <c r="DH427" i="17"/>
  <c r="DH504" i="17"/>
  <c r="DH434" i="17"/>
  <c r="DH451" i="17"/>
  <c r="DH521" i="17"/>
  <c r="DH448" i="17"/>
  <c r="DH443" i="17"/>
  <c r="DH508" i="17"/>
  <c r="DH455" i="17"/>
  <c r="DN455" i="17" s="1"/>
  <c r="E455" i="17" s="1"/>
  <c r="DH512" i="17"/>
  <c r="DH429" i="17"/>
  <c r="DH467" i="17"/>
  <c r="DH501" i="17"/>
  <c r="DH466" i="17"/>
  <c r="DH414" i="17"/>
  <c r="DH425" i="17"/>
  <c r="DH483" i="17"/>
  <c r="DN483" i="17" s="1"/>
  <c r="E483" i="17" s="1"/>
  <c r="DH468" i="17"/>
  <c r="DH498" i="17"/>
  <c r="DH431" i="17"/>
  <c r="DH432" i="17"/>
  <c r="DN432" i="17" s="1"/>
  <c r="E432" i="17" s="1"/>
  <c r="DH514" i="17"/>
  <c r="DH424" i="17"/>
  <c r="DH484" i="17"/>
  <c r="DH516" i="17"/>
  <c r="DH490" i="17"/>
  <c r="DH520" i="17"/>
  <c r="DH511" i="17"/>
  <c r="DH412" i="17"/>
  <c r="DN412" i="17" s="1"/>
  <c r="E412" i="17" s="1"/>
  <c r="DH494" i="17"/>
  <c r="DH482" i="17"/>
  <c r="DH488" i="17"/>
  <c r="DH474" i="17"/>
  <c r="DN474" i="17" s="1"/>
  <c r="E474" i="17" s="1"/>
  <c r="DH421" i="17"/>
  <c r="DH524" i="17"/>
  <c r="DH470" i="17"/>
  <c r="DH410" i="17"/>
  <c r="DN410" i="17" s="1"/>
  <c r="E410" i="17" s="1"/>
  <c r="DH491" i="17"/>
  <c r="DH415" i="17"/>
  <c r="DH515" i="17"/>
  <c r="DH503" i="17"/>
  <c r="DN503" i="17" s="1"/>
  <c r="E503" i="17" s="1"/>
  <c r="DH446" i="17"/>
  <c r="DH471" i="17"/>
  <c r="DH513" i="17"/>
  <c r="DH499" i="17"/>
  <c r="DN499" i="17" s="1"/>
  <c r="E499" i="17" s="1"/>
  <c r="DH416" i="17"/>
  <c r="DH436" i="17"/>
  <c r="DH509" i="17"/>
  <c r="DH495" i="17"/>
  <c r="DN495" i="17" s="1"/>
  <c r="E495" i="17" s="1"/>
  <c r="DH473" i="17"/>
  <c r="DH476" i="17"/>
  <c r="DH441" i="17"/>
  <c r="DH523" i="17"/>
  <c r="DN523" i="17" s="1"/>
  <c r="E523" i="17" s="1"/>
  <c r="DH469" i="17"/>
  <c r="DH492" i="17"/>
  <c r="DH485" i="17"/>
  <c r="DH460" i="17"/>
  <c r="DN460" i="17" s="1"/>
  <c r="E460" i="17" s="1"/>
  <c r="DH489" i="17"/>
  <c r="DH426" i="17"/>
  <c r="DH417" i="17"/>
  <c r="DH461" i="17"/>
  <c r="DH502" i="17"/>
  <c r="DH439" i="17"/>
  <c r="DH454" i="17"/>
  <c r="DH453" i="17"/>
  <c r="DN453" i="17" s="1"/>
  <c r="E453" i="17" s="1"/>
  <c r="DH413" i="17"/>
  <c r="DH444" i="17"/>
  <c r="DH437" i="17"/>
  <c r="DH440" i="17"/>
  <c r="DN440" i="17" s="1"/>
  <c r="E440" i="17" s="1"/>
  <c r="DH457" i="17"/>
  <c r="DH510" i="17"/>
  <c r="DH475" i="17"/>
  <c r="DH409" i="17"/>
  <c r="DN409" i="17" s="1"/>
  <c r="E409" i="17" s="1"/>
  <c r="DH445" i="17"/>
  <c r="DH472" i="17"/>
  <c r="DH487" i="17"/>
  <c r="DH442" i="17"/>
  <c r="DN442" i="17" s="1"/>
  <c r="E442" i="17" s="1"/>
  <c r="DH464" i="17"/>
  <c r="DH486" i="17"/>
  <c r="DH493" i="17"/>
  <c r="DH420" i="17"/>
  <c r="DH438" i="17"/>
  <c r="DH506" i="17"/>
  <c r="DH478" i="17"/>
  <c r="DH496" i="17"/>
  <c r="DN496" i="17" s="1"/>
  <c r="E496" i="17" s="1"/>
  <c r="DH519" i="17"/>
  <c r="DH507" i="17"/>
  <c r="DH449" i="17"/>
  <c r="DH458" i="17"/>
  <c r="DH456" i="17"/>
  <c r="DH518" i="17"/>
  <c r="DH463" i="17"/>
  <c r="DH430" i="17"/>
  <c r="DN430" i="17" s="1"/>
  <c r="E430" i="17" s="1"/>
  <c r="DH465" i="17"/>
  <c r="DH428" i="17"/>
  <c r="DH477" i="17"/>
  <c r="DH479" i="17"/>
  <c r="DH447" i="17"/>
  <c r="DH459" i="17"/>
  <c r="DH497" i="17"/>
  <c r="DH480" i="17"/>
  <c r="DH419" i="17"/>
  <c r="DH500" i="17"/>
  <c r="DH408" i="17"/>
  <c r="DI422" i="17"/>
  <c r="DI517" i="17"/>
  <c r="DI518" i="17"/>
  <c r="DI466" i="17"/>
  <c r="DI446" i="17"/>
  <c r="DI498" i="17"/>
  <c r="DI431" i="17"/>
  <c r="DI513" i="17"/>
  <c r="DI516" i="17"/>
  <c r="DI416" i="17"/>
  <c r="DI436" i="17"/>
  <c r="DI509" i="17"/>
  <c r="DI510" i="17"/>
  <c r="DI520" i="17"/>
  <c r="DI473" i="17"/>
  <c r="DI494" i="17"/>
  <c r="DI482" i="17"/>
  <c r="DI451" i="17"/>
  <c r="DI475" i="17"/>
  <c r="DI476" i="17"/>
  <c r="DI524" i="17"/>
  <c r="DI441" i="17"/>
  <c r="DI447" i="17"/>
  <c r="DI445" i="17"/>
  <c r="DI470" i="17"/>
  <c r="DI453" i="17"/>
  <c r="DI410" i="17"/>
  <c r="DI462" i="17"/>
  <c r="DI413" i="17"/>
  <c r="DI419" i="17"/>
  <c r="DI444" i="17"/>
  <c r="DI423" i="17"/>
  <c r="DI414" i="17"/>
  <c r="DI437" i="17"/>
  <c r="DI496" i="17"/>
  <c r="DI440" i="17"/>
  <c r="DI514" i="17"/>
  <c r="DI469" i="17"/>
  <c r="DI522" i="17"/>
  <c r="DI427" i="17"/>
  <c r="DI457" i="17"/>
  <c r="DI495" i="17"/>
  <c r="DI408" i="17"/>
  <c r="DI430" i="17"/>
  <c r="DI443" i="17"/>
  <c r="DI455" i="17"/>
  <c r="DI465" i="17"/>
  <c r="DI492" i="17"/>
  <c r="DI428" i="17"/>
  <c r="DI409" i="17"/>
  <c r="DI477" i="17"/>
  <c r="DI411" i="17"/>
  <c r="DI467" i="17"/>
  <c r="DI505" i="17"/>
  <c r="DI415" i="17"/>
  <c r="DI515" i="17"/>
  <c r="DI452" i="17"/>
  <c r="DI433" i="17"/>
  <c r="DI503" i="17"/>
  <c r="DI463" i="17"/>
  <c r="DI481" i="17"/>
  <c r="DI500" i="17"/>
  <c r="DI499" i="17"/>
  <c r="DI412" i="17"/>
  <c r="DI521" i="17"/>
  <c r="DI448" i="17"/>
  <c r="DI429" i="17"/>
  <c r="DI501" i="17"/>
  <c r="DI471" i="17"/>
  <c r="DI484" i="17"/>
  <c r="DI490" i="17"/>
  <c r="DI519" i="17"/>
  <c r="DI434" i="17"/>
  <c r="DI508" i="17"/>
  <c r="DI512" i="17"/>
  <c r="DI497" i="17"/>
  <c r="DI502" i="17"/>
  <c r="DI439" i="17"/>
  <c r="DI486" i="17"/>
  <c r="DI480" i="17"/>
  <c r="DI438" i="17"/>
  <c r="DI474" i="17"/>
  <c r="DI459" i="17"/>
  <c r="DI493" i="17"/>
  <c r="DI420" i="17"/>
  <c r="DI491" i="17"/>
  <c r="DI425" i="17"/>
  <c r="DI478" i="17"/>
  <c r="DI450" i="17"/>
  <c r="DI483" i="17"/>
  <c r="DI468" i="17"/>
  <c r="DI432" i="17"/>
  <c r="DI424" i="17"/>
  <c r="DI504" i="17"/>
  <c r="DI511" i="17"/>
  <c r="DI488" i="17"/>
  <c r="DI421" i="17"/>
  <c r="DI507" i="17"/>
  <c r="DI479" i="17"/>
  <c r="DI449" i="17"/>
  <c r="DI461" i="17"/>
  <c r="DI458" i="17"/>
  <c r="DI456" i="17"/>
  <c r="DI426" i="17"/>
  <c r="DI417" i="17"/>
  <c r="DI472" i="17"/>
  <c r="DI442" i="17"/>
  <c r="DI464" i="17"/>
  <c r="DI435" i="17"/>
  <c r="DI523" i="17"/>
  <c r="DI418" i="17"/>
  <c r="DI487" i="17"/>
  <c r="DI485" i="17"/>
  <c r="DI460" i="17"/>
  <c r="DI489" i="17"/>
  <c r="DI454" i="17"/>
  <c r="DI506" i="17"/>
  <c r="CX291" i="17"/>
  <c r="CX386" i="17"/>
  <c r="CX297" i="17"/>
  <c r="CX348" i="17"/>
  <c r="CX335" i="17"/>
  <c r="CX363" i="17"/>
  <c r="CX302" i="17"/>
  <c r="CX333" i="17"/>
  <c r="CX393" i="17"/>
  <c r="CX341" i="17"/>
  <c r="CX359" i="17"/>
  <c r="CX340" i="17"/>
  <c r="CX355" i="17"/>
  <c r="CX373" i="17"/>
  <c r="CX325" i="17"/>
  <c r="CX356" i="17"/>
  <c r="CX309" i="17"/>
  <c r="CX308" i="17"/>
  <c r="CX287" i="17"/>
  <c r="CX391" i="17"/>
  <c r="CX310" i="17"/>
  <c r="CX314" i="17"/>
  <c r="CX279" i="17"/>
  <c r="CX342" i="17"/>
  <c r="CX365" i="17"/>
  <c r="CX343" i="17"/>
  <c r="CX353" i="17"/>
  <c r="CX311" i="17"/>
  <c r="CX338" i="17"/>
  <c r="CX305" i="17"/>
  <c r="CX378" i="17"/>
  <c r="CX295" i="17"/>
  <c r="CX301" i="17"/>
  <c r="CX347" i="17"/>
  <c r="CX389" i="17"/>
  <c r="CX370" i="17"/>
  <c r="CX345" i="17"/>
  <c r="CX339" i="17"/>
  <c r="CX327" i="17"/>
  <c r="CX372" i="17"/>
  <c r="CX292" i="17"/>
  <c r="CX320" i="17"/>
  <c r="CX358" i="17"/>
  <c r="CX379" i="17"/>
  <c r="CX376" i="17"/>
  <c r="CX374" i="17"/>
  <c r="CX315" i="17"/>
  <c r="CX307" i="17"/>
  <c r="CX299" i="17"/>
  <c r="CX360" i="17"/>
  <c r="CX282" i="17"/>
  <c r="CX330" i="17"/>
  <c r="CX377" i="17"/>
  <c r="CX328" i="17"/>
  <c r="CX280" i="17"/>
  <c r="CX331" i="17"/>
  <c r="CX304" i="17"/>
  <c r="CX290" i="17"/>
  <c r="CX336" i="17"/>
  <c r="CX334" i="17"/>
  <c r="CX387" i="17"/>
  <c r="CX371" i="17"/>
  <c r="CX344" i="17"/>
  <c r="CX300" i="17"/>
  <c r="CX369" i="17"/>
  <c r="CX312" i="17"/>
  <c r="CX357" i="17"/>
  <c r="CX362" i="17"/>
  <c r="CX332" i="17"/>
  <c r="CX286" i="17"/>
  <c r="CX293" i="17"/>
  <c r="CX349" i="17"/>
  <c r="CX294" i="17"/>
  <c r="CX319" i="17"/>
  <c r="CX354" i="17"/>
  <c r="CX366" i="17"/>
  <c r="CX298" i="17"/>
  <c r="CX313" i="17"/>
  <c r="CX380" i="17"/>
  <c r="CX329" i="17"/>
  <c r="CX323" i="17"/>
  <c r="CX375" i="17"/>
  <c r="CX306" i="17"/>
  <c r="CX346" i="17"/>
  <c r="CX392" i="17"/>
  <c r="CX352" i="17"/>
  <c r="CX316" i="17"/>
  <c r="CX384" i="17"/>
  <c r="CX303" i="17"/>
  <c r="CX288" i="17"/>
  <c r="CX383" i="17"/>
  <c r="CX317" i="17"/>
  <c r="CX318" i="17"/>
  <c r="CX281" i="17"/>
  <c r="CX381" i="17"/>
  <c r="CX385" i="17"/>
  <c r="CX351" i="17"/>
  <c r="CX337" i="17"/>
  <c r="CX350" i="17"/>
  <c r="CX388" i="17"/>
  <c r="CX296" i="17"/>
  <c r="CX382" i="17"/>
  <c r="CX283" i="17"/>
  <c r="CX361" i="17"/>
  <c r="CX322" i="17"/>
  <c r="CX368" i="17"/>
  <c r="CX326" i="17"/>
  <c r="CX278" i="17"/>
  <c r="CX285" i="17"/>
  <c r="CX367" i="17"/>
  <c r="CX390" i="17"/>
  <c r="CX364" i="17"/>
  <c r="CX277" i="17"/>
  <c r="CX321" i="17"/>
  <c r="CX289" i="17"/>
  <c r="CX284" i="17"/>
  <c r="CX324" i="17"/>
  <c r="CZ386" i="17"/>
  <c r="CZ291" i="17"/>
  <c r="CZ328" i="17"/>
  <c r="CZ313" i="17"/>
  <c r="CZ280" i="17"/>
  <c r="CZ331" i="17"/>
  <c r="CZ380" i="17"/>
  <c r="CZ387" i="17"/>
  <c r="CZ371" i="17"/>
  <c r="CZ340" i="17"/>
  <c r="CZ329" i="17"/>
  <c r="CZ326" i="17"/>
  <c r="CZ317" i="17"/>
  <c r="CZ344" i="17"/>
  <c r="CZ312" i="17"/>
  <c r="CZ356" i="17"/>
  <c r="CZ321" i="17"/>
  <c r="CZ278" i="17"/>
  <c r="CZ362" i="17"/>
  <c r="CZ289" i="17"/>
  <c r="CZ308" i="17"/>
  <c r="CZ319" i="17"/>
  <c r="CZ392" i="17"/>
  <c r="CZ284" i="17"/>
  <c r="CZ318" i="17"/>
  <c r="CZ281" i="17"/>
  <c r="CZ298" i="17"/>
  <c r="CZ297" i="17"/>
  <c r="CZ348" i="17"/>
  <c r="CZ333" i="17"/>
  <c r="CZ393" i="17"/>
  <c r="CZ341" i="17"/>
  <c r="CZ336" i="17"/>
  <c r="CZ338" i="17"/>
  <c r="CZ283" i="17"/>
  <c r="CZ323" i="17"/>
  <c r="CZ373" i="17"/>
  <c r="CZ325" i="17"/>
  <c r="CZ370" i="17"/>
  <c r="CZ309" i="17"/>
  <c r="CZ372" i="17"/>
  <c r="CZ292" i="17"/>
  <c r="CZ375" i="17"/>
  <c r="CZ310" i="17"/>
  <c r="CZ346" i="17"/>
  <c r="CZ352" i="17"/>
  <c r="CZ366" i="17"/>
  <c r="CZ342" i="17"/>
  <c r="CZ335" i="17"/>
  <c r="CZ363" i="17"/>
  <c r="CZ365" i="17"/>
  <c r="CZ304" i="17"/>
  <c r="CZ353" i="17"/>
  <c r="CZ290" i="17"/>
  <c r="CZ359" i="17"/>
  <c r="CZ355" i="17"/>
  <c r="CZ305" i="17"/>
  <c r="CZ301" i="17"/>
  <c r="CZ389" i="17"/>
  <c r="CZ345" i="17"/>
  <c r="CZ320" i="17"/>
  <c r="CZ358" i="17"/>
  <c r="CZ286" i="17"/>
  <c r="CZ374" i="17"/>
  <c r="CZ287" i="17"/>
  <c r="CZ391" i="17"/>
  <c r="CZ314" i="17"/>
  <c r="CZ354" i="17"/>
  <c r="CZ279" i="17"/>
  <c r="CZ377" i="17"/>
  <c r="CZ311" i="17"/>
  <c r="CZ300" i="17"/>
  <c r="CZ369" i="17"/>
  <c r="CZ357" i="17"/>
  <c r="CZ339" i="17"/>
  <c r="CZ349" i="17"/>
  <c r="CZ294" i="17"/>
  <c r="CZ361" i="17"/>
  <c r="CZ288" i="17"/>
  <c r="CZ350" i="17"/>
  <c r="CZ367" i="17"/>
  <c r="CZ282" i="17"/>
  <c r="CZ322" i="17"/>
  <c r="CZ285" i="17"/>
  <c r="CZ364" i="17"/>
  <c r="CZ277" i="17"/>
  <c r="CZ302" i="17"/>
  <c r="CZ379" i="17"/>
  <c r="CZ332" i="17"/>
  <c r="CZ330" i="17"/>
  <c r="CZ316" i="17"/>
  <c r="CZ384" i="17"/>
  <c r="CZ388" i="17"/>
  <c r="CZ383" i="17"/>
  <c r="CZ382" i="17"/>
  <c r="CZ347" i="17"/>
  <c r="CZ293" i="17"/>
  <c r="CZ324" i="17"/>
  <c r="CZ351" i="17"/>
  <c r="CZ296" i="17"/>
  <c r="CZ343" i="17"/>
  <c r="CZ334" i="17"/>
  <c r="CZ378" i="17"/>
  <c r="CZ295" i="17"/>
  <c r="CZ327" i="17"/>
  <c r="CZ376" i="17"/>
  <c r="CZ315" i="17"/>
  <c r="CZ307" i="17"/>
  <c r="CZ306" i="17"/>
  <c r="CZ299" i="17"/>
  <c r="CZ360" i="17"/>
  <c r="CZ381" i="17"/>
  <c r="CZ385" i="17"/>
  <c r="CZ303" i="17"/>
  <c r="CZ337" i="17"/>
  <c r="CZ368" i="17"/>
  <c r="CZ390" i="17"/>
  <c r="F89" i="9"/>
  <c r="B49" i="11"/>
  <c r="D49" i="11" s="1"/>
  <c r="E49" i="11" s="1"/>
  <c r="F49" i="11" s="1"/>
  <c r="BQ29" i="17"/>
  <c r="BQ124" i="17"/>
  <c r="BQ80" i="17"/>
  <c r="BQ91" i="17"/>
  <c r="BQ17" i="17"/>
  <c r="BQ77" i="17"/>
  <c r="BQ62" i="17"/>
  <c r="BQ99" i="17"/>
  <c r="BQ26" i="17"/>
  <c r="BQ105" i="17"/>
  <c r="BQ129" i="17"/>
  <c r="BQ102" i="17"/>
  <c r="BQ121" i="17"/>
  <c r="BQ72" i="17"/>
  <c r="BQ25" i="17"/>
  <c r="BQ57" i="17"/>
  <c r="BQ88" i="17"/>
  <c r="BQ61" i="17"/>
  <c r="BQ107" i="17"/>
  <c r="BQ35" i="17"/>
  <c r="BQ115" i="17"/>
  <c r="BQ122" i="17"/>
  <c r="BQ101" i="17"/>
  <c r="BQ123" i="17"/>
  <c r="BQ131" i="17"/>
  <c r="BQ48" i="17"/>
  <c r="BQ118" i="17"/>
  <c r="BQ130" i="17"/>
  <c r="BQ109" i="17"/>
  <c r="BQ47" i="17"/>
  <c r="BQ44" i="17"/>
  <c r="BQ15" i="17"/>
  <c r="BQ110" i="17"/>
  <c r="BQ117" i="17"/>
  <c r="BQ113" i="17"/>
  <c r="BQ16" i="17"/>
  <c r="BQ76" i="17"/>
  <c r="BQ64" i="17"/>
  <c r="BQ37" i="17"/>
  <c r="BQ22" i="17"/>
  <c r="BQ63" i="17"/>
  <c r="BQ66" i="17"/>
  <c r="BQ71" i="17"/>
  <c r="BQ69" i="17"/>
  <c r="BQ103" i="17"/>
  <c r="BQ112" i="17"/>
  <c r="BQ19" i="17"/>
  <c r="BQ41" i="17"/>
  <c r="BQ40" i="17"/>
  <c r="BQ89" i="17"/>
  <c r="BQ23" i="17"/>
  <c r="BQ34" i="17"/>
  <c r="BQ73" i="17"/>
  <c r="BQ87" i="17"/>
  <c r="BQ36" i="17"/>
  <c r="BQ79" i="17"/>
  <c r="BQ67" i="17"/>
  <c r="BQ128" i="17"/>
  <c r="BQ111" i="17"/>
  <c r="BQ53" i="17"/>
  <c r="BQ86" i="17"/>
  <c r="BQ94" i="17"/>
  <c r="BQ18" i="17"/>
  <c r="BQ31" i="17"/>
  <c r="BQ42" i="17"/>
  <c r="BQ119" i="17"/>
  <c r="BQ60" i="17"/>
  <c r="BQ120" i="17"/>
  <c r="BQ46" i="17"/>
  <c r="BQ95" i="17"/>
  <c r="BQ59" i="17"/>
  <c r="BQ104" i="17"/>
  <c r="BQ83" i="17"/>
  <c r="BQ55" i="17"/>
  <c r="BQ82" i="17"/>
  <c r="BQ100" i="17"/>
  <c r="BQ116" i="17"/>
  <c r="BQ98" i="17"/>
  <c r="BQ30" i="17"/>
  <c r="BQ84" i="17"/>
  <c r="BQ52" i="17"/>
  <c r="BQ65" i="17"/>
  <c r="BQ93" i="17"/>
  <c r="BQ43" i="17"/>
  <c r="BQ70" i="17"/>
  <c r="BQ75" i="17"/>
  <c r="BQ56" i="17"/>
  <c r="BQ68" i="17"/>
  <c r="BQ78" i="17"/>
  <c r="BQ51" i="17"/>
  <c r="BQ58" i="17"/>
  <c r="BQ39" i="17"/>
  <c r="BQ85" i="17"/>
  <c r="BQ127" i="17"/>
  <c r="BQ38" i="17"/>
  <c r="BQ33" i="17"/>
  <c r="BQ50" i="17"/>
  <c r="BQ24" i="17"/>
  <c r="BQ27" i="17"/>
  <c r="BQ32" i="17"/>
  <c r="BQ74" i="17"/>
  <c r="BQ108" i="17"/>
  <c r="BQ54" i="17"/>
  <c r="BQ106" i="17"/>
  <c r="BQ126" i="17"/>
  <c r="BQ114" i="17"/>
  <c r="BQ28" i="17"/>
  <c r="BQ81" i="17"/>
  <c r="BQ92" i="17"/>
  <c r="BQ90" i="17"/>
  <c r="BQ97" i="17"/>
  <c r="BQ125" i="17"/>
  <c r="BQ21" i="17"/>
  <c r="BQ96" i="17"/>
  <c r="BQ20" i="17"/>
  <c r="BQ49" i="17"/>
  <c r="BQ45" i="17"/>
  <c r="C41" i="21"/>
  <c r="B89" i="9"/>
  <c r="C49" i="11" s="1"/>
  <c r="G49" i="11" s="1"/>
  <c r="F41" i="2"/>
  <c r="E41" i="21"/>
  <c r="J41" i="21" s="1"/>
  <c r="D89" i="9"/>
  <c r="H41" i="2"/>
  <c r="I40" i="2"/>
  <c r="F40" i="21" s="1"/>
  <c r="L40" i="2"/>
  <c r="CB132" i="15"/>
  <c r="CB37" i="15"/>
  <c r="CB86" i="15"/>
  <c r="CB56" i="15"/>
  <c r="CB61" i="15"/>
  <c r="CB109" i="15"/>
  <c r="CB91" i="15"/>
  <c r="CB78" i="15"/>
  <c r="CB45" i="15"/>
  <c r="CB50" i="15"/>
  <c r="CB36" i="15"/>
  <c r="CB107" i="15"/>
  <c r="CB44" i="15"/>
  <c r="CB62" i="15"/>
  <c r="CB93" i="15"/>
  <c r="CB85" i="15"/>
  <c r="CB57" i="15"/>
  <c r="CB68" i="15"/>
  <c r="CB114" i="15"/>
  <c r="CB120" i="15"/>
  <c r="CB94" i="15"/>
  <c r="CB27" i="15"/>
  <c r="CB106" i="15"/>
  <c r="CB43" i="15"/>
  <c r="CB123" i="15"/>
  <c r="CB138" i="15"/>
  <c r="CB130" i="15"/>
  <c r="CB100" i="15"/>
  <c r="CB131" i="15"/>
  <c r="CB118" i="15"/>
  <c r="CB79" i="15"/>
  <c r="CB32" i="15"/>
  <c r="CB82" i="15"/>
  <c r="CB90" i="15"/>
  <c r="CB103" i="15"/>
  <c r="CB77" i="15"/>
  <c r="CB96" i="15"/>
  <c r="CB29" i="15"/>
  <c r="CB136" i="15"/>
  <c r="CB41" i="15"/>
  <c r="CB25" i="15"/>
  <c r="CB26" i="15"/>
  <c r="CB88" i="15"/>
  <c r="CB105" i="15"/>
  <c r="CB34" i="15"/>
  <c r="CB98" i="15"/>
  <c r="CB49" i="15"/>
  <c r="CB24" i="15"/>
  <c r="CB64" i="15"/>
  <c r="CB76" i="15"/>
  <c r="CB112" i="15"/>
  <c r="CB33" i="15"/>
  <c r="CB66" i="15"/>
  <c r="CB65" i="15"/>
  <c r="CB84" i="15"/>
  <c r="CB111" i="15"/>
  <c r="CB89" i="15"/>
  <c r="CB59" i="15"/>
  <c r="CB75" i="15"/>
  <c r="CB134" i="15"/>
  <c r="CB137" i="15"/>
  <c r="CB63" i="15"/>
  <c r="CB128" i="15"/>
  <c r="CB35" i="15"/>
  <c r="CB67" i="15"/>
  <c r="CB116" i="15"/>
  <c r="CB122" i="15"/>
  <c r="CB108" i="15"/>
  <c r="CB129" i="15"/>
  <c r="CB110" i="15"/>
  <c r="CB28" i="15"/>
  <c r="CB72" i="15"/>
  <c r="CB99" i="15"/>
  <c r="CB102" i="15"/>
  <c r="CB40" i="15"/>
  <c r="CB119" i="15"/>
  <c r="CB60" i="15"/>
  <c r="CB127" i="15"/>
  <c r="CB133" i="15"/>
  <c r="CB97" i="15"/>
  <c r="CB58" i="15"/>
  <c r="CB139" i="15"/>
  <c r="CB42" i="15"/>
  <c r="CB53" i="15"/>
  <c r="CB47" i="15"/>
  <c r="CB55" i="15"/>
  <c r="CB70" i="15"/>
  <c r="CB74" i="15"/>
  <c r="CB73" i="15"/>
  <c r="CB117" i="15"/>
  <c r="CB69" i="15"/>
  <c r="CB51" i="15"/>
  <c r="CB115" i="15"/>
  <c r="CB71" i="15"/>
  <c r="CB81" i="15"/>
  <c r="CB124" i="15"/>
  <c r="CB39" i="15"/>
  <c r="CB101" i="15"/>
  <c r="CB126" i="15"/>
  <c r="CB92" i="15"/>
  <c r="CB30" i="15"/>
  <c r="CB38" i="15"/>
  <c r="CB95" i="15"/>
  <c r="CB104" i="15"/>
  <c r="CB80" i="15"/>
  <c r="CB113" i="15"/>
  <c r="CB31" i="15"/>
  <c r="CB46" i="15"/>
  <c r="CB23" i="15"/>
  <c r="CB135" i="15"/>
  <c r="CB48" i="15"/>
  <c r="CB54" i="15"/>
  <c r="CB125" i="15"/>
  <c r="CB83" i="15"/>
  <c r="CB87" i="15"/>
  <c r="CB52" i="15"/>
  <c r="CB121" i="15"/>
  <c r="DM422" i="17"/>
  <c r="DM517" i="17"/>
  <c r="DM411" i="17"/>
  <c r="DM470" i="17"/>
  <c r="DM453" i="17"/>
  <c r="DM413" i="17"/>
  <c r="DM419" i="17"/>
  <c r="DM444" i="17"/>
  <c r="DM423" i="17"/>
  <c r="DM437" i="17"/>
  <c r="DM496" i="17"/>
  <c r="DM440" i="17"/>
  <c r="DM469" i="17"/>
  <c r="DM427" i="17"/>
  <c r="DM457" i="17"/>
  <c r="DM495" i="17"/>
  <c r="DM408" i="17"/>
  <c r="DM494" i="17"/>
  <c r="DM443" i="17"/>
  <c r="DM455" i="17"/>
  <c r="DM465" i="17"/>
  <c r="DM492" i="17"/>
  <c r="DM428" i="17"/>
  <c r="DM409" i="17"/>
  <c r="DM477" i="17"/>
  <c r="DM467" i="17"/>
  <c r="DM505" i="17"/>
  <c r="DM452" i="17"/>
  <c r="DM433" i="17"/>
  <c r="DM463" i="17"/>
  <c r="DM446" i="17"/>
  <c r="DM481" i="17"/>
  <c r="DM500" i="17"/>
  <c r="DM490" i="17"/>
  <c r="DM522" i="17"/>
  <c r="DM510" i="17"/>
  <c r="DM412" i="17"/>
  <c r="DM521" i="17"/>
  <c r="DM448" i="17"/>
  <c r="DM429" i="17"/>
  <c r="DM435" i="17"/>
  <c r="DM501" i="17"/>
  <c r="DM410" i="17"/>
  <c r="DM491" i="17"/>
  <c r="DM415" i="17"/>
  <c r="DM515" i="17"/>
  <c r="DM503" i="17"/>
  <c r="DM418" i="17"/>
  <c r="DM414" i="17"/>
  <c r="DM425" i="17"/>
  <c r="DM478" i="17"/>
  <c r="DM450" i="17"/>
  <c r="DM483" i="17"/>
  <c r="DM468" i="17"/>
  <c r="DM471" i="17"/>
  <c r="DM498" i="17"/>
  <c r="DM432" i="17"/>
  <c r="DM514" i="17"/>
  <c r="DM424" i="17"/>
  <c r="DM484" i="17"/>
  <c r="DM499" i="17"/>
  <c r="DM504" i="17"/>
  <c r="DM434" i="17"/>
  <c r="DM430" i="17"/>
  <c r="DM488" i="17"/>
  <c r="DM508" i="17"/>
  <c r="DM421" i="17"/>
  <c r="DM512" i="17"/>
  <c r="DM462" i="17"/>
  <c r="DM431" i="17"/>
  <c r="DM520" i="17"/>
  <c r="DM511" i="17"/>
  <c r="DM441" i="17"/>
  <c r="DM479" i="17"/>
  <c r="DM449" i="17"/>
  <c r="DM461" i="17"/>
  <c r="DM442" i="17"/>
  <c r="DM426" i="17"/>
  <c r="DM456" i="17"/>
  <c r="DM445" i="17"/>
  <c r="DM439" i="17"/>
  <c r="DM480" i="17"/>
  <c r="DM438" i="17"/>
  <c r="DM466" i="17"/>
  <c r="DM473" i="17"/>
  <c r="DM524" i="17"/>
  <c r="DM447" i="17"/>
  <c r="DM487" i="17"/>
  <c r="DM485" i="17"/>
  <c r="DM502" i="17"/>
  <c r="DM460" i="17"/>
  <c r="DM489" i="17"/>
  <c r="DM454" i="17"/>
  <c r="DM417" i="17"/>
  <c r="DM506" i="17"/>
  <c r="DM513" i="17"/>
  <c r="DM519" i="17"/>
  <c r="DM509" i="17"/>
  <c r="DM497" i="17"/>
  <c r="DM518" i="17"/>
  <c r="DM523" i="17"/>
  <c r="DM516" i="17"/>
  <c r="DM416" i="17"/>
  <c r="DM436" i="17"/>
  <c r="DM451" i="17"/>
  <c r="DM476" i="17"/>
  <c r="DM507" i="17"/>
  <c r="DM472" i="17"/>
  <c r="DM459" i="17"/>
  <c r="DM458" i="17"/>
  <c r="DM464" i="17"/>
  <c r="DM493" i="17"/>
  <c r="DM420" i="17"/>
  <c r="DM482" i="17"/>
  <c r="DM475" i="17"/>
  <c r="DM474" i="17"/>
  <c r="DM486" i="17"/>
  <c r="CO255" i="17"/>
  <c r="CO160" i="17"/>
  <c r="CO200" i="17"/>
  <c r="CO196" i="17"/>
  <c r="CO182" i="17"/>
  <c r="CO218" i="17"/>
  <c r="CO248" i="17"/>
  <c r="CO229" i="17"/>
  <c r="CO147" i="17"/>
  <c r="CO227" i="17"/>
  <c r="CO155" i="17"/>
  <c r="CO148" i="17"/>
  <c r="CO198" i="17"/>
  <c r="CO175" i="17"/>
  <c r="CO170" i="17"/>
  <c r="CO252" i="17"/>
  <c r="CO179" i="17"/>
  <c r="CO246" i="17"/>
  <c r="CO187" i="17"/>
  <c r="CO231" i="17"/>
  <c r="CO257" i="17"/>
  <c r="CO158" i="17"/>
  <c r="CO164" i="17"/>
  <c r="CO240" i="17"/>
  <c r="CO208" i="17"/>
  <c r="CO245" i="17"/>
  <c r="CO225" i="17"/>
  <c r="CO206" i="17"/>
  <c r="CO191" i="17"/>
  <c r="CO259" i="17"/>
  <c r="CO176" i="17"/>
  <c r="CO212" i="17"/>
  <c r="CO235" i="17"/>
  <c r="CO243" i="17"/>
  <c r="CO249" i="17"/>
  <c r="CO190" i="17"/>
  <c r="CO236" i="17"/>
  <c r="CO163" i="17"/>
  <c r="CO242" i="17"/>
  <c r="CO238" i="17"/>
  <c r="CO181" i="17"/>
  <c r="CO228" i="17"/>
  <c r="CO146" i="17"/>
  <c r="CO149" i="17"/>
  <c r="CO151" i="17"/>
  <c r="CO173" i="17"/>
  <c r="CO256" i="17"/>
  <c r="CO211" i="17"/>
  <c r="CO214" i="17"/>
  <c r="CO202" i="17"/>
  <c r="CO193" i="17"/>
  <c r="CO230" i="17"/>
  <c r="CO180" i="17"/>
  <c r="CO216" i="17"/>
  <c r="CO239" i="17"/>
  <c r="CO172" i="17"/>
  <c r="CO224" i="17"/>
  <c r="CO192" i="17"/>
  <c r="CO247" i="17"/>
  <c r="CO213" i="17"/>
  <c r="CO169" i="17"/>
  <c r="CO194" i="17"/>
  <c r="CO253" i="17"/>
  <c r="CO223" i="17"/>
  <c r="CO197" i="17"/>
  <c r="CO166" i="17"/>
  <c r="CO177" i="17"/>
  <c r="CO254" i="17"/>
  <c r="CO153" i="17"/>
  <c r="CO150" i="17"/>
  <c r="CO203" i="17"/>
  <c r="CO161" i="17"/>
  <c r="CO189" i="17"/>
  <c r="CO183" i="17"/>
  <c r="CO232" i="17"/>
  <c r="CO250" i="17"/>
  <c r="CO162" i="17"/>
  <c r="CO165" i="17"/>
  <c r="CO244" i="17"/>
  <c r="CO251" i="17"/>
  <c r="CO262" i="17"/>
  <c r="CO199" i="17"/>
  <c r="CO152" i="17"/>
  <c r="CO234" i="17"/>
  <c r="CO209" i="17"/>
  <c r="CO186" i="17"/>
  <c r="CO237" i="17"/>
  <c r="CO233" i="17"/>
  <c r="CO204" i="17"/>
  <c r="CO159" i="17"/>
  <c r="CO221" i="17"/>
  <c r="CO207" i="17"/>
  <c r="CO168" i="17"/>
  <c r="CO188" i="17"/>
  <c r="CO217" i="17"/>
  <c r="CO205" i="17"/>
  <c r="CO220" i="17"/>
  <c r="CO184" i="17"/>
  <c r="CO174" i="17"/>
  <c r="CO167" i="17"/>
  <c r="CO226" i="17"/>
  <c r="CO219" i="17"/>
  <c r="CO157" i="17"/>
  <c r="CO210" i="17"/>
  <c r="CO261" i="17"/>
  <c r="CO215" i="17"/>
  <c r="CO222" i="17"/>
  <c r="CO178" i="17"/>
  <c r="CO241" i="17"/>
  <c r="CO156" i="17"/>
  <c r="CO195" i="17"/>
  <c r="CO201" i="17"/>
  <c r="CO258" i="17"/>
  <c r="CO185" i="17"/>
  <c r="CO154" i="17"/>
  <c r="CO171" i="17"/>
  <c r="CO260" i="17"/>
  <c r="CM255" i="17"/>
  <c r="CM160" i="17"/>
  <c r="CM200" i="17"/>
  <c r="CM185" i="17"/>
  <c r="CM211" i="17"/>
  <c r="CM217" i="17"/>
  <c r="CM196" i="17"/>
  <c r="CM206" i="17"/>
  <c r="CM177" i="17"/>
  <c r="CM218" i="17"/>
  <c r="CM165" i="17"/>
  <c r="CM248" i="17"/>
  <c r="CM239" i="17"/>
  <c r="CM148" i="17"/>
  <c r="CM190" i="17"/>
  <c r="CM209" i="17"/>
  <c r="CM213" i="17"/>
  <c r="CM238" i="17"/>
  <c r="CM170" i="17"/>
  <c r="CM252" i="17"/>
  <c r="CM261" i="17"/>
  <c r="CM233" i="17"/>
  <c r="CM164" i="17"/>
  <c r="CM240" i="17"/>
  <c r="CM208" i="17"/>
  <c r="CM167" i="17"/>
  <c r="CM191" i="17"/>
  <c r="CM214" i="17"/>
  <c r="CM219" i="17"/>
  <c r="CM176" i="17"/>
  <c r="CM251" i="17"/>
  <c r="CM229" i="17"/>
  <c r="CM212" i="17"/>
  <c r="CM199" i="17"/>
  <c r="CM230" i="17"/>
  <c r="CM205" i="17"/>
  <c r="CM171" i="17"/>
  <c r="CM236" i="17"/>
  <c r="CM242" i="17"/>
  <c r="CM228" i="17"/>
  <c r="CM237" i="17"/>
  <c r="CM257" i="17"/>
  <c r="CM146" i="17"/>
  <c r="CM256" i="17"/>
  <c r="CM166" i="17"/>
  <c r="CM225" i="17"/>
  <c r="CM202" i="17"/>
  <c r="CM262" i="17"/>
  <c r="CM147" i="17"/>
  <c r="CM254" i="17"/>
  <c r="CM180" i="17"/>
  <c r="CM227" i="17"/>
  <c r="CM216" i="17"/>
  <c r="CM155" i="17"/>
  <c r="CM249" i="17"/>
  <c r="CM172" i="17"/>
  <c r="CM224" i="17"/>
  <c r="CM192" i="17"/>
  <c r="CM247" i="17"/>
  <c r="CM175" i="17"/>
  <c r="CM194" i="17"/>
  <c r="CM179" i="17"/>
  <c r="CM253" i="17"/>
  <c r="CM187" i="17"/>
  <c r="CM223" i="17"/>
  <c r="CM231" i="17"/>
  <c r="CM149" i="17"/>
  <c r="CM250" i="17"/>
  <c r="CM162" i="17"/>
  <c r="CM234" i="17"/>
  <c r="CM220" i="17"/>
  <c r="CM198" i="17"/>
  <c r="CM163" i="17"/>
  <c r="CM186" i="17"/>
  <c r="CM169" i="17"/>
  <c r="CM173" i="17"/>
  <c r="CM189" i="17"/>
  <c r="CM195" i="17"/>
  <c r="CM241" i="17"/>
  <c r="CM260" i="17"/>
  <c r="CM201" i="17"/>
  <c r="CM226" i="17"/>
  <c r="CM245" i="17"/>
  <c r="CM193" i="17"/>
  <c r="CM235" i="17"/>
  <c r="CM157" i="17"/>
  <c r="CM210" i="17"/>
  <c r="CM181" i="17"/>
  <c r="CM158" i="17"/>
  <c r="CM151" i="17"/>
  <c r="CM215" i="17"/>
  <c r="CM222" i="17"/>
  <c r="CM204" i="17"/>
  <c r="CM159" i="17"/>
  <c r="CM221" i="17"/>
  <c r="CM161" i="17"/>
  <c r="CM168" i="17"/>
  <c r="CM188" i="17"/>
  <c r="CM258" i="17"/>
  <c r="CM152" i="17"/>
  <c r="CM246" i="17"/>
  <c r="CM150" i="17"/>
  <c r="CM232" i="17"/>
  <c r="CM182" i="17"/>
  <c r="CM259" i="17"/>
  <c r="CM244" i="17"/>
  <c r="CM154" i="17"/>
  <c r="CM197" i="17"/>
  <c r="CM184" i="17"/>
  <c r="CM153" i="17"/>
  <c r="CM183" i="17"/>
  <c r="CM178" i="17"/>
  <c r="CM203" i="17"/>
  <c r="CM156" i="17"/>
  <c r="CM174" i="17"/>
  <c r="CM243" i="17"/>
  <c r="CM207" i="17"/>
  <c r="J41" i="2"/>
  <c r="AA12" i="18" l="1"/>
  <c r="DN458" i="17"/>
  <c r="E458" i="17" s="1"/>
  <c r="AM12" i="18"/>
  <c r="AK12" i="18"/>
  <c r="DN461" i="17"/>
  <c r="E461" i="17" s="1"/>
  <c r="CN12" i="18"/>
  <c r="BS12" i="18"/>
  <c r="A43" i="21"/>
  <c r="A44" i="2"/>
  <c r="E43" i="2"/>
  <c r="P43" i="2"/>
  <c r="D43" i="2"/>
  <c r="A91" i="9"/>
  <c r="A51" i="11" s="1"/>
  <c r="N43" i="2"/>
  <c r="E91" i="9" s="1"/>
  <c r="B43" i="2"/>
  <c r="C43" i="2"/>
  <c r="CA11" i="18"/>
  <c r="DB344" i="17"/>
  <c r="E344" i="17" s="1"/>
  <c r="AN11" i="18"/>
  <c r="DB361" i="17"/>
  <c r="E361" i="17" s="1"/>
  <c r="CX11" i="18"/>
  <c r="AB11" i="18"/>
  <c r="DB279" i="17"/>
  <c r="E279" i="17" s="1"/>
  <c r="DB359" i="17"/>
  <c r="E359" i="17" s="1"/>
  <c r="DB306" i="17"/>
  <c r="E306" i="17" s="1"/>
  <c r="BE11" i="18"/>
  <c r="CD121" i="15"/>
  <c r="E121" i="15" s="1"/>
  <c r="CD52" i="15"/>
  <c r="E52" i="15" s="1"/>
  <c r="C29" i="26"/>
  <c r="F29" i="26"/>
  <c r="A29" i="26"/>
  <c r="E29" i="26"/>
  <c r="B29" i="26"/>
  <c r="D29" i="26"/>
  <c r="AC9" i="18"/>
  <c r="C30" i="26"/>
  <c r="E30" i="26"/>
  <c r="D30" i="26"/>
  <c r="A30" i="26"/>
  <c r="F30" i="26"/>
  <c r="B30" i="26"/>
  <c r="AD9" i="18"/>
  <c r="D45" i="26"/>
  <c r="C45" i="26"/>
  <c r="F45" i="26"/>
  <c r="E45" i="26"/>
  <c r="B45" i="26"/>
  <c r="A45" i="26"/>
  <c r="AS9" i="18"/>
  <c r="D40" i="26"/>
  <c r="C40" i="26"/>
  <c r="B40" i="26"/>
  <c r="A40" i="26"/>
  <c r="E40" i="26"/>
  <c r="F40" i="26"/>
  <c r="AN9" i="18"/>
  <c r="C31" i="26"/>
  <c r="D31" i="26"/>
  <c r="B31" i="26"/>
  <c r="F31" i="26"/>
  <c r="E31" i="26"/>
  <c r="A31" i="26"/>
  <c r="AE9" i="18"/>
  <c r="D61" i="26"/>
  <c r="C61" i="26"/>
  <c r="F61" i="26"/>
  <c r="E61" i="26"/>
  <c r="B61" i="26"/>
  <c r="A61" i="26"/>
  <c r="BI9" i="18"/>
  <c r="F105" i="26"/>
  <c r="B105" i="26"/>
  <c r="E105" i="26"/>
  <c r="A105" i="26"/>
  <c r="D105" i="26"/>
  <c r="C105" i="26"/>
  <c r="DA9" i="18"/>
  <c r="C75" i="26"/>
  <c r="F75" i="26"/>
  <c r="B75" i="26"/>
  <c r="E75" i="26"/>
  <c r="D75" i="26"/>
  <c r="A75" i="26"/>
  <c r="BW9" i="18"/>
  <c r="D43" i="26"/>
  <c r="C43" i="26"/>
  <c r="F43" i="26"/>
  <c r="E43" i="26"/>
  <c r="A43" i="26"/>
  <c r="B43" i="26"/>
  <c r="AQ9" i="18"/>
  <c r="BR58" i="17"/>
  <c r="E58" i="17" s="1"/>
  <c r="BR37" i="17"/>
  <c r="E37" i="17" s="1"/>
  <c r="BR56" i="17"/>
  <c r="E56" i="17" s="1"/>
  <c r="Y8" i="18"/>
  <c r="BP8" i="18"/>
  <c r="DQ8" i="18"/>
  <c r="BR25" i="17"/>
  <c r="E25" i="17" s="1"/>
  <c r="BR80" i="17"/>
  <c r="E80" i="17" s="1"/>
  <c r="BV8" i="18"/>
  <c r="CC8" i="18"/>
  <c r="BR111" i="17"/>
  <c r="E111" i="17" s="1"/>
  <c r="CV8" i="18"/>
  <c r="AE8" i="18"/>
  <c r="CP221" i="17"/>
  <c r="E221" i="17" s="1"/>
  <c r="BF10" i="18"/>
  <c r="BI10" i="18"/>
  <c r="CP148" i="17"/>
  <c r="E148" i="17" s="1"/>
  <c r="CP168" i="17"/>
  <c r="E168" i="17" s="1"/>
  <c r="CP241" i="17"/>
  <c r="E241" i="17" s="1"/>
  <c r="CP153" i="17"/>
  <c r="E153" i="17" s="1"/>
  <c r="CP260" i="17"/>
  <c r="E260" i="17" s="1"/>
  <c r="CP188" i="17"/>
  <c r="E188" i="17" s="1"/>
  <c r="CP257" i="17"/>
  <c r="E257" i="17" s="1"/>
  <c r="CP233" i="17"/>
  <c r="E233" i="17" s="1"/>
  <c r="CP247" i="17"/>
  <c r="E247" i="17" s="1"/>
  <c r="CP172" i="17"/>
  <c r="E172" i="17" s="1"/>
  <c r="CP229" i="17"/>
  <c r="E229" i="17" s="1"/>
  <c r="CP217" i="17"/>
  <c r="E217" i="17" s="1"/>
  <c r="CP164" i="17"/>
  <c r="E164" i="17" s="1"/>
  <c r="CP238" i="17"/>
  <c r="E238" i="17" s="1"/>
  <c r="V10" i="18"/>
  <c r="CP190" i="17"/>
  <c r="E190" i="17" s="1"/>
  <c r="CP235" i="17"/>
  <c r="E235" i="17" s="1"/>
  <c r="CP218" i="17"/>
  <c r="E218" i="17" s="1"/>
  <c r="CP197" i="17"/>
  <c r="E197" i="17" s="1"/>
  <c r="CP187" i="17"/>
  <c r="E187" i="17" s="1"/>
  <c r="CP175" i="17"/>
  <c r="E175" i="17" s="1"/>
  <c r="CP249" i="17"/>
  <c r="E249" i="17" s="1"/>
  <c r="CP154" i="17"/>
  <c r="E154" i="17" s="1"/>
  <c r="CP176" i="17"/>
  <c r="E176" i="17" s="1"/>
  <c r="CP162" i="17"/>
  <c r="E162" i="17" s="1"/>
  <c r="CP160" i="17"/>
  <c r="E160" i="17" s="1"/>
  <c r="H41" i="21"/>
  <c r="G41" i="21"/>
  <c r="DN408" i="17"/>
  <c r="DN497" i="17"/>
  <c r="E497" i="17" s="1"/>
  <c r="DN477" i="17"/>
  <c r="E477" i="17" s="1"/>
  <c r="DN463" i="17"/>
  <c r="E463" i="17" s="1"/>
  <c r="DN449" i="17"/>
  <c r="E449" i="17" s="1"/>
  <c r="DN478" i="17"/>
  <c r="E478" i="17" s="1"/>
  <c r="DN493" i="17"/>
  <c r="E493" i="17" s="1"/>
  <c r="DN487" i="17"/>
  <c r="E487" i="17" s="1"/>
  <c r="DN475" i="17"/>
  <c r="E475" i="17" s="1"/>
  <c r="DN437" i="17"/>
  <c r="E437" i="17" s="1"/>
  <c r="DN454" i="17"/>
  <c r="E454" i="17" s="1"/>
  <c r="DN417" i="17"/>
  <c r="E417" i="17" s="1"/>
  <c r="DN485" i="17"/>
  <c r="E485" i="17" s="1"/>
  <c r="DN441" i="17"/>
  <c r="E441" i="17" s="1"/>
  <c r="DN509" i="17"/>
  <c r="E509" i="17" s="1"/>
  <c r="DN513" i="17"/>
  <c r="E513" i="17" s="1"/>
  <c r="DN515" i="17"/>
  <c r="E515" i="17" s="1"/>
  <c r="DN470" i="17"/>
  <c r="E470" i="17" s="1"/>
  <c r="DN488" i="17"/>
  <c r="E488" i="17" s="1"/>
  <c r="DN511" i="17"/>
  <c r="E511" i="17" s="1"/>
  <c r="DN484" i="17"/>
  <c r="E484" i="17" s="1"/>
  <c r="DN431" i="17"/>
  <c r="E431" i="17" s="1"/>
  <c r="DN425" i="17"/>
  <c r="E425" i="17" s="1"/>
  <c r="DN467" i="17"/>
  <c r="E467" i="17" s="1"/>
  <c r="DN508" i="17"/>
  <c r="E508" i="17" s="1"/>
  <c r="DN451" i="17"/>
  <c r="E451" i="17" s="1"/>
  <c r="DN522" i="17"/>
  <c r="E522" i="17" s="1"/>
  <c r="DN418" i="17"/>
  <c r="E418" i="17" s="1"/>
  <c r="DN505" i="17"/>
  <c r="E505" i="17" s="1"/>
  <c r="DN517" i="17"/>
  <c r="E517" i="17" s="1"/>
  <c r="D42" i="21"/>
  <c r="I42" i="21" s="1"/>
  <c r="C90" i="9"/>
  <c r="G42" i="2"/>
  <c r="K42" i="2"/>
  <c r="K43" i="2"/>
  <c r="DB308" i="17"/>
  <c r="E308" i="17" s="1"/>
  <c r="DB296" i="17"/>
  <c r="E296" i="17" s="1"/>
  <c r="DB324" i="17"/>
  <c r="E324" i="17" s="1"/>
  <c r="DB286" i="17"/>
  <c r="E286" i="17" s="1"/>
  <c r="DB280" i="17"/>
  <c r="E280" i="17" s="1"/>
  <c r="DB331" i="17"/>
  <c r="E331" i="17" s="1"/>
  <c r="DB337" i="17"/>
  <c r="E337" i="17" s="1"/>
  <c r="DB392" i="17"/>
  <c r="E392" i="17" s="1"/>
  <c r="DB340" i="17"/>
  <c r="E340" i="17" s="1"/>
  <c r="DB284" i="17"/>
  <c r="E284" i="17" s="1"/>
  <c r="DB385" i="17"/>
  <c r="E385" i="17" s="1"/>
  <c r="DB317" i="17"/>
  <c r="E317" i="17" s="1"/>
  <c r="DB330" i="17"/>
  <c r="E330" i="17" s="1"/>
  <c r="DB307" i="17"/>
  <c r="E307" i="17" s="1"/>
  <c r="DB376" i="17"/>
  <c r="E376" i="17" s="1"/>
  <c r="DB327" i="17"/>
  <c r="E327" i="17" s="1"/>
  <c r="DB389" i="17"/>
  <c r="E389" i="17" s="1"/>
  <c r="DB378" i="17"/>
  <c r="E378" i="17" s="1"/>
  <c r="DB353" i="17"/>
  <c r="E353" i="17" s="1"/>
  <c r="DB314" i="17"/>
  <c r="E314" i="17" s="1"/>
  <c r="DB320" i="17"/>
  <c r="E320" i="17" s="1"/>
  <c r="DB301" i="17"/>
  <c r="E301" i="17" s="1"/>
  <c r="DB341" i="17"/>
  <c r="E341" i="17" s="1"/>
  <c r="DB363" i="17"/>
  <c r="E363" i="17" s="1"/>
  <c r="DB281" i="17"/>
  <c r="E281" i="17" s="1"/>
  <c r="DB375" i="17"/>
  <c r="E375" i="17" s="1"/>
  <c r="DB323" i="17"/>
  <c r="E323" i="17" s="1"/>
  <c r="DB336" i="17"/>
  <c r="E336" i="17" s="1"/>
  <c r="DB348" i="17"/>
  <c r="E348" i="17" s="1"/>
  <c r="CD87" i="15"/>
  <c r="E87" i="15" s="1"/>
  <c r="CD125" i="15"/>
  <c r="E125" i="15" s="1"/>
  <c r="CD31" i="15"/>
  <c r="E31" i="15" s="1"/>
  <c r="CD101" i="15"/>
  <c r="E101" i="15" s="1"/>
  <c r="CD115" i="15"/>
  <c r="E115" i="15" s="1"/>
  <c r="CD73" i="15"/>
  <c r="E73" i="15" s="1"/>
  <c r="CD53" i="15"/>
  <c r="E53" i="15" s="1"/>
  <c r="CD127" i="15"/>
  <c r="E127" i="15" s="1"/>
  <c r="CD88" i="15"/>
  <c r="E88" i="15" s="1"/>
  <c r="CD74" i="15"/>
  <c r="E74" i="15" s="1"/>
  <c r="CD129" i="15"/>
  <c r="E129" i="15" s="1"/>
  <c r="CD67" i="15"/>
  <c r="E67" i="15" s="1"/>
  <c r="CD42" i="15"/>
  <c r="E42" i="15" s="1"/>
  <c r="CD89" i="15"/>
  <c r="E89" i="15" s="1"/>
  <c r="CD124" i="15"/>
  <c r="E124" i="15" s="1"/>
  <c r="CD78" i="15"/>
  <c r="E78" i="15" s="1"/>
  <c r="CD118" i="15"/>
  <c r="E118" i="15" s="1"/>
  <c r="CD105" i="15"/>
  <c r="E105" i="15" s="1"/>
  <c r="CD128" i="15"/>
  <c r="E128" i="15" s="1"/>
  <c r="CD103" i="15"/>
  <c r="E103" i="15" s="1"/>
  <c r="CD112" i="15"/>
  <c r="E112" i="15" s="1"/>
  <c r="CD130" i="15"/>
  <c r="E130" i="15" s="1"/>
  <c r="CD43" i="15"/>
  <c r="E43" i="15" s="1"/>
  <c r="CD116" i="15"/>
  <c r="E116" i="15" s="1"/>
  <c r="CD57" i="15"/>
  <c r="E57" i="15" s="1"/>
  <c r="CD110" i="15"/>
  <c r="E110" i="15" s="1"/>
  <c r="CD107" i="15"/>
  <c r="E107" i="15" s="1"/>
  <c r="CD45" i="15"/>
  <c r="E45" i="15" s="1"/>
  <c r="CD24" i="15"/>
  <c r="E24" i="15" s="1"/>
  <c r="BR64" i="17"/>
  <c r="E64" i="17" s="1"/>
  <c r="BR125" i="17"/>
  <c r="E125" i="17" s="1"/>
  <c r="BR76" i="17"/>
  <c r="E76" i="17" s="1"/>
  <c r="BR50" i="17"/>
  <c r="E50" i="17" s="1"/>
  <c r="BR103" i="17"/>
  <c r="E103" i="17" s="1"/>
  <c r="BR82" i="17"/>
  <c r="E82" i="17" s="1"/>
  <c r="BR49" i="17"/>
  <c r="E49" i="17" s="1"/>
  <c r="BR63" i="17"/>
  <c r="E63" i="17" s="1"/>
  <c r="BR81" i="17"/>
  <c r="E81" i="17" s="1"/>
  <c r="BR96" i="17"/>
  <c r="E96" i="17" s="1"/>
  <c r="BR97" i="17"/>
  <c r="E97" i="17" s="1"/>
  <c r="BR115" i="17"/>
  <c r="E115" i="17" s="1"/>
  <c r="BR109" i="17"/>
  <c r="E109" i="17" s="1"/>
  <c r="BR46" i="17"/>
  <c r="E46" i="17" s="1"/>
  <c r="BR61" i="17"/>
  <c r="E61" i="17" s="1"/>
  <c r="BR72" i="17"/>
  <c r="E72" i="17" s="1"/>
  <c r="BR26" i="17"/>
  <c r="E26" i="17" s="1"/>
  <c r="BR20" i="17"/>
  <c r="E20" i="17" s="1"/>
  <c r="BR120" i="17"/>
  <c r="E120" i="17" s="1"/>
  <c r="BR67" i="17"/>
  <c r="E67" i="17" s="1"/>
  <c r="BR60" i="17"/>
  <c r="E60" i="17" s="1"/>
  <c r="BR19" i="17"/>
  <c r="E19" i="17" s="1"/>
  <c r="BR130" i="17"/>
  <c r="E130" i="17" s="1"/>
  <c r="BR122" i="17"/>
  <c r="E122" i="17" s="1"/>
  <c r="BR43" i="17"/>
  <c r="E43" i="17" s="1"/>
  <c r="BR87" i="17"/>
  <c r="E87" i="17" s="1"/>
  <c r="BR98" i="17"/>
  <c r="E98" i="17" s="1"/>
  <c r="BR23" i="17"/>
  <c r="E23" i="17" s="1"/>
  <c r="BR112" i="17"/>
  <c r="E112" i="17" s="1"/>
  <c r="CP194" i="17"/>
  <c r="E194" i="17" s="1"/>
  <c r="CP232" i="17"/>
  <c r="E232" i="17" s="1"/>
  <c r="CP262" i="17"/>
  <c r="E262" i="17" s="1"/>
  <c r="CP258" i="17"/>
  <c r="E258" i="17" s="1"/>
  <c r="CP219" i="17"/>
  <c r="E219" i="17" s="1"/>
  <c r="CP201" i="17"/>
  <c r="E201" i="17" s="1"/>
  <c r="CP159" i="17"/>
  <c r="E159" i="17" s="1"/>
  <c r="CP149" i="17"/>
  <c r="E149" i="17" s="1"/>
  <c r="CP161" i="17"/>
  <c r="E161" i="17" s="1"/>
  <c r="CP203" i="17"/>
  <c r="E203" i="17" s="1"/>
  <c r="CP171" i="17"/>
  <c r="E171" i="17" s="1"/>
  <c r="CP237" i="17"/>
  <c r="E237" i="17" s="1"/>
  <c r="CP242" i="17"/>
  <c r="E242" i="17" s="1"/>
  <c r="CP239" i="17"/>
  <c r="E239" i="17" s="1"/>
  <c r="CP244" i="17"/>
  <c r="E244" i="17" s="1"/>
  <c r="CP211" i="17"/>
  <c r="E211" i="17" s="1"/>
  <c r="CP228" i="17"/>
  <c r="E228" i="17" s="1"/>
  <c r="CP169" i="17"/>
  <c r="E169" i="17" s="1"/>
  <c r="CP236" i="17"/>
  <c r="E236" i="17" s="1"/>
  <c r="CP243" i="17"/>
  <c r="E243" i="17" s="1"/>
  <c r="CP193" i="17"/>
  <c r="E193" i="17" s="1"/>
  <c r="CP191" i="17"/>
  <c r="E191" i="17" s="1"/>
  <c r="CP173" i="17"/>
  <c r="E173" i="17" s="1"/>
  <c r="CP246" i="17"/>
  <c r="E246" i="17" s="1"/>
  <c r="CP186" i="17"/>
  <c r="E186" i="17" s="1"/>
  <c r="CP234" i="17"/>
  <c r="E234" i="17" s="1"/>
  <c r="CP157" i="17"/>
  <c r="E157" i="17" s="1"/>
  <c r="CP182" i="17"/>
  <c r="E182" i="17" s="1"/>
  <c r="CP245" i="17"/>
  <c r="E245" i="17" s="1"/>
  <c r="CP255" i="17"/>
  <c r="E255" i="17" s="1"/>
  <c r="DN479" i="17"/>
  <c r="E479" i="17" s="1"/>
  <c r="DN420" i="17"/>
  <c r="E420" i="17" s="1"/>
  <c r="DP12" i="18"/>
  <c r="G12" i="18"/>
  <c r="DN516" i="17"/>
  <c r="E516" i="17" s="1"/>
  <c r="AC12" i="18"/>
  <c r="AZ12" i="18"/>
  <c r="T12" i="18"/>
  <c r="B50" i="11"/>
  <c r="D50" i="11" s="1"/>
  <c r="E50" i="11" s="1"/>
  <c r="F50" i="11" s="1"/>
  <c r="F90" i="9"/>
  <c r="CN11" i="18"/>
  <c r="DB290" i="17"/>
  <c r="E290" i="17" s="1"/>
  <c r="CP11" i="18"/>
  <c r="DB377" i="17"/>
  <c r="E377" i="17" s="1"/>
  <c r="CT11" i="18"/>
  <c r="DB287" i="17"/>
  <c r="E287" i="17" s="1"/>
  <c r="DB352" i="17"/>
  <c r="E352" i="17" s="1"/>
  <c r="AO11" i="18"/>
  <c r="D63" i="26"/>
  <c r="C63" i="26"/>
  <c r="F63" i="26"/>
  <c r="E63" i="26"/>
  <c r="A63" i="26"/>
  <c r="B63" i="26"/>
  <c r="BK9" i="18"/>
  <c r="D99" i="26"/>
  <c r="B99" i="26"/>
  <c r="C99" i="26"/>
  <c r="A99" i="26"/>
  <c r="F99" i="26"/>
  <c r="E99" i="26"/>
  <c r="CU9" i="18"/>
  <c r="CD56" i="15"/>
  <c r="E56" i="15" s="1"/>
  <c r="CD122" i="15"/>
  <c r="E122" i="15" s="1"/>
  <c r="D47" i="26"/>
  <c r="C47" i="26"/>
  <c r="F47" i="26"/>
  <c r="E47" i="26"/>
  <c r="A47" i="26"/>
  <c r="B47" i="26"/>
  <c r="AU9" i="18"/>
  <c r="CD77" i="15"/>
  <c r="E77" i="15" s="1"/>
  <c r="D50" i="26"/>
  <c r="C50" i="26"/>
  <c r="B50" i="26"/>
  <c r="A50" i="26"/>
  <c r="F50" i="26"/>
  <c r="E50" i="26"/>
  <c r="AX9" i="18"/>
  <c r="D114" i="26"/>
  <c r="E114" i="26"/>
  <c r="C114" i="26"/>
  <c r="B114" i="26"/>
  <c r="A114" i="26"/>
  <c r="F114" i="26"/>
  <c r="DJ9" i="18"/>
  <c r="AS8" i="18"/>
  <c r="X8" i="18"/>
  <c r="BR38" i="17"/>
  <c r="E38" i="17" s="1"/>
  <c r="BD8" i="18"/>
  <c r="BR93" i="17"/>
  <c r="E93" i="17" s="1"/>
  <c r="I41" i="2"/>
  <c r="F41" i="21" s="1"/>
  <c r="L41" i="2"/>
  <c r="DN500" i="17"/>
  <c r="E500" i="17" s="1"/>
  <c r="DN459" i="17"/>
  <c r="E459" i="17" s="1"/>
  <c r="DN428" i="17"/>
  <c r="E428" i="17" s="1"/>
  <c r="DN518" i="17"/>
  <c r="E518" i="17" s="1"/>
  <c r="DN507" i="17"/>
  <c r="E507" i="17" s="1"/>
  <c r="DN506" i="17"/>
  <c r="E506" i="17" s="1"/>
  <c r="DN486" i="17"/>
  <c r="E486" i="17" s="1"/>
  <c r="DN472" i="17"/>
  <c r="E472" i="17" s="1"/>
  <c r="DN510" i="17"/>
  <c r="E510" i="17" s="1"/>
  <c r="DN444" i="17"/>
  <c r="E444" i="17" s="1"/>
  <c r="DN439" i="17"/>
  <c r="E439" i="17" s="1"/>
  <c r="DN426" i="17"/>
  <c r="E426" i="17" s="1"/>
  <c r="DN492" i="17"/>
  <c r="E492" i="17" s="1"/>
  <c r="DN476" i="17"/>
  <c r="E476" i="17" s="1"/>
  <c r="DN436" i="17"/>
  <c r="E436" i="17" s="1"/>
  <c r="DN471" i="17"/>
  <c r="E471" i="17" s="1"/>
  <c r="DN415" i="17"/>
  <c r="E415" i="17" s="1"/>
  <c r="DN524" i="17"/>
  <c r="E524" i="17" s="1"/>
  <c r="DN482" i="17"/>
  <c r="E482" i="17" s="1"/>
  <c r="DN520" i="17"/>
  <c r="E520" i="17" s="1"/>
  <c r="DN424" i="17"/>
  <c r="E424" i="17" s="1"/>
  <c r="DN498" i="17"/>
  <c r="E498" i="17" s="1"/>
  <c r="DN414" i="17"/>
  <c r="E414" i="17" s="1"/>
  <c r="DN429" i="17"/>
  <c r="E429" i="17" s="1"/>
  <c r="DN443" i="17"/>
  <c r="E443" i="17" s="1"/>
  <c r="DN434" i="17"/>
  <c r="E434" i="17" s="1"/>
  <c r="DN481" i="17"/>
  <c r="E481" i="17" s="1"/>
  <c r="DN433" i="17"/>
  <c r="E433" i="17" s="1"/>
  <c r="DN435" i="17"/>
  <c r="E435" i="17" s="1"/>
  <c r="C42" i="21"/>
  <c r="B90" i="9"/>
  <c r="C50" i="11" s="1"/>
  <c r="F42" i="2"/>
  <c r="J42" i="2"/>
  <c r="J43" i="2"/>
  <c r="A60" i="22"/>
  <c r="B42" i="21"/>
  <c r="DB356" i="17"/>
  <c r="E356" i="17" s="1"/>
  <c r="DB350" i="17"/>
  <c r="E350" i="17" s="1"/>
  <c r="DB298" i="17"/>
  <c r="E298" i="17" s="1"/>
  <c r="DB289" i="17"/>
  <c r="E289" i="17" s="1"/>
  <c r="DB367" i="17"/>
  <c r="E367" i="17" s="1"/>
  <c r="DB328" i="17"/>
  <c r="E328" i="17" s="1"/>
  <c r="DB303" i="17"/>
  <c r="E303" i="17" s="1"/>
  <c r="DB362" i="17"/>
  <c r="E362" i="17" s="1"/>
  <c r="DB371" i="17"/>
  <c r="E371" i="17" s="1"/>
  <c r="DB388" i="17"/>
  <c r="E388" i="17" s="1"/>
  <c r="DB384" i="17"/>
  <c r="E384" i="17" s="1"/>
  <c r="DB387" i="17"/>
  <c r="E387" i="17" s="1"/>
  <c r="DB282" i="17"/>
  <c r="E282" i="17" s="1"/>
  <c r="DB349" i="17"/>
  <c r="E349" i="17" s="1"/>
  <c r="DB332" i="17"/>
  <c r="E332" i="17" s="1"/>
  <c r="DB339" i="17"/>
  <c r="E339" i="17" s="1"/>
  <c r="DB347" i="17"/>
  <c r="E347" i="17" s="1"/>
  <c r="DB305" i="17"/>
  <c r="E305" i="17" s="1"/>
  <c r="DB343" i="17"/>
  <c r="E343" i="17" s="1"/>
  <c r="DB310" i="17"/>
  <c r="E310" i="17" s="1"/>
  <c r="DB309" i="17"/>
  <c r="E309" i="17" s="1"/>
  <c r="DB373" i="17"/>
  <c r="E373" i="17" s="1"/>
  <c r="DB304" i="17"/>
  <c r="E304" i="17" s="1"/>
  <c r="DB335" i="17"/>
  <c r="E335" i="17" s="1"/>
  <c r="DB318" i="17"/>
  <c r="E318" i="17" s="1"/>
  <c r="DB292" i="17"/>
  <c r="E292" i="17" s="1"/>
  <c r="DB326" i="17"/>
  <c r="E326" i="17" s="1"/>
  <c r="DB393" i="17"/>
  <c r="E393" i="17" s="1"/>
  <c r="DB291" i="17"/>
  <c r="E291" i="17" s="1"/>
  <c r="CD39" i="15"/>
  <c r="E39" i="15" s="1"/>
  <c r="CD40" i="15"/>
  <c r="E40" i="15" s="1"/>
  <c r="CD113" i="15"/>
  <c r="E113" i="15" s="1"/>
  <c r="CD120" i="15"/>
  <c r="E120" i="15" s="1"/>
  <c r="CD51" i="15"/>
  <c r="E51" i="15" s="1"/>
  <c r="CD102" i="15"/>
  <c r="E102" i="15" s="1"/>
  <c r="CD139" i="15"/>
  <c r="E139" i="15" s="1"/>
  <c r="CD60" i="15"/>
  <c r="E60" i="15" s="1"/>
  <c r="CD119" i="15"/>
  <c r="E119" i="15" s="1"/>
  <c r="CD99" i="15"/>
  <c r="E99" i="15" s="1"/>
  <c r="CD50" i="15"/>
  <c r="E50" i="15" s="1"/>
  <c r="CD72" i="15"/>
  <c r="E72" i="15" s="1"/>
  <c r="CD137" i="15"/>
  <c r="E137" i="15" s="1"/>
  <c r="CD62" i="15"/>
  <c r="E62" i="15" s="1"/>
  <c r="CD84" i="15"/>
  <c r="E84" i="15" s="1"/>
  <c r="CD104" i="15"/>
  <c r="E104" i="15" s="1"/>
  <c r="CD76" i="15"/>
  <c r="E76" i="15" s="1"/>
  <c r="CD70" i="15"/>
  <c r="E70" i="15" s="1"/>
  <c r="CD41" i="15"/>
  <c r="E41" i="15" s="1"/>
  <c r="CD66" i="15"/>
  <c r="E66" i="15" s="1"/>
  <c r="CD131" i="15"/>
  <c r="E131" i="15" s="1"/>
  <c r="CD30" i="15"/>
  <c r="E30" i="15" s="1"/>
  <c r="CD106" i="15"/>
  <c r="E106" i="15" s="1"/>
  <c r="CD34" i="15"/>
  <c r="E34" i="15" s="1"/>
  <c r="CD85" i="15"/>
  <c r="E85" i="15" s="1"/>
  <c r="CD136" i="15"/>
  <c r="E136" i="15" s="1"/>
  <c r="CD82" i="15"/>
  <c r="E82" i="15" s="1"/>
  <c r="CD91" i="15"/>
  <c r="E91" i="15" s="1"/>
  <c r="CD126" i="15"/>
  <c r="E126" i="15" s="1"/>
  <c r="BR117" i="17"/>
  <c r="E117" i="17" s="1"/>
  <c r="BR104" i="17"/>
  <c r="E104" i="17" s="1"/>
  <c r="BR62" i="17"/>
  <c r="E62" i="17" s="1"/>
  <c r="BR39" i="17"/>
  <c r="E39" i="17" s="1"/>
  <c r="BR69" i="17"/>
  <c r="E69" i="17" s="1"/>
  <c r="BR116" i="17"/>
  <c r="E116" i="17" s="1"/>
  <c r="BR74" i="17"/>
  <c r="E74" i="17" s="1"/>
  <c r="BR15" i="17"/>
  <c r="BR24" i="17"/>
  <c r="E24" i="17" s="1"/>
  <c r="BR21" i="17"/>
  <c r="E21" i="17" s="1"/>
  <c r="BR90" i="17"/>
  <c r="E90" i="17" s="1"/>
  <c r="BR16" i="17"/>
  <c r="E16" i="17" s="1"/>
  <c r="BR118" i="17"/>
  <c r="E118" i="17" s="1"/>
  <c r="BR123" i="17"/>
  <c r="E123" i="17" s="1"/>
  <c r="BR88" i="17"/>
  <c r="E88" i="17" s="1"/>
  <c r="BR30" i="17"/>
  <c r="E30" i="17" s="1"/>
  <c r="BR77" i="17"/>
  <c r="E77" i="17" s="1"/>
  <c r="BR95" i="17"/>
  <c r="E95" i="17" s="1"/>
  <c r="BR107" i="17"/>
  <c r="E107" i="17" s="1"/>
  <c r="BR65" i="17"/>
  <c r="E65" i="17" s="1"/>
  <c r="BR32" i="17"/>
  <c r="E32" i="17" s="1"/>
  <c r="BR54" i="17"/>
  <c r="E54" i="17" s="1"/>
  <c r="BR42" i="17"/>
  <c r="E42" i="17" s="1"/>
  <c r="BR86" i="17"/>
  <c r="E86" i="17" s="1"/>
  <c r="BR128" i="17"/>
  <c r="E128" i="17" s="1"/>
  <c r="BR73" i="17"/>
  <c r="E73" i="17" s="1"/>
  <c r="BR121" i="17"/>
  <c r="E121" i="17" s="1"/>
  <c r="BR89" i="17"/>
  <c r="E89" i="17" s="1"/>
  <c r="BR29" i="17"/>
  <c r="E29" i="17" s="1"/>
  <c r="CP195" i="17"/>
  <c r="E195" i="17" s="1"/>
  <c r="CP222" i="17"/>
  <c r="E222" i="17" s="1"/>
  <c r="CP251" i="17"/>
  <c r="E251" i="17" s="1"/>
  <c r="CP174" i="17"/>
  <c r="E174" i="17" s="1"/>
  <c r="CP167" i="17"/>
  <c r="E167" i="17" s="1"/>
  <c r="CP189" i="17"/>
  <c r="E189" i="17" s="1"/>
  <c r="CP204" i="17"/>
  <c r="E204" i="17" s="1"/>
  <c r="CP254" i="17"/>
  <c r="E254" i="17" s="1"/>
  <c r="CP178" i="17"/>
  <c r="E178" i="17" s="1"/>
  <c r="CP150" i="17"/>
  <c r="E150" i="17" s="1"/>
  <c r="CP184" i="17"/>
  <c r="E184" i="17" s="1"/>
  <c r="CP223" i="17"/>
  <c r="E223" i="17" s="1"/>
  <c r="CP209" i="17"/>
  <c r="E209" i="17" s="1"/>
  <c r="CP152" i="17"/>
  <c r="E152" i="17" s="1"/>
  <c r="CP177" i="17"/>
  <c r="E177" i="17" s="1"/>
  <c r="CP185" i="17"/>
  <c r="E185" i="17" s="1"/>
  <c r="CP261" i="17"/>
  <c r="E261" i="17" s="1"/>
  <c r="CP213" i="17"/>
  <c r="E213" i="17" s="1"/>
  <c r="CP224" i="17"/>
  <c r="E224" i="17" s="1"/>
  <c r="CP216" i="17"/>
  <c r="E216" i="17" s="1"/>
  <c r="CP259" i="17"/>
  <c r="E259" i="17" s="1"/>
  <c r="CP206" i="17"/>
  <c r="E206" i="17" s="1"/>
  <c r="CP158" i="17"/>
  <c r="E158" i="17" s="1"/>
  <c r="CP179" i="17"/>
  <c r="E179" i="17" s="1"/>
  <c r="CP198" i="17"/>
  <c r="E198" i="17" s="1"/>
  <c r="CP155" i="17"/>
  <c r="E155" i="17" s="1"/>
  <c r="CP212" i="17"/>
  <c r="E212" i="17" s="1"/>
  <c r="CP196" i="17"/>
  <c r="E196" i="17" s="1"/>
  <c r="CP226" i="17"/>
  <c r="E226" i="17" s="1"/>
  <c r="DN480" i="17"/>
  <c r="E480" i="17" s="1"/>
  <c r="CO12" i="18"/>
  <c r="F12" i="18"/>
  <c r="AX12" i="18"/>
  <c r="BE12" i="18"/>
  <c r="CR12" i="18"/>
  <c r="CV12" i="18"/>
  <c r="I12" i="18"/>
  <c r="CB12" i="18"/>
  <c r="DN501" i="17"/>
  <c r="E501" i="17" s="1"/>
  <c r="DN521" i="17"/>
  <c r="E521" i="17" s="1"/>
  <c r="DN427" i="17"/>
  <c r="E427" i="17" s="1"/>
  <c r="BG12" i="18"/>
  <c r="DN422" i="17"/>
  <c r="E422" i="17" s="1"/>
  <c r="V11" i="18"/>
  <c r="DB319" i="17"/>
  <c r="E319" i="17" s="1"/>
  <c r="CR11" i="18"/>
  <c r="DB390" i="17"/>
  <c r="E390" i="17" s="1"/>
  <c r="DB293" i="17"/>
  <c r="E293" i="17" s="1"/>
  <c r="DB299" i="17"/>
  <c r="E299" i="17" s="1"/>
  <c r="DB358" i="17"/>
  <c r="E358" i="17" s="1"/>
  <c r="AM11" i="18"/>
  <c r="DB325" i="17"/>
  <c r="E325" i="17" s="1"/>
  <c r="DB302" i="17"/>
  <c r="E302" i="17" s="1"/>
  <c r="DB278" i="17"/>
  <c r="E278" i="17" s="1"/>
  <c r="CD23" i="15"/>
  <c r="D53" i="26"/>
  <c r="C53" i="26"/>
  <c r="F53" i="26"/>
  <c r="E53" i="26"/>
  <c r="B53" i="26"/>
  <c r="A53" i="26"/>
  <c r="BA9" i="18"/>
  <c r="F115" i="26"/>
  <c r="B115" i="26"/>
  <c r="D115" i="26"/>
  <c r="E115" i="26"/>
  <c r="C115" i="26"/>
  <c r="A115" i="26"/>
  <c r="DK9" i="18"/>
  <c r="CD134" i="15"/>
  <c r="E134" i="15" s="1"/>
  <c r="D41" i="26"/>
  <c r="C41" i="26"/>
  <c r="F41" i="26"/>
  <c r="E41" i="26"/>
  <c r="B41" i="26"/>
  <c r="A41" i="26"/>
  <c r="AO9" i="18"/>
  <c r="CD33" i="15"/>
  <c r="E33" i="15" s="1"/>
  <c r="CD25" i="15"/>
  <c r="E25" i="15" s="1"/>
  <c r="CD64" i="15"/>
  <c r="E64" i="15" s="1"/>
  <c r="C9" i="26"/>
  <c r="B9" i="26"/>
  <c r="F9" i="26"/>
  <c r="A9" i="26"/>
  <c r="E9" i="26"/>
  <c r="D9" i="26"/>
  <c r="I9" i="18"/>
  <c r="C72" i="26"/>
  <c r="F72" i="26"/>
  <c r="B72" i="26"/>
  <c r="A72" i="26"/>
  <c r="D72" i="26"/>
  <c r="E72" i="26"/>
  <c r="BT9" i="18"/>
  <c r="CD32" i="15"/>
  <c r="E32" i="15" s="1"/>
  <c r="DM8" i="18"/>
  <c r="CL8" i="18"/>
  <c r="BF8" i="18"/>
  <c r="BR18" i="17"/>
  <c r="E18" i="17" s="1"/>
  <c r="BR44" i="17"/>
  <c r="E44" i="17" s="1"/>
  <c r="CQ8" i="18"/>
  <c r="BR28" i="17"/>
  <c r="E28" i="17" s="1"/>
  <c r="DE8" i="18"/>
  <c r="BM8" i="18"/>
  <c r="BR36" i="17"/>
  <c r="E36" i="17" s="1"/>
  <c r="BR129" i="17"/>
  <c r="E129" i="17" s="1"/>
  <c r="O41" i="2"/>
  <c r="M41" i="2"/>
  <c r="DN419" i="17"/>
  <c r="E419" i="17" s="1"/>
  <c r="DN447" i="17"/>
  <c r="E447" i="17" s="1"/>
  <c r="DN465" i="17"/>
  <c r="E465" i="17" s="1"/>
  <c r="DN456" i="17"/>
  <c r="E456" i="17" s="1"/>
  <c r="DN519" i="17"/>
  <c r="E519" i="17" s="1"/>
  <c r="DN438" i="17"/>
  <c r="E438" i="17" s="1"/>
  <c r="DN464" i="17"/>
  <c r="E464" i="17" s="1"/>
  <c r="DN445" i="17"/>
  <c r="E445" i="17" s="1"/>
  <c r="DN457" i="17"/>
  <c r="E457" i="17" s="1"/>
  <c r="DN413" i="17"/>
  <c r="E413" i="17" s="1"/>
  <c r="DN502" i="17"/>
  <c r="E502" i="17" s="1"/>
  <c r="DN489" i="17"/>
  <c r="E489" i="17" s="1"/>
  <c r="DN469" i="17"/>
  <c r="E469" i="17" s="1"/>
  <c r="DN473" i="17"/>
  <c r="E473" i="17" s="1"/>
  <c r="DN416" i="17"/>
  <c r="E416" i="17" s="1"/>
  <c r="DN446" i="17"/>
  <c r="E446" i="17" s="1"/>
  <c r="DN491" i="17"/>
  <c r="E491" i="17" s="1"/>
  <c r="DN421" i="17"/>
  <c r="E421" i="17" s="1"/>
  <c r="DN494" i="17"/>
  <c r="E494" i="17" s="1"/>
  <c r="DN490" i="17"/>
  <c r="E490" i="17" s="1"/>
  <c r="DN514" i="17"/>
  <c r="E514" i="17" s="1"/>
  <c r="DN468" i="17"/>
  <c r="E468" i="17" s="1"/>
  <c r="DN466" i="17"/>
  <c r="E466" i="17" s="1"/>
  <c r="DN512" i="17"/>
  <c r="E512" i="17" s="1"/>
  <c r="DN448" i="17"/>
  <c r="E448" i="17" s="1"/>
  <c r="DN504" i="17"/>
  <c r="E504" i="17" s="1"/>
  <c r="DN450" i="17"/>
  <c r="E450" i="17" s="1"/>
  <c r="DN452" i="17"/>
  <c r="E452" i="17" s="1"/>
  <c r="DN411" i="17"/>
  <c r="E411" i="17" s="1"/>
  <c r="E42" i="21"/>
  <c r="J42" i="21" s="1"/>
  <c r="D90" i="9"/>
  <c r="H42" i="2"/>
  <c r="DB277" i="17"/>
  <c r="DB334" i="17"/>
  <c r="E334" i="17" s="1"/>
  <c r="DB285" i="17"/>
  <c r="E285" i="17" s="1"/>
  <c r="DB354" i="17"/>
  <c r="E354" i="17" s="1"/>
  <c r="DB369" i="17"/>
  <c r="E369" i="17" s="1"/>
  <c r="DB288" i="17"/>
  <c r="E288" i="17" s="1"/>
  <c r="DB383" i="17"/>
  <c r="E383" i="17" s="1"/>
  <c r="DB381" i="17"/>
  <c r="E381" i="17" s="1"/>
  <c r="DB357" i="17"/>
  <c r="E357" i="17" s="1"/>
  <c r="DB382" i="17"/>
  <c r="E382" i="17" s="1"/>
  <c r="DB322" i="17"/>
  <c r="E322" i="17" s="1"/>
  <c r="DB316" i="17"/>
  <c r="E316" i="17" s="1"/>
  <c r="DB380" i="17"/>
  <c r="E380" i="17" s="1"/>
  <c r="DB360" i="17"/>
  <c r="E360" i="17" s="1"/>
  <c r="DB315" i="17"/>
  <c r="E315" i="17" s="1"/>
  <c r="DB379" i="17"/>
  <c r="E379" i="17" s="1"/>
  <c r="DB345" i="17"/>
  <c r="E345" i="17" s="1"/>
  <c r="DB295" i="17"/>
  <c r="E295" i="17" s="1"/>
  <c r="DB338" i="17"/>
  <c r="E338" i="17" s="1"/>
  <c r="DB342" i="17"/>
  <c r="E342" i="17" s="1"/>
  <c r="DB391" i="17"/>
  <c r="E391" i="17" s="1"/>
  <c r="DB321" i="17"/>
  <c r="E321" i="17" s="1"/>
  <c r="DB355" i="17"/>
  <c r="E355" i="17" s="1"/>
  <c r="DB365" i="17"/>
  <c r="E365" i="17" s="1"/>
  <c r="DB297" i="17"/>
  <c r="E297" i="17" s="1"/>
  <c r="DB346" i="17"/>
  <c r="E346" i="17" s="1"/>
  <c r="DB372" i="17"/>
  <c r="E372" i="17" s="1"/>
  <c r="DB283" i="17"/>
  <c r="E283" i="17" s="1"/>
  <c r="DB333" i="17"/>
  <c r="E333" i="17" s="1"/>
  <c r="DB386" i="17"/>
  <c r="E386" i="17" s="1"/>
  <c r="CD96" i="15"/>
  <c r="E96" i="15" s="1"/>
  <c r="CD135" i="15"/>
  <c r="E135" i="15" s="1"/>
  <c r="CD95" i="15"/>
  <c r="E95" i="15" s="1"/>
  <c r="CD83" i="15"/>
  <c r="E83" i="15" s="1"/>
  <c r="CD69" i="15"/>
  <c r="E69" i="15" s="1"/>
  <c r="CD55" i="15"/>
  <c r="E55" i="15" s="1"/>
  <c r="CD97" i="15"/>
  <c r="E97" i="15" s="1"/>
  <c r="CD92" i="15"/>
  <c r="E92" i="15" s="1"/>
  <c r="CD54" i="15"/>
  <c r="E54" i="15" s="1"/>
  <c r="CD28" i="15"/>
  <c r="E28" i="15" s="1"/>
  <c r="CD94" i="15"/>
  <c r="E94" i="15" s="1"/>
  <c r="CD35" i="15"/>
  <c r="E35" i="15" s="1"/>
  <c r="CD75" i="15"/>
  <c r="E75" i="15" s="1"/>
  <c r="CD111" i="15"/>
  <c r="E111" i="15" s="1"/>
  <c r="CD80" i="15"/>
  <c r="E80" i="15" s="1"/>
  <c r="CD108" i="15"/>
  <c r="E108" i="15" s="1"/>
  <c r="CD86" i="15"/>
  <c r="E86" i="15" s="1"/>
  <c r="CD46" i="15"/>
  <c r="E46" i="15" s="1"/>
  <c r="CD29" i="15"/>
  <c r="E29" i="15" s="1"/>
  <c r="CD38" i="15"/>
  <c r="E38" i="15" s="1"/>
  <c r="CD100" i="15"/>
  <c r="E100" i="15" s="1"/>
  <c r="CD138" i="15"/>
  <c r="E138" i="15" s="1"/>
  <c r="CD98" i="15"/>
  <c r="E98" i="15" s="1"/>
  <c r="CD114" i="15"/>
  <c r="E114" i="15" s="1"/>
  <c r="CD26" i="15"/>
  <c r="E26" i="15" s="1"/>
  <c r="CD44" i="15"/>
  <c r="E44" i="15" s="1"/>
  <c r="CD36" i="15"/>
  <c r="E36" i="15" s="1"/>
  <c r="CD109" i="15"/>
  <c r="E109" i="15" s="1"/>
  <c r="CD37" i="15"/>
  <c r="E37" i="15" s="1"/>
  <c r="BR85" i="17"/>
  <c r="E85" i="17" s="1"/>
  <c r="BR126" i="17"/>
  <c r="E126" i="17" s="1"/>
  <c r="BR22" i="17"/>
  <c r="E22" i="17" s="1"/>
  <c r="BR47" i="17"/>
  <c r="E47" i="17" s="1"/>
  <c r="BR83" i="17"/>
  <c r="E83" i="17" s="1"/>
  <c r="BR71" i="17"/>
  <c r="E71" i="17" s="1"/>
  <c r="BR45" i="17"/>
  <c r="E45" i="17" s="1"/>
  <c r="BR59" i="17"/>
  <c r="E59" i="17" s="1"/>
  <c r="BR99" i="17"/>
  <c r="E99" i="17" s="1"/>
  <c r="BR33" i="17"/>
  <c r="E33" i="17" s="1"/>
  <c r="BR51" i="17"/>
  <c r="E51" i="17" s="1"/>
  <c r="BR92" i="17"/>
  <c r="E92" i="17" s="1"/>
  <c r="BR113" i="17"/>
  <c r="E113" i="17" s="1"/>
  <c r="BR48" i="17"/>
  <c r="E48" i="17" s="1"/>
  <c r="BR101" i="17"/>
  <c r="E101" i="17" s="1"/>
  <c r="BR57" i="17"/>
  <c r="E57" i="17" s="1"/>
  <c r="BR102" i="17"/>
  <c r="E102" i="17" s="1"/>
  <c r="BR17" i="17"/>
  <c r="E17" i="17" s="1"/>
  <c r="BR94" i="17"/>
  <c r="E94" i="17" s="1"/>
  <c r="BR70" i="17"/>
  <c r="E70" i="17" s="1"/>
  <c r="BR52" i="17"/>
  <c r="E52" i="17" s="1"/>
  <c r="BR106" i="17"/>
  <c r="E106" i="17" s="1"/>
  <c r="BR108" i="17"/>
  <c r="E108" i="17" s="1"/>
  <c r="BR31" i="17"/>
  <c r="E31" i="17" s="1"/>
  <c r="BR53" i="17"/>
  <c r="E53" i="17" s="1"/>
  <c r="BR79" i="17"/>
  <c r="E79" i="17" s="1"/>
  <c r="BR114" i="17"/>
  <c r="E114" i="17" s="1"/>
  <c r="BR27" i="17"/>
  <c r="E27" i="17" s="1"/>
  <c r="BR40" i="17"/>
  <c r="E40" i="17" s="1"/>
  <c r="BR124" i="17"/>
  <c r="E124" i="17" s="1"/>
  <c r="CP156" i="17"/>
  <c r="E156" i="17" s="1"/>
  <c r="CP183" i="17"/>
  <c r="E183" i="17" s="1"/>
  <c r="CP248" i="17"/>
  <c r="E248" i="17" s="1"/>
  <c r="CP253" i="17"/>
  <c r="E253" i="17" s="1"/>
  <c r="CP200" i="17"/>
  <c r="E200" i="17" s="1"/>
  <c r="CP207" i="17"/>
  <c r="E207" i="17" s="1"/>
  <c r="CP208" i="17"/>
  <c r="E208" i="17" s="1"/>
  <c r="CP166" i="17"/>
  <c r="E166" i="17" s="1"/>
  <c r="CP215" i="17"/>
  <c r="E215" i="17" s="1"/>
  <c r="CP240" i="17"/>
  <c r="E240" i="17" s="1"/>
  <c r="CP146" i="17"/>
  <c r="CP252" i="17"/>
  <c r="E252" i="17" s="1"/>
  <c r="CP205" i="17"/>
  <c r="E205" i="17" s="1"/>
  <c r="CP230" i="17"/>
  <c r="E230" i="17" s="1"/>
  <c r="CP214" i="17"/>
  <c r="E214" i="17" s="1"/>
  <c r="CP151" i="17"/>
  <c r="E151" i="17" s="1"/>
  <c r="CP170" i="17"/>
  <c r="E170" i="17" s="1"/>
  <c r="CP192" i="17"/>
  <c r="E192" i="17" s="1"/>
  <c r="CP220" i="17"/>
  <c r="E220" i="17" s="1"/>
  <c r="CP180" i="17"/>
  <c r="E180" i="17" s="1"/>
  <c r="CP165" i="17"/>
  <c r="E165" i="17" s="1"/>
  <c r="CP256" i="17"/>
  <c r="E256" i="17" s="1"/>
  <c r="CP231" i="17"/>
  <c r="E231" i="17" s="1"/>
  <c r="CP181" i="17"/>
  <c r="E181" i="17" s="1"/>
  <c r="CP210" i="17"/>
  <c r="E210" i="17" s="1"/>
  <c r="CP227" i="17"/>
  <c r="E227" i="17" s="1"/>
  <c r="CP147" i="17"/>
  <c r="E147" i="17" s="1"/>
  <c r="CP225" i="17"/>
  <c r="E225" i="17" s="1"/>
  <c r="CP250" i="17"/>
  <c r="E250" i="17" s="1"/>
  <c r="J10" i="18" l="1"/>
  <c r="DH10" i="18"/>
  <c r="BQ8" i="18"/>
  <c r="AL8" i="18"/>
  <c r="BI8" i="18"/>
  <c r="D80" i="26"/>
  <c r="B80" i="26"/>
  <c r="F80" i="26"/>
  <c r="A80" i="26"/>
  <c r="E80" i="26"/>
  <c r="C80" i="26"/>
  <c r="CB9" i="18"/>
  <c r="D62" i="26"/>
  <c r="C62" i="26"/>
  <c r="B62" i="26"/>
  <c r="A62" i="26"/>
  <c r="F62" i="26"/>
  <c r="E62" i="26"/>
  <c r="BJ9" i="18"/>
  <c r="C77" i="26"/>
  <c r="F77" i="26"/>
  <c r="B77" i="26"/>
  <c r="E77" i="26"/>
  <c r="D77" i="26"/>
  <c r="A77" i="26"/>
  <c r="BY9" i="18"/>
  <c r="Y11" i="18"/>
  <c r="DD11" i="18"/>
  <c r="CG11" i="18"/>
  <c r="CX273" i="17"/>
  <c r="DB274" i="17"/>
  <c r="N275" i="17" s="1"/>
  <c r="F8" i="16" s="1"/>
  <c r="DA273" i="17"/>
  <c r="CW273" i="17"/>
  <c r="E277" i="17"/>
  <c r="CZ273" i="17"/>
  <c r="CY273" i="17"/>
  <c r="CM12" i="18"/>
  <c r="BI12" i="18"/>
  <c r="F11" i="18"/>
  <c r="BS10" i="18"/>
  <c r="AJ10" i="18"/>
  <c r="BK10" i="18"/>
  <c r="CA8" i="18"/>
  <c r="T8" i="18"/>
  <c r="BR12" i="17"/>
  <c r="N13" i="17" s="1"/>
  <c r="F5" i="16" s="1"/>
  <c r="E15" i="17"/>
  <c r="BQ11" i="17"/>
  <c r="BP11" i="17"/>
  <c r="D67" i="26"/>
  <c r="C67" i="26"/>
  <c r="F67" i="26"/>
  <c r="E67" i="26"/>
  <c r="A67" i="26"/>
  <c r="B67" i="26"/>
  <c r="BO9" i="18"/>
  <c r="D58" i="26"/>
  <c r="C58" i="26"/>
  <c r="B58" i="26"/>
  <c r="A58" i="26"/>
  <c r="F58" i="26"/>
  <c r="E58" i="26"/>
  <c r="BF9" i="18"/>
  <c r="C33" i="26"/>
  <c r="F33" i="26"/>
  <c r="A33" i="26"/>
  <c r="E33" i="26"/>
  <c r="D33" i="26"/>
  <c r="B33" i="26"/>
  <c r="AG9" i="18"/>
  <c r="CW11" i="18"/>
  <c r="AG11" i="18"/>
  <c r="BD11" i="18"/>
  <c r="BZ11" i="18"/>
  <c r="AF12" i="18"/>
  <c r="L12" i="18"/>
  <c r="CZ12" i="18"/>
  <c r="CB11" i="18"/>
  <c r="DI12" i="18"/>
  <c r="BX12" i="18"/>
  <c r="CX10" i="18"/>
  <c r="H10" i="18"/>
  <c r="AX8" i="18"/>
  <c r="CU8" i="18"/>
  <c r="CO8" i="18"/>
  <c r="E25" i="26"/>
  <c r="A25" i="26"/>
  <c r="D25" i="26"/>
  <c r="F25" i="26"/>
  <c r="C25" i="26"/>
  <c r="B25" i="26"/>
  <c r="Y9" i="18"/>
  <c r="D106" i="26"/>
  <c r="E106" i="26"/>
  <c r="B106" i="26"/>
  <c r="A106" i="26"/>
  <c r="F106" i="26"/>
  <c r="C106" i="26"/>
  <c r="DB9" i="18"/>
  <c r="C13" i="26"/>
  <c r="B13" i="26"/>
  <c r="F13" i="26"/>
  <c r="A13" i="26"/>
  <c r="E13" i="26"/>
  <c r="D13" i="26"/>
  <c r="M9" i="18"/>
  <c r="DM11" i="18"/>
  <c r="H11" i="18"/>
  <c r="BL12" i="18"/>
  <c r="CF12" i="18"/>
  <c r="BD10" i="18"/>
  <c r="CJ10" i="18"/>
  <c r="O8" i="18"/>
  <c r="AT8" i="18"/>
  <c r="G11" i="18"/>
  <c r="F10" i="18"/>
  <c r="CL10" i="18"/>
  <c r="CA10" i="18"/>
  <c r="BU10" i="18"/>
  <c r="CP143" i="17"/>
  <c r="N144" i="17" s="1"/>
  <c r="F7" i="16" s="1"/>
  <c r="CN142" i="17"/>
  <c r="E146" i="17"/>
  <c r="CM142" i="17"/>
  <c r="CO142" i="17"/>
  <c r="CL142" i="17"/>
  <c r="BO10" i="18"/>
  <c r="DC10" i="18"/>
  <c r="AD8" i="18"/>
  <c r="AQ8" i="18"/>
  <c r="AP8" i="18"/>
  <c r="CN8" i="18"/>
  <c r="CY8" i="18"/>
  <c r="CK8" i="18"/>
  <c r="BU8" i="18"/>
  <c r="BW8" i="18"/>
  <c r="E26" i="26"/>
  <c r="A26" i="26"/>
  <c r="D26" i="26"/>
  <c r="B26" i="26"/>
  <c r="F26" i="26"/>
  <c r="C26" i="26"/>
  <c r="Z9" i="18"/>
  <c r="D120" i="26"/>
  <c r="F120" i="26"/>
  <c r="A120" i="26"/>
  <c r="C120" i="26"/>
  <c r="B120" i="26"/>
  <c r="E120" i="26"/>
  <c r="DP9" i="18"/>
  <c r="C28" i="26"/>
  <c r="B28" i="26"/>
  <c r="F28" i="26"/>
  <c r="A28" i="26"/>
  <c r="D28" i="26"/>
  <c r="E28" i="26"/>
  <c r="AB9" i="18"/>
  <c r="D93" i="26"/>
  <c r="E93" i="26"/>
  <c r="C93" i="26"/>
  <c r="B93" i="26"/>
  <c r="F93" i="26"/>
  <c r="A93" i="26"/>
  <c r="CO9" i="18"/>
  <c r="C10" i="26"/>
  <c r="D10" i="26"/>
  <c r="E10" i="26"/>
  <c r="B10" i="26"/>
  <c r="A10" i="26"/>
  <c r="F10" i="26"/>
  <c r="J9" i="18"/>
  <c r="C37" i="26"/>
  <c r="F37" i="26"/>
  <c r="A37" i="26"/>
  <c r="E37" i="26"/>
  <c r="B37" i="26"/>
  <c r="D37" i="26"/>
  <c r="AK9" i="18"/>
  <c r="F117" i="26"/>
  <c r="B117" i="26"/>
  <c r="C117" i="26"/>
  <c r="E117" i="26"/>
  <c r="D117" i="26"/>
  <c r="A117" i="26"/>
  <c r="DM9" i="18"/>
  <c r="K11" i="18"/>
  <c r="CO11" i="18"/>
  <c r="BR11" i="18"/>
  <c r="DC11" i="18"/>
  <c r="AR11" i="18"/>
  <c r="DE11" i="18"/>
  <c r="CD11" i="18"/>
  <c r="CW12" i="18"/>
  <c r="BM12" i="18"/>
  <c r="R12" i="18"/>
  <c r="BR12" i="18"/>
  <c r="J12" i="18"/>
  <c r="AI12" i="18"/>
  <c r="AR12" i="18"/>
  <c r="AH8" i="18"/>
  <c r="C15" i="26"/>
  <c r="F15" i="26"/>
  <c r="B15" i="26"/>
  <c r="D15" i="26"/>
  <c r="A15" i="26"/>
  <c r="E15" i="26"/>
  <c r="O9" i="18"/>
  <c r="AD11" i="18"/>
  <c r="AA11" i="18"/>
  <c r="AU11" i="18"/>
  <c r="X12" i="18"/>
  <c r="N10" i="18"/>
  <c r="BM10" i="18"/>
  <c r="BT10" i="18"/>
  <c r="K10" i="18"/>
  <c r="I10" i="18"/>
  <c r="AV10" i="18"/>
  <c r="CC10" i="18"/>
  <c r="DG8" i="18"/>
  <c r="AF8" i="18"/>
  <c r="CS8" i="18"/>
  <c r="BZ8" i="18"/>
  <c r="CB8" i="18"/>
  <c r="BL8" i="18"/>
  <c r="AZ8" i="18"/>
  <c r="C73" i="26"/>
  <c r="F73" i="26"/>
  <c r="B73" i="26"/>
  <c r="E73" i="26"/>
  <c r="D73" i="26"/>
  <c r="A73" i="26"/>
  <c r="BU9" i="18"/>
  <c r="E16" i="26"/>
  <c r="A16" i="26"/>
  <c r="D16" i="26"/>
  <c r="B16" i="26"/>
  <c r="F16" i="26"/>
  <c r="C16" i="26"/>
  <c r="P9" i="18"/>
  <c r="D48" i="26"/>
  <c r="C48" i="26"/>
  <c r="B48" i="26"/>
  <c r="A48" i="26"/>
  <c r="E48" i="26"/>
  <c r="F48" i="26"/>
  <c r="AV9" i="18"/>
  <c r="D86" i="26"/>
  <c r="C86" i="26"/>
  <c r="B86" i="26"/>
  <c r="A86" i="26"/>
  <c r="F86" i="26"/>
  <c r="E86" i="26"/>
  <c r="CH9" i="18"/>
  <c r="D54" i="26"/>
  <c r="C54" i="26"/>
  <c r="B54" i="26"/>
  <c r="A54" i="26"/>
  <c r="F54" i="26"/>
  <c r="E54" i="26"/>
  <c r="BB9" i="18"/>
  <c r="D42" i="26"/>
  <c r="C42" i="26"/>
  <c r="B42" i="26"/>
  <c r="A42" i="26"/>
  <c r="F42" i="26"/>
  <c r="E42" i="26"/>
  <c r="AP9" i="18"/>
  <c r="D102" i="26"/>
  <c r="C102" i="26"/>
  <c r="B102" i="26"/>
  <c r="A102" i="26"/>
  <c r="F102" i="26"/>
  <c r="E102" i="26"/>
  <c r="CX9" i="18"/>
  <c r="S11" i="18"/>
  <c r="AT11" i="18"/>
  <c r="AK11" i="18"/>
  <c r="BW11" i="18"/>
  <c r="J11" i="18"/>
  <c r="CU11" i="18"/>
  <c r="CQ11" i="18"/>
  <c r="CF11" i="18"/>
  <c r="AD12" i="18"/>
  <c r="Z12" i="18"/>
  <c r="DM12" i="18"/>
  <c r="BP12" i="18"/>
  <c r="W12" i="18"/>
  <c r="BQ12" i="18"/>
  <c r="DK12" i="18"/>
  <c r="AB8" i="18"/>
  <c r="D104" i="26"/>
  <c r="F104" i="26"/>
  <c r="A104" i="26"/>
  <c r="E104" i="26"/>
  <c r="C104" i="26"/>
  <c r="B104" i="26"/>
  <c r="CZ9" i="18"/>
  <c r="O11" i="18"/>
  <c r="R11" i="18"/>
  <c r="P10" i="18"/>
  <c r="AF10" i="18"/>
  <c r="CQ10" i="18"/>
  <c r="CY10" i="18"/>
  <c r="AD10" i="18"/>
  <c r="R10" i="18"/>
  <c r="DQ10" i="18"/>
  <c r="M8" i="18"/>
  <c r="DH8" i="18"/>
  <c r="BE8" i="18"/>
  <c r="BJ8" i="18"/>
  <c r="DA8" i="18"/>
  <c r="BA8" i="18"/>
  <c r="AN8" i="18"/>
  <c r="D92" i="26"/>
  <c r="F92" i="26"/>
  <c r="A92" i="26"/>
  <c r="B92" i="26"/>
  <c r="E92" i="26"/>
  <c r="C92" i="26"/>
  <c r="CN9" i="18"/>
  <c r="D112" i="26"/>
  <c r="F112" i="26"/>
  <c r="A112" i="26"/>
  <c r="B112" i="26"/>
  <c r="C112" i="26"/>
  <c r="E112" i="26"/>
  <c r="DH9" i="18"/>
  <c r="D87" i="26"/>
  <c r="B87" i="26"/>
  <c r="E87" i="26"/>
  <c r="C87" i="26"/>
  <c r="F87" i="26"/>
  <c r="A87" i="26"/>
  <c r="CI9" i="18"/>
  <c r="C71" i="26"/>
  <c r="F71" i="26"/>
  <c r="B71" i="26"/>
  <c r="E71" i="26"/>
  <c r="D71" i="26"/>
  <c r="A71" i="26"/>
  <c r="BS9" i="18"/>
  <c r="D56" i="26"/>
  <c r="C56" i="26"/>
  <c r="B56" i="26"/>
  <c r="A56" i="26"/>
  <c r="E56" i="26"/>
  <c r="F56" i="26"/>
  <c r="BD9" i="18"/>
  <c r="D55" i="26"/>
  <c r="C55" i="26"/>
  <c r="F55" i="26"/>
  <c r="E55" i="26"/>
  <c r="A55" i="26"/>
  <c r="B55" i="26"/>
  <c r="BC9" i="18"/>
  <c r="F107" i="26"/>
  <c r="B107" i="26"/>
  <c r="D107" i="26"/>
  <c r="C107" i="26"/>
  <c r="A107" i="26"/>
  <c r="E107" i="26"/>
  <c r="DC9" i="18"/>
  <c r="BL11" i="18"/>
  <c r="CM11" i="18"/>
  <c r="AP11" i="18"/>
  <c r="BC11" i="18"/>
  <c r="AS11" i="18"/>
  <c r="DP11" i="18"/>
  <c r="N11" i="18"/>
  <c r="DO12" i="18"/>
  <c r="V12" i="18"/>
  <c r="CG12" i="18"/>
  <c r="DB12" i="18"/>
  <c r="AY12" i="18"/>
  <c r="CL12" i="18"/>
  <c r="BV12" i="18"/>
  <c r="S10" i="18"/>
  <c r="DD10" i="18"/>
  <c r="BY10" i="18"/>
  <c r="CS10" i="18"/>
  <c r="AE10" i="18"/>
  <c r="AU10" i="18"/>
  <c r="AA10" i="18"/>
  <c r="CB10" i="18"/>
  <c r="AA8" i="18"/>
  <c r="BT11" i="18"/>
  <c r="B51" i="11"/>
  <c r="D51" i="11" s="1"/>
  <c r="E51" i="11" s="1"/>
  <c r="F51" i="11" s="1"/>
  <c r="F91" i="9"/>
  <c r="E43" i="21"/>
  <c r="J43" i="21" s="1"/>
  <c r="D91" i="9"/>
  <c r="H43" i="2"/>
  <c r="BC12" i="18"/>
  <c r="AN10" i="18"/>
  <c r="DG10" i="18"/>
  <c r="CR8" i="18"/>
  <c r="DL8" i="18"/>
  <c r="C76" i="26"/>
  <c r="F76" i="26"/>
  <c r="B76" i="26"/>
  <c r="A76" i="26"/>
  <c r="E76" i="26"/>
  <c r="D76" i="26"/>
  <c r="BX9" i="18"/>
  <c r="BI11" i="18"/>
  <c r="BU11" i="18"/>
  <c r="CS11" i="18"/>
  <c r="AU12" i="18"/>
  <c r="M12" i="18"/>
  <c r="Z8" i="18"/>
  <c r="C7" i="26"/>
  <c r="B7" i="26"/>
  <c r="F7" i="26"/>
  <c r="A7" i="26"/>
  <c r="E7" i="26"/>
  <c r="D7" i="26"/>
  <c r="G9" i="18"/>
  <c r="Q10" i="18"/>
  <c r="AQ10" i="18"/>
  <c r="BC8" i="18"/>
  <c r="AC8" i="18"/>
  <c r="F119" i="26"/>
  <c r="B119" i="26"/>
  <c r="A119" i="26"/>
  <c r="C119" i="26"/>
  <c r="E119" i="26"/>
  <c r="D119" i="26"/>
  <c r="DO9" i="18"/>
  <c r="E21" i="26"/>
  <c r="A21" i="26"/>
  <c r="D21" i="26"/>
  <c r="F21" i="26"/>
  <c r="C21" i="26"/>
  <c r="B21" i="26"/>
  <c r="U9" i="18"/>
  <c r="DL11" i="18"/>
  <c r="I42" i="2"/>
  <c r="F42" i="21" s="1"/>
  <c r="L42" i="2"/>
  <c r="CK12" i="18"/>
  <c r="CS12" i="18"/>
  <c r="DA10" i="18"/>
  <c r="CR10" i="18"/>
  <c r="CX8" i="18"/>
  <c r="BS8" i="18"/>
  <c r="D89" i="26"/>
  <c r="E89" i="26"/>
  <c r="B89" i="26"/>
  <c r="A89" i="26"/>
  <c r="C89" i="26"/>
  <c r="F89" i="26"/>
  <c r="CK9" i="18"/>
  <c r="C35" i="26"/>
  <c r="D35" i="26"/>
  <c r="B35" i="26"/>
  <c r="E35" i="26"/>
  <c r="A35" i="26"/>
  <c r="F35" i="26"/>
  <c r="AI9" i="18"/>
  <c r="I11" i="18"/>
  <c r="BF11" i="18"/>
  <c r="AJ11" i="18"/>
  <c r="DF12" i="18"/>
  <c r="DL10" i="18"/>
  <c r="CW8" i="18"/>
  <c r="AY10" i="18"/>
  <c r="CU10" i="18"/>
  <c r="AP10" i="18"/>
  <c r="U8" i="18"/>
  <c r="AU8" i="18"/>
  <c r="AW8" i="18"/>
  <c r="C8" i="26"/>
  <c r="E8" i="26"/>
  <c r="D8" i="26"/>
  <c r="B8" i="26"/>
  <c r="A8" i="26"/>
  <c r="F8" i="26"/>
  <c r="H9" i="18"/>
  <c r="D68" i="26"/>
  <c r="C68" i="26"/>
  <c r="B68" i="26"/>
  <c r="A68" i="26"/>
  <c r="E68" i="26"/>
  <c r="F68" i="26"/>
  <c r="BP9" i="18"/>
  <c r="D51" i="26"/>
  <c r="C51" i="26"/>
  <c r="F51" i="26"/>
  <c r="E51" i="26"/>
  <c r="A51" i="26"/>
  <c r="B51" i="26"/>
  <c r="AY9" i="18"/>
  <c r="CV11" i="18"/>
  <c r="BN11" i="18"/>
  <c r="AX11" i="18"/>
  <c r="M11" i="18"/>
  <c r="H12" i="18"/>
  <c r="DG12" i="18"/>
  <c r="BN12" i="18"/>
  <c r="BB12" i="18"/>
  <c r="P12" i="18"/>
  <c r="H8" i="18"/>
  <c r="D116" i="26"/>
  <c r="C116" i="26"/>
  <c r="F116" i="26"/>
  <c r="E116" i="26"/>
  <c r="B116" i="26"/>
  <c r="A116" i="26"/>
  <c r="DL9" i="18"/>
  <c r="BA11" i="18"/>
  <c r="U11" i="18"/>
  <c r="DN12" i="18"/>
  <c r="CG10" i="18"/>
  <c r="BE10" i="18"/>
  <c r="DN10" i="18"/>
  <c r="DP10" i="18"/>
  <c r="BP10" i="18"/>
  <c r="AK10" i="18"/>
  <c r="Z10" i="18"/>
  <c r="BB10" i="18"/>
  <c r="BK8" i="18"/>
  <c r="AR8" i="18"/>
  <c r="CG8" i="18"/>
  <c r="DI8" i="18"/>
  <c r="K8" i="18"/>
  <c r="DB8" i="18"/>
  <c r="CP8" i="18"/>
  <c r="D64" i="26"/>
  <c r="C64" i="26"/>
  <c r="B64" i="26"/>
  <c r="A64" i="26"/>
  <c r="E64" i="26"/>
  <c r="F64" i="26"/>
  <c r="BL9" i="18"/>
  <c r="D88" i="26"/>
  <c r="F88" i="26"/>
  <c r="A88" i="26"/>
  <c r="E88" i="26"/>
  <c r="C88" i="26"/>
  <c r="B88" i="26"/>
  <c r="CJ9" i="18"/>
  <c r="E23" i="26"/>
  <c r="A23" i="26"/>
  <c r="D23" i="26"/>
  <c r="F23" i="26"/>
  <c r="C23" i="26"/>
  <c r="B23" i="26"/>
  <c r="W9" i="18"/>
  <c r="D66" i="26"/>
  <c r="C66" i="26"/>
  <c r="B66" i="26"/>
  <c r="A66" i="26"/>
  <c r="F66" i="26"/>
  <c r="E66" i="26"/>
  <c r="BN9" i="18"/>
  <c r="C32" i="26"/>
  <c r="B32" i="26"/>
  <c r="F32" i="26"/>
  <c r="A32" i="26"/>
  <c r="E32" i="26"/>
  <c r="D32" i="26"/>
  <c r="AF9" i="18"/>
  <c r="F121" i="26"/>
  <c r="B121" i="26"/>
  <c r="E121" i="26"/>
  <c r="D121" i="26"/>
  <c r="C121" i="26"/>
  <c r="A121" i="26"/>
  <c r="DQ9" i="18"/>
  <c r="D95" i="26"/>
  <c r="B95" i="26"/>
  <c r="A95" i="26"/>
  <c r="F95" i="26"/>
  <c r="E95" i="26"/>
  <c r="C95" i="26"/>
  <c r="CQ9" i="18"/>
  <c r="DQ11" i="18"/>
  <c r="BK11" i="18"/>
  <c r="AL11" i="18"/>
  <c r="BO11" i="18"/>
  <c r="DK11" i="18"/>
  <c r="CL11" i="18"/>
  <c r="Q11" i="18"/>
  <c r="O43" i="2"/>
  <c r="M43" i="2"/>
  <c r="G50" i="11"/>
  <c r="BZ12" i="18"/>
  <c r="K12" i="18"/>
  <c r="CA12" i="18"/>
  <c r="AG12" i="18"/>
  <c r="AJ12" i="18"/>
  <c r="CE12" i="18"/>
  <c r="Y12" i="18"/>
  <c r="C38" i="26"/>
  <c r="E38" i="26"/>
  <c r="D38" i="26"/>
  <c r="A38" i="26"/>
  <c r="F38" i="26"/>
  <c r="B38" i="26"/>
  <c r="AL9" i="18"/>
  <c r="DJ10" i="18"/>
  <c r="CO10" i="18"/>
  <c r="AX10" i="18"/>
  <c r="AB10" i="18"/>
  <c r="CT10" i="18"/>
  <c r="BJ10" i="18"/>
  <c r="BH10" i="18"/>
  <c r="CM10" i="18"/>
  <c r="CJ8" i="18"/>
  <c r="DP8" i="18"/>
  <c r="DF8" i="18"/>
  <c r="AY8" i="18"/>
  <c r="CI8" i="18"/>
  <c r="AM8" i="18"/>
  <c r="BN8" i="18"/>
  <c r="C6" i="26"/>
  <c r="E6" i="26"/>
  <c r="D6" i="26"/>
  <c r="F6" i="26"/>
  <c r="B6" i="26"/>
  <c r="A6" i="26"/>
  <c r="F9" i="18"/>
  <c r="D39" i="26"/>
  <c r="C39" i="26"/>
  <c r="F39" i="26"/>
  <c r="E39" i="26"/>
  <c r="A39" i="26"/>
  <c r="B39" i="26"/>
  <c r="AM9" i="18"/>
  <c r="D94" i="26"/>
  <c r="C94" i="26"/>
  <c r="F94" i="26"/>
  <c r="E94" i="26"/>
  <c r="A94" i="26"/>
  <c r="B94" i="26"/>
  <c r="CP9" i="18"/>
  <c r="D100" i="26"/>
  <c r="F100" i="26"/>
  <c r="A100" i="26"/>
  <c r="E100" i="26"/>
  <c r="C100" i="26"/>
  <c r="B100" i="26"/>
  <c r="CV9" i="18"/>
  <c r="E24" i="26"/>
  <c r="A24" i="26"/>
  <c r="D24" i="26"/>
  <c r="B24" i="26"/>
  <c r="F24" i="26"/>
  <c r="C24" i="26"/>
  <c r="X9" i="18"/>
  <c r="C70" i="26"/>
  <c r="D70" i="26"/>
  <c r="B70" i="26"/>
  <c r="F70" i="26"/>
  <c r="E70" i="26"/>
  <c r="A70" i="26"/>
  <c r="BR9" i="18"/>
  <c r="D97" i="26"/>
  <c r="E97" i="26"/>
  <c r="F97" i="26"/>
  <c r="C97" i="26"/>
  <c r="B97" i="26"/>
  <c r="A97" i="26"/>
  <c r="CS9" i="18"/>
  <c r="C69" i="26"/>
  <c r="E69" i="26"/>
  <c r="D69" i="26"/>
  <c r="F69" i="26"/>
  <c r="B69" i="26"/>
  <c r="A69" i="26"/>
  <c r="BQ9" i="18"/>
  <c r="AY11" i="18"/>
  <c r="BQ11" i="18"/>
  <c r="CC11" i="18"/>
  <c r="CZ11" i="18"/>
  <c r="DI11" i="18"/>
  <c r="BM11" i="18"/>
  <c r="AZ11" i="18"/>
  <c r="DJ12" i="18"/>
  <c r="AV12" i="18"/>
  <c r="AB12" i="18"/>
  <c r="BO12" i="18"/>
  <c r="AL12" i="18"/>
  <c r="AH12" i="18"/>
  <c r="BW12" i="18"/>
  <c r="CP12" i="18"/>
  <c r="U10" i="18"/>
  <c r="AH10" i="18"/>
  <c r="CP10" i="18"/>
  <c r="W10" i="18"/>
  <c r="DB10" i="18"/>
  <c r="DO10" i="18"/>
  <c r="G10" i="18"/>
  <c r="AV8" i="18"/>
  <c r="AH11" i="18"/>
  <c r="A44" i="21"/>
  <c r="A45" i="2"/>
  <c r="E44" i="2"/>
  <c r="P44" i="2"/>
  <c r="D44" i="2"/>
  <c r="C44" i="2"/>
  <c r="N44" i="2"/>
  <c r="E92" i="9" s="1"/>
  <c r="B44" i="2"/>
  <c r="A92" i="9"/>
  <c r="A52" i="11" s="1"/>
  <c r="BF12" i="18"/>
  <c r="CF10" i="18"/>
  <c r="AM10" i="18"/>
  <c r="Y10" i="18"/>
  <c r="DJ8" i="18"/>
  <c r="G8" i="18"/>
  <c r="W8" i="18"/>
  <c r="E18" i="26"/>
  <c r="A18" i="26"/>
  <c r="D18" i="26"/>
  <c r="F18" i="26"/>
  <c r="C18" i="26"/>
  <c r="B18" i="26"/>
  <c r="R9" i="18"/>
  <c r="C11" i="26"/>
  <c r="B11" i="26"/>
  <c r="F11" i="26"/>
  <c r="A11" i="26"/>
  <c r="E11" i="26"/>
  <c r="D11" i="26"/>
  <c r="K9" i="18"/>
  <c r="D79" i="26"/>
  <c r="C79" i="26"/>
  <c r="B79" i="26"/>
  <c r="A79" i="26"/>
  <c r="F79" i="26"/>
  <c r="E79" i="26"/>
  <c r="CA9" i="18"/>
  <c r="DO11" i="18"/>
  <c r="BK12" i="18"/>
  <c r="CU12" i="18"/>
  <c r="BJ12" i="18"/>
  <c r="CH11" i="18"/>
  <c r="BY12" i="18"/>
  <c r="CE10" i="18"/>
  <c r="DF10" i="18"/>
  <c r="BX8" i="18"/>
  <c r="F8" i="18"/>
  <c r="D108" i="26"/>
  <c r="C108" i="26"/>
  <c r="E108" i="26"/>
  <c r="B108" i="26"/>
  <c r="F108" i="26"/>
  <c r="A108" i="26"/>
  <c r="DD9" i="18"/>
  <c r="F113" i="26"/>
  <c r="B113" i="26"/>
  <c r="E113" i="26"/>
  <c r="C113" i="26"/>
  <c r="A113" i="26"/>
  <c r="D113" i="26"/>
  <c r="DI9" i="18"/>
  <c r="D101" i="26"/>
  <c r="E101" i="26"/>
  <c r="A101" i="26"/>
  <c r="F101" i="26"/>
  <c r="C101" i="26"/>
  <c r="B101" i="26"/>
  <c r="CW9" i="18"/>
  <c r="T11" i="18"/>
  <c r="BY11" i="18"/>
  <c r="AN12" i="18"/>
  <c r="U12" i="18"/>
  <c r="DC12" i="18"/>
  <c r="D59" i="26"/>
  <c r="C59" i="26"/>
  <c r="F59" i="26"/>
  <c r="E59" i="26"/>
  <c r="A59" i="26"/>
  <c r="B59" i="26"/>
  <c r="BG9" i="18"/>
  <c r="AO10" i="18"/>
  <c r="BR10" i="18"/>
  <c r="DM10" i="18"/>
  <c r="AG8" i="18"/>
  <c r="P8" i="18"/>
  <c r="BB8" i="18"/>
  <c r="D110" i="26"/>
  <c r="B110" i="26"/>
  <c r="F110" i="26"/>
  <c r="E110" i="26"/>
  <c r="C110" i="26"/>
  <c r="A110" i="26"/>
  <c r="DF9" i="18"/>
  <c r="F111" i="26"/>
  <c r="B111" i="26"/>
  <c r="A111" i="26"/>
  <c r="E111" i="26"/>
  <c r="D111" i="26"/>
  <c r="C111" i="26"/>
  <c r="DG9" i="18"/>
  <c r="BX11" i="18"/>
  <c r="AV11" i="18"/>
  <c r="BP11" i="18"/>
  <c r="O12" i="18"/>
  <c r="DD12" i="18"/>
  <c r="N12" i="18"/>
  <c r="BH12" i="18"/>
  <c r="M10" i="18"/>
  <c r="CV10" i="18"/>
  <c r="D103" i="26"/>
  <c r="B103" i="26"/>
  <c r="E103" i="26"/>
  <c r="C103" i="26"/>
  <c r="A103" i="26"/>
  <c r="F103" i="26"/>
  <c r="CY9" i="18"/>
  <c r="CH10" i="18"/>
  <c r="DK10" i="18"/>
  <c r="CK10" i="18"/>
  <c r="BN10" i="18"/>
  <c r="Q8" i="18"/>
  <c r="BH8" i="18"/>
  <c r="CD8" i="18"/>
  <c r="AK8" i="18"/>
  <c r="C19" i="26"/>
  <c r="F19" i="26"/>
  <c r="B19" i="26"/>
  <c r="D19" i="26"/>
  <c r="A19" i="26"/>
  <c r="E19" i="26"/>
  <c r="S9" i="18"/>
  <c r="D82" i="26"/>
  <c r="E82" i="26"/>
  <c r="C82" i="26"/>
  <c r="F82" i="26"/>
  <c r="B82" i="26"/>
  <c r="A82" i="26"/>
  <c r="CD9" i="18"/>
  <c r="D57" i="26"/>
  <c r="C57" i="26"/>
  <c r="F57" i="26"/>
  <c r="E57" i="26"/>
  <c r="B57" i="26"/>
  <c r="A57" i="26"/>
  <c r="BE9" i="18"/>
  <c r="C36" i="26"/>
  <c r="B36" i="26"/>
  <c r="F36" i="26"/>
  <c r="A36" i="26"/>
  <c r="D36" i="26"/>
  <c r="E36" i="26"/>
  <c r="AJ9" i="18"/>
  <c r="D78" i="26"/>
  <c r="E78" i="26"/>
  <c r="C78" i="26"/>
  <c r="B78" i="26"/>
  <c r="A78" i="26"/>
  <c r="F78" i="26"/>
  <c r="BZ9" i="18"/>
  <c r="CE11" i="18"/>
  <c r="AQ11" i="18"/>
  <c r="DG11" i="18"/>
  <c r="AS12" i="18"/>
  <c r="CJ12" i="18"/>
  <c r="DL12" i="18"/>
  <c r="E14" i="26"/>
  <c r="A14" i="26"/>
  <c r="D14" i="26"/>
  <c r="F14" i="26"/>
  <c r="C14" i="26"/>
  <c r="B14" i="26"/>
  <c r="N9" i="18"/>
  <c r="DE10" i="18"/>
  <c r="BQ10" i="18"/>
  <c r="X10" i="18"/>
  <c r="AC10" i="18"/>
  <c r="BL10" i="18"/>
  <c r="BV10" i="18"/>
  <c r="BG10" i="18"/>
  <c r="O10" i="18"/>
  <c r="CZ8" i="18"/>
  <c r="CT8" i="18"/>
  <c r="CF8" i="18"/>
  <c r="CM8" i="18"/>
  <c r="AO8" i="18"/>
  <c r="AI8" i="18"/>
  <c r="L8" i="18"/>
  <c r="D91" i="26"/>
  <c r="B91" i="26"/>
  <c r="F91" i="26"/>
  <c r="E91" i="26"/>
  <c r="C91" i="26"/>
  <c r="A91" i="26"/>
  <c r="CM9" i="18"/>
  <c r="D96" i="26"/>
  <c r="F96" i="26"/>
  <c r="A96" i="26"/>
  <c r="C96" i="26"/>
  <c r="B96" i="26"/>
  <c r="E96" i="26"/>
  <c r="CR9" i="18"/>
  <c r="E20" i="26"/>
  <c r="A20" i="26"/>
  <c r="D20" i="26"/>
  <c r="B20" i="26"/>
  <c r="F20" i="26"/>
  <c r="C20" i="26"/>
  <c r="T9" i="18"/>
  <c r="D90" i="26"/>
  <c r="C90" i="26"/>
  <c r="E90" i="26"/>
  <c r="B90" i="26"/>
  <c r="A90" i="26"/>
  <c r="F90" i="26"/>
  <c r="CL9" i="18"/>
  <c r="C17" i="26"/>
  <c r="F17" i="26"/>
  <c r="B17" i="26"/>
  <c r="E17" i="26"/>
  <c r="D17" i="26"/>
  <c r="A17" i="26"/>
  <c r="Q9" i="18"/>
  <c r="C74" i="26"/>
  <c r="F74" i="26"/>
  <c r="B74" i="26"/>
  <c r="A74" i="26"/>
  <c r="E74" i="26"/>
  <c r="D74" i="26"/>
  <c r="BV9" i="18"/>
  <c r="D65" i="26"/>
  <c r="C65" i="26"/>
  <c r="F65" i="26"/>
  <c r="E65" i="26"/>
  <c r="B65" i="26"/>
  <c r="A65" i="26"/>
  <c r="BM9" i="18"/>
  <c r="DJ11" i="18"/>
  <c r="BV11" i="18"/>
  <c r="AW11" i="18"/>
  <c r="W11" i="18"/>
  <c r="CJ11" i="18"/>
  <c r="DF11" i="18"/>
  <c r="P11" i="18"/>
  <c r="BJ11" i="18"/>
  <c r="AW12" i="18"/>
  <c r="DE12" i="18"/>
  <c r="CI12" i="18"/>
  <c r="AQ12" i="18"/>
  <c r="CH12" i="18"/>
  <c r="AP12" i="18"/>
  <c r="BA12" i="18"/>
  <c r="DO8" i="18"/>
  <c r="R8" i="18"/>
  <c r="D46" i="26"/>
  <c r="C46" i="26"/>
  <c r="B46" i="26"/>
  <c r="A46" i="26"/>
  <c r="F46" i="26"/>
  <c r="E46" i="26"/>
  <c r="AT9" i="18"/>
  <c r="CC19" i="15"/>
  <c r="CB19" i="15"/>
  <c r="CD20" i="15"/>
  <c r="N21" i="15" s="1"/>
  <c r="CA19" i="15"/>
  <c r="E23" i="15"/>
  <c r="DN11" i="18"/>
  <c r="S12" i="18"/>
  <c r="CT12" i="18"/>
  <c r="BC10" i="18"/>
  <c r="AL10" i="18"/>
  <c r="BW10" i="18"/>
  <c r="AR10" i="18"/>
  <c r="CD10" i="18"/>
  <c r="DI10" i="18"/>
  <c r="AG10" i="18"/>
  <c r="S8" i="18"/>
  <c r="DN8" i="18"/>
  <c r="V8" i="18"/>
  <c r="BO8" i="18"/>
  <c r="DD8" i="18"/>
  <c r="N8" i="18"/>
  <c r="BG8" i="18"/>
  <c r="DC8" i="18"/>
  <c r="D118" i="26"/>
  <c r="B118" i="26"/>
  <c r="A118" i="26"/>
  <c r="F118" i="26"/>
  <c r="E118" i="26"/>
  <c r="C118" i="26"/>
  <c r="DN9" i="18"/>
  <c r="C12" i="26"/>
  <c r="E12" i="26"/>
  <c r="D12" i="26"/>
  <c r="B12" i="26"/>
  <c r="A12" i="26"/>
  <c r="F12" i="26"/>
  <c r="L9" i="18"/>
  <c r="D52" i="26"/>
  <c r="C52" i="26"/>
  <c r="B52" i="26"/>
  <c r="A52" i="26"/>
  <c r="E52" i="26"/>
  <c r="F52" i="26"/>
  <c r="AZ9" i="18"/>
  <c r="D44" i="26"/>
  <c r="C44" i="26"/>
  <c r="B44" i="26"/>
  <c r="A44" i="26"/>
  <c r="E44" i="26"/>
  <c r="F44" i="26"/>
  <c r="AR9" i="18"/>
  <c r="D81" i="26"/>
  <c r="F81" i="26"/>
  <c r="A81" i="26"/>
  <c r="E81" i="26"/>
  <c r="B81" i="26"/>
  <c r="C81" i="26"/>
  <c r="CC9" i="18"/>
  <c r="D84" i="26"/>
  <c r="B84" i="26"/>
  <c r="F84" i="26"/>
  <c r="A84" i="26"/>
  <c r="E84" i="26"/>
  <c r="C84" i="26"/>
  <c r="CF9" i="18"/>
  <c r="E22" i="26"/>
  <c r="A22" i="26"/>
  <c r="D22" i="26"/>
  <c r="B22" i="26"/>
  <c r="F22" i="26"/>
  <c r="C22" i="26"/>
  <c r="V9" i="18"/>
  <c r="BB11" i="18"/>
  <c r="AF11" i="18"/>
  <c r="BS11" i="18"/>
  <c r="BH11" i="18"/>
  <c r="DH11" i="18"/>
  <c r="AE11" i="18"/>
  <c r="Z11" i="18"/>
  <c r="O42" i="2"/>
  <c r="M42" i="2"/>
  <c r="G42" i="21"/>
  <c r="H42" i="21"/>
  <c r="AE12" i="18"/>
  <c r="CQ12" i="18"/>
  <c r="DQ12" i="18"/>
  <c r="BU12" i="18"/>
  <c r="AO12" i="18"/>
  <c r="CY12" i="18"/>
  <c r="BD12" i="18"/>
  <c r="CE8" i="18"/>
  <c r="DA11" i="18"/>
  <c r="Q12" i="18"/>
  <c r="CZ10" i="18"/>
  <c r="AS10" i="18"/>
  <c r="AZ10" i="18"/>
  <c r="CI10" i="18"/>
  <c r="CW10" i="18"/>
  <c r="T10" i="18"/>
  <c r="BZ10" i="18"/>
  <c r="BA10" i="18"/>
  <c r="BY8" i="18"/>
  <c r="I8" i="18"/>
  <c r="J8" i="18"/>
  <c r="AJ8" i="18"/>
  <c r="CH8" i="18"/>
  <c r="BT8" i="18"/>
  <c r="DK8" i="18"/>
  <c r="E27" i="26"/>
  <c r="A27" i="26"/>
  <c r="D27" i="26"/>
  <c r="F27" i="26"/>
  <c r="C27" i="26"/>
  <c r="B27" i="26"/>
  <c r="AA9" i="18"/>
  <c r="D98" i="26"/>
  <c r="C98" i="26"/>
  <c r="A98" i="26"/>
  <c r="F98" i="26"/>
  <c r="E98" i="26"/>
  <c r="B98" i="26"/>
  <c r="CT9" i="18"/>
  <c r="D85" i="26"/>
  <c r="E85" i="26"/>
  <c r="A85" i="26"/>
  <c r="F85" i="26"/>
  <c r="C85" i="26"/>
  <c r="B85" i="26"/>
  <c r="CG9" i="18"/>
  <c r="D60" i="26"/>
  <c r="C60" i="26"/>
  <c r="B60" i="26"/>
  <c r="A60" i="26"/>
  <c r="E60" i="26"/>
  <c r="F60" i="26"/>
  <c r="BH9" i="18"/>
  <c r="D49" i="26"/>
  <c r="C49" i="26"/>
  <c r="F49" i="26"/>
  <c r="E49" i="26"/>
  <c r="B49" i="26"/>
  <c r="A49" i="26"/>
  <c r="AW9" i="18"/>
  <c r="F109" i="26"/>
  <c r="B109" i="26"/>
  <c r="C109" i="26"/>
  <c r="E109" i="26"/>
  <c r="D109" i="26"/>
  <c r="A109" i="26"/>
  <c r="DE9" i="18"/>
  <c r="D83" i="26"/>
  <c r="C83" i="26"/>
  <c r="B83" i="26"/>
  <c r="F83" i="26"/>
  <c r="E83" i="26"/>
  <c r="A83" i="26"/>
  <c r="CE9" i="18"/>
  <c r="CY11" i="18"/>
  <c r="AC11" i="18"/>
  <c r="DB11" i="18"/>
  <c r="AI11" i="18"/>
  <c r="L11" i="18"/>
  <c r="BG11" i="18"/>
  <c r="X11" i="18"/>
  <c r="CX12" i="18"/>
  <c r="DA12" i="18"/>
  <c r="CC12" i="18"/>
  <c r="DH12" i="18"/>
  <c r="CD12" i="18"/>
  <c r="BT12" i="18"/>
  <c r="AT12" i="18"/>
  <c r="E408" i="17"/>
  <c r="DM404" i="17"/>
  <c r="DI404" i="17"/>
  <c r="DL404" i="17"/>
  <c r="DH404" i="17"/>
  <c r="DN405" i="17"/>
  <c r="N406" i="17" s="1"/>
  <c r="F9" i="16" s="1"/>
  <c r="DK404" i="17"/>
  <c r="DJ404" i="17"/>
  <c r="AI10" i="18"/>
  <c r="AT10" i="18"/>
  <c r="AW10" i="18"/>
  <c r="BX10" i="18"/>
  <c r="CN10" i="18"/>
  <c r="L10" i="18"/>
  <c r="BR8" i="18"/>
  <c r="C34" i="26"/>
  <c r="E34" i="26"/>
  <c r="D34" i="26"/>
  <c r="F34" i="26"/>
  <c r="B34" i="26"/>
  <c r="A34" i="26"/>
  <c r="AH9" i="18"/>
  <c r="CI11" i="18"/>
  <c r="CK11" i="18"/>
  <c r="C43" i="21"/>
  <c r="B91" i="9"/>
  <c r="C51" i="11" s="1"/>
  <c r="G51" i="11" s="1"/>
  <c r="F43" i="2"/>
  <c r="J44" i="2"/>
  <c r="D43" i="21"/>
  <c r="I43" i="21" s="1"/>
  <c r="C91" i="9"/>
  <c r="G43" i="2"/>
  <c r="A61" i="22"/>
  <c r="B43" i="21"/>
  <c r="I43" i="2" l="1"/>
  <c r="F43" i="21" s="1"/>
  <c r="L43" i="2"/>
  <c r="C5" i="26"/>
  <c r="B5" i="26"/>
  <c r="F5" i="26"/>
  <c r="A5" i="26"/>
  <c r="E5" i="26"/>
  <c r="D5" i="26"/>
  <c r="E9" i="18"/>
  <c r="H23" i="15"/>
  <c r="N19" i="15"/>
  <c r="M18" i="15"/>
  <c r="L17" i="15"/>
  <c r="Q7" i="15"/>
  <c r="P6" i="15"/>
  <c r="P5" i="15"/>
  <c r="G6" i="16"/>
  <c r="M19" i="15"/>
  <c r="L18" i="15"/>
  <c r="N16" i="15"/>
  <c r="P7" i="15"/>
  <c r="S6" i="15"/>
  <c r="O6" i="15"/>
  <c r="S5" i="15"/>
  <c r="S8" i="15" s="1"/>
  <c r="O5" i="15"/>
  <c r="L19" i="15"/>
  <c r="N17" i="15"/>
  <c r="M16" i="15"/>
  <c r="S7" i="15"/>
  <c r="O7" i="15"/>
  <c r="M7" i="15" s="1"/>
  <c r="R6" i="15"/>
  <c r="N6" i="15"/>
  <c r="R5" i="15"/>
  <c r="N5" i="15"/>
  <c r="I23" i="15"/>
  <c r="J23" i="15" s="1"/>
  <c r="Q6" i="15"/>
  <c r="N18" i="15"/>
  <c r="L16" i="15"/>
  <c r="M17" i="15"/>
  <c r="N7" i="15"/>
  <c r="Q5" i="15"/>
  <c r="R7" i="15"/>
  <c r="D44" i="21"/>
  <c r="I44" i="21" s="1"/>
  <c r="C92" i="9"/>
  <c r="G44" i="2"/>
  <c r="K44" i="2"/>
  <c r="E12" i="18"/>
  <c r="Q404" i="17"/>
  <c r="M404" i="17"/>
  <c r="O403" i="17"/>
  <c r="Q402" i="17"/>
  <c r="M402" i="17"/>
  <c r="O401" i="17"/>
  <c r="H408" i="17"/>
  <c r="I408" i="17" s="1"/>
  <c r="P404" i="17"/>
  <c r="L404" i="17"/>
  <c r="N403" i="17"/>
  <c r="P403" i="17"/>
  <c r="N402" i="17"/>
  <c r="Q401" i="17"/>
  <c r="L401" i="17"/>
  <c r="O404" i="17"/>
  <c r="M403" i="17"/>
  <c r="L402" i="17"/>
  <c r="P401" i="17"/>
  <c r="N404" i="17"/>
  <c r="L403" i="17"/>
  <c r="P402" i="17"/>
  <c r="N401" i="17"/>
  <c r="Q403" i="17"/>
  <c r="G408" i="17"/>
  <c r="M401" i="17"/>
  <c r="G9" i="16"/>
  <c r="O402" i="17"/>
  <c r="F408" i="17"/>
  <c r="E10" i="18"/>
  <c r="N142" i="17"/>
  <c r="N141" i="17"/>
  <c r="N140" i="17"/>
  <c r="N139" i="17"/>
  <c r="M142" i="17"/>
  <c r="M141" i="17"/>
  <c r="M140" i="17"/>
  <c r="L141" i="17"/>
  <c r="G7" i="16"/>
  <c r="O142" i="17"/>
  <c r="O140" i="17"/>
  <c r="O139" i="17"/>
  <c r="L142" i="17"/>
  <c r="L140" i="17"/>
  <c r="M139" i="17"/>
  <c r="O141" i="17"/>
  <c r="L139" i="17"/>
  <c r="A62" i="22"/>
  <c r="B44" i="21"/>
  <c r="F12" i="12"/>
  <c r="F6" i="16"/>
  <c r="F92" i="9"/>
  <c r="B52" i="11"/>
  <c r="D52" i="11" s="1"/>
  <c r="E52" i="11" s="1"/>
  <c r="F52" i="11" s="1"/>
  <c r="E44" i="21"/>
  <c r="J44" i="21" s="1"/>
  <c r="D92" i="9"/>
  <c r="H44" i="2"/>
  <c r="E8" i="18"/>
  <c r="L10" i="17"/>
  <c r="L8" i="17"/>
  <c r="M11" i="17"/>
  <c r="M9" i="17"/>
  <c r="L11" i="17"/>
  <c r="L9" i="17"/>
  <c r="F15" i="17" s="1"/>
  <c r="G5" i="16"/>
  <c r="M10" i="17"/>
  <c r="M8" i="17"/>
  <c r="E11" i="18"/>
  <c r="M273" i="17"/>
  <c r="N272" i="17"/>
  <c r="O271" i="17"/>
  <c r="P270" i="17"/>
  <c r="L270" i="17"/>
  <c r="F278" i="17" s="1"/>
  <c r="P273" i="17"/>
  <c r="L273" i="17"/>
  <c r="M272" i="17"/>
  <c r="N271" i="17"/>
  <c r="O270" i="17"/>
  <c r="O273" i="17"/>
  <c r="P272" i="17"/>
  <c r="L272" i="17"/>
  <c r="M271" i="17"/>
  <c r="N273" i="17"/>
  <c r="O272" i="17"/>
  <c r="P271" i="17"/>
  <c r="L271" i="17"/>
  <c r="N270" i="17"/>
  <c r="M270" i="17"/>
  <c r="G8" i="16"/>
  <c r="O44" i="2"/>
  <c r="M44" i="2"/>
  <c r="H43" i="21"/>
  <c r="G43" i="21"/>
  <c r="C44" i="21"/>
  <c r="B92" i="9"/>
  <c r="C52" i="11" s="1"/>
  <c r="G52" i="11" s="1"/>
  <c r="F44" i="2"/>
  <c r="A45" i="21"/>
  <c r="A93" i="9"/>
  <c r="A53" i="11" s="1"/>
  <c r="A46" i="2"/>
  <c r="E45" i="2"/>
  <c r="P45" i="2"/>
  <c r="D45" i="2"/>
  <c r="N45" i="2"/>
  <c r="E93" i="9" s="1"/>
  <c r="B45" i="2"/>
  <c r="C45" i="2"/>
  <c r="J45" i="2" s="1"/>
  <c r="O45" i="2" l="1"/>
  <c r="M45" i="2"/>
  <c r="E45" i="21"/>
  <c r="J45" i="21" s="1"/>
  <c r="D93" i="9"/>
  <c r="H45" i="2"/>
  <c r="H78" i="17"/>
  <c r="G131" i="17"/>
  <c r="G84" i="17"/>
  <c r="H91" i="17"/>
  <c r="I91" i="17" s="1"/>
  <c r="H34" i="17"/>
  <c r="G66" i="17"/>
  <c r="H105" i="17"/>
  <c r="G119" i="17"/>
  <c r="H75" i="17"/>
  <c r="I75" i="17" s="1"/>
  <c r="H100" i="17"/>
  <c r="I100" i="17" s="1"/>
  <c r="G105" i="17"/>
  <c r="G35" i="17"/>
  <c r="H131" i="17"/>
  <c r="I131" i="17" s="1"/>
  <c r="H110" i="17"/>
  <c r="H127" i="17"/>
  <c r="I127" i="17" s="1"/>
  <c r="G68" i="17"/>
  <c r="H119" i="17"/>
  <c r="I35" i="17"/>
  <c r="G91" i="17"/>
  <c r="G110" i="17"/>
  <c r="I110" i="17" s="1"/>
  <c r="G127" i="17"/>
  <c r="G75" i="17"/>
  <c r="H35" i="17"/>
  <c r="G78" i="17"/>
  <c r="I78" i="17" s="1"/>
  <c r="I84" i="17"/>
  <c r="H41" i="17"/>
  <c r="I41" i="17" s="1"/>
  <c r="H55" i="17"/>
  <c r="G34" i="17"/>
  <c r="I34" i="17" s="1"/>
  <c r="H66" i="17"/>
  <c r="I66" i="17" s="1"/>
  <c r="G100" i="17"/>
  <c r="H68" i="17"/>
  <c r="I68" i="17" s="1"/>
  <c r="I105" i="17"/>
  <c r="I119" i="17"/>
  <c r="H84" i="17"/>
  <c r="G41" i="17"/>
  <c r="G55" i="17"/>
  <c r="I55" i="17" s="1"/>
  <c r="G71" i="17"/>
  <c r="G89" i="17"/>
  <c r="G30" i="17"/>
  <c r="H103" i="17"/>
  <c r="H56" i="17"/>
  <c r="I56" i="17" s="1"/>
  <c r="H52" i="17"/>
  <c r="G102" i="17"/>
  <c r="G99" i="17"/>
  <c r="I99" i="17" s="1"/>
  <c r="H83" i="17"/>
  <c r="H85" i="17"/>
  <c r="H44" i="17"/>
  <c r="H121" i="17"/>
  <c r="I121" i="17" s="1"/>
  <c r="G42" i="17"/>
  <c r="G88" i="17"/>
  <c r="G74" i="17"/>
  <c r="H23" i="17"/>
  <c r="G72" i="17"/>
  <c r="H115" i="17"/>
  <c r="H37" i="17"/>
  <c r="H106" i="17"/>
  <c r="H126" i="17"/>
  <c r="I126" i="17" s="1"/>
  <c r="H65" i="17"/>
  <c r="I31" i="17"/>
  <c r="G59" i="17"/>
  <c r="G18" i="17"/>
  <c r="H73" i="17"/>
  <c r="G95" i="17"/>
  <c r="I95" i="17" s="1"/>
  <c r="H21" i="17"/>
  <c r="G104" i="17"/>
  <c r="G130" i="17"/>
  <c r="H120" i="17"/>
  <c r="H61" i="17"/>
  <c r="H76" i="17"/>
  <c r="I76" i="17" s="1"/>
  <c r="H58" i="17"/>
  <c r="G33" i="17"/>
  <c r="G86" i="17"/>
  <c r="G43" i="17"/>
  <c r="G27" i="17"/>
  <c r="G114" i="17"/>
  <c r="H94" i="17"/>
  <c r="G101" i="17"/>
  <c r="H22" i="17"/>
  <c r="H129" i="17"/>
  <c r="I129" i="17" s="1"/>
  <c r="H28" i="17"/>
  <c r="G29" i="17"/>
  <c r="G128" i="17"/>
  <c r="I77" i="17"/>
  <c r="I93" i="17"/>
  <c r="G19" i="17"/>
  <c r="H20" i="17"/>
  <c r="G46" i="17"/>
  <c r="H82" i="17"/>
  <c r="I82" i="17" s="1"/>
  <c r="H125" i="17"/>
  <c r="G80" i="17"/>
  <c r="H69" i="17"/>
  <c r="G125" i="17"/>
  <c r="G60" i="17"/>
  <c r="G40" i="17"/>
  <c r="H99" i="17"/>
  <c r="G90" i="17"/>
  <c r="H62" i="17"/>
  <c r="G67" i="17"/>
  <c r="G36" i="17"/>
  <c r="G39" i="17"/>
  <c r="G112" i="17"/>
  <c r="H123" i="17"/>
  <c r="I123" i="17" s="1"/>
  <c r="G116" i="17"/>
  <c r="G49" i="17"/>
  <c r="I58" i="17"/>
  <c r="G17" i="17"/>
  <c r="I28" i="17"/>
  <c r="H29" i="17"/>
  <c r="G32" i="17"/>
  <c r="G118" i="17"/>
  <c r="I69" i="17"/>
  <c r="G93" i="17"/>
  <c r="G87" i="17"/>
  <c r="H19" i="17"/>
  <c r="H79" i="17"/>
  <c r="I79" i="17" s="1"/>
  <c r="I60" i="17"/>
  <c r="G103" i="17"/>
  <c r="I103" i="17" s="1"/>
  <c r="G56" i="17"/>
  <c r="G52" i="17"/>
  <c r="I52" i="17" s="1"/>
  <c r="H113" i="17"/>
  <c r="G83" i="17"/>
  <c r="I83" i="17" s="1"/>
  <c r="G85" i="17"/>
  <c r="I85" i="17" s="1"/>
  <c r="G44" i="17"/>
  <c r="I44" i="17" s="1"/>
  <c r="G121" i="17"/>
  <c r="H90" i="17"/>
  <c r="I90" i="17" s="1"/>
  <c r="G62" i="17"/>
  <c r="G38" i="17"/>
  <c r="G23" i="17"/>
  <c r="I23" i="17" s="1"/>
  <c r="G122" i="17"/>
  <c r="G115" i="17"/>
  <c r="I115" i="17" s="1"/>
  <c r="H63" i="17"/>
  <c r="I63" i="17" s="1"/>
  <c r="G50" i="17"/>
  <c r="G37" i="17"/>
  <c r="G126" i="17"/>
  <c r="G65" i="17"/>
  <c r="H111" i="17"/>
  <c r="I111" i="17" s="1"/>
  <c r="H31" i="17"/>
  <c r="H57" i="17"/>
  <c r="I18" i="17"/>
  <c r="G73" i="17"/>
  <c r="G54" i="17"/>
  <c r="G123" i="17"/>
  <c r="G21" i="17"/>
  <c r="I21" i="17" s="1"/>
  <c r="G98" i="17"/>
  <c r="G120" i="17"/>
  <c r="G61" i="17"/>
  <c r="I61" i="17" s="1"/>
  <c r="H97" i="17"/>
  <c r="G76" i="17"/>
  <c r="G124" i="17"/>
  <c r="I33" i="17"/>
  <c r="H26" i="17"/>
  <c r="I26" i="17" s="1"/>
  <c r="H64" i="17"/>
  <c r="I64" i="17" s="1"/>
  <c r="H70" i="17"/>
  <c r="I70" i="17" s="1"/>
  <c r="H92" i="17"/>
  <c r="I92" i="17" s="1"/>
  <c r="H51" i="17"/>
  <c r="I51" i="17" s="1"/>
  <c r="H45" i="17"/>
  <c r="I45" i="17" s="1"/>
  <c r="G28" i="17"/>
  <c r="I29" i="17"/>
  <c r="H118" i="17"/>
  <c r="I118" i="17" s="1"/>
  <c r="H24" i="17"/>
  <c r="I24" i="17" s="1"/>
  <c r="G20" i="17"/>
  <c r="G25" i="17"/>
  <c r="G53" i="17"/>
  <c r="G107" i="17"/>
  <c r="I107" i="17" s="1"/>
  <c r="H72" i="17"/>
  <c r="H50" i="17"/>
  <c r="G81" i="17"/>
  <c r="H59" i="17"/>
  <c r="H95" i="17"/>
  <c r="H98" i="17"/>
  <c r="I120" i="17"/>
  <c r="H33" i="17"/>
  <c r="G16" i="17"/>
  <c r="H43" i="17"/>
  <c r="G70" i="17"/>
  <c r="G47" i="17"/>
  <c r="I94" i="17"/>
  <c r="G117" i="17"/>
  <c r="I20" i="17"/>
  <c r="I125" i="17"/>
  <c r="G79" i="17"/>
  <c r="H48" i="17"/>
  <c r="I48" i="17" s="1"/>
  <c r="H30" i="17"/>
  <c r="I30" i="17" s="1"/>
  <c r="H60" i="17"/>
  <c r="H109" i="17"/>
  <c r="I109" i="17" s="1"/>
  <c r="H25" i="17"/>
  <c r="I25" i="17" s="1"/>
  <c r="H40" i="17"/>
  <c r="I40" i="17" s="1"/>
  <c r="H53" i="17"/>
  <c r="I53" i="17" s="1"/>
  <c r="H102" i="17"/>
  <c r="I102" i="17" s="1"/>
  <c r="G113" i="17"/>
  <c r="I113" i="17" s="1"/>
  <c r="H42" i="17"/>
  <c r="I42" i="17" s="1"/>
  <c r="H107" i="17"/>
  <c r="H74" i="17"/>
  <c r="I74" i="17" s="1"/>
  <c r="I62" i="17"/>
  <c r="H122" i="17"/>
  <c r="I122" i="17" s="1"/>
  <c r="H67" i="17"/>
  <c r="I67" i="17" s="1"/>
  <c r="I72" i="17"/>
  <c r="G63" i="17"/>
  <c r="I50" i="17"/>
  <c r="I37" i="17"/>
  <c r="G106" i="17"/>
  <c r="I106" i="17" s="1"/>
  <c r="H36" i="17"/>
  <c r="I36" i="17" s="1"/>
  <c r="I65" i="17"/>
  <c r="H39" i="17"/>
  <c r="I39" i="17" s="1"/>
  <c r="H112" i="17"/>
  <c r="I112" i="17" s="1"/>
  <c r="H81" i="17"/>
  <c r="I81" i="17" s="1"/>
  <c r="G111" i="17"/>
  <c r="G31" i="17"/>
  <c r="G57" i="17"/>
  <c r="I57" i="17" s="1"/>
  <c r="I59" i="17"/>
  <c r="H18" i="17"/>
  <c r="I73" i="17"/>
  <c r="I54" i="17"/>
  <c r="H116" i="17"/>
  <c r="I116" i="17" s="1"/>
  <c r="I98" i="17"/>
  <c r="G97" i="17"/>
  <c r="I97" i="17" s="1"/>
  <c r="H49" i="17"/>
  <c r="I49" i="17" s="1"/>
  <c r="G58" i="17"/>
  <c r="H124" i="17"/>
  <c r="I124" i="17" s="1"/>
  <c r="H17" i="17"/>
  <c r="I17" i="17" s="1"/>
  <c r="H86" i="17"/>
  <c r="I86" i="17" s="1"/>
  <c r="H16" i="17"/>
  <c r="I16" i="17" s="1"/>
  <c r="I43" i="17"/>
  <c r="G64" i="17"/>
  <c r="G92" i="17"/>
  <c r="H47" i="17"/>
  <c r="I47" i="17" s="1"/>
  <c r="H114" i="17"/>
  <c r="I114" i="17" s="1"/>
  <c r="H108" i="17"/>
  <c r="I108" i="17" s="1"/>
  <c r="G94" i="17"/>
  <c r="G51" i="17"/>
  <c r="G45" i="17"/>
  <c r="G22" i="17"/>
  <c r="I22" i="17" s="1"/>
  <c r="G129" i="17"/>
  <c r="H128" i="17"/>
  <c r="I128" i="17" s="1"/>
  <c r="H32" i="17"/>
  <c r="I32" i="17" s="1"/>
  <c r="H77" i="17"/>
  <c r="G24" i="17"/>
  <c r="G69" i="17"/>
  <c r="H117" i="17"/>
  <c r="I117" i="17" s="1"/>
  <c r="H93" i="17"/>
  <c r="H87" i="17"/>
  <c r="I87" i="17" s="1"/>
  <c r="I19" i="17"/>
  <c r="H46" i="17"/>
  <c r="I46" i="17" s="1"/>
  <c r="H96" i="17"/>
  <c r="I96" i="17" s="1"/>
  <c r="G82" i="17"/>
  <c r="G48" i="17"/>
  <c r="H71" i="17"/>
  <c r="I71" i="17" s="1"/>
  <c r="H89" i="17"/>
  <c r="I89" i="17" s="1"/>
  <c r="G109" i="17"/>
  <c r="H88" i="17"/>
  <c r="I88" i="17" s="1"/>
  <c r="H38" i="17"/>
  <c r="I38" i="17" s="1"/>
  <c r="H54" i="17"/>
  <c r="H104" i="17"/>
  <c r="I104" i="17" s="1"/>
  <c r="H130" i="17"/>
  <c r="I130" i="17" s="1"/>
  <c r="G26" i="17"/>
  <c r="H27" i="17"/>
  <c r="I27" i="17" s="1"/>
  <c r="G108" i="17"/>
  <c r="H101" i="17"/>
  <c r="I101" i="17" s="1"/>
  <c r="G77" i="17"/>
  <c r="G96" i="17"/>
  <c r="H80" i="17"/>
  <c r="I80" i="17" s="1"/>
  <c r="F147" i="17"/>
  <c r="F148" i="17"/>
  <c r="F151" i="17"/>
  <c r="F149" i="17"/>
  <c r="F150" i="17"/>
  <c r="H199" i="17"/>
  <c r="I199" i="17" s="1"/>
  <c r="H163" i="17"/>
  <c r="I163" i="17" s="1"/>
  <c r="G202" i="17"/>
  <c r="G199" i="17"/>
  <c r="H202" i="17"/>
  <c r="I202" i="17" s="1"/>
  <c r="G163" i="17"/>
  <c r="G151" i="17"/>
  <c r="H212" i="17"/>
  <c r="H243" i="17"/>
  <c r="G149" i="17"/>
  <c r="G197" i="17"/>
  <c r="G231" i="17"/>
  <c r="G220" i="17"/>
  <c r="I214" i="17"/>
  <c r="H248" i="17"/>
  <c r="H213" i="17"/>
  <c r="G152" i="17"/>
  <c r="G222" i="17"/>
  <c r="G157" i="17"/>
  <c r="I236" i="17"/>
  <c r="G244" i="17"/>
  <c r="G262" i="17"/>
  <c r="G160" i="17"/>
  <c r="G218" i="17"/>
  <c r="H238" i="17"/>
  <c r="H172" i="17"/>
  <c r="I168" i="17"/>
  <c r="G181" i="17"/>
  <c r="G158" i="17"/>
  <c r="G184" i="17"/>
  <c r="I184" i="17" s="1"/>
  <c r="H246" i="17"/>
  <c r="G237" i="17"/>
  <c r="H183" i="17"/>
  <c r="G259" i="17"/>
  <c r="G209" i="17"/>
  <c r="G167" i="17"/>
  <c r="H195" i="17"/>
  <c r="G234" i="17"/>
  <c r="H191" i="17"/>
  <c r="G169" i="17"/>
  <c r="G203" i="17"/>
  <c r="H232" i="17"/>
  <c r="H162" i="17"/>
  <c r="I164" i="17"/>
  <c r="H247" i="17"/>
  <c r="H260" i="17"/>
  <c r="H225" i="17"/>
  <c r="G180" i="17"/>
  <c r="H251" i="17"/>
  <c r="H182" i="17"/>
  <c r="I182" i="17" s="1"/>
  <c r="G227" i="17"/>
  <c r="G256" i="17"/>
  <c r="H165" i="17"/>
  <c r="H170" i="17"/>
  <c r="I170" i="17" s="1"/>
  <c r="G205" i="17"/>
  <c r="G156" i="17"/>
  <c r="H196" i="17"/>
  <c r="I196" i="17" s="1"/>
  <c r="G174" i="17"/>
  <c r="G186" i="17"/>
  <c r="H228" i="17"/>
  <c r="H161" i="17"/>
  <c r="I161" i="17" s="1"/>
  <c r="H219" i="17"/>
  <c r="G190" i="17"/>
  <c r="I217" i="17"/>
  <c r="G233" i="17"/>
  <c r="G196" i="17"/>
  <c r="G245" i="17"/>
  <c r="H193" i="17"/>
  <c r="I193" i="17" s="1"/>
  <c r="H194" i="17"/>
  <c r="I194" i="17" s="1"/>
  <c r="G176" i="17"/>
  <c r="I176" i="17" s="1"/>
  <c r="H217" i="17"/>
  <c r="G153" i="17"/>
  <c r="H220" i="17"/>
  <c r="I220" i="17" s="1"/>
  <c r="G208" i="17"/>
  <c r="G206" i="17"/>
  <c r="H222" i="17"/>
  <c r="H244" i="17"/>
  <c r="H160" i="17"/>
  <c r="I160" i="17" s="1"/>
  <c r="H218" i="17"/>
  <c r="G168" i="17"/>
  <c r="H184" i="17"/>
  <c r="H259" i="17"/>
  <c r="I259" i="17" s="1"/>
  <c r="G178" i="17"/>
  <c r="G255" i="17"/>
  <c r="I191" i="17"/>
  <c r="G201" i="17"/>
  <c r="H241" i="17"/>
  <c r="G200" i="17"/>
  <c r="G179" i="17"/>
  <c r="G216" i="17"/>
  <c r="G254" i="17"/>
  <c r="H186" i="17"/>
  <c r="I186" i="17" s="1"/>
  <c r="H176" i="17"/>
  <c r="G187" i="17"/>
  <c r="H190" i="17"/>
  <c r="G217" i="17"/>
  <c r="H253" i="17"/>
  <c r="G212" i="17"/>
  <c r="G177" i="17"/>
  <c r="G243" i="17"/>
  <c r="G229" i="17"/>
  <c r="H214" i="17"/>
  <c r="G248" i="17"/>
  <c r="H155" i="17"/>
  <c r="I155" i="17" s="1"/>
  <c r="I152" i="17"/>
  <c r="H150" i="17"/>
  <c r="I150" i="17" s="1"/>
  <c r="G189" i="17"/>
  <c r="G173" i="17"/>
  <c r="I244" i="17"/>
  <c r="H171" i="17"/>
  <c r="I171" i="17" s="1"/>
  <c r="G249" i="17"/>
  <c r="G238" i="17"/>
  <c r="G172" i="17"/>
  <c r="H188" i="17"/>
  <c r="H221" i="17"/>
  <c r="I221" i="17" s="1"/>
  <c r="H252" i="17"/>
  <c r="G246" i="17"/>
  <c r="H257" i="17"/>
  <c r="I257" i="17" s="1"/>
  <c r="H192" i="17"/>
  <c r="H240" i="17"/>
  <c r="I240" i="17" s="1"/>
  <c r="G183" i="17"/>
  <c r="H226" i="17"/>
  <c r="I226" i="17" s="1"/>
  <c r="H261" i="17"/>
  <c r="I261" i="17" s="1"/>
  <c r="G195" i="17"/>
  <c r="I195" i="17" s="1"/>
  <c r="I255" i="17"/>
  <c r="G191" i="17"/>
  <c r="H201" i="17"/>
  <c r="I201" i="17" s="1"/>
  <c r="G232" i="17"/>
  <c r="G162" i="17"/>
  <c r="H175" i="17"/>
  <c r="I175" i="17" s="1"/>
  <c r="I235" i="17"/>
  <c r="G247" i="17"/>
  <c r="G260" i="17"/>
  <c r="H148" i="17"/>
  <c r="I180" i="17"/>
  <c r="H166" i="17"/>
  <c r="I166" i="17" s="1"/>
  <c r="H224" i="17"/>
  <c r="I224" i="17" s="1"/>
  <c r="G251" i="17"/>
  <c r="G182" i="17"/>
  <c r="H211" i="17"/>
  <c r="I211" i="17" s="1"/>
  <c r="H154" i="17"/>
  <c r="I154" i="17" s="1"/>
  <c r="G241" i="17"/>
  <c r="H230" i="17"/>
  <c r="I230" i="17" s="1"/>
  <c r="H250" i="17"/>
  <c r="I250" i="17" s="1"/>
  <c r="G170" i="17"/>
  <c r="H185" i="17"/>
  <c r="I185" i="17" s="1"/>
  <c r="H223" i="17"/>
  <c r="I223" i="17" s="1"/>
  <c r="G228" i="17"/>
  <c r="G219" i="17"/>
  <c r="I233" i="17"/>
  <c r="I243" i="17"/>
  <c r="H231" i="17"/>
  <c r="H173" i="17"/>
  <c r="I173" i="17" s="1"/>
  <c r="G159" i="17"/>
  <c r="I238" i="17"/>
  <c r="I246" i="17"/>
  <c r="G257" i="17"/>
  <c r="G240" i="17"/>
  <c r="H167" i="17"/>
  <c r="H234" i="17"/>
  <c r="H203" i="17"/>
  <c r="G235" i="17"/>
  <c r="H180" i="17"/>
  <c r="I251" i="17"/>
  <c r="H227" i="17"/>
  <c r="G207" i="17"/>
  <c r="I165" i="17"/>
  <c r="H245" i="17"/>
  <c r="I212" i="17"/>
  <c r="I177" i="17"/>
  <c r="H204" i="17"/>
  <c r="I204" i="17" s="1"/>
  <c r="H149" i="17"/>
  <c r="I149" i="17" s="1"/>
  <c r="H197" i="17"/>
  <c r="I197" i="17" s="1"/>
  <c r="I229" i="17"/>
  <c r="H147" i="17"/>
  <c r="I147" i="17" s="1"/>
  <c r="I231" i="17"/>
  <c r="G214" i="17"/>
  <c r="H208" i="17"/>
  <c r="I208" i="17" s="1"/>
  <c r="I248" i="17"/>
  <c r="G155" i="17"/>
  <c r="H206" i="17"/>
  <c r="I206" i="17" s="1"/>
  <c r="G213" i="17"/>
  <c r="I213" i="17" s="1"/>
  <c r="G150" i="17"/>
  <c r="I222" i="17"/>
  <c r="H157" i="17"/>
  <c r="I157" i="17" s="1"/>
  <c r="H236" i="17"/>
  <c r="G171" i="17"/>
  <c r="H159" i="17"/>
  <c r="I159" i="17" s="1"/>
  <c r="I218" i="17"/>
  <c r="I172" i="17"/>
  <c r="G188" i="17"/>
  <c r="I188" i="17" s="1"/>
  <c r="H168" i="17"/>
  <c r="H181" i="17"/>
  <c r="I181" i="17" s="1"/>
  <c r="G252" i="17"/>
  <c r="H237" i="17"/>
  <c r="I237" i="17" s="1"/>
  <c r="G192" i="17"/>
  <c r="I192" i="17" s="1"/>
  <c r="G226" i="17"/>
  <c r="H198" i="17"/>
  <c r="I198" i="17" s="1"/>
  <c r="H209" i="17"/>
  <c r="I209" i="17" s="1"/>
  <c r="H178" i="17"/>
  <c r="I178" i="17" s="1"/>
  <c r="I167" i="17"/>
  <c r="H255" i="17"/>
  <c r="I234" i="17"/>
  <c r="H169" i="17"/>
  <c r="I169" i="17" s="1"/>
  <c r="H239" i="17"/>
  <c r="I239" i="17" s="1"/>
  <c r="I203" i="17"/>
  <c r="I232" i="17"/>
  <c r="G175" i="17"/>
  <c r="H235" i="17"/>
  <c r="H164" i="17"/>
  <c r="I260" i="17"/>
  <c r="G148" i="17"/>
  <c r="G225" i="17"/>
  <c r="I225" i="17" s="1"/>
  <c r="G166" i="17"/>
  <c r="G224" i="17"/>
  <c r="G211" i="17"/>
  <c r="H258" i="17"/>
  <c r="I258" i="17" s="1"/>
  <c r="G154" i="17"/>
  <c r="I241" i="17"/>
  <c r="I227" i="17"/>
  <c r="G230" i="17"/>
  <c r="H207" i="17"/>
  <c r="I207" i="17" s="1"/>
  <c r="G250" i="17"/>
  <c r="H210" i="17"/>
  <c r="I210" i="17" s="1"/>
  <c r="G165" i="17"/>
  <c r="H205" i="17"/>
  <c r="I205" i="17" s="1"/>
  <c r="H215" i="17"/>
  <c r="I215" i="17" s="1"/>
  <c r="H200" i="17"/>
  <c r="I200" i="17" s="1"/>
  <c r="H179" i="17"/>
  <c r="I179" i="17" s="1"/>
  <c r="H216" i="17"/>
  <c r="I216" i="17" s="1"/>
  <c r="G223" i="17"/>
  <c r="H254" i="17"/>
  <c r="I254" i="17" s="1"/>
  <c r="I245" i="17"/>
  <c r="I228" i="17"/>
  <c r="H242" i="17"/>
  <c r="I242" i="17" s="1"/>
  <c r="G161" i="17"/>
  <c r="G194" i="17"/>
  <c r="H187" i="17"/>
  <c r="I187" i="17" s="1"/>
  <c r="I190" i="17"/>
  <c r="H233" i="17"/>
  <c r="H151" i="17"/>
  <c r="I151" i="17" s="1"/>
  <c r="G253" i="17"/>
  <c r="I253" i="17" s="1"/>
  <c r="H177" i="17"/>
  <c r="G204" i="17"/>
  <c r="H229" i="17"/>
  <c r="G147" i="17"/>
  <c r="H152" i="17"/>
  <c r="H189" i="17"/>
  <c r="I189" i="17" s="1"/>
  <c r="G236" i="17"/>
  <c r="H262" i="17"/>
  <c r="I262" i="17" s="1"/>
  <c r="H249" i="17"/>
  <c r="I249" i="17" s="1"/>
  <c r="G221" i="17"/>
  <c r="I252" i="17"/>
  <c r="H158" i="17"/>
  <c r="I158" i="17" s="1"/>
  <c r="I183" i="17"/>
  <c r="G198" i="17"/>
  <c r="G261" i="17"/>
  <c r="G239" i="17"/>
  <c r="I162" i="17"/>
  <c r="G164" i="17"/>
  <c r="I247" i="17"/>
  <c r="I148" i="17"/>
  <c r="G258" i="17"/>
  <c r="H256" i="17"/>
  <c r="I256" i="17" s="1"/>
  <c r="G210" i="17"/>
  <c r="G215" i="17"/>
  <c r="H156" i="17"/>
  <c r="I156" i="17" s="1"/>
  <c r="G185" i="17"/>
  <c r="H174" i="17"/>
  <c r="I174" i="17" s="1"/>
  <c r="G193" i="17"/>
  <c r="G242" i="17"/>
  <c r="I219" i="17"/>
  <c r="H153" i="17"/>
  <c r="I153" i="17" s="1"/>
  <c r="G48" i="15"/>
  <c r="G47" i="15"/>
  <c r="G63" i="15"/>
  <c r="G61" i="15"/>
  <c r="G71" i="15"/>
  <c r="G58" i="15"/>
  <c r="G68" i="15"/>
  <c r="G59" i="15"/>
  <c r="G80" i="15"/>
  <c r="G55" i="15"/>
  <c r="G86" i="15"/>
  <c r="G82" i="15"/>
  <c r="G84" i="15"/>
  <c r="G50" i="15"/>
  <c r="G38" i="15"/>
  <c r="G30" i="15"/>
  <c r="G70" i="15"/>
  <c r="G62" i="15"/>
  <c r="G40" i="15"/>
  <c r="G52" i="15"/>
  <c r="G43" i="15"/>
  <c r="G66" i="15"/>
  <c r="G60" i="15"/>
  <c r="G29" i="15"/>
  <c r="G54" i="15"/>
  <c r="G89" i="15"/>
  <c r="G39" i="15"/>
  <c r="G42" i="15"/>
  <c r="G88" i="15"/>
  <c r="G36" i="15"/>
  <c r="G37" i="15"/>
  <c r="G32" i="15"/>
  <c r="G64" i="15"/>
  <c r="G31" i="15"/>
  <c r="G33" i="15"/>
  <c r="G34" i="15"/>
  <c r="G87" i="15"/>
  <c r="G45" i="15"/>
  <c r="G76" i="15"/>
  <c r="G44" i="15"/>
  <c r="G46" i="15"/>
  <c r="G41" i="15"/>
  <c r="G56" i="15"/>
  <c r="G77" i="15"/>
  <c r="G35" i="15"/>
  <c r="G83" i="15"/>
  <c r="G110" i="15"/>
  <c r="G57" i="15"/>
  <c r="F47" i="15"/>
  <c r="F48" i="15"/>
  <c r="F63" i="15"/>
  <c r="F58" i="15"/>
  <c r="F61" i="15"/>
  <c r="F71" i="15"/>
  <c r="F68" i="15"/>
  <c r="F59" i="15"/>
  <c r="F34" i="15"/>
  <c r="F66" i="15"/>
  <c r="F60" i="15"/>
  <c r="F110" i="15"/>
  <c r="F89" i="15"/>
  <c r="F39" i="15"/>
  <c r="F37" i="15"/>
  <c r="F54" i="15"/>
  <c r="F70" i="15"/>
  <c r="F40" i="15"/>
  <c r="F46" i="15"/>
  <c r="F55" i="15"/>
  <c r="F80" i="15"/>
  <c r="F86" i="15"/>
  <c r="F82" i="15"/>
  <c r="F41" i="15"/>
  <c r="F84" i="15"/>
  <c r="F50" i="15"/>
  <c r="F77" i="15"/>
  <c r="F38" i="15"/>
  <c r="F35" i="15"/>
  <c r="F83" i="15"/>
  <c r="F30" i="15"/>
  <c r="F62" i="15"/>
  <c r="F52" i="15"/>
  <c r="F44" i="15"/>
  <c r="F43" i="15"/>
  <c r="F31" i="15"/>
  <c r="F33" i="15"/>
  <c r="F57" i="15"/>
  <c r="F42" i="15"/>
  <c r="F88" i="15"/>
  <c r="F87" i="15"/>
  <c r="F36" i="15"/>
  <c r="F29" i="15"/>
  <c r="F32" i="15"/>
  <c r="F64" i="15"/>
  <c r="F45" i="15"/>
  <c r="F76" i="15"/>
  <c r="F56" i="15"/>
  <c r="F93" i="9"/>
  <c r="B53" i="11"/>
  <c r="D53" i="11" s="1"/>
  <c r="E53" i="11" s="1"/>
  <c r="F53" i="11" s="1"/>
  <c r="A46" i="21"/>
  <c r="A94" i="9"/>
  <c r="A54" i="11" s="1"/>
  <c r="A47" i="2"/>
  <c r="E46" i="2"/>
  <c r="P46" i="2"/>
  <c r="D46" i="2"/>
  <c r="C46" i="2"/>
  <c r="N46" i="2"/>
  <c r="E94" i="9" s="1"/>
  <c r="B46" i="2"/>
  <c r="F366" i="17"/>
  <c r="F370" i="17"/>
  <c r="F373" i="17"/>
  <c r="F390" i="17"/>
  <c r="F375" i="17"/>
  <c r="F389" i="17"/>
  <c r="F379" i="17"/>
  <c r="F362" i="17"/>
  <c r="F385" i="17"/>
  <c r="F391" i="17"/>
  <c r="F382" i="17"/>
  <c r="F381" i="17"/>
  <c r="F369" i="17"/>
  <c r="F388" i="17"/>
  <c r="F383" i="17"/>
  <c r="F371" i="17"/>
  <c r="F392" i="17"/>
  <c r="F393" i="17"/>
  <c r="F387" i="17"/>
  <c r="F376" i="17"/>
  <c r="F386" i="17"/>
  <c r="F384" i="17"/>
  <c r="F377" i="17"/>
  <c r="F378" i="17"/>
  <c r="F380" i="17"/>
  <c r="F280" i="17"/>
  <c r="F288" i="17"/>
  <c r="F279" i="17"/>
  <c r="F282" i="17"/>
  <c r="F281" i="17"/>
  <c r="H15" i="17"/>
  <c r="F35" i="17"/>
  <c r="F68" i="17"/>
  <c r="F34" i="17"/>
  <c r="F75" i="17"/>
  <c r="F40" i="17"/>
  <c r="F38" i="17"/>
  <c r="F50" i="17"/>
  <c r="F36" i="17"/>
  <c r="F39" i="17"/>
  <c r="F16" i="17"/>
  <c r="L12" i="17" s="1"/>
  <c r="F47" i="17"/>
  <c r="F32" i="17"/>
  <c r="F19" i="17"/>
  <c r="F42" i="17"/>
  <c r="F31" i="17"/>
  <c r="F46" i="17"/>
  <c r="F25" i="17"/>
  <c r="F53" i="17"/>
  <c r="F49" i="17"/>
  <c r="F17" i="17"/>
  <c r="F27" i="17"/>
  <c r="F22" i="17"/>
  <c r="F18" i="17"/>
  <c r="F52" i="17"/>
  <c r="F44" i="17"/>
  <c r="F23" i="17"/>
  <c r="F33" i="17"/>
  <c r="F26" i="17"/>
  <c r="F28" i="17"/>
  <c r="F29" i="17"/>
  <c r="F20" i="17"/>
  <c r="F30" i="17"/>
  <c r="F37" i="17"/>
  <c r="F51" i="17"/>
  <c r="G146" i="17"/>
  <c r="H146" i="17"/>
  <c r="F499" i="17"/>
  <c r="F523" i="17"/>
  <c r="F516" i="17"/>
  <c r="F511" i="17"/>
  <c r="F524" i="17"/>
  <c r="F508" i="17"/>
  <c r="F520" i="17"/>
  <c r="F509" i="17"/>
  <c r="F500" i="17"/>
  <c r="F513" i="17"/>
  <c r="F497" i="17"/>
  <c r="F502" i="17"/>
  <c r="F510" i="17"/>
  <c r="F518" i="17"/>
  <c r="F514" i="17"/>
  <c r="F498" i="17"/>
  <c r="F506" i="17"/>
  <c r="F507" i="17"/>
  <c r="F522" i="17"/>
  <c r="F521" i="17"/>
  <c r="F517" i="17"/>
  <c r="F519" i="17"/>
  <c r="F512" i="17"/>
  <c r="F501" i="17"/>
  <c r="F515" i="17"/>
  <c r="F504" i="17"/>
  <c r="F493" i="17"/>
  <c r="F440" i="17"/>
  <c r="F432" i="17"/>
  <c r="F430" i="17"/>
  <c r="F423" i="17"/>
  <c r="F442" i="17"/>
  <c r="F435" i="17"/>
  <c r="F468" i="17"/>
  <c r="F431" i="17"/>
  <c r="F461" i="17"/>
  <c r="F424" i="17"/>
  <c r="F446" i="17"/>
  <c r="F422" i="17"/>
  <c r="F415" i="17"/>
  <c r="F421" i="17"/>
  <c r="F433" i="17"/>
  <c r="F426" i="17"/>
  <c r="F439" i="17"/>
  <c r="F425" i="17"/>
  <c r="F416" i="17"/>
  <c r="F443" i="17"/>
  <c r="F427" i="17"/>
  <c r="F429" i="17"/>
  <c r="F419" i="17"/>
  <c r="F445" i="17"/>
  <c r="F444" i="17"/>
  <c r="F428" i="17"/>
  <c r="F437" i="17"/>
  <c r="F418" i="17"/>
  <c r="F420" i="17"/>
  <c r="F460" i="17"/>
  <c r="F438" i="17"/>
  <c r="F477" i="17"/>
  <c r="F436" i="17"/>
  <c r="F466" i="17"/>
  <c r="F459" i="17"/>
  <c r="F484" i="17"/>
  <c r="F464" i="17"/>
  <c r="F479" i="17"/>
  <c r="F457" i="17"/>
  <c r="F470" i="17"/>
  <c r="F417" i="17"/>
  <c r="F491" i="17"/>
  <c r="F452" i="17"/>
  <c r="F482" i="17"/>
  <c r="F485" i="17"/>
  <c r="F454" i="17"/>
  <c r="F458" i="17"/>
  <c r="F450" i="17"/>
  <c r="F414" i="17"/>
  <c r="F463" i="17"/>
  <c r="F434" i="17"/>
  <c r="F490" i="17"/>
  <c r="H430" i="17"/>
  <c r="G442" i="17"/>
  <c r="H495" i="17"/>
  <c r="G474" i="17"/>
  <c r="G523" i="17"/>
  <c r="I410" i="17"/>
  <c r="G455" i="17"/>
  <c r="H423" i="17"/>
  <c r="G453" i="17"/>
  <c r="H460" i="17"/>
  <c r="I460" i="17" s="1"/>
  <c r="G503" i="17"/>
  <c r="G462" i="17"/>
  <c r="G410" i="17"/>
  <c r="H455" i="17"/>
  <c r="I455" i="17" s="1"/>
  <c r="G409" i="17"/>
  <c r="G499" i="17"/>
  <c r="H412" i="17"/>
  <c r="I412" i="17" s="1"/>
  <c r="G495" i="17"/>
  <c r="I474" i="17"/>
  <c r="H410" i="17"/>
  <c r="H432" i="17"/>
  <c r="I432" i="17" s="1"/>
  <c r="G423" i="17"/>
  <c r="I423" i="17" s="1"/>
  <c r="H496" i="17"/>
  <c r="I496" i="17" s="1"/>
  <c r="G460" i="17"/>
  <c r="G412" i="17"/>
  <c r="H483" i="17"/>
  <c r="I483" i="17" s="1"/>
  <c r="H523" i="17"/>
  <c r="I523" i="17" s="1"/>
  <c r="H453" i="17"/>
  <c r="I453" i="17" s="1"/>
  <c r="H503" i="17"/>
  <c r="I503" i="17" s="1"/>
  <c r="G430" i="17"/>
  <c r="H442" i="17"/>
  <c r="I442" i="17" s="1"/>
  <c r="H440" i="17"/>
  <c r="I440" i="17" s="1"/>
  <c r="H474" i="17"/>
  <c r="H409" i="17"/>
  <c r="I409" i="17" s="1"/>
  <c r="H499" i="17"/>
  <c r="I499" i="17" s="1"/>
  <c r="G483" i="17"/>
  <c r="H462" i="17"/>
  <c r="I462" i="17" s="1"/>
  <c r="I430" i="17"/>
  <c r="G440" i="17"/>
  <c r="I495" i="17"/>
  <c r="G432" i="17"/>
  <c r="G496" i="17"/>
  <c r="G464" i="17"/>
  <c r="G415" i="17"/>
  <c r="H507" i="17"/>
  <c r="G479" i="17"/>
  <c r="G467" i="17"/>
  <c r="H487" i="17"/>
  <c r="H504" i="17"/>
  <c r="G473" i="17"/>
  <c r="H413" i="17"/>
  <c r="G447" i="17"/>
  <c r="H427" i="17"/>
  <c r="G429" i="17"/>
  <c r="H520" i="17"/>
  <c r="H426" i="17"/>
  <c r="H472" i="17"/>
  <c r="H425" i="17"/>
  <c r="H493" i="17"/>
  <c r="I458" i="17"/>
  <c r="H416" i="17"/>
  <c r="G500" i="17"/>
  <c r="G411" i="17"/>
  <c r="H419" i="17"/>
  <c r="I419" i="17" s="1"/>
  <c r="H414" i="17"/>
  <c r="G482" i="17"/>
  <c r="G439" i="17"/>
  <c r="H428" i="17"/>
  <c r="H470" i="17"/>
  <c r="G441" i="17"/>
  <c r="H437" i="17"/>
  <c r="H502" i="17"/>
  <c r="I502" i="17" s="1"/>
  <c r="G465" i="17"/>
  <c r="H510" i="17"/>
  <c r="G418" i="17"/>
  <c r="H463" i="17"/>
  <c r="I463" i="17" s="1"/>
  <c r="G491" i="17"/>
  <c r="H519" i="17"/>
  <c r="G452" i="17"/>
  <c r="G512" i="17"/>
  <c r="G490" i="17"/>
  <c r="G445" i="17"/>
  <c r="H422" i="17"/>
  <c r="I422" i="17" s="1"/>
  <c r="G444" i="17"/>
  <c r="G505" i="17"/>
  <c r="G484" i="17"/>
  <c r="H515" i="17"/>
  <c r="H485" i="17"/>
  <c r="H434" i="17"/>
  <c r="I434" i="17" s="1"/>
  <c r="H524" i="17"/>
  <c r="I484" i="17"/>
  <c r="H479" i="17"/>
  <c r="I479" i="17" s="1"/>
  <c r="G421" i="17"/>
  <c r="G433" i="17"/>
  <c r="G518" i="17"/>
  <c r="G488" i="17"/>
  <c r="G454" i="17"/>
  <c r="G458" i="17"/>
  <c r="G450" i="17"/>
  <c r="I469" i="17"/>
  <c r="G481" i="17"/>
  <c r="I481" i="17" s="1"/>
  <c r="G436" i="17"/>
  <c r="G486" i="17"/>
  <c r="G517" i="17"/>
  <c r="G431" i="17"/>
  <c r="H441" i="17"/>
  <c r="H478" i="17"/>
  <c r="I478" i="17" s="1"/>
  <c r="G480" i="17"/>
  <c r="G511" i="17"/>
  <c r="H491" i="17"/>
  <c r="H452" i="17"/>
  <c r="I452" i="17" s="1"/>
  <c r="H446" i="17"/>
  <c r="I446" i="17" s="1"/>
  <c r="G498" i="17"/>
  <c r="G506" i="17"/>
  <c r="I420" i="17"/>
  <c r="H505" i="17"/>
  <c r="I505" i="17" s="1"/>
  <c r="G449" i="17"/>
  <c r="G494" i="17"/>
  <c r="G507" i="17"/>
  <c r="H516" i="17"/>
  <c r="I516" i="17" s="1"/>
  <c r="G487" i="17"/>
  <c r="I487" i="17" s="1"/>
  <c r="I473" i="17"/>
  <c r="G413" i="17"/>
  <c r="G438" i="17"/>
  <c r="G427" i="17"/>
  <c r="I427" i="17" s="1"/>
  <c r="I429" i="17"/>
  <c r="G472" i="17"/>
  <c r="H522" i="17"/>
  <c r="I522" i="17" s="1"/>
  <c r="G425" i="17"/>
  <c r="I488" i="17"/>
  <c r="H509" i="17"/>
  <c r="I509" i="17" s="1"/>
  <c r="H454" i="17"/>
  <c r="I454" i="17" s="1"/>
  <c r="G493" i="17"/>
  <c r="H477" i="17"/>
  <c r="H458" i="17"/>
  <c r="H450" i="17"/>
  <c r="I450" i="17" s="1"/>
  <c r="H492" i="17"/>
  <c r="I492" i="17" s="1"/>
  <c r="I500" i="17"/>
  <c r="H513" i="17"/>
  <c r="I513" i="17" s="1"/>
  <c r="H411" i="17"/>
  <c r="I411" i="17" s="1"/>
  <c r="H469" i="17"/>
  <c r="G419" i="17"/>
  <c r="H486" i="17"/>
  <c r="I486" i="17" s="1"/>
  <c r="G428" i="17"/>
  <c r="I428" i="17" s="1"/>
  <c r="H451" i="17"/>
  <c r="I451" i="17" s="1"/>
  <c r="I441" i="17"/>
  <c r="G437" i="17"/>
  <c r="G478" i="17"/>
  <c r="H497" i="17"/>
  <c r="I497" i="17" s="1"/>
  <c r="H461" i="17"/>
  <c r="G466" i="17"/>
  <c r="G502" i="17"/>
  <c r="H480" i="17"/>
  <c r="I480" i="17" s="1"/>
  <c r="H443" i="17"/>
  <c r="G510" i="17"/>
  <c r="I510" i="17" s="1"/>
  <c r="G463" i="17"/>
  <c r="H448" i="17"/>
  <c r="I448" i="17" s="1"/>
  <c r="G519" i="17"/>
  <c r="I519" i="17" s="1"/>
  <c r="I490" i="17"/>
  <c r="G446" i="17"/>
  <c r="H456" i="17"/>
  <c r="H420" i="17"/>
  <c r="H508" i="17"/>
  <c r="I508" i="17" s="1"/>
  <c r="G515" i="17"/>
  <c r="G485" i="17"/>
  <c r="H494" i="17"/>
  <c r="I507" i="17"/>
  <c r="G468" i="17"/>
  <c r="I468" i="17" s="1"/>
  <c r="H438" i="17"/>
  <c r="H429" i="17"/>
  <c r="I426" i="17"/>
  <c r="H466" i="17"/>
  <c r="H465" i="17"/>
  <c r="I465" i="17" s="1"/>
  <c r="G489" i="17"/>
  <c r="H484" i="17"/>
  <c r="I494" i="17"/>
  <c r="H464" i="17"/>
  <c r="I464" i="17" s="1"/>
  <c r="H435" i="17"/>
  <c r="I435" i="17" s="1"/>
  <c r="G504" i="17"/>
  <c r="I504" i="17" s="1"/>
  <c r="H468" i="17"/>
  <c r="H421" i="17"/>
  <c r="I421" i="17" s="1"/>
  <c r="I413" i="17"/>
  <c r="I438" i="17"/>
  <c r="H433" i="17"/>
  <c r="I433" i="17" s="1"/>
  <c r="G520" i="17"/>
  <c r="H471" i="17"/>
  <c r="I471" i="17" s="1"/>
  <c r="G426" i="17"/>
  <c r="H518" i="17"/>
  <c r="I518" i="17" s="1"/>
  <c r="G522" i="17"/>
  <c r="I425" i="17"/>
  <c r="H488" i="17"/>
  <c r="G509" i="17"/>
  <c r="I493" i="17"/>
  <c r="G477" i="17"/>
  <c r="I477" i="17" s="1"/>
  <c r="G416" i="17"/>
  <c r="G492" i="17"/>
  <c r="H500" i="17"/>
  <c r="G513" i="17"/>
  <c r="H514" i="17"/>
  <c r="I514" i="17" s="1"/>
  <c r="G469" i="17"/>
  <c r="H457" i="17"/>
  <c r="I457" i="17" s="1"/>
  <c r="H521" i="17"/>
  <c r="I521" i="17" s="1"/>
  <c r="H481" i="17"/>
  <c r="H482" i="17"/>
  <c r="I482" i="17" s="1"/>
  <c r="H436" i="17"/>
  <c r="I436" i="17" s="1"/>
  <c r="I439" i="17"/>
  <c r="H517" i="17"/>
  <c r="I517" i="17" s="1"/>
  <c r="G451" i="17"/>
  <c r="H431" i="17"/>
  <c r="I431" i="17" s="1"/>
  <c r="G470" i="17"/>
  <c r="I470" i="17" s="1"/>
  <c r="I437" i="17"/>
  <c r="G497" i="17"/>
  <c r="G461" i="17"/>
  <c r="I461" i="17" s="1"/>
  <c r="I466" i="17"/>
  <c r="G443" i="17"/>
  <c r="I443" i="17" s="1"/>
  <c r="H424" i="17"/>
  <c r="I424" i="17" s="1"/>
  <c r="H418" i="17"/>
  <c r="I418" i="17" s="1"/>
  <c r="H511" i="17"/>
  <c r="I511" i="17" s="1"/>
  <c r="H417" i="17"/>
  <c r="I417" i="17" s="1"/>
  <c r="I491" i="17"/>
  <c r="I512" i="17"/>
  <c r="H490" i="17"/>
  <c r="H489" i="17"/>
  <c r="I489" i="17" s="1"/>
  <c r="G456" i="17"/>
  <c r="I456" i="17" s="1"/>
  <c r="G422" i="17"/>
  <c r="H501" i="17"/>
  <c r="I501" i="17" s="1"/>
  <c r="H498" i="17"/>
  <c r="I498" i="17" s="1"/>
  <c r="G524" i="17"/>
  <c r="I524" i="17" s="1"/>
  <c r="H476" i="17"/>
  <c r="I444" i="17"/>
  <c r="H506" i="17"/>
  <c r="I506" i="17" s="1"/>
  <c r="H459" i="17"/>
  <c r="I459" i="17" s="1"/>
  <c r="G420" i="17"/>
  <c r="G508" i="17"/>
  <c r="I485" i="17"/>
  <c r="H475" i="17"/>
  <c r="H449" i="17"/>
  <c r="I449" i="17" s="1"/>
  <c r="G435" i="17"/>
  <c r="H415" i="17"/>
  <c r="I415" i="17" s="1"/>
  <c r="G516" i="17"/>
  <c r="H467" i="17"/>
  <c r="I467" i="17" s="1"/>
  <c r="H473" i="17"/>
  <c r="H447" i="17"/>
  <c r="I447" i="17" s="1"/>
  <c r="I520" i="17"/>
  <c r="G471" i="17"/>
  <c r="I472" i="17"/>
  <c r="I416" i="17"/>
  <c r="G514" i="17"/>
  <c r="G457" i="17"/>
  <c r="G521" i="17"/>
  <c r="G414" i="17"/>
  <c r="I414" i="17" s="1"/>
  <c r="H439" i="17"/>
  <c r="G424" i="17"/>
  <c r="G417" i="17"/>
  <c r="G448" i="17"/>
  <c r="H512" i="17"/>
  <c r="H445" i="17"/>
  <c r="I445" i="17" s="1"/>
  <c r="G501" i="17"/>
  <c r="G434" i="17"/>
  <c r="G476" i="17"/>
  <c r="I476" i="17" s="1"/>
  <c r="H444" i="17"/>
  <c r="G459" i="17"/>
  <c r="I515" i="17"/>
  <c r="G475" i="17"/>
  <c r="I475" i="17" s="1"/>
  <c r="M6" i="15"/>
  <c r="H47" i="15"/>
  <c r="J47" i="15" s="1"/>
  <c r="H63" i="15"/>
  <c r="H49" i="15"/>
  <c r="J49" i="15" s="1"/>
  <c r="H79" i="15"/>
  <c r="H123" i="15"/>
  <c r="H93" i="15"/>
  <c r="H61" i="15"/>
  <c r="J61" i="15" s="1"/>
  <c r="H81" i="15"/>
  <c r="H117" i="15"/>
  <c r="J65" i="15"/>
  <c r="I68" i="15"/>
  <c r="J68" i="15" s="1"/>
  <c r="I132" i="15"/>
  <c r="H71" i="15"/>
  <c r="H133" i="15"/>
  <c r="I59" i="15"/>
  <c r="J59" i="15" s="1"/>
  <c r="H27" i="15"/>
  <c r="J90" i="15"/>
  <c r="I47" i="15"/>
  <c r="I81" i="15"/>
  <c r="J81" i="15" s="1"/>
  <c r="I27" i="15"/>
  <c r="I48" i="15"/>
  <c r="J48" i="15" s="1"/>
  <c r="I58" i="15"/>
  <c r="J58" i="15" s="1"/>
  <c r="I65" i="15"/>
  <c r="H68" i="15"/>
  <c r="H132" i="15"/>
  <c r="H59" i="15"/>
  <c r="I90" i="15"/>
  <c r="I123" i="15"/>
  <c r="I61" i="15"/>
  <c r="I117" i="15"/>
  <c r="J117" i="15" s="1"/>
  <c r="I133" i="15"/>
  <c r="H48" i="15"/>
  <c r="J63" i="15"/>
  <c r="H58" i="15"/>
  <c r="J123" i="15"/>
  <c r="H65" i="15"/>
  <c r="J133" i="15"/>
  <c r="J27" i="15"/>
  <c r="H90" i="15"/>
  <c r="I63" i="15"/>
  <c r="I49" i="15"/>
  <c r="I79" i="15"/>
  <c r="J79" i="15" s="1"/>
  <c r="I93" i="15"/>
  <c r="J93" i="15" s="1"/>
  <c r="J132" i="15"/>
  <c r="I71" i="15"/>
  <c r="J71" i="15" s="1"/>
  <c r="I95" i="15"/>
  <c r="I76" i="15"/>
  <c r="H124" i="15"/>
  <c r="I44" i="15"/>
  <c r="I46" i="15"/>
  <c r="I28" i="15"/>
  <c r="H91" i="15"/>
  <c r="J66" i="15"/>
  <c r="J120" i="15"/>
  <c r="H105" i="15"/>
  <c r="H89" i="15"/>
  <c r="I74" i="15"/>
  <c r="H73" i="15"/>
  <c r="H125" i="15"/>
  <c r="H94" i="15"/>
  <c r="H25" i="15"/>
  <c r="H137" i="15"/>
  <c r="H39" i="15"/>
  <c r="I107" i="15"/>
  <c r="I53" i="15"/>
  <c r="I69" i="15"/>
  <c r="I134" i="15"/>
  <c r="I41" i="15"/>
  <c r="I139" i="15"/>
  <c r="I113" i="15"/>
  <c r="I56" i="15"/>
  <c r="J56" i="15" s="1"/>
  <c r="H24" i="15"/>
  <c r="H112" i="15"/>
  <c r="H118" i="15"/>
  <c r="J118" i="15" s="1"/>
  <c r="H42" i="15"/>
  <c r="H88" i="15"/>
  <c r="J87" i="15"/>
  <c r="H36" i="15"/>
  <c r="J126" i="15"/>
  <c r="H131" i="15"/>
  <c r="H119" i="15"/>
  <c r="I77" i="15"/>
  <c r="I128" i="15"/>
  <c r="J128" i="15" s="1"/>
  <c r="H121" i="15"/>
  <c r="H37" i="15"/>
  <c r="H75" i="15"/>
  <c r="H32" i="15"/>
  <c r="I109" i="15"/>
  <c r="J109" i="15" s="1"/>
  <c r="I35" i="15"/>
  <c r="I83" i="15"/>
  <c r="H64" i="15"/>
  <c r="I99" i="15"/>
  <c r="J99" i="15" s="1"/>
  <c r="H116" i="15"/>
  <c r="H78" i="15"/>
  <c r="H99" i="15"/>
  <c r="I45" i="15"/>
  <c r="J45" i="15" s="1"/>
  <c r="H111" i="15"/>
  <c r="J74" i="15"/>
  <c r="I73" i="15"/>
  <c r="I125" i="15"/>
  <c r="I137" i="15"/>
  <c r="H26" i="15"/>
  <c r="I112" i="15"/>
  <c r="J112" i="15" s="1"/>
  <c r="I118" i="15"/>
  <c r="I36" i="15"/>
  <c r="I131" i="15"/>
  <c r="I119" i="15"/>
  <c r="I121" i="15"/>
  <c r="I37" i="15"/>
  <c r="H114" i="15"/>
  <c r="I64" i="15"/>
  <c r="H30" i="15"/>
  <c r="H62" i="15"/>
  <c r="J62" i="15" s="1"/>
  <c r="H102" i="15"/>
  <c r="I116" i="15"/>
  <c r="H52" i="15"/>
  <c r="H95" i="15"/>
  <c r="J95" i="15" s="1"/>
  <c r="H76" i="15"/>
  <c r="I43" i="15"/>
  <c r="J43" i="15" s="1"/>
  <c r="I31" i="15"/>
  <c r="J31" i="15" s="1"/>
  <c r="H44" i="15"/>
  <c r="J44" i="15" s="1"/>
  <c r="H138" i="15"/>
  <c r="H46" i="15"/>
  <c r="H28" i="15"/>
  <c r="I33" i="15"/>
  <c r="J33" i="15" s="1"/>
  <c r="I34" i="15"/>
  <c r="J34" i="15" s="1"/>
  <c r="I66" i="15"/>
  <c r="I104" i="15"/>
  <c r="J104" i="15" s="1"/>
  <c r="I72" i="15"/>
  <c r="I60" i="15"/>
  <c r="J60" i="15" s="1"/>
  <c r="I120" i="15"/>
  <c r="I122" i="15"/>
  <c r="J122" i="15" s="1"/>
  <c r="I110" i="15"/>
  <c r="I130" i="15"/>
  <c r="J130" i="15" s="1"/>
  <c r="H74" i="15"/>
  <c r="H107" i="15"/>
  <c r="J107" i="15" s="1"/>
  <c r="H53" i="15"/>
  <c r="J26" i="15"/>
  <c r="H69" i="15"/>
  <c r="H134" i="15"/>
  <c r="H41" i="15"/>
  <c r="J41" i="15" s="1"/>
  <c r="H139" i="15"/>
  <c r="H113" i="15"/>
  <c r="J113" i="15" s="1"/>
  <c r="H56" i="15"/>
  <c r="I57" i="15"/>
  <c r="J57" i="15" s="1"/>
  <c r="I115" i="15"/>
  <c r="I87" i="15"/>
  <c r="I29" i="15"/>
  <c r="I97" i="15"/>
  <c r="J97" i="15" s="1"/>
  <c r="I126" i="15"/>
  <c r="H77" i="15"/>
  <c r="H128" i="15"/>
  <c r="I100" i="15"/>
  <c r="I54" i="15"/>
  <c r="J54" i="15" s="1"/>
  <c r="I96" i="15"/>
  <c r="H109" i="15"/>
  <c r="J38" i="15"/>
  <c r="H35" i="15"/>
  <c r="J35" i="15" s="1"/>
  <c r="H83" i="15"/>
  <c r="J102" i="15"/>
  <c r="I103" i="15"/>
  <c r="J103" i="15" s="1"/>
  <c r="I67" i="15"/>
  <c r="J67" i="15" s="1"/>
  <c r="I127" i="15"/>
  <c r="J127" i="15" s="1"/>
  <c r="I101" i="15"/>
  <c r="J101" i="15" s="1"/>
  <c r="J46" i="15"/>
  <c r="H135" i="15"/>
  <c r="I89" i="15"/>
  <c r="J89" i="15" s="1"/>
  <c r="I94" i="15"/>
  <c r="I25" i="15"/>
  <c r="J25" i="15" s="1"/>
  <c r="H106" i="15"/>
  <c r="I24" i="15"/>
  <c r="I42" i="15"/>
  <c r="H38" i="15"/>
  <c r="H92" i="15"/>
  <c r="H136" i="15"/>
  <c r="H70" i="15"/>
  <c r="H40" i="15"/>
  <c r="I98" i="15"/>
  <c r="J98" i="15" s="1"/>
  <c r="I80" i="15"/>
  <c r="J80" i="15" s="1"/>
  <c r="I85" i="15"/>
  <c r="J85" i="15" s="1"/>
  <c r="I51" i="15"/>
  <c r="J51" i="15" s="1"/>
  <c r="H43" i="15"/>
  <c r="J124" i="15"/>
  <c r="H31" i="15"/>
  <c r="I111" i="15"/>
  <c r="J111" i="15" s="1"/>
  <c r="I55" i="15"/>
  <c r="J55" i="15" s="1"/>
  <c r="I135" i="15"/>
  <c r="J135" i="15" s="1"/>
  <c r="H33" i="15"/>
  <c r="J91" i="15"/>
  <c r="H34" i="15"/>
  <c r="H66" i="15"/>
  <c r="H104" i="15"/>
  <c r="H72" i="15"/>
  <c r="J72" i="15" s="1"/>
  <c r="H60" i="15"/>
  <c r="H120" i="15"/>
  <c r="H122" i="15"/>
  <c r="H110" i="15"/>
  <c r="J110" i="15" s="1"/>
  <c r="H130" i="15"/>
  <c r="J73" i="15"/>
  <c r="J125" i="15"/>
  <c r="J94" i="15"/>
  <c r="J137" i="15"/>
  <c r="I26" i="15"/>
  <c r="I86" i="15"/>
  <c r="J86" i="15" s="1"/>
  <c r="I82" i="15"/>
  <c r="J82" i="15" s="1"/>
  <c r="I106" i="15"/>
  <c r="J106" i="15" s="1"/>
  <c r="I84" i="15"/>
  <c r="J84" i="15" s="1"/>
  <c r="I50" i="15"/>
  <c r="J24" i="15"/>
  <c r="H57" i="15"/>
  <c r="J42" i="15"/>
  <c r="J88" i="15"/>
  <c r="H115" i="15"/>
  <c r="J115" i="15" s="1"/>
  <c r="H87" i="15"/>
  <c r="J36" i="15"/>
  <c r="H29" i="15"/>
  <c r="J29" i="15" s="1"/>
  <c r="H97" i="15"/>
  <c r="H126" i="15"/>
  <c r="J131" i="15"/>
  <c r="J119" i="15"/>
  <c r="I129" i="15"/>
  <c r="J121" i="15"/>
  <c r="J37" i="15"/>
  <c r="H100" i="15"/>
  <c r="J100" i="15" s="1"/>
  <c r="H54" i="15"/>
  <c r="H96" i="15"/>
  <c r="J96" i="15" s="1"/>
  <c r="J32" i="15"/>
  <c r="I114" i="15"/>
  <c r="J114" i="15" s="1"/>
  <c r="I38" i="15"/>
  <c r="I108" i="15"/>
  <c r="J108" i="15" s="1"/>
  <c r="I92" i="15"/>
  <c r="J92" i="15" s="1"/>
  <c r="J64" i="15"/>
  <c r="I136" i="15"/>
  <c r="J136" i="15" s="1"/>
  <c r="I30" i="15"/>
  <c r="J30" i="15" s="1"/>
  <c r="I70" i="15"/>
  <c r="J70" i="15" s="1"/>
  <c r="I62" i="15"/>
  <c r="I102" i="15"/>
  <c r="I40" i="15"/>
  <c r="J40" i="15" s="1"/>
  <c r="H45" i="15"/>
  <c r="J116" i="15"/>
  <c r="H103" i="15"/>
  <c r="J78" i="15"/>
  <c r="H67" i="15"/>
  <c r="H127" i="15"/>
  <c r="H101" i="15"/>
  <c r="I52" i="15"/>
  <c r="J52" i="15" s="1"/>
  <c r="H98" i="15"/>
  <c r="H80" i="15"/>
  <c r="H85" i="15"/>
  <c r="J76" i="15"/>
  <c r="H51" i="15"/>
  <c r="I124" i="15"/>
  <c r="I138" i="15"/>
  <c r="J138" i="15" s="1"/>
  <c r="J28" i="15"/>
  <c r="H55" i="15"/>
  <c r="I91" i="15"/>
  <c r="I105" i="15"/>
  <c r="J105" i="15" s="1"/>
  <c r="I39" i="15"/>
  <c r="J39" i="15" s="1"/>
  <c r="J53" i="15"/>
  <c r="H86" i="15"/>
  <c r="J69" i="15"/>
  <c r="J134" i="15"/>
  <c r="H82" i="15"/>
  <c r="H84" i="15"/>
  <c r="H50" i="15"/>
  <c r="J50" i="15" s="1"/>
  <c r="J139" i="15"/>
  <c r="I88" i="15"/>
  <c r="J77" i="15"/>
  <c r="H129" i="15"/>
  <c r="J129" i="15" s="1"/>
  <c r="I75" i="15"/>
  <c r="J75" i="15" s="1"/>
  <c r="I32" i="15"/>
  <c r="H108" i="15"/>
  <c r="J83" i="15"/>
  <c r="I78" i="15"/>
  <c r="G351" i="17"/>
  <c r="H312" i="17"/>
  <c r="G374" i="17"/>
  <c r="G300" i="17"/>
  <c r="I364" i="17"/>
  <c r="G370" i="17"/>
  <c r="G294" i="17"/>
  <c r="H368" i="17"/>
  <c r="H374" i="17"/>
  <c r="I374" i="17" s="1"/>
  <c r="H300" i="17"/>
  <c r="I300" i="17" s="1"/>
  <c r="G364" i="17"/>
  <c r="H313" i="17"/>
  <c r="I313" i="17" s="1"/>
  <c r="H294" i="17"/>
  <c r="I294" i="17" s="1"/>
  <c r="G312" i="17"/>
  <c r="H329" i="17"/>
  <c r="I329" i="17" s="1"/>
  <c r="H366" i="17"/>
  <c r="I366" i="17" s="1"/>
  <c r="G313" i="17"/>
  <c r="G368" i="17"/>
  <c r="H351" i="17"/>
  <c r="I351" i="17" s="1"/>
  <c r="G329" i="17"/>
  <c r="G311" i="17"/>
  <c r="I312" i="17"/>
  <c r="H364" i="17"/>
  <c r="G366" i="17"/>
  <c r="I370" i="17"/>
  <c r="I368" i="17"/>
  <c r="H311" i="17"/>
  <c r="I311" i="17" s="1"/>
  <c r="H370" i="17"/>
  <c r="H380" i="17"/>
  <c r="H278" i="17"/>
  <c r="H305" i="17"/>
  <c r="G328" i="17"/>
  <c r="H350" i="17"/>
  <c r="I350" i="17" s="1"/>
  <c r="H352" i="17"/>
  <c r="G389" i="17"/>
  <c r="H365" i="17"/>
  <c r="I365" i="17" s="1"/>
  <c r="H342" i="17"/>
  <c r="H381" i="17"/>
  <c r="H354" i="17"/>
  <c r="I354" i="17" s="1"/>
  <c r="G319" i="17"/>
  <c r="G291" i="17"/>
  <c r="H318" i="17"/>
  <c r="I318" i="17" s="1"/>
  <c r="G309" i="17"/>
  <c r="G282" i="17"/>
  <c r="H371" i="17"/>
  <c r="G287" i="17"/>
  <c r="I287" i="17" s="1"/>
  <c r="H290" i="17"/>
  <c r="H363" i="17"/>
  <c r="I363" i="17" s="1"/>
  <c r="H317" i="17"/>
  <c r="G392" i="17"/>
  <c r="H286" i="17"/>
  <c r="G333" i="17"/>
  <c r="I333" i="17" s="1"/>
  <c r="H369" i="17"/>
  <c r="I281" i="17"/>
  <c r="I330" i="17"/>
  <c r="G372" i="17"/>
  <c r="H285" i="17"/>
  <c r="I285" i="17" s="1"/>
  <c r="H293" i="17"/>
  <c r="I293" i="17" s="1"/>
  <c r="G393" i="17"/>
  <c r="G339" i="17"/>
  <c r="H387" i="17"/>
  <c r="H353" i="17"/>
  <c r="I353" i="17" s="1"/>
  <c r="G376" i="17"/>
  <c r="G385" i="17"/>
  <c r="H306" i="17"/>
  <c r="G340" i="17"/>
  <c r="G355" i="17"/>
  <c r="H315" i="17"/>
  <c r="I315" i="17" s="1"/>
  <c r="I383" i="17"/>
  <c r="H386" i="17"/>
  <c r="G295" i="17"/>
  <c r="G360" i="17"/>
  <c r="G334" i="17"/>
  <c r="H326" i="17"/>
  <c r="I326" i="17" s="1"/>
  <c r="H304" i="17"/>
  <c r="I304" i="17" s="1"/>
  <c r="G384" i="17"/>
  <c r="H301" i="17"/>
  <c r="H378" i="17"/>
  <c r="G331" i="17"/>
  <c r="G296" i="17"/>
  <c r="H359" i="17"/>
  <c r="G361" i="17"/>
  <c r="G326" i="17"/>
  <c r="H303" i="17"/>
  <c r="I303" i="17" s="1"/>
  <c r="H377" i="17"/>
  <c r="I377" i="17" s="1"/>
  <c r="H307" i="17"/>
  <c r="I296" i="17"/>
  <c r="G359" i="17"/>
  <c r="I359" i="17" s="1"/>
  <c r="I302" i="17"/>
  <c r="G299" i="17"/>
  <c r="H291" i="17"/>
  <c r="H287" i="17"/>
  <c r="I317" i="17"/>
  <c r="G388" i="17"/>
  <c r="G281" i="17"/>
  <c r="G322" i="17"/>
  <c r="H376" i="17"/>
  <c r="G292" i="17"/>
  <c r="H355" i="17"/>
  <c r="H321" i="17"/>
  <c r="H360" i="17"/>
  <c r="I360" i="17" s="1"/>
  <c r="G390" i="17"/>
  <c r="G298" i="17"/>
  <c r="I284" i="17"/>
  <c r="H297" i="17"/>
  <c r="G380" i="17"/>
  <c r="G357" i="17"/>
  <c r="G278" i="17"/>
  <c r="I278" i="17" s="1"/>
  <c r="G373" i="17"/>
  <c r="G350" i="17"/>
  <c r="G352" i="17"/>
  <c r="H280" i="17"/>
  <c r="H279" i="17"/>
  <c r="I279" i="17" s="1"/>
  <c r="G342" i="17"/>
  <c r="H379" i="17"/>
  <c r="I379" i="17" s="1"/>
  <c r="H316" i="17"/>
  <c r="I316" i="17" s="1"/>
  <c r="G354" i="17"/>
  <c r="H302" i="17"/>
  <c r="G318" i="17"/>
  <c r="I309" i="17"/>
  <c r="G371" i="17"/>
  <c r="H367" i="17"/>
  <c r="I367" i="17" s="1"/>
  <c r="H356" i="17"/>
  <c r="I356" i="17" s="1"/>
  <c r="G290" i="17"/>
  <c r="G363" i="17"/>
  <c r="H314" i="17"/>
  <c r="I327" i="17"/>
  <c r="I392" i="17"/>
  <c r="H344" i="17"/>
  <c r="G345" i="17"/>
  <c r="H281" i="17"/>
  <c r="H330" i="17"/>
  <c r="H308" i="17"/>
  <c r="I308" i="17" s="1"/>
  <c r="H338" i="17"/>
  <c r="I338" i="17" s="1"/>
  <c r="G325" i="17"/>
  <c r="I325" i="17" s="1"/>
  <c r="H393" i="17"/>
  <c r="I393" i="17" s="1"/>
  <c r="H335" i="17"/>
  <c r="I335" i="17" s="1"/>
  <c r="G387" i="17"/>
  <c r="H362" i="17"/>
  <c r="I362" i="17" s="1"/>
  <c r="G289" i="17"/>
  <c r="H323" i="17"/>
  <c r="I323" i="17" s="1"/>
  <c r="G341" i="17"/>
  <c r="I376" i="17"/>
  <c r="G337" i="17"/>
  <c r="G306" i="17"/>
  <c r="H391" i="17"/>
  <c r="I391" i="17" s="1"/>
  <c r="H358" i="17"/>
  <c r="I358" i="17" s="1"/>
  <c r="H349" i="17"/>
  <c r="H348" i="17"/>
  <c r="I348" i="17" s="1"/>
  <c r="G315" i="17"/>
  <c r="H383" i="17"/>
  <c r="G386" i="17"/>
  <c r="I386" i="17" s="1"/>
  <c r="H346" i="17"/>
  <c r="I346" i="17" s="1"/>
  <c r="G321" i="17"/>
  <c r="H382" i="17"/>
  <c r="I382" i="17" s="1"/>
  <c r="H288" i="17"/>
  <c r="I288" i="17" s="1"/>
  <c r="G304" i="17"/>
  <c r="I298" i="17"/>
  <c r="G378" i="17"/>
  <c r="I378" i="17" s="1"/>
  <c r="H284" i="17"/>
  <c r="I280" i="17"/>
  <c r="I342" i="17"/>
  <c r="H319" i="17"/>
  <c r="G347" i="17"/>
  <c r="I371" i="17"/>
  <c r="G336" i="17"/>
  <c r="G327" i="17"/>
  <c r="H392" i="17"/>
  <c r="H372" i="17"/>
  <c r="I372" i="17" s="1"/>
  <c r="H325" i="17"/>
  <c r="H339" i="17"/>
  <c r="I339" i="17" s="1"/>
  <c r="H289" i="17"/>
  <c r="H337" i="17"/>
  <c r="G349" i="17"/>
  <c r="I349" i="17" s="1"/>
  <c r="H340" i="17"/>
  <c r="I340" i="17" s="1"/>
  <c r="H295" i="17"/>
  <c r="G332" i="17"/>
  <c r="G377" i="17"/>
  <c r="G375" i="17"/>
  <c r="H331" i="17"/>
  <c r="I331" i="17" s="1"/>
  <c r="I380" i="17"/>
  <c r="G305" i="17"/>
  <c r="I305" i="17" s="1"/>
  <c r="I352" i="17"/>
  <c r="H389" i="17"/>
  <c r="I389" i="17" s="1"/>
  <c r="G280" i="17"/>
  <c r="G279" i="17"/>
  <c r="H283" i="17"/>
  <c r="I283" i="17" s="1"/>
  <c r="G365" i="17"/>
  <c r="G379" i="17"/>
  <c r="G316" i="17"/>
  <c r="G381" i="17"/>
  <c r="I381" i="17" s="1"/>
  <c r="G302" i="17"/>
  <c r="H299" i="17"/>
  <c r="I299" i="17" s="1"/>
  <c r="I319" i="17"/>
  <c r="I291" i="17"/>
  <c r="H309" i="17"/>
  <c r="H347" i="17"/>
  <c r="I347" i="17" s="1"/>
  <c r="G367" i="17"/>
  <c r="G356" i="17"/>
  <c r="H336" i="17"/>
  <c r="I336" i="17" s="1"/>
  <c r="G314" i="17"/>
  <c r="I314" i="17" s="1"/>
  <c r="H327" i="17"/>
  <c r="G317" i="17"/>
  <c r="G286" i="17"/>
  <c r="G344" i="17"/>
  <c r="I344" i="17" s="1"/>
  <c r="H333" i="17"/>
  <c r="G369" i="17"/>
  <c r="I369" i="17" s="1"/>
  <c r="H388" i="17"/>
  <c r="I388" i="17" s="1"/>
  <c r="G330" i="17"/>
  <c r="G308" i="17"/>
  <c r="G338" i="17"/>
  <c r="H322" i="17"/>
  <c r="I322" i="17" s="1"/>
  <c r="G285" i="17"/>
  <c r="G293" i="17"/>
  <c r="G335" i="17"/>
  <c r="H310" i="17"/>
  <c r="I310" i="17" s="1"/>
  <c r="G362" i="17"/>
  <c r="I289" i="17"/>
  <c r="G323" i="17"/>
  <c r="G353" i="17"/>
  <c r="H385" i="17"/>
  <c r="I385" i="17" s="1"/>
  <c r="I337" i="17"/>
  <c r="H324" i="17"/>
  <c r="I324" i="17" s="1"/>
  <c r="G391" i="17"/>
  <c r="G358" i="17"/>
  <c r="H292" i="17"/>
  <c r="I292" i="17" s="1"/>
  <c r="G348" i="17"/>
  <c r="H320" i="17"/>
  <c r="I355" i="17"/>
  <c r="G383" i="17"/>
  <c r="G346" i="17"/>
  <c r="I321" i="17"/>
  <c r="I295" i="17"/>
  <c r="G382" i="17"/>
  <c r="G288" i="17"/>
  <c r="I334" i="17"/>
  <c r="H390" i="17"/>
  <c r="I390" i="17" s="1"/>
  <c r="H343" i="17"/>
  <c r="I343" i="17" s="1"/>
  <c r="H332" i="17"/>
  <c r="I332" i="17" s="1"/>
  <c r="G303" i="17"/>
  <c r="H298" i="17"/>
  <c r="H375" i="17"/>
  <c r="I375" i="17" s="1"/>
  <c r="G301" i="17"/>
  <c r="G307" i="17"/>
  <c r="I307" i="17" s="1"/>
  <c r="G284" i="17"/>
  <c r="H361" i="17"/>
  <c r="I361" i="17" s="1"/>
  <c r="G297" i="17"/>
  <c r="I297" i="17" s="1"/>
  <c r="H357" i="17"/>
  <c r="I357" i="17" s="1"/>
  <c r="H373" i="17"/>
  <c r="I373" i="17" s="1"/>
  <c r="H328" i="17"/>
  <c r="I328" i="17" s="1"/>
  <c r="G283" i="17"/>
  <c r="H282" i="17"/>
  <c r="I282" i="17" s="1"/>
  <c r="I290" i="17"/>
  <c r="I286" i="17"/>
  <c r="H345" i="17"/>
  <c r="I345" i="17" s="1"/>
  <c r="G310" i="17"/>
  <c r="I387" i="17"/>
  <c r="H341" i="17"/>
  <c r="I341" i="17" s="1"/>
  <c r="G324" i="17"/>
  <c r="I306" i="17"/>
  <c r="G320" i="17"/>
  <c r="I320" i="17" s="1"/>
  <c r="H334" i="17"/>
  <c r="G343" i="17"/>
  <c r="H384" i="17"/>
  <c r="I384" i="17" s="1"/>
  <c r="I301" i="17"/>
  <c r="H296" i="17"/>
  <c r="F496" i="17"/>
  <c r="F483" i="17"/>
  <c r="F455" i="17"/>
  <c r="F503" i="17"/>
  <c r="F495" i="17"/>
  <c r="F453" i="17"/>
  <c r="F474" i="17"/>
  <c r="F462" i="17"/>
  <c r="F494" i="17"/>
  <c r="F471" i="17"/>
  <c r="F488" i="17"/>
  <c r="F492" i="17"/>
  <c r="F469" i="17"/>
  <c r="F478" i="17"/>
  <c r="F480" i="17"/>
  <c r="F448" i="17"/>
  <c r="F475" i="17"/>
  <c r="F449" i="17"/>
  <c r="F505" i="17"/>
  <c r="F467" i="17"/>
  <c r="F447" i="17"/>
  <c r="F481" i="17"/>
  <c r="F489" i="17"/>
  <c r="F476" i="17"/>
  <c r="F451" i="17"/>
  <c r="F487" i="17"/>
  <c r="F473" i="17"/>
  <c r="F472" i="17"/>
  <c r="F486" i="17"/>
  <c r="F441" i="17"/>
  <c r="Q405" i="17" s="1"/>
  <c r="F465" i="17"/>
  <c r="F456" i="17"/>
  <c r="F27" i="15"/>
  <c r="F25" i="15"/>
  <c r="F28" i="15"/>
  <c r="F26" i="15"/>
  <c r="F24" i="15"/>
  <c r="D45" i="21"/>
  <c r="I45" i="21" s="1"/>
  <c r="C93" i="9"/>
  <c r="G45" i="2"/>
  <c r="H44" i="21"/>
  <c r="G44" i="21"/>
  <c r="F277" i="17"/>
  <c r="F313" i="17"/>
  <c r="F311" i="17"/>
  <c r="F312" i="17"/>
  <c r="F294" i="17"/>
  <c r="F300" i="17"/>
  <c r="F299" i="17"/>
  <c r="F308" i="17"/>
  <c r="F322" i="17"/>
  <c r="F325" i="17"/>
  <c r="F310" i="17"/>
  <c r="F289" i="17"/>
  <c r="F337" i="17"/>
  <c r="F298" i="17"/>
  <c r="F284" i="17"/>
  <c r="F301" i="17"/>
  <c r="F309" i="17"/>
  <c r="F304" i="17"/>
  <c r="F291" i="17"/>
  <c r="F287" i="17"/>
  <c r="F317" i="17"/>
  <c r="F285" i="17"/>
  <c r="F293" i="17"/>
  <c r="F324" i="17"/>
  <c r="F292" i="17"/>
  <c r="F295" i="17"/>
  <c r="F334" i="17"/>
  <c r="F331" i="17"/>
  <c r="F297" i="17"/>
  <c r="F318" i="17"/>
  <c r="F290" i="17"/>
  <c r="F306" i="17"/>
  <c r="F315" i="17"/>
  <c r="F296" i="17"/>
  <c r="F302" i="17"/>
  <c r="F314" i="17"/>
  <c r="F330" i="17"/>
  <c r="F351" i="17"/>
  <c r="F374" i="17"/>
  <c r="F364" i="17"/>
  <c r="F329" i="17"/>
  <c r="F368" i="17"/>
  <c r="F357" i="17"/>
  <c r="F283" i="17"/>
  <c r="F316" i="17"/>
  <c r="F347" i="17"/>
  <c r="F356" i="17"/>
  <c r="F327" i="17"/>
  <c r="F344" i="17"/>
  <c r="F345" i="17"/>
  <c r="F341" i="17"/>
  <c r="F348" i="17"/>
  <c r="F321" i="17"/>
  <c r="F343" i="17"/>
  <c r="F332" i="17"/>
  <c r="F286" i="17"/>
  <c r="F333" i="17"/>
  <c r="F335" i="17"/>
  <c r="F323" i="17"/>
  <c r="F361" i="17"/>
  <c r="F305" i="17"/>
  <c r="F365" i="17"/>
  <c r="F319" i="17"/>
  <c r="F336" i="17"/>
  <c r="F339" i="17"/>
  <c r="F353" i="17"/>
  <c r="F320" i="17"/>
  <c r="F355" i="17"/>
  <c r="F350" i="17"/>
  <c r="F352" i="17"/>
  <c r="F358" i="17"/>
  <c r="F303" i="17"/>
  <c r="F328" i="17"/>
  <c r="F342" i="17"/>
  <c r="F354" i="17"/>
  <c r="F363" i="17"/>
  <c r="F372" i="17"/>
  <c r="F349" i="17"/>
  <c r="F340" i="17"/>
  <c r="F360" i="17"/>
  <c r="F326" i="17"/>
  <c r="F359" i="17"/>
  <c r="F367" i="17"/>
  <c r="F338" i="17"/>
  <c r="F346" i="17"/>
  <c r="F307" i="17"/>
  <c r="G15" i="17"/>
  <c r="F202" i="17"/>
  <c r="F229" i="17"/>
  <c r="F189" i="17"/>
  <c r="F188" i="17"/>
  <c r="F192" i="17"/>
  <c r="F198" i="17"/>
  <c r="F241" i="17"/>
  <c r="F207" i="17"/>
  <c r="F210" i="17"/>
  <c r="F215" i="17"/>
  <c r="F216" i="17"/>
  <c r="F174" i="17"/>
  <c r="F197" i="17"/>
  <c r="F232" i="17"/>
  <c r="F211" i="17"/>
  <c r="F230" i="17"/>
  <c r="F176" i="17"/>
  <c r="F233" i="17"/>
  <c r="F204" i="17"/>
  <c r="F213" i="17"/>
  <c r="F222" i="17"/>
  <c r="F236" i="17"/>
  <c r="F218" i="17"/>
  <c r="F234" i="17"/>
  <c r="F225" i="17"/>
  <c r="F224" i="17"/>
  <c r="F227" i="17"/>
  <c r="F190" i="17"/>
  <c r="F214" i="17"/>
  <c r="F226" i="17"/>
  <c r="F205" i="17"/>
  <c r="F228" i="17"/>
  <c r="F243" i="17"/>
  <c r="F220" i="17"/>
  <c r="F208" i="17"/>
  <c r="F152" i="17"/>
  <c r="F221" i="17"/>
  <c r="F195" i="17"/>
  <c r="F201" i="17"/>
  <c r="F185" i="17"/>
  <c r="F219" i="17"/>
  <c r="F217" i="17"/>
  <c r="F212" i="17"/>
  <c r="F155" i="17"/>
  <c r="F172" i="17"/>
  <c r="F237" i="17"/>
  <c r="F209" i="17"/>
  <c r="F196" i="17"/>
  <c r="F223" i="17"/>
  <c r="I146" i="17"/>
  <c r="F410" i="17"/>
  <c r="P405" i="17" s="1"/>
  <c r="F412" i="17"/>
  <c r="F413" i="17"/>
  <c r="F411" i="17"/>
  <c r="F23" i="15"/>
  <c r="F49" i="15"/>
  <c r="F79" i="15"/>
  <c r="F123" i="15"/>
  <c r="F93" i="15"/>
  <c r="F81" i="15"/>
  <c r="F117" i="15"/>
  <c r="F133" i="15"/>
  <c r="F90" i="15"/>
  <c r="F132" i="15"/>
  <c r="F65" i="15"/>
  <c r="F91" i="15"/>
  <c r="F104" i="15"/>
  <c r="F72" i="15"/>
  <c r="F120" i="15"/>
  <c r="F122" i="15"/>
  <c r="F130" i="15"/>
  <c r="F105" i="15"/>
  <c r="F74" i="15"/>
  <c r="F73" i="15"/>
  <c r="F125" i="15"/>
  <c r="F137" i="15"/>
  <c r="F126" i="15"/>
  <c r="F131" i="15"/>
  <c r="F119" i="15"/>
  <c r="F121" i="15"/>
  <c r="F100" i="15"/>
  <c r="F75" i="15"/>
  <c r="F96" i="15"/>
  <c r="F136" i="15"/>
  <c r="F102" i="15"/>
  <c r="F138" i="15"/>
  <c r="F135" i="15"/>
  <c r="F134" i="15"/>
  <c r="F128" i="15"/>
  <c r="F98" i="15"/>
  <c r="F95" i="15"/>
  <c r="F107" i="15"/>
  <c r="F53" i="15"/>
  <c r="F69" i="15"/>
  <c r="F106" i="15"/>
  <c r="F139" i="15"/>
  <c r="F113" i="15"/>
  <c r="F109" i="15"/>
  <c r="F114" i="15"/>
  <c r="F108" i="15"/>
  <c r="F92" i="15"/>
  <c r="F99" i="15"/>
  <c r="F111" i="15"/>
  <c r="F129" i="15"/>
  <c r="F124" i="15"/>
  <c r="F94" i="15"/>
  <c r="F112" i="15"/>
  <c r="F118" i="15"/>
  <c r="F115" i="15"/>
  <c r="F97" i="15"/>
  <c r="F116" i="15"/>
  <c r="F103" i="15"/>
  <c r="F78" i="15"/>
  <c r="F67" i="15"/>
  <c r="F127" i="15"/>
  <c r="F101" i="15"/>
  <c r="F85" i="15"/>
  <c r="F51" i="15"/>
  <c r="N8" i="15"/>
  <c r="C45" i="21"/>
  <c r="B93" i="9"/>
  <c r="C53" i="11" s="1"/>
  <c r="G53" i="11" s="1"/>
  <c r="F45" i="2"/>
  <c r="A63" i="22"/>
  <c r="B45" i="21"/>
  <c r="I44" i="2"/>
  <c r="F44" i="21" s="1"/>
  <c r="L44" i="2"/>
  <c r="H277" i="17"/>
  <c r="I277" i="17" s="1"/>
  <c r="G277" i="17"/>
  <c r="F110" i="17"/>
  <c r="F55" i="17"/>
  <c r="F119" i="17"/>
  <c r="F66" i="17"/>
  <c r="F78" i="17"/>
  <c r="F84" i="17"/>
  <c r="F41" i="17"/>
  <c r="F100" i="17"/>
  <c r="F105" i="17"/>
  <c r="F131" i="17"/>
  <c r="F91" i="17"/>
  <c r="F127" i="17"/>
  <c r="F48" i="17"/>
  <c r="F60" i="17"/>
  <c r="F113" i="17"/>
  <c r="F107" i="17"/>
  <c r="F62" i="17"/>
  <c r="F67" i="17"/>
  <c r="F112" i="17"/>
  <c r="F57" i="17"/>
  <c r="F54" i="17"/>
  <c r="F116" i="17"/>
  <c r="F98" i="17"/>
  <c r="F97" i="17"/>
  <c r="F124" i="17"/>
  <c r="F108" i="17"/>
  <c r="F45" i="17"/>
  <c r="F69" i="17"/>
  <c r="F87" i="17"/>
  <c r="F96" i="17"/>
  <c r="F77" i="17"/>
  <c r="F80" i="17"/>
  <c r="F102" i="17"/>
  <c r="F85" i="17"/>
  <c r="F63" i="17"/>
  <c r="F111" i="17"/>
  <c r="F73" i="17"/>
  <c r="F86" i="17"/>
  <c r="F64" i="17"/>
  <c r="F92" i="17"/>
  <c r="F114" i="17"/>
  <c r="F71" i="17"/>
  <c r="F109" i="17"/>
  <c r="F99" i="17"/>
  <c r="F88" i="17"/>
  <c r="F72" i="17"/>
  <c r="F106" i="17"/>
  <c r="F81" i="17"/>
  <c r="F59" i="17"/>
  <c r="F95" i="17"/>
  <c r="F104" i="17"/>
  <c r="F130" i="17"/>
  <c r="F58" i="17"/>
  <c r="F43" i="17"/>
  <c r="F94" i="17"/>
  <c r="F129" i="17"/>
  <c r="F117" i="17"/>
  <c r="F93" i="17"/>
  <c r="F82" i="17"/>
  <c r="F65" i="17"/>
  <c r="F21" i="17"/>
  <c r="M12" i="17" s="1"/>
  <c r="F89" i="17"/>
  <c r="F103" i="17"/>
  <c r="F56" i="17"/>
  <c r="F83" i="17"/>
  <c r="F121" i="17"/>
  <c r="F90" i="17"/>
  <c r="F115" i="17"/>
  <c r="F126" i="17"/>
  <c r="F123" i="17"/>
  <c r="F120" i="17"/>
  <c r="F76" i="17"/>
  <c r="F70" i="17"/>
  <c r="F101" i="17"/>
  <c r="F118" i="17"/>
  <c r="F125" i="17"/>
  <c r="F79" i="17"/>
  <c r="F74" i="17"/>
  <c r="F122" i="17"/>
  <c r="F61" i="17"/>
  <c r="F128" i="17"/>
  <c r="F24" i="17"/>
  <c r="F146" i="17"/>
  <c r="F249" i="17"/>
  <c r="F252" i="17"/>
  <c r="F255" i="17"/>
  <c r="F239" i="17"/>
  <c r="F235" i="17"/>
  <c r="F258" i="17"/>
  <c r="F254" i="17"/>
  <c r="F245" i="17"/>
  <c r="F242" i="17"/>
  <c r="F250" i="17"/>
  <c r="F231" i="17"/>
  <c r="M143" i="17" s="1"/>
  <c r="F262" i="17"/>
  <c r="F240" i="17"/>
  <c r="F259" i="17"/>
  <c r="F248" i="17"/>
  <c r="F260" i="17"/>
  <c r="F253" i="17"/>
  <c r="F244" i="17"/>
  <c r="F238" i="17"/>
  <c r="F246" i="17"/>
  <c r="F257" i="17"/>
  <c r="F261" i="17"/>
  <c r="F247" i="17"/>
  <c r="F251" i="17"/>
  <c r="F256" i="17"/>
  <c r="F163" i="17"/>
  <c r="F199" i="17"/>
  <c r="F177" i="17"/>
  <c r="F206" i="17"/>
  <c r="F173" i="17"/>
  <c r="F159" i="17"/>
  <c r="F178" i="17"/>
  <c r="F179" i="17"/>
  <c r="F187" i="17"/>
  <c r="F153" i="17"/>
  <c r="F161" i="17"/>
  <c r="F157" i="17"/>
  <c r="F171" i="17"/>
  <c r="F181" i="17"/>
  <c r="F169" i="17"/>
  <c r="F175" i="17"/>
  <c r="F168" i="17"/>
  <c r="F158" i="17"/>
  <c r="F167" i="17"/>
  <c r="F203" i="17"/>
  <c r="F164" i="17"/>
  <c r="F165" i="17"/>
  <c r="F200" i="17"/>
  <c r="F186" i="17"/>
  <c r="F160" i="17"/>
  <c r="F166" i="17"/>
  <c r="F184" i="17"/>
  <c r="F183" i="17"/>
  <c r="F191" i="17"/>
  <c r="F162" i="17"/>
  <c r="F180" i="17"/>
  <c r="F182" i="17"/>
  <c r="F170" i="17"/>
  <c r="F156" i="17"/>
  <c r="F193" i="17"/>
  <c r="F154" i="17"/>
  <c r="F194" i="17"/>
  <c r="F409" i="17"/>
  <c r="L406" i="17" s="1"/>
  <c r="C9" i="16" s="1"/>
  <c r="K45" i="2"/>
  <c r="M5" i="15"/>
  <c r="E6" i="16" l="1"/>
  <c r="E9" i="16"/>
  <c r="E8" i="16"/>
  <c r="L405" i="17"/>
  <c r="L144" i="17"/>
  <c r="C7" i="16" s="1"/>
  <c r="L143" i="17"/>
  <c r="N274" i="17"/>
  <c r="A64" i="22"/>
  <c r="B46" i="21"/>
  <c r="N20" i="15"/>
  <c r="L13" i="17"/>
  <c r="C5" i="16" s="1"/>
  <c r="D12" i="12"/>
  <c r="G27" i="15"/>
  <c r="G26" i="15"/>
  <c r="G25" i="15"/>
  <c r="G24" i="15"/>
  <c r="G28" i="15"/>
  <c r="G23" i="15"/>
  <c r="O405" i="17"/>
  <c r="N405" i="17"/>
  <c r="P274" i="17"/>
  <c r="M274" i="17"/>
  <c r="B54" i="11"/>
  <c r="D54" i="11" s="1"/>
  <c r="E54" i="11" s="1"/>
  <c r="F54" i="11" s="1"/>
  <c r="F94" i="9"/>
  <c r="E46" i="21"/>
  <c r="J46" i="21" s="1"/>
  <c r="D94" i="9"/>
  <c r="H46" i="2"/>
  <c r="I45" i="2"/>
  <c r="F45" i="21" s="1"/>
  <c r="L45" i="2"/>
  <c r="M20" i="15"/>
  <c r="L275" i="17"/>
  <c r="C8" i="16" s="1"/>
  <c r="D9" i="16" s="1"/>
  <c r="L274" i="17"/>
  <c r="M405" i="17"/>
  <c r="I15" i="17"/>
  <c r="E5" i="16" s="1"/>
  <c r="C46" i="21"/>
  <c r="B94" i="9"/>
  <c r="C54" i="11" s="1"/>
  <c r="G54" i="11" s="1"/>
  <c r="F46" i="2"/>
  <c r="J46" i="2"/>
  <c r="A47" i="21"/>
  <c r="A48" i="2"/>
  <c r="E47" i="2"/>
  <c r="A95" i="9"/>
  <c r="A55" i="11" s="1"/>
  <c r="P47" i="2"/>
  <c r="D47" i="2"/>
  <c r="B47" i="2"/>
  <c r="C47" i="2"/>
  <c r="N47" i="2"/>
  <c r="E95" i="9" s="1"/>
  <c r="N143" i="17"/>
  <c r="H45" i="21"/>
  <c r="G45" i="21"/>
  <c r="O143" i="17"/>
  <c r="B41" i="12"/>
  <c r="L21" i="15"/>
  <c r="L20" i="15"/>
  <c r="E7" i="16"/>
  <c r="O274" i="17"/>
  <c r="G49" i="15"/>
  <c r="G79" i="15"/>
  <c r="G123" i="15"/>
  <c r="G93" i="15"/>
  <c r="G81" i="15"/>
  <c r="G117" i="15"/>
  <c r="G133" i="15"/>
  <c r="G90" i="15"/>
  <c r="G132" i="15"/>
  <c r="G65" i="15"/>
  <c r="G98" i="15"/>
  <c r="G85" i="15"/>
  <c r="G51" i="15"/>
  <c r="G111" i="15"/>
  <c r="G135" i="15"/>
  <c r="G106" i="15"/>
  <c r="G129" i="15"/>
  <c r="G114" i="15"/>
  <c r="G108" i="15"/>
  <c r="G92" i="15"/>
  <c r="G136" i="15"/>
  <c r="G102" i="15"/>
  <c r="G116" i="15"/>
  <c r="G78" i="15"/>
  <c r="G130" i="15"/>
  <c r="G115" i="15"/>
  <c r="G97" i="15"/>
  <c r="G67" i="15"/>
  <c r="G124" i="15"/>
  <c r="G91" i="15"/>
  <c r="G105" i="15"/>
  <c r="G73" i="15"/>
  <c r="G125" i="15"/>
  <c r="G94" i="15"/>
  <c r="G137" i="15"/>
  <c r="G112" i="15"/>
  <c r="G118" i="15"/>
  <c r="G131" i="15"/>
  <c r="G119" i="15"/>
  <c r="G121" i="15"/>
  <c r="G75" i="15"/>
  <c r="G72" i="15"/>
  <c r="G122" i="15"/>
  <c r="G126" i="15"/>
  <c r="G100" i="15"/>
  <c r="G127" i="15"/>
  <c r="G95" i="15"/>
  <c r="G138" i="15"/>
  <c r="G107" i="15"/>
  <c r="G53" i="15"/>
  <c r="G69" i="15"/>
  <c r="G134" i="15"/>
  <c r="G139" i="15"/>
  <c r="G113" i="15"/>
  <c r="G128" i="15"/>
  <c r="G109" i="15"/>
  <c r="G99" i="15"/>
  <c r="G104" i="15"/>
  <c r="G120" i="15"/>
  <c r="G74" i="15"/>
  <c r="G96" i="15"/>
  <c r="G103" i="15"/>
  <c r="G101" i="15"/>
  <c r="D46" i="21"/>
  <c r="I46" i="21" s="1"/>
  <c r="C94" i="9"/>
  <c r="G46" i="2"/>
  <c r="K46" i="2"/>
  <c r="C47" i="21" l="1"/>
  <c r="B95" i="9"/>
  <c r="C55" i="11" s="1"/>
  <c r="F47" i="2"/>
  <c r="J47" i="2"/>
  <c r="C6" i="16"/>
  <c r="D7" i="16" s="1"/>
  <c r="E12" i="12"/>
  <c r="O46" i="2"/>
  <c r="M46" i="2"/>
  <c r="D47" i="21"/>
  <c r="I47" i="21" s="1"/>
  <c r="C95" i="9"/>
  <c r="G47" i="2"/>
  <c r="K47" i="2"/>
  <c r="A48" i="21"/>
  <c r="A96" i="9"/>
  <c r="A56" i="11" s="1"/>
  <c r="A49" i="2"/>
  <c r="E48" i="2"/>
  <c r="P48" i="2"/>
  <c r="D48" i="2"/>
  <c r="C48" i="2"/>
  <c r="B48" i="2"/>
  <c r="N48" i="2"/>
  <c r="E96" i="9" s="1"/>
  <c r="I46" i="2"/>
  <c r="F46" i="21" s="1"/>
  <c r="L46" i="2"/>
  <c r="D8" i="16"/>
  <c r="D6" i="16"/>
  <c r="J48" i="2"/>
  <c r="E47" i="21"/>
  <c r="J47" i="21" s="1"/>
  <c r="D95" i="9"/>
  <c r="H47" i="2"/>
  <c r="G46" i="21"/>
  <c r="H46" i="21"/>
  <c r="B55" i="11"/>
  <c r="D55" i="11" s="1"/>
  <c r="E55" i="11" s="1"/>
  <c r="F55" i="11" s="1"/>
  <c r="F95" i="9"/>
  <c r="A65" i="22"/>
  <c r="B47" i="21"/>
  <c r="C11" i="16"/>
  <c r="D16" i="12" s="1"/>
  <c r="K49" i="2" l="1"/>
  <c r="B45" i="12"/>
  <c r="E48" i="21"/>
  <c r="J48" i="21" s="1"/>
  <c r="D96" i="9"/>
  <c r="H48" i="2"/>
  <c r="K48" i="2"/>
  <c r="O47" i="2"/>
  <c r="M47" i="2"/>
  <c r="G55" i="11"/>
  <c r="D48" i="21"/>
  <c r="I48" i="21" s="1"/>
  <c r="C96" i="9"/>
  <c r="G48" i="2"/>
  <c r="I47" i="2"/>
  <c r="F47" i="21" s="1"/>
  <c r="L47" i="2"/>
  <c r="O48" i="2"/>
  <c r="M48" i="2"/>
  <c r="B56" i="11"/>
  <c r="D56" i="11" s="1"/>
  <c r="E56" i="11" s="1"/>
  <c r="F56" i="11" s="1"/>
  <c r="F96" i="9"/>
  <c r="A66" i="22"/>
  <c r="B48" i="21"/>
  <c r="C48" i="21"/>
  <c r="B96" i="9"/>
  <c r="C56" i="11" s="1"/>
  <c r="F48" i="2"/>
  <c r="A49" i="21"/>
  <c r="A97" i="9"/>
  <c r="A57" i="11" s="1"/>
  <c r="A50" i="2"/>
  <c r="E49" i="2"/>
  <c r="P49" i="2"/>
  <c r="D49" i="2"/>
  <c r="C49" i="2"/>
  <c r="N49" i="2"/>
  <c r="E97" i="9" s="1"/>
  <c r="B49" i="2"/>
  <c r="H47" i="21"/>
  <c r="G47" i="21"/>
  <c r="A67" i="22" l="1"/>
  <c r="B49" i="21"/>
  <c r="H48" i="21"/>
  <c r="G48" i="21"/>
  <c r="B57" i="11"/>
  <c r="D57" i="11" s="1"/>
  <c r="E57" i="11" s="1"/>
  <c r="F57" i="11" s="1"/>
  <c r="F97" i="9"/>
  <c r="I48" i="2"/>
  <c r="F48" i="21" s="1"/>
  <c r="L48" i="2"/>
  <c r="C49" i="21"/>
  <c r="B97" i="9"/>
  <c r="C57" i="11" s="1"/>
  <c r="G57" i="11" s="1"/>
  <c r="F49" i="2"/>
  <c r="J49" i="2"/>
  <c r="J50" i="2"/>
  <c r="A50" i="21"/>
  <c r="A98" i="9"/>
  <c r="A58" i="11" s="1"/>
  <c r="A51" i="2"/>
  <c r="E50" i="2"/>
  <c r="P50" i="2"/>
  <c r="D50" i="2"/>
  <c r="N50" i="2"/>
  <c r="E98" i="9" s="1"/>
  <c r="B50" i="2"/>
  <c r="C50" i="2"/>
  <c r="E49" i="21"/>
  <c r="J49" i="21" s="1"/>
  <c r="D97" i="9"/>
  <c r="H49" i="2"/>
  <c r="D49" i="21"/>
  <c r="I49" i="21" s="1"/>
  <c r="C97" i="9"/>
  <c r="G49" i="2"/>
  <c r="G56" i="11"/>
  <c r="F98" i="9" l="1"/>
  <c r="B58" i="11"/>
  <c r="D58" i="11" s="1"/>
  <c r="E58" i="11" s="1"/>
  <c r="F58" i="11" s="1"/>
  <c r="A51" i="21"/>
  <c r="A52" i="2"/>
  <c r="E51" i="2"/>
  <c r="P51" i="2"/>
  <c r="D51" i="2"/>
  <c r="A99" i="9"/>
  <c r="A59" i="11" s="1"/>
  <c r="N51" i="2"/>
  <c r="E99" i="9" s="1"/>
  <c r="B51" i="2"/>
  <c r="C51" i="2"/>
  <c r="J51" i="2"/>
  <c r="D50" i="21"/>
  <c r="I50" i="21" s="1"/>
  <c r="C98" i="9"/>
  <c r="G50" i="2"/>
  <c r="K50" i="2"/>
  <c r="O49" i="2"/>
  <c r="M49" i="2"/>
  <c r="E50" i="21"/>
  <c r="J50" i="21" s="1"/>
  <c r="D98" i="9"/>
  <c r="H50" i="2"/>
  <c r="O50" i="2"/>
  <c r="M50" i="2"/>
  <c r="I49" i="2"/>
  <c r="F49" i="21" s="1"/>
  <c r="L49" i="2"/>
  <c r="C50" i="21"/>
  <c r="B98" i="9"/>
  <c r="C58" i="11" s="1"/>
  <c r="G58" i="11" s="1"/>
  <c r="F50" i="2"/>
  <c r="A68" i="22"/>
  <c r="B50" i="21"/>
  <c r="H49" i="21"/>
  <c r="G49" i="21"/>
  <c r="C51" i="21" l="1"/>
  <c r="B99" i="9"/>
  <c r="C59" i="11" s="1"/>
  <c r="F51" i="2"/>
  <c r="O51" i="2"/>
  <c r="M51" i="2"/>
  <c r="A52" i="21"/>
  <c r="A53" i="2"/>
  <c r="E52" i="2"/>
  <c r="P52" i="2"/>
  <c r="D52" i="2"/>
  <c r="N52" i="2"/>
  <c r="E100" i="9" s="1"/>
  <c r="B52" i="2"/>
  <c r="A100" i="9"/>
  <c r="A60" i="11" s="1"/>
  <c r="C52" i="2"/>
  <c r="J52" i="2" s="1"/>
  <c r="D51" i="21"/>
  <c r="I51" i="21" s="1"/>
  <c r="C99" i="9"/>
  <c r="G51" i="2"/>
  <c r="K51" i="2"/>
  <c r="A69" i="22"/>
  <c r="B51" i="21"/>
  <c r="G50" i="21"/>
  <c r="H50" i="21"/>
  <c r="I50" i="2"/>
  <c r="F50" i="21" s="1"/>
  <c r="L50" i="2"/>
  <c r="B59" i="11"/>
  <c r="D59" i="11" s="1"/>
  <c r="E59" i="11" s="1"/>
  <c r="F59" i="11" s="1"/>
  <c r="F99" i="9"/>
  <c r="E51" i="21"/>
  <c r="J51" i="21" s="1"/>
  <c r="D99" i="9"/>
  <c r="H51" i="2"/>
  <c r="O52" i="2" l="1"/>
  <c r="M52" i="2"/>
  <c r="E52" i="21"/>
  <c r="J52" i="21" s="1"/>
  <c r="D100" i="9"/>
  <c r="H52" i="2"/>
  <c r="B60" i="11"/>
  <c r="D60" i="11" s="1"/>
  <c r="E60" i="11" s="1"/>
  <c r="F60" i="11" s="1"/>
  <c r="F100" i="9"/>
  <c r="A53" i="21"/>
  <c r="A101" i="9"/>
  <c r="A61" i="11" s="1"/>
  <c r="A54" i="2"/>
  <c r="E53" i="2"/>
  <c r="P53" i="2"/>
  <c r="D53" i="2"/>
  <c r="N53" i="2"/>
  <c r="E101" i="9" s="1"/>
  <c r="B53" i="2"/>
  <c r="C53" i="2"/>
  <c r="G59" i="11"/>
  <c r="C52" i="21"/>
  <c r="B100" i="9"/>
  <c r="C60" i="11" s="1"/>
  <c r="G60" i="11" s="1"/>
  <c r="F52" i="2"/>
  <c r="D52" i="21"/>
  <c r="I52" i="21" s="1"/>
  <c r="C100" i="9"/>
  <c r="G52" i="2"/>
  <c r="K52" i="2"/>
  <c r="A70" i="22"/>
  <c r="B52" i="21"/>
  <c r="H51" i="21"/>
  <c r="G51" i="21"/>
  <c r="I51" i="2"/>
  <c r="F51" i="21" s="1"/>
  <c r="L51" i="2"/>
  <c r="C53" i="21" l="1"/>
  <c r="B101" i="9"/>
  <c r="C61" i="11" s="1"/>
  <c r="G61" i="11" s="1"/>
  <c r="F53" i="2"/>
  <c r="A71" i="22"/>
  <c r="B53" i="21"/>
  <c r="D53" i="21"/>
  <c r="I53" i="21" s="1"/>
  <c r="C101" i="9"/>
  <c r="G53" i="2"/>
  <c r="K53" i="2"/>
  <c r="E53" i="21"/>
  <c r="J53" i="21" s="1"/>
  <c r="D101" i="9"/>
  <c r="H53" i="2"/>
  <c r="I52" i="2"/>
  <c r="F52" i="21" s="1"/>
  <c r="L52" i="2"/>
  <c r="J53" i="2"/>
  <c r="H52" i="21"/>
  <c r="G52" i="21"/>
  <c r="F101" i="9"/>
  <c r="B61" i="11"/>
  <c r="D61" i="11" s="1"/>
  <c r="E61" i="11" s="1"/>
  <c r="F61" i="11" s="1"/>
  <c r="A54" i="21"/>
  <c r="A102" i="9"/>
  <c r="A62" i="11" s="1"/>
  <c r="A55" i="2"/>
  <c r="E54" i="2"/>
  <c r="P54" i="2"/>
  <c r="D54" i="2"/>
  <c r="N54" i="2"/>
  <c r="E102" i="9" s="1"/>
  <c r="B54" i="2"/>
  <c r="C54" i="2"/>
  <c r="A72" i="22" l="1"/>
  <c r="B54" i="21"/>
  <c r="O53" i="2"/>
  <c r="M53" i="2"/>
  <c r="K54" i="2"/>
  <c r="H53" i="21"/>
  <c r="G53" i="21"/>
  <c r="C54" i="21"/>
  <c r="B102" i="9"/>
  <c r="C62" i="11" s="1"/>
  <c r="F54" i="2"/>
  <c r="J54" i="2"/>
  <c r="E54" i="21"/>
  <c r="J54" i="21" s="1"/>
  <c r="D102" i="9"/>
  <c r="H54" i="2"/>
  <c r="F102" i="9"/>
  <c r="B62" i="11"/>
  <c r="D62" i="11" s="1"/>
  <c r="E62" i="11" s="1"/>
  <c r="F62" i="11" s="1"/>
  <c r="A55" i="21"/>
  <c r="A56" i="2"/>
  <c r="E55" i="2"/>
  <c r="A103" i="9"/>
  <c r="A63" i="11" s="1"/>
  <c r="P55" i="2"/>
  <c r="D55" i="2"/>
  <c r="C55" i="2"/>
  <c r="N55" i="2"/>
  <c r="E103" i="9" s="1"/>
  <c r="B55" i="2"/>
  <c r="I53" i="2"/>
  <c r="F53" i="21" s="1"/>
  <c r="L53" i="2"/>
  <c r="D54" i="21"/>
  <c r="I54" i="21" s="1"/>
  <c r="C102" i="9"/>
  <c r="G54" i="2"/>
  <c r="G54" i="21" l="1"/>
  <c r="H54" i="21"/>
  <c r="D55" i="21"/>
  <c r="I55" i="21" s="1"/>
  <c r="C103" i="9"/>
  <c r="G55" i="2"/>
  <c r="A56" i="21"/>
  <c r="A104" i="9"/>
  <c r="A64" i="11" s="1"/>
  <c r="A57" i="2"/>
  <c r="E56" i="2"/>
  <c r="P56" i="2"/>
  <c r="D56" i="2"/>
  <c r="N56" i="2"/>
  <c r="E104" i="9" s="1"/>
  <c r="B56" i="2"/>
  <c r="C56" i="2"/>
  <c r="I54" i="2"/>
  <c r="F54" i="21" s="1"/>
  <c r="L54" i="2"/>
  <c r="K56" i="2"/>
  <c r="C55" i="21"/>
  <c r="B103" i="9"/>
  <c r="C63" i="11" s="1"/>
  <c r="F55" i="2"/>
  <c r="O54" i="2"/>
  <c r="M54" i="2"/>
  <c r="A73" i="22"/>
  <c r="B55" i="21"/>
  <c r="K55" i="2"/>
  <c r="E55" i="21"/>
  <c r="J55" i="21" s="1"/>
  <c r="D103" i="9"/>
  <c r="H55" i="2"/>
  <c r="B63" i="11"/>
  <c r="D63" i="11" s="1"/>
  <c r="E63" i="11" s="1"/>
  <c r="F63" i="11" s="1"/>
  <c r="F103" i="9"/>
  <c r="G62" i="11"/>
  <c r="J55" i="2"/>
  <c r="F104" i="9" l="1"/>
  <c r="B64" i="11"/>
  <c r="D64" i="11" s="1"/>
  <c r="E64" i="11" s="1"/>
  <c r="F64" i="11" s="1"/>
  <c r="A57" i="21"/>
  <c r="A105" i="9"/>
  <c r="A65" i="11" s="1"/>
  <c r="A58" i="2"/>
  <c r="E57" i="2"/>
  <c r="P57" i="2"/>
  <c r="D57" i="2"/>
  <c r="N57" i="2"/>
  <c r="E105" i="9" s="1"/>
  <c r="B57" i="2"/>
  <c r="C57" i="2"/>
  <c r="G63" i="11"/>
  <c r="D56" i="21"/>
  <c r="I56" i="21" s="1"/>
  <c r="C104" i="9"/>
  <c r="G56" i="2"/>
  <c r="C56" i="21"/>
  <c r="B104" i="9"/>
  <c r="C64" i="11" s="1"/>
  <c r="F56" i="2"/>
  <c r="A74" i="22"/>
  <c r="B56" i="21"/>
  <c r="J56" i="2"/>
  <c r="H55" i="21"/>
  <c r="G55" i="21"/>
  <c r="O55" i="2"/>
  <c r="M55" i="2"/>
  <c r="I55" i="2"/>
  <c r="F55" i="21" s="1"/>
  <c r="L55" i="2"/>
  <c r="E56" i="21"/>
  <c r="J56" i="21" s="1"/>
  <c r="D104" i="9"/>
  <c r="H56" i="2"/>
  <c r="I56" i="2" l="1"/>
  <c r="F56" i="21" s="1"/>
  <c r="L56" i="2"/>
  <c r="E57" i="21"/>
  <c r="J57" i="21" s="1"/>
  <c r="D105" i="9"/>
  <c r="H57" i="2"/>
  <c r="G64" i="11"/>
  <c r="F105" i="9"/>
  <c r="B65" i="11"/>
  <c r="D65" i="11" s="1"/>
  <c r="E65" i="11" s="1"/>
  <c r="F65" i="11" s="1"/>
  <c r="A58" i="21"/>
  <c r="A106" i="9"/>
  <c r="A66" i="11" s="1"/>
  <c r="A59" i="2"/>
  <c r="E58" i="2"/>
  <c r="P58" i="2"/>
  <c r="D58" i="2"/>
  <c r="N58" i="2"/>
  <c r="E106" i="9" s="1"/>
  <c r="B58" i="2"/>
  <c r="C58" i="2"/>
  <c r="O56" i="2"/>
  <c r="M56" i="2"/>
  <c r="H56" i="21"/>
  <c r="G56" i="21"/>
  <c r="D57" i="21"/>
  <c r="I57" i="21" s="1"/>
  <c r="C105" i="9"/>
  <c r="G57" i="2"/>
  <c r="K57" i="2"/>
  <c r="C57" i="21"/>
  <c r="B105" i="9"/>
  <c r="C65" i="11" s="1"/>
  <c r="G65" i="11" s="1"/>
  <c r="F57" i="2"/>
  <c r="J57" i="2"/>
  <c r="A75" i="22"/>
  <c r="B57" i="21"/>
  <c r="E58" i="21" l="1"/>
  <c r="J58" i="21" s="1"/>
  <c r="D106" i="9"/>
  <c r="H58" i="2"/>
  <c r="C58" i="21"/>
  <c r="B106" i="9"/>
  <c r="C66" i="11" s="1"/>
  <c r="G66" i="11" s="1"/>
  <c r="F58" i="2"/>
  <c r="J58" i="2"/>
  <c r="A76" i="22"/>
  <c r="B58" i="21"/>
  <c r="O57" i="2"/>
  <c r="M57" i="2"/>
  <c r="H57" i="21"/>
  <c r="G57" i="21"/>
  <c r="I57" i="2"/>
  <c r="F57" i="21" s="1"/>
  <c r="L57" i="2"/>
  <c r="B66" i="11"/>
  <c r="D66" i="11" s="1"/>
  <c r="E66" i="11" s="1"/>
  <c r="F66" i="11" s="1"/>
  <c r="F106" i="9"/>
  <c r="A59" i="21"/>
  <c r="A60" i="2"/>
  <c r="E59" i="2"/>
  <c r="A107" i="9"/>
  <c r="A67" i="11" s="1"/>
  <c r="P59" i="2"/>
  <c r="D59" i="2"/>
  <c r="C59" i="2"/>
  <c r="N59" i="2"/>
  <c r="E107" i="9" s="1"/>
  <c r="B59" i="2"/>
  <c r="D58" i="21"/>
  <c r="I58" i="21" s="1"/>
  <c r="C106" i="9"/>
  <c r="G58" i="2"/>
  <c r="K58" i="2"/>
  <c r="C59" i="21" l="1"/>
  <c r="B107" i="9"/>
  <c r="C67" i="11" s="1"/>
  <c r="F59" i="2"/>
  <c r="J59" i="2"/>
  <c r="E59" i="21"/>
  <c r="J59" i="21" s="1"/>
  <c r="D107" i="9"/>
  <c r="H59" i="2"/>
  <c r="K59" i="2"/>
  <c r="O58" i="2"/>
  <c r="M58" i="2"/>
  <c r="G58" i="21"/>
  <c r="H58" i="21"/>
  <c r="D59" i="21"/>
  <c r="I59" i="21" s="1"/>
  <c r="C107" i="9"/>
  <c r="G59" i="2"/>
  <c r="A60" i="21"/>
  <c r="A61" i="2"/>
  <c r="E60" i="2"/>
  <c r="P60" i="2"/>
  <c r="D60" i="2"/>
  <c r="N60" i="2"/>
  <c r="E108" i="9" s="1"/>
  <c r="B60" i="2"/>
  <c r="A108" i="9"/>
  <c r="A68" i="11" s="1"/>
  <c r="C60" i="2"/>
  <c r="I58" i="2"/>
  <c r="F58" i="21" s="1"/>
  <c r="L58" i="2"/>
  <c r="B67" i="11"/>
  <c r="D67" i="11" s="1"/>
  <c r="E67" i="11" s="1"/>
  <c r="F67" i="11" s="1"/>
  <c r="F107" i="9"/>
  <c r="A77" i="22"/>
  <c r="B59" i="21"/>
  <c r="D60" i="21" l="1"/>
  <c r="I60" i="21" s="1"/>
  <c r="C108" i="9"/>
  <c r="G60" i="2"/>
  <c r="A78" i="22"/>
  <c r="B60" i="21"/>
  <c r="K60" i="2"/>
  <c r="I59" i="2"/>
  <c r="F59" i="21" s="1"/>
  <c r="L59" i="2"/>
  <c r="O59" i="2"/>
  <c r="M59" i="2"/>
  <c r="E60" i="21"/>
  <c r="J60" i="21" s="1"/>
  <c r="D108" i="9"/>
  <c r="H60" i="2"/>
  <c r="C60" i="21"/>
  <c r="B108" i="9"/>
  <c r="C68" i="11" s="1"/>
  <c r="F60" i="2"/>
  <c r="J60" i="2"/>
  <c r="H59" i="21"/>
  <c r="G59" i="21"/>
  <c r="F108" i="9"/>
  <c r="B68" i="11"/>
  <c r="D68" i="11" s="1"/>
  <c r="E68" i="11" s="1"/>
  <c r="F68" i="11" s="1"/>
  <c r="A61" i="21"/>
  <c r="A109" i="9"/>
  <c r="A69" i="11" s="1"/>
  <c r="A62" i="2"/>
  <c r="E61" i="2"/>
  <c r="P61" i="2"/>
  <c r="D61" i="2"/>
  <c r="C61" i="2"/>
  <c r="N61" i="2"/>
  <c r="E109" i="9" s="1"/>
  <c r="B61" i="2"/>
  <c r="G67" i="11"/>
  <c r="F109" i="9" l="1"/>
  <c r="B69" i="11"/>
  <c r="D69" i="11" s="1"/>
  <c r="E69" i="11" s="1"/>
  <c r="F69" i="11" s="1"/>
  <c r="C61" i="21"/>
  <c r="B109" i="9"/>
  <c r="C69" i="11" s="1"/>
  <c r="F61" i="2"/>
  <c r="J61" i="2"/>
  <c r="A62" i="21"/>
  <c r="A110" i="9"/>
  <c r="A70" i="11" s="1"/>
  <c r="A63" i="2"/>
  <c r="E62" i="2"/>
  <c r="P62" i="2"/>
  <c r="D62" i="2"/>
  <c r="B62" i="2"/>
  <c r="C62" i="2"/>
  <c r="N62" i="2"/>
  <c r="E110" i="9" s="1"/>
  <c r="G68" i="11"/>
  <c r="E61" i="21"/>
  <c r="J61" i="21" s="1"/>
  <c r="D109" i="9"/>
  <c r="H61" i="2"/>
  <c r="D61" i="21"/>
  <c r="I61" i="21" s="1"/>
  <c r="C109" i="9"/>
  <c r="G61" i="2"/>
  <c r="K61" i="2"/>
  <c r="O60" i="2"/>
  <c r="M60" i="2"/>
  <c r="H60" i="21"/>
  <c r="G60" i="21"/>
  <c r="K62" i="2"/>
  <c r="A79" i="22"/>
  <c r="B61" i="21"/>
  <c r="I60" i="2"/>
  <c r="F60" i="21" s="1"/>
  <c r="L60" i="2"/>
  <c r="I61" i="2" l="1"/>
  <c r="F61" i="21" s="1"/>
  <c r="L61" i="2"/>
  <c r="D62" i="21"/>
  <c r="I62" i="21" s="1"/>
  <c r="C110" i="9"/>
  <c r="G62" i="2"/>
  <c r="A63" i="21"/>
  <c r="A64" i="2"/>
  <c r="E63" i="2"/>
  <c r="A111" i="9"/>
  <c r="A71" i="11" s="1"/>
  <c r="P63" i="2"/>
  <c r="D63" i="2"/>
  <c r="C63" i="2"/>
  <c r="N63" i="2"/>
  <c r="E111" i="9" s="1"/>
  <c r="B63" i="2"/>
  <c r="B70" i="11"/>
  <c r="D70" i="11" s="1"/>
  <c r="E70" i="11" s="1"/>
  <c r="F70" i="11" s="1"/>
  <c r="F110" i="9"/>
  <c r="A80" i="22"/>
  <c r="B62" i="21"/>
  <c r="G69" i="11"/>
  <c r="C62" i="21"/>
  <c r="B110" i="9"/>
  <c r="C70" i="11" s="1"/>
  <c r="G70" i="11" s="1"/>
  <c r="F62" i="2"/>
  <c r="J62" i="2"/>
  <c r="E62" i="21"/>
  <c r="J62" i="21" s="1"/>
  <c r="D110" i="9"/>
  <c r="H62" i="2"/>
  <c r="O61" i="2"/>
  <c r="M61" i="2"/>
  <c r="H61" i="21"/>
  <c r="G61" i="21"/>
  <c r="O62" i="2" l="1"/>
  <c r="M62" i="2"/>
  <c r="A64" i="21"/>
  <c r="A112" i="9"/>
  <c r="A72" i="11" s="1"/>
  <c r="A65" i="2"/>
  <c r="E64" i="2"/>
  <c r="P64" i="2"/>
  <c r="D64" i="2"/>
  <c r="B64" i="2"/>
  <c r="C64" i="2"/>
  <c r="N64" i="2"/>
  <c r="E112" i="9" s="1"/>
  <c r="A81" i="22"/>
  <c r="B63" i="21"/>
  <c r="D63" i="21"/>
  <c r="I63" i="21" s="1"/>
  <c r="C111" i="9"/>
  <c r="G63" i="2"/>
  <c r="K63" i="2"/>
  <c r="G62" i="21"/>
  <c r="H62" i="21"/>
  <c r="I62" i="2"/>
  <c r="F62" i="21" s="1"/>
  <c r="L62" i="2"/>
  <c r="B71" i="11"/>
  <c r="D71" i="11" s="1"/>
  <c r="E71" i="11" s="1"/>
  <c r="F71" i="11" s="1"/>
  <c r="F111" i="9"/>
  <c r="C63" i="21"/>
  <c r="B111" i="9"/>
  <c r="C71" i="11" s="1"/>
  <c r="G71" i="11" s="1"/>
  <c r="F63" i="2"/>
  <c r="J63" i="2"/>
  <c r="E63" i="21"/>
  <c r="J63" i="21" s="1"/>
  <c r="D111" i="9"/>
  <c r="H63" i="2"/>
  <c r="O63" i="2" l="1"/>
  <c r="M63" i="2"/>
  <c r="H63" i="21"/>
  <c r="G63" i="21"/>
  <c r="D64" i="21"/>
  <c r="I64" i="21" s="1"/>
  <c r="C112" i="9"/>
  <c r="G64" i="2"/>
  <c r="K64" i="2"/>
  <c r="A65" i="21"/>
  <c r="A113" i="9"/>
  <c r="A73" i="11" s="1"/>
  <c r="A66" i="2"/>
  <c r="E65" i="2"/>
  <c r="P65" i="2"/>
  <c r="D65" i="2"/>
  <c r="C65" i="2"/>
  <c r="N65" i="2"/>
  <c r="E113" i="9" s="1"/>
  <c r="B65" i="2"/>
  <c r="I63" i="2"/>
  <c r="F63" i="21" s="1"/>
  <c r="L63" i="2"/>
  <c r="B72" i="11"/>
  <c r="D72" i="11" s="1"/>
  <c r="E72" i="11" s="1"/>
  <c r="F72" i="11" s="1"/>
  <c r="F112" i="9"/>
  <c r="A82" i="22"/>
  <c r="B64" i="21"/>
  <c r="C64" i="21"/>
  <c r="B112" i="9"/>
  <c r="C72" i="11" s="1"/>
  <c r="G72" i="11" s="1"/>
  <c r="F64" i="2"/>
  <c r="J64" i="2"/>
  <c r="E64" i="21"/>
  <c r="J64" i="21" s="1"/>
  <c r="D112" i="9"/>
  <c r="H64" i="2"/>
  <c r="C65" i="21" l="1"/>
  <c r="B113" i="9"/>
  <c r="C73" i="11" s="1"/>
  <c r="F65" i="2"/>
  <c r="J65" i="2"/>
  <c r="I64" i="2"/>
  <c r="F64" i="21" s="1"/>
  <c r="L64" i="2"/>
  <c r="D65" i="21"/>
  <c r="I65" i="21" s="1"/>
  <c r="C113" i="9"/>
  <c r="G65" i="2"/>
  <c r="K65" i="2"/>
  <c r="A66" i="21"/>
  <c r="A114" i="9"/>
  <c r="A74" i="11" s="1"/>
  <c r="A67" i="2"/>
  <c r="E66" i="2"/>
  <c r="P66" i="2"/>
  <c r="D66" i="2"/>
  <c r="C66" i="2"/>
  <c r="N66" i="2"/>
  <c r="E114" i="9" s="1"/>
  <c r="B66" i="2"/>
  <c r="A83" i="22"/>
  <c r="B65" i="21"/>
  <c r="O64" i="2"/>
  <c r="M64" i="2"/>
  <c r="H64" i="21"/>
  <c r="G64" i="21"/>
  <c r="B73" i="11"/>
  <c r="D73" i="11" s="1"/>
  <c r="E73" i="11" s="1"/>
  <c r="F73" i="11" s="1"/>
  <c r="F113" i="9"/>
  <c r="E65" i="21"/>
  <c r="J65" i="21" s="1"/>
  <c r="D113" i="9"/>
  <c r="H65" i="2"/>
  <c r="A84" i="22" l="1"/>
  <c r="B66" i="21"/>
  <c r="E66" i="21"/>
  <c r="J66" i="21" s="1"/>
  <c r="D114" i="9"/>
  <c r="H66" i="2"/>
  <c r="O65" i="2"/>
  <c r="M65" i="2"/>
  <c r="G73" i="11"/>
  <c r="B74" i="11"/>
  <c r="D74" i="11" s="1"/>
  <c r="E74" i="11" s="1"/>
  <c r="F74" i="11" s="1"/>
  <c r="F114" i="9"/>
  <c r="C66" i="21"/>
  <c r="B114" i="9"/>
  <c r="C74" i="11" s="1"/>
  <c r="F66" i="2"/>
  <c r="J66" i="2"/>
  <c r="A67" i="21"/>
  <c r="A68" i="2"/>
  <c r="E67" i="2"/>
  <c r="A115" i="9"/>
  <c r="A75" i="11" s="1"/>
  <c r="P67" i="2"/>
  <c r="D67" i="2"/>
  <c r="K67" i="2" s="1"/>
  <c r="B67" i="2"/>
  <c r="C67" i="2"/>
  <c r="N67" i="2"/>
  <c r="E115" i="9" s="1"/>
  <c r="J67" i="2"/>
  <c r="H65" i="21"/>
  <c r="G65" i="21"/>
  <c r="D66" i="21"/>
  <c r="I66" i="21" s="1"/>
  <c r="C114" i="9"/>
  <c r="G66" i="2"/>
  <c r="K66" i="2"/>
  <c r="I65" i="2"/>
  <c r="F65" i="21" s="1"/>
  <c r="L65" i="2"/>
  <c r="O67" i="2" l="1"/>
  <c r="M67" i="2"/>
  <c r="A68" i="21"/>
  <c r="A69" i="2"/>
  <c r="E68" i="2"/>
  <c r="P68" i="2"/>
  <c r="D68" i="2"/>
  <c r="B68" i="2"/>
  <c r="A116" i="9"/>
  <c r="A76" i="11" s="1"/>
  <c r="C68" i="2"/>
  <c r="N68" i="2"/>
  <c r="E116" i="9" s="1"/>
  <c r="B75" i="11"/>
  <c r="D75" i="11" s="1"/>
  <c r="E75" i="11" s="1"/>
  <c r="F75" i="11" s="1"/>
  <c r="F115" i="9"/>
  <c r="A85" i="22"/>
  <c r="B67" i="21"/>
  <c r="G74" i="11"/>
  <c r="C67" i="21"/>
  <c r="B115" i="9"/>
  <c r="C75" i="11" s="1"/>
  <c r="G75" i="11" s="1"/>
  <c r="F67" i="2"/>
  <c r="O66" i="2"/>
  <c r="M66" i="2"/>
  <c r="G66" i="21"/>
  <c r="H66" i="21"/>
  <c r="D67" i="21"/>
  <c r="I67" i="21" s="1"/>
  <c r="C115" i="9"/>
  <c r="G67" i="2"/>
  <c r="E67" i="21"/>
  <c r="J67" i="21" s="1"/>
  <c r="D115" i="9"/>
  <c r="H67" i="2"/>
  <c r="I66" i="2"/>
  <c r="F66" i="21" s="1"/>
  <c r="L66" i="2"/>
  <c r="E68" i="21" l="1"/>
  <c r="J68" i="21" s="1"/>
  <c r="D116" i="9"/>
  <c r="H68" i="2"/>
  <c r="C68" i="21"/>
  <c r="B116" i="9"/>
  <c r="C76" i="11" s="1"/>
  <c r="F68" i="2"/>
  <c r="H67" i="21"/>
  <c r="G67" i="21"/>
  <c r="K68" i="2"/>
  <c r="K69" i="2"/>
  <c r="I67" i="2"/>
  <c r="F67" i="21" s="1"/>
  <c r="L67" i="2"/>
  <c r="A69" i="21"/>
  <c r="A117" i="9"/>
  <c r="A77" i="11" s="1"/>
  <c r="A70" i="2"/>
  <c r="E69" i="2"/>
  <c r="P69" i="2"/>
  <c r="D69" i="2"/>
  <c r="C69" i="2"/>
  <c r="N69" i="2"/>
  <c r="E117" i="9" s="1"/>
  <c r="B69" i="2"/>
  <c r="J68" i="2"/>
  <c r="B76" i="11"/>
  <c r="D76" i="11" s="1"/>
  <c r="E76" i="11" s="1"/>
  <c r="F76" i="11" s="1"/>
  <c r="F116" i="9"/>
  <c r="D68" i="21"/>
  <c r="I68" i="21" s="1"/>
  <c r="C116" i="9"/>
  <c r="G68" i="2"/>
  <c r="A86" i="22"/>
  <c r="B68" i="21"/>
  <c r="F117" i="9" l="1"/>
  <c r="B77" i="11"/>
  <c r="D77" i="11" s="1"/>
  <c r="E77" i="11" s="1"/>
  <c r="F77" i="11" s="1"/>
  <c r="E69" i="21"/>
  <c r="J69" i="21" s="1"/>
  <c r="D117" i="9"/>
  <c r="H69" i="2"/>
  <c r="G76" i="11"/>
  <c r="C69" i="21"/>
  <c r="B117" i="9"/>
  <c r="C77" i="11" s="1"/>
  <c r="G77" i="11" s="1"/>
  <c r="F69" i="2"/>
  <c r="A70" i="21"/>
  <c r="A118" i="9"/>
  <c r="A78" i="11" s="1"/>
  <c r="A71" i="2"/>
  <c r="E70" i="2"/>
  <c r="P70" i="2"/>
  <c r="D70" i="2"/>
  <c r="C70" i="2"/>
  <c r="J70" i="2" s="1"/>
  <c r="N70" i="2"/>
  <c r="E118" i="9" s="1"/>
  <c r="B70" i="2"/>
  <c r="H68" i="21"/>
  <c r="G68" i="21"/>
  <c r="B69" i="21"/>
  <c r="A87" i="22"/>
  <c r="O68" i="2"/>
  <c r="M68" i="2"/>
  <c r="D69" i="21"/>
  <c r="I69" i="21" s="1"/>
  <c r="C117" i="9"/>
  <c r="G69" i="2"/>
  <c r="K70" i="2"/>
  <c r="J69" i="2"/>
  <c r="I68" i="2"/>
  <c r="F68" i="21" s="1"/>
  <c r="L68" i="2"/>
  <c r="O70" i="2" l="1"/>
  <c r="M70" i="2"/>
  <c r="A71" i="21"/>
  <c r="A72" i="2"/>
  <c r="E71" i="2"/>
  <c r="A119" i="9"/>
  <c r="A79" i="11" s="1"/>
  <c r="P71" i="2"/>
  <c r="D71" i="2"/>
  <c r="C71" i="2"/>
  <c r="N71" i="2"/>
  <c r="E119" i="9" s="1"/>
  <c r="B71" i="2"/>
  <c r="D70" i="21"/>
  <c r="I70" i="21" s="1"/>
  <c r="C118" i="9"/>
  <c r="G70" i="2"/>
  <c r="A88" i="22"/>
  <c r="B70" i="21"/>
  <c r="H69" i="21"/>
  <c r="G69" i="21"/>
  <c r="C70" i="21"/>
  <c r="B118" i="9"/>
  <c r="C78" i="11" s="1"/>
  <c r="G78" i="11" s="1"/>
  <c r="F70" i="2"/>
  <c r="O69" i="2"/>
  <c r="M69" i="2"/>
  <c r="B78" i="11"/>
  <c r="D78" i="11" s="1"/>
  <c r="E78" i="11" s="1"/>
  <c r="F78" i="11" s="1"/>
  <c r="F118" i="9"/>
  <c r="E70" i="21"/>
  <c r="J70" i="21" s="1"/>
  <c r="D118" i="9"/>
  <c r="H70" i="2"/>
  <c r="I69" i="2"/>
  <c r="F69" i="21" s="1"/>
  <c r="L69" i="2"/>
  <c r="C71" i="21" l="1"/>
  <c r="B119" i="9"/>
  <c r="C79" i="11" s="1"/>
  <c r="F71" i="2"/>
  <c r="D71" i="21"/>
  <c r="I71" i="21" s="1"/>
  <c r="C119" i="9"/>
  <c r="G71" i="2"/>
  <c r="K71" i="2"/>
  <c r="A72" i="21"/>
  <c r="A120" i="9"/>
  <c r="A80" i="11" s="1"/>
  <c r="A73" i="2"/>
  <c r="E72" i="2"/>
  <c r="P72" i="2"/>
  <c r="D72" i="2"/>
  <c r="C72" i="2"/>
  <c r="N72" i="2"/>
  <c r="E120" i="9" s="1"/>
  <c r="B72" i="2"/>
  <c r="E71" i="21"/>
  <c r="J71" i="21" s="1"/>
  <c r="D119" i="9"/>
  <c r="H71" i="2"/>
  <c r="A89" i="22"/>
  <c r="B71" i="21"/>
  <c r="J71" i="2"/>
  <c r="G70" i="21"/>
  <c r="H70" i="21"/>
  <c r="J72" i="2"/>
  <c r="I70" i="2"/>
  <c r="F70" i="21" s="1"/>
  <c r="L70" i="2"/>
  <c r="B79" i="11"/>
  <c r="D79" i="11" s="1"/>
  <c r="E79" i="11" s="1"/>
  <c r="F79" i="11" s="1"/>
  <c r="F119" i="9"/>
  <c r="I71" i="2" l="1"/>
  <c r="F71" i="21" s="1"/>
  <c r="L71" i="2"/>
  <c r="O71" i="2"/>
  <c r="M71" i="2"/>
  <c r="C72" i="21"/>
  <c r="B120" i="9"/>
  <c r="C80" i="11" s="1"/>
  <c r="G80" i="11" s="1"/>
  <c r="F72" i="2"/>
  <c r="A73" i="21"/>
  <c r="A121" i="9"/>
  <c r="A81" i="11" s="1"/>
  <c r="A74" i="2"/>
  <c r="E73" i="2"/>
  <c r="P73" i="2"/>
  <c r="D73" i="2"/>
  <c r="C73" i="2"/>
  <c r="N73" i="2"/>
  <c r="E121" i="9" s="1"/>
  <c r="B73" i="2"/>
  <c r="E72" i="21"/>
  <c r="J72" i="21" s="1"/>
  <c r="D120" i="9"/>
  <c r="H72" i="2"/>
  <c r="D72" i="21"/>
  <c r="I72" i="21" s="1"/>
  <c r="C120" i="9"/>
  <c r="G72" i="2"/>
  <c r="K72" i="2"/>
  <c r="G79" i="11"/>
  <c r="O72" i="2"/>
  <c r="M72" i="2"/>
  <c r="F120" i="9"/>
  <c r="B80" i="11"/>
  <c r="D80" i="11" s="1"/>
  <c r="E80" i="11" s="1"/>
  <c r="F80" i="11" s="1"/>
  <c r="A90" i="22"/>
  <c r="B72" i="21"/>
  <c r="H71" i="21"/>
  <c r="G71" i="21"/>
  <c r="A91" i="22" l="1"/>
  <c r="B73" i="21"/>
  <c r="G72" i="21"/>
  <c r="H72" i="21"/>
  <c r="D73" i="21"/>
  <c r="I73" i="21" s="1"/>
  <c r="C121" i="9"/>
  <c r="G73" i="2"/>
  <c r="F121" i="9"/>
  <c r="B81" i="11"/>
  <c r="D81" i="11" s="1"/>
  <c r="E81" i="11" s="1"/>
  <c r="F81" i="11" s="1"/>
  <c r="E73" i="21"/>
  <c r="J73" i="21" s="1"/>
  <c r="D121" i="9"/>
  <c r="H73" i="2"/>
  <c r="I72" i="2"/>
  <c r="F72" i="21" s="1"/>
  <c r="L72" i="2"/>
  <c r="C73" i="21"/>
  <c r="B121" i="9"/>
  <c r="C81" i="11" s="1"/>
  <c r="G81" i="11" s="1"/>
  <c r="F73" i="2"/>
  <c r="J73" i="2"/>
  <c r="A74" i="21"/>
  <c r="A122" i="9"/>
  <c r="A82" i="11" s="1"/>
  <c r="A75" i="2"/>
  <c r="E74" i="2"/>
  <c r="P74" i="2"/>
  <c r="D74" i="2"/>
  <c r="B74" i="2"/>
  <c r="C74" i="2"/>
  <c r="J74" i="2" s="1"/>
  <c r="N74" i="2"/>
  <c r="E122" i="9" s="1"/>
  <c r="K73" i="2"/>
  <c r="O74" i="2" l="1"/>
  <c r="M74" i="2"/>
  <c r="O73" i="2"/>
  <c r="M73" i="2"/>
  <c r="E74" i="21"/>
  <c r="J74" i="21" s="1"/>
  <c r="D122" i="9"/>
  <c r="H74" i="2"/>
  <c r="I73" i="2"/>
  <c r="F73" i="21" s="1"/>
  <c r="L73" i="2"/>
  <c r="K74" i="2"/>
  <c r="A92" i="22"/>
  <c r="B74" i="21"/>
  <c r="H73" i="21"/>
  <c r="G73" i="21"/>
  <c r="C74" i="21"/>
  <c r="B122" i="9"/>
  <c r="C82" i="11" s="1"/>
  <c r="F74" i="2"/>
  <c r="A75" i="21"/>
  <c r="A76" i="2"/>
  <c r="E75" i="2"/>
  <c r="P75" i="2"/>
  <c r="D75" i="2"/>
  <c r="C75" i="2"/>
  <c r="A123" i="9"/>
  <c r="A83" i="11" s="1"/>
  <c r="N75" i="2"/>
  <c r="E123" i="9" s="1"/>
  <c r="B75" i="2"/>
  <c r="J75" i="2"/>
  <c r="B82" i="11"/>
  <c r="D82" i="11" s="1"/>
  <c r="E82" i="11" s="1"/>
  <c r="F82" i="11" s="1"/>
  <c r="F122" i="9"/>
  <c r="D74" i="21"/>
  <c r="I74" i="21" s="1"/>
  <c r="C122" i="9"/>
  <c r="G74" i="2"/>
  <c r="I74" i="2" l="1"/>
  <c r="F74" i="21" s="1"/>
  <c r="L74" i="2"/>
  <c r="O75" i="2"/>
  <c r="M75" i="2"/>
  <c r="C75" i="21"/>
  <c r="B123" i="9"/>
  <c r="C83" i="11" s="1"/>
  <c r="F75" i="2"/>
  <c r="A76" i="21"/>
  <c r="A77" i="2"/>
  <c r="E76" i="2"/>
  <c r="P76" i="2"/>
  <c r="D76" i="2"/>
  <c r="B76" i="2"/>
  <c r="A124" i="9"/>
  <c r="A84" i="11" s="1"/>
  <c r="C76" i="2"/>
  <c r="N76" i="2"/>
  <c r="E124" i="9" s="1"/>
  <c r="D75" i="21"/>
  <c r="I75" i="21" s="1"/>
  <c r="C123" i="9"/>
  <c r="G75" i="2"/>
  <c r="A93" i="22"/>
  <c r="B75" i="21"/>
  <c r="G82" i="11"/>
  <c r="E75" i="21"/>
  <c r="J75" i="21" s="1"/>
  <c r="D123" i="9"/>
  <c r="H75" i="2"/>
  <c r="B83" i="11"/>
  <c r="D83" i="11" s="1"/>
  <c r="E83" i="11" s="1"/>
  <c r="F83" i="11" s="1"/>
  <c r="F123" i="9"/>
  <c r="H74" i="21"/>
  <c r="G74" i="21"/>
  <c r="K75" i="2"/>
  <c r="A77" i="21" l="1"/>
  <c r="A125" i="9"/>
  <c r="A85" i="11" s="1"/>
  <c r="A78" i="2"/>
  <c r="E77" i="2"/>
  <c r="P77" i="2"/>
  <c r="D77" i="2"/>
  <c r="C77" i="2"/>
  <c r="N77" i="2"/>
  <c r="E125" i="9" s="1"/>
  <c r="B77" i="2"/>
  <c r="F124" i="9"/>
  <c r="B84" i="11"/>
  <c r="D84" i="11" s="1"/>
  <c r="E84" i="11" s="1"/>
  <c r="F84" i="11" s="1"/>
  <c r="D76" i="21"/>
  <c r="I76" i="21" s="1"/>
  <c r="C124" i="9"/>
  <c r="G76" i="2"/>
  <c r="A94" i="22"/>
  <c r="B76" i="21"/>
  <c r="G83" i="11"/>
  <c r="K76" i="2"/>
  <c r="H75" i="21"/>
  <c r="G75" i="21"/>
  <c r="C76" i="21"/>
  <c r="B124" i="9"/>
  <c r="C84" i="11" s="1"/>
  <c r="F76" i="2"/>
  <c r="J76" i="2"/>
  <c r="E76" i="21"/>
  <c r="J76" i="21" s="1"/>
  <c r="D124" i="9"/>
  <c r="H76" i="2"/>
  <c r="I75" i="2"/>
  <c r="F75" i="21" s="1"/>
  <c r="L75" i="2"/>
  <c r="D77" i="21" l="1"/>
  <c r="I77" i="21" s="1"/>
  <c r="C125" i="9"/>
  <c r="G77" i="2"/>
  <c r="K77" i="2"/>
  <c r="I76" i="2"/>
  <c r="F76" i="21" s="1"/>
  <c r="L76" i="2"/>
  <c r="A95" i="22"/>
  <c r="B77" i="21"/>
  <c r="O76" i="2"/>
  <c r="M76" i="2"/>
  <c r="G76" i="21"/>
  <c r="H76" i="21"/>
  <c r="E77" i="21"/>
  <c r="J77" i="21" s="1"/>
  <c r="D125" i="9"/>
  <c r="H77" i="2"/>
  <c r="F125" i="9"/>
  <c r="B85" i="11"/>
  <c r="D85" i="11" s="1"/>
  <c r="E85" i="11" s="1"/>
  <c r="F85" i="11" s="1"/>
  <c r="G84" i="11"/>
  <c r="C77" i="21"/>
  <c r="B125" i="9"/>
  <c r="C85" i="11" s="1"/>
  <c r="G85" i="11" s="1"/>
  <c r="F77" i="2"/>
  <c r="A78" i="21"/>
  <c r="A126" i="9"/>
  <c r="A86" i="11" s="1"/>
  <c r="A79" i="2"/>
  <c r="E78" i="2"/>
  <c r="P78" i="2"/>
  <c r="D78" i="2"/>
  <c r="C78" i="2"/>
  <c r="N78" i="2"/>
  <c r="E126" i="9" s="1"/>
  <c r="B78" i="2"/>
  <c r="J77" i="2"/>
  <c r="E78" i="21" l="1"/>
  <c r="J78" i="21" s="1"/>
  <c r="D126" i="9"/>
  <c r="H78" i="2"/>
  <c r="I77" i="2"/>
  <c r="F77" i="21" s="1"/>
  <c r="L77" i="2"/>
  <c r="C78" i="21"/>
  <c r="B126" i="9"/>
  <c r="C86" i="11" s="1"/>
  <c r="F78" i="2"/>
  <c r="J78" i="2"/>
  <c r="A79" i="21"/>
  <c r="A80" i="2"/>
  <c r="E79" i="2"/>
  <c r="A127" i="9"/>
  <c r="A87" i="11" s="1"/>
  <c r="P79" i="2"/>
  <c r="D79" i="2"/>
  <c r="C79" i="2"/>
  <c r="N79" i="2"/>
  <c r="E127" i="9" s="1"/>
  <c r="B79" i="2"/>
  <c r="B86" i="11"/>
  <c r="D86" i="11" s="1"/>
  <c r="E86" i="11" s="1"/>
  <c r="F86" i="11" s="1"/>
  <c r="F126" i="9"/>
  <c r="O77" i="2"/>
  <c r="M77" i="2"/>
  <c r="D78" i="21"/>
  <c r="I78" i="21" s="1"/>
  <c r="C126" i="9"/>
  <c r="G78" i="2"/>
  <c r="K78" i="2"/>
  <c r="A96" i="22"/>
  <c r="B78" i="21"/>
  <c r="H77" i="21"/>
  <c r="G77" i="21"/>
  <c r="K79" i="2"/>
  <c r="A97" i="22" l="1"/>
  <c r="B79" i="21"/>
  <c r="J79" i="2"/>
  <c r="H78" i="21"/>
  <c r="G78" i="21"/>
  <c r="B87" i="11"/>
  <c r="D87" i="11" s="1"/>
  <c r="E87" i="11" s="1"/>
  <c r="F87" i="11" s="1"/>
  <c r="F127" i="9"/>
  <c r="I78" i="2"/>
  <c r="F78" i="21" s="1"/>
  <c r="L78" i="2"/>
  <c r="C79" i="21"/>
  <c r="B127" i="9"/>
  <c r="C87" i="11" s="1"/>
  <c r="F79" i="2"/>
  <c r="E79" i="21"/>
  <c r="J79" i="21" s="1"/>
  <c r="D127" i="9"/>
  <c r="H79" i="2"/>
  <c r="O78" i="2"/>
  <c r="M78" i="2"/>
  <c r="D79" i="21"/>
  <c r="I79" i="21" s="1"/>
  <c r="C127" i="9"/>
  <c r="G79" i="2"/>
  <c r="A80" i="21"/>
  <c r="A128" i="9"/>
  <c r="A88" i="11" s="1"/>
  <c r="A81" i="2"/>
  <c r="E80" i="2"/>
  <c r="P80" i="2"/>
  <c r="D80" i="2"/>
  <c r="B80" i="2"/>
  <c r="C80" i="2"/>
  <c r="N80" i="2"/>
  <c r="E128" i="9" s="1"/>
  <c r="G86" i="11"/>
  <c r="E80" i="21" l="1"/>
  <c r="J80" i="21" s="1"/>
  <c r="D128" i="9"/>
  <c r="H80" i="2"/>
  <c r="A81" i="21"/>
  <c r="A129" i="9"/>
  <c r="A89" i="11" s="1"/>
  <c r="A82" i="2"/>
  <c r="E81" i="2"/>
  <c r="P81" i="2"/>
  <c r="D81" i="2"/>
  <c r="C81" i="2"/>
  <c r="N81" i="2"/>
  <c r="E129" i="9" s="1"/>
  <c r="B81" i="2"/>
  <c r="G87" i="11"/>
  <c r="O79" i="2"/>
  <c r="M79" i="2"/>
  <c r="D80" i="21"/>
  <c r="I80" i="21" s="1"/>
  <c r="C128" i="9"/>
  <c r="G80" i="2"/>
  <c r="K80" i="2"/>
  <c r="H79" i="21"/>
  <c r="G79" i="21"/>
  <c r="C80" i="21"/>
  <c r="B128" i="9"/>
  <c r="C88" i="11" s="1"/>
  <c r="G88" i="11" s="1"/>
  <c r="F80" i="2"/>
  <c r="J80" i="2"/>
  <c r="J81" i="2"/>
  <c r="B88" i="11"/>
  <c r="D88" i="11" s="1"/>
  <c r="E88" i="11" s="1"/>
  <c r="F88" i="11" s="1"/>
  <c r="F128" i="9"/>
  <c r="A98" i="22"/>
  <c r="B80" i="21"/>
  <c r="I79" i="2"/>
  <c r="F79" i="21" s="1"/>
  <c r="L79" i="2"/>
  <c r="O81" i="2" l="1"/>
  <c r="M81" i="2"/>
  <c r="O80" i="2"/>
  <c r="M80" i="2"/>
  <c r="G80" i="21"/>
  <c r="H80" i="21"/>
  <c r="A99" i="22"/>
  <c r="B81" i="21"/>
  <c r="I80" i="2"/>
  <c r="F80" i="21" s="1"/>
  <c r="L80" i="2"/>
  <c r="B89" i="11"/>
  <c r="D89" i="11" s="1"/>
  <c r="E89" i="11" s="1"/>
  <c r="F89" i="11" s="1"/>
  <c r="F129" i="9"/>
  <c r="E81" i="21"/>
  <c r="J81" i="21" s="1"/>
  <c r="D129" i="9"/>
  <c r="H81" i="2"/>
  <c r="D81" i="21"/>
  <c r="I81" i="21" s="1"/>
  <c r="C129" i="9"/>
  <c r="G81" i="2"/>
  <c r="K81" i="2"/>
  <c r="C81" i="21"/>
  <c r="B129" i="9"/>
  <c r="C89" i="11" s="1"/>
  <c r="F81" i="2"/>
  <c r="A82" i="21"/>
  <c r="A130" i="9"/>
  <c r="A90" i="11" s="1"/>
  <c r="A83" i="2"/>
  <c r="E82" i="2"/>
  <c r="P82" i="2"/>
  <c r="D82" i="2"/>
  <c r="C82" i="2"/>
  <c r="N82" i="2"/>
  <c r="E130" i="9" s="1"/>
  <c r="B82" i="2"/>
  <c r="C82" i="21" l="1"/>
  <c r="B130" i="9"/>
  <c r="C90" i="11" s="1"/>
  <c r="F82" i="2"/>
  <c r="J82" i="2"/>
  <c r="D82" i="21"/>
  <c r="I82" i="21" s="1"/>
  <c r="C130" i="9"/>
  <c r="G82" i="2"/>
  <c r="G89" i="11"/>
  <c r="K82" i="2"/>
  <c r="A83" i="21"/>
  <c r="A84" i="2"/>
  <c r="E83" i="2"/>
  <c r="P83" i="2"/>
  <c r="D83" i="2"/>
  <c r="B83" i="2"/>
  <c r="C83" i="2"/>
  <c r="A131" i="9"/>
  <c r="A91" i="11" s="1"/>
  <c r="N83" i="2"/>
  <c r="E131" i="9" s="1"/>
  <c r="A100" i="22"/>
  <c r="B82" i="21"/>
  <c r="H81" i="21"/>
  <c r="G81" i="21"/>
  <c r="F130" i="9"/>
  <c r="B90" i="11"/>
  <c r="D90" i="11" s="1"/>
  <c r="E90" i="11" s="1"/>
  <c r="F90" i="11" s="1"/>
  <c r="E82" i="21"/>
  <c r="J82" i="21" s="1"/>
  <c r="D130" i="9"/>
  <c r="H82" i="2"/>
  <c r="I81" i="2"/>
  <c r="F81" i="21" s="1"/>
  <c r="L81" i="2"/>
  <c r="D83" i="21" l="1"/>
  <c r="I83" i="21" s="1"/>
  <c r="C131" i="9"/>
  <c r="G83" i="2"/>
  <c r="O82" i="2"/>
  <c r="M82" i="2"/>
  <c r="H82" i="21"/>
  <c r="G82" i="21"/>
  <c r="E83" i="21"/>
  <c r="J83" i="21" s="1"/>
  <c r="D131" i="9"/>
  <c r="H83" i="2"/>
  <c r="I82" i="2"/>
  <c r="F82" i="21" s="1"/>
  <c r="L82" i="2"/>
  <c r="B91" i="11"/>
  <c r="D91" i="11" s="1"/>
  <c r="E91" i="11" s="1"/>
  <c r="F91" i="11" s="1"/>
  <c r="F131" i="9"/>
  <c r="A101" i="22"/>
  <c r="B83" i="21"/>
  <c r="G90" i="11"/>
  <c r="C83" i="21"/>
  <c r="B131" i="9"/>
  <c r="C91" i="11" s="1"/>
  <c r="F83" i="2"/>
  <c r="J83" i="2"/>
  <c r="K83" i="2"/>
  <c r="A84" i="21"/>
  <c r="A85" i="2"/>
  <c r="E84" i="2"/>
  <c r="P84" i="2"/>
  <c r="D84" i="2"/>
  <c r="A132" i="9"/>
  <c r="A92" i="11" s="1"/>
  <c r="C84" i="2"/>
  <c r="N84" i="2"/>
  <c r="E132" i="9" s="1"/>
  <c r="B84" i="2"/>
  <c r="E84" i="21" l="1"/>
  <c r="J84" i="21" s="1"/>
  <c r="D132" i="9"/>
  <c r="H84" i="2"/>
  <c r="I83" i="2"/>
  <c r="F83" i="21" s="1"/>
  <c r="L83" i="2"/>
  <c r="A85" i="21"/>
  <c r="A133" i="9"/>
  <c r="A93" i="11" s="1"/>
  <c r="A86" i="2"/>
  <c r="E85" i="2"/>
  <c r="P85" i="2"/>
  <c r="D85" i="2"/>
  <c r="C85" i="2"/>
  <c r="N85" i="2"/>
  <c r="E133" i="9" s="1"/>
  <c r="B85" i="2"/>
  <c r="G91" i="11"/>
  <c r="K84" i="2"/>
  <c r="J84" i="2"/>
  <c r="D84" i="21"/>
  <c r="I84" i="21" s="1"/>
  <c r="C132" i="9"/>
  <c r="G84" i="2"/>
  <c r="A102" i="22"/>
  <c r="B84" i="21"/>
  <c r="C84" i="21"/>
  <c r="B132" i="9"/>
  <c r="C92" i="11" s="1"/>
  <c r="F84" i="2"/>
  <c r="B92" i="11"/>
  <c r="D92" i="11" s="1"/>
  <c r="E92" i="11" s="1"/>
  <c r="F92" i="11" s="1"/>
  <c r="F132" i="9"/>
  <c r="O83" i="2"/>
  <c r="M83" i="2"/>
  <c r="H83" i="21"/>
  <c r="G83" i="21"/>
  <c r="E85" i="21" l="1"/>
  <c r="J85" i="21" s="1"/>
  <c r="D133" i="9"/>
  <c r="H85" i="2"/>
  <c r="I84" i="2"/>
  <c r="F84" i="21" s="1"/>
  <c r="L84" i="2"/>
  <c r="C85" i="21"/>
  <c r="B133" i="9"/>
  <c r="C93" i="11" s="1"/>
  <c r="F85" i="2"/>
  <c r="J85" i="2"/>
  <c r="A86" i="21"/>
  <c r="A134" i="9"/>
  <c r="A94" i="11" s="1"/>
  <c r="A87" i="2"/>
  <c r="E86" i="2"/>
  <c r="P86" i="2"/>
  <c r="D86" i="2"/>
  <c r="B86" i="2"/>
  <c r="C86" i="2"/>
  <c r="N86" i="2"/>
  <c r="E134" i="9" s="1"/>
  <c r="G84" i="21"/>
  <c r="H84" i="21"/>
  <c r="O84" i="2"/>
  <c r="M84" i="2"/>
  <c r="D85" i="21"/>
  <c r="I85" i="21" s="1"/>
  <c r="C133" i="9"/>
  <c r="G85" i="2"/>
  <c r="K85" i="2"/>
  <c r="F133" i="9"/>
  <c r="B93" i="11"/>
  <c r="D93" i="11" s="1"/>
  <c r="E93" i="11" s="1"/>
  <c r="F93" i="11" s="1"/>
  <c r="G92" i="11"/>
  <c r="A103" i="22"/>
  <c r="B85" i="21"/>
  <c r="A87" i="21" l="1"/>
  <c r="A135" i="9"/>
  <c r="A95" i="11" s="1"/>
  <c r="A88" i="2"/>
  <c r="E87" i="2"/>
  <c r="P87" i="2"/>
  <c r="D87" i="2"/>
  <c r="N87" i="2"/>
  <c r="E135" i="9" s="1"/>
  <c r="B87" i="2"/>
  <c r="C87" i="2"/>
  <c r="I85" i="2"/>
  <c r="F85" i="21" s="1"/>
  <c r="L85" i="2"/>
  <c r="D86" i="21"/>
  <c r="I86" i="21" s="1"/>
  <c r="C134" i="9"/>
  <c r="G86" i="2"/>
  <c r="K86" i="2"/>
  <c r="F134" i="9"/>
  <c r="B94" i="11"/>
  <c r="D94" i="11" s="1"/>
  <c r="E94" i="11" s="1"/>
  <c r="F94" i="11" s="1"/>
  <c r="A104" i="22"/>
  <c r="B86" i="21"/>
  <c r="G93" i="11"/>
  <c r="C86" i="21"/>
  <c r="B134" i="9"/>
  <c r="C94" i="11" s="1"/>
  <c r="G94" i="11" s="1"/>
  <c r="F86" i="2"/>
  <c r="J86" i="2"/>
  <c r="E86" i="21"/>
  <c r="J86" i="21" s="1"/>
  <c r="D134" i="9"/>
  <c r="H86" i="2"/>
  <c r="O85" i="2"/>
  <c r="M85" i="2"/>
  <c r="H85" i="21"/>
  <c r="G85" i="21"/>
  <c r="A105" i="22" l="1"/>
  <c r="B87" i="21"/>
  <c r="E87" i="21"/>
  <c r="J87" i="21" s="1"/>
  <c r="D135" i="9"/>
  <c r="H87" i="2"/>
  <c r="C87" i="21"/>
  <c r="B135" i="9"/>
  <c r="C95" i="11" s="1"/>
  <c r="F87" i="2"/>
  <c r="K87" i="2"/>
  <c r="H86" i="21"/>
  <c r="G86" i="21"/>
  <c r="B95" i="11"/>
  <c r="D95" i="11" s="1"/>
  <c r="E95" i="11" s="1"/>
  <c r="F95" i="11" s="1"/>
  <c r="F135" i="9"/>
  <c r="A88" i="21"/>
  <c r="A89" i="2"/>
  <c r="E88" i="2"/>
  <c r="A136" i="9"/>
  <c r="A96" i="11" s="1"/>
  <c r="P88" i="2"/>
  <c r="D88" i="2"/>
  <c r="N88" i="2"/>
  <c r="E136" i="9" s="1"/>
  <c r="C88" i="2"/>
  <c r="B88" i="2"/>
  <c r="O86" i="2"/>
  <c r="M86" i="2"/>
  <c r="J87" i="2"/>
  <c r="I86" i="2"/>
  <c r="F86" i="21" s="1"/>
  <c r="L86" i="2"/>
  <c r="D87" i="21"/>
  <c r="I87" i="21" s="1"/>
  <c r="C135" i="9"/>
  <c r="G87" i="2"/>
  <c r="I87" i="2" l="1"/>
  <c r="F87" i="21" s="1"/>
  <c r="L87" i="2"/>
  <c r="C88" i="21"/>
  <c r="B136" i="9"/>
  <c r="C96" i="11" s="1"/>
  <c r="G96" i="11" s="1"/>
  <c r="F88" i="2"/>
  <c r="J88" i="2"/>
  <c r="O87" i="2"/>
  <c r="M87" i="2"/>
  <c r="A106" i="22"/>
  <c r="B88" i="21"/>
  <c r="F136" i="9"/>
  <c r="B96" i="11"/>
  <c r="D96" i="11" s="1"/>
  <c r="E96" i="11" s="1"/>
  <c r="F96" i="11" s="1"/>
  <c r="E88" i="21"/>
  <c r="J88" i="21" s="1"/>
  <c r="D136" i="9"/>
  <c r="H88" i="2"/>
  <c r="G95" i="11"/>
  <c r="D88" i="21"/>
  <c r="I88" i="21" s="1"/>
  <c r="C136" i="9"/>
  <c r="G88" i="2"/>
  <c r="K88" i="2"/>
  <c r="A89" i="21"/>
  <c r="A137" i="9"/>
  <c r="A97" i="11" s="1"/>
  <c r="A90" i="2"/>
  <c r="E89" i="2"/>
  <c r="P89" i="2"/>
  <c r="D89" i="2"/>
  <c r="C89" i="2"/>
  <c r="N89" i="2"/>
  <c r="E137" i="9" s="1"/>
  <c r="B89" i="2"/>
  <c r="H87" i="21"/>
  <c r="G87" i="21"/>
  <c r="E89" i="21" l="1"/>
  <c r="J89" i="21" s="1"/>
  <c r="D137" i="9"/>
  <c r="H89" i="2"/>
  <c r="C89" i="21"/>
  <c r="B137" i="9"/>
  <c r="C97" i="11" s="1"/>
  <c r="F89" i="2"/>
  <c r="J89" i="2"/>
  <c r="A90" i="21"/>
  <c r="A138" i="9"/>
  <c r="A98" i="11" s="1"/>
  <c r="A91" i="2"/>
  <c r="E90" i="2"/>
  <c r="P90" i="2"/>
  <c r="D90" i="2"/>
  <c r="N90" i="2"/>
  <c r="E138" i="9" s="1"/>
  <c r="B90" i="2"/>
  <c r="C90" i="2"/>
  <c r="O88" i="2"/>
  <c r="M88" i="2"/>
  <c r="G88" i="21"/>
  <c r="H88" i="21"/>
  <c r="D89" i="21"/>
  <c r="I89" i="21" s="1"/>
  <c r="C137" i="9"/>
  <c r="G89" i="2"/>
  <c r="K89" i="2"/>
  <c r="I88" i="2"/>
  <c r="F88" i="21" s="1"/>
  <c r="L88" i="2"/>
  <c r="F137" i="9"/>
  <c r="B97" i="11"/>
  <c r="D97" i="11" s="1"/>
  <c r="E97" i="11" s="1"/>
  <c r="F97" i="11" s="1"/>
  <c r="A107" i="22"/>
  <c r="B89" i="21"/>
  <c r="E90" i="21" l="1"/>
  <c r="J90" i="21" s="1"/>
  <c r="D138" i="9"/>
  <c r="H90" i="2"/>
  <c r="F138" i="9"/>
  <c r="B98" i="11"/>
  <c r="D98" i="11" s="1"/>
  <c r="E98" i="11" s="1"/>
  <c r="F98" i="11" s="1"/>
  <c r="A91" i="21"/>
  <c r="A139" i="9"/>
  <c r="A99" i="11" s="1"/>
  <c r="A92" i="2"/>
  <c r="E91" i="2"/>
  <c r="P91" i="2"/>
  <c r="D91" i="2"/>
  <c r="N91" i="2"/>
  <c r="E139" i="9" s="1"/>
  <c r="B91" i="2"/>
  <c r="C91" i="2"/>
  <c r="O89" i="2"/>
  <c r="M89" i="2"/>
  <c r="H89" i="21"/>
  <c r="G89" i="21"/>
  <c r="D90" i="21"/>
  <c r="I90" i="21" s="1"/>
  <c r="C138" i="9"/>
  <c r="G90" i="2"/>
  <c r="I89" i="2"/>
  <c r="F89" i="21" s="1"/>
  <c r="L89" i="2"/>
  <c r="K90" i="2"/>
  <c r="C90" i="21"/>
  <c r="B138" i="9"/>
  <c r="C98" i="11" s="1"/>
  <c r="G98" i="11" s="1"/>
  <c r="F90" i="2"/>
  <c r="J90" i="2"/>
  <c r="A108" i="22"/>
  <c r="B90" i="21"/>
  <c r="G97" i="11"/>
  <c r="C91" i="21" l="1"/>
  <c r="B139" i="9"/>
  <c r="C99" i="11" s="1"/>
  <c r="F91" i="2"/>
  <c r="A109" i="22"/>
  <c r="B91" i="21"/>
  <c r="I90" i="2"/>
  <c r="F90" i="21" s="1"/>
  <c r="L90" i="2"/>
  <c r="D91" i="21"/>
  <c r="I91" i="21" s="1"/>
  <c r="C139" i="9"/>
  <c r="G91" i="2"/>
  <c r="K91" i="2"/>
  <c r="O90" i="2"/>
  <c r="M90" i="2"/>
  <c r="H90" i="21"/>
  <c r="G90" i="21"/>
  <c r="E91" i="21"/>
  <c r="J91" i="21" s="1"/>
  <c r="D139" i="9"/>
  <c r="H91" i="2"/>
  <c r="B99" i="11"/>
  <c r="D99" i="11" s="1"/>
  <c r="E99" i="11" s="1"/>
  <c r="F99" i="11" s="1"/>
  <c r="F139" i="9"/>
  <c r="A92" i="21"/>
  <c r="A140" i="9"/>
  <c r="A100" i="11" s="1"/>
  <c r="A93" i="2"/>
  <c r="E92" i="2"/>
  <c r="P92" i="2"/>
  <c r="D92" i="2"/>
  <c r="N92" i="2"/>
  <c r="E140" i="9" s="1"/>
  <c r="C92" i="2"/>
  <c r="B92" i="2"/>
  <c r="J91" i="2"/>
  <c r="A110" i="22" l="1"/>
  <c r="B92" i="21"/>
  <c r="J92" i="2"/>
  <c r="G99" i="11"/>
  <c r="O91" i="2"/>
  <c r="M91" i="2"/>
  <c r="E92" i="21"/>
  <c r="J92" i="21" s="1"/>
  <c r="D140" i="9"/>
  <c r="H92" i="2"/>
  <c r="H91" i="21"/>
  <c r="G91" i="21"/>
  <c r="D92" i="21"/>
  <c r="I92" i="21" s="1"/>
  <c r="C140" i="9"/>
  <c r="G92" i="2"/>
  <c r="K92" i="2"/>
  <c r="C92" i="21"/>
  <c r="B140" i="9"/>
  <c r="C100" i="11" s="1"/>
  <c r="F92" i="2"/>
  <c r="F140" i="9"/>
  <c r="B100" i="11"/>
  <c r="D100" i="11" s="1"/>
  <c r="E100" i="11" s="1"/>
  <c r="F100" i="11" s="1"/>
  <c r="A93" i="21"/>
  <c r="A141" i="9"/>
  <c r="A101" i="11" s="1"/>
  <c r="A94" i="2"/>
  <c r="E93" i="2"/>
  <c r="P93" i="2"/>
  <c r="D93" i="2"/>
  <c r="N93" i="2"/>
  <c r="E141" i="9" s="1"/>
  <c r="C93" i="2"/>
  <c r="B93" i="2"/>
  <c r="I91" i="2"/>
  <c r="F91" i="21" s="1"/>
  <c r="L91" i="2"/>
  <c r="E93" i="21" l="1"/>
  <c r="J93" i="21" s="1"/>
  <c r="D141" i="9"/>
  <c r="H93" i="2"/>
  <c r="G100" i="11"/>
  <c r="O92" i="2"/>
  <c r="M92" i="2"/>
  <c r="A111" i="22"/>
  <c r="B93" i="21"/>
  <c r="C93" i="21"/>
  <c r="B141" i="9"/>
  <c r="C101" i="11" s="1"/>
  <c r="F93" i="2"/>
  <c r="J93" i="2"/>
  <c r="B101" i="11"/>
  <c r="D101" i="11" s="1"/>
  <c r="E101" i="11" s="1"/>
  <c r="F101" i="11" s="1"/>
  <c r="F141" i="9"/>
  <c r="A94" i="21"/>
  <c r="A95" i="2"/>
  <c r="E94" i="2"/>
  <c r="P94" i="2"/>
  <c r="D94" i="2"/>
  <c r="A142" i="9"/>
  <c r="A102" i="11" s="1"/>
  <c r="C94" i="2"/>
  <c r="N94" i="2"/>
  <c r="E142" i="9" s="1"/>
  <c r="B94" i="2"/>
  <c r="G92" i="21"/>
  <c r="H92" i="21"/>
  <c r="D93" i="21"/>
  <c r="I93" i="21" s="1"/>
  <c r="C141" i="9"/>
  <c r="G93" i="2"/>
  <c r="K93" i="2"/>
  <c r="I92" i="2"/>
  <c r="F92" i="21" s="1"/>
  <c r="L92" i="2"/>
  <c r="E94" i="21" l="1"/>
  <c r="J94" i="21" s="1"/>
  <c r="D142" i="9"/>
  <c r="H94" i="2"/>
  <c r="A95" i="21"/>
  <c r="A143" i="9"/>
  <c r="A103" i="11" s="1"/>
  <c r="A96" i="2"/>
  <c r="E95" i="2"/>
  <c r="P95" i="2"/>
  <c r="D95" i="2"/>
  <c r="C95" i="2"/>
  <c r="N95" i="2"/>
  <c r="E143" i="9" s="1"/>
  <c r="B95" i="2"/>
  <c r="G101" i="11"/>
  <c r="D94" i="21"/>
  <c r="I94" i="21" s="1"/>
  <c r="C142" i="9"/>
  <c r="G94" i="2"/>
  <c r="K94" i="2"/>
  <c r="A112" i="22"/>
  <c r="B94" i="21"/>
  <c r="O93" i="2"/>
  <c r="M93" i="2"/>
  <c r="H93" i="21"/>
  <c r="G93" i="21"/>
  <c r="C94" i="21"/>
  <c r="B142" i="9"/>
  <c r="C102" i="11" s="1"/>
  <c r="F94" i="2"/>
  <c r="J94" i="2"/>
  <c r="F142" i="9"/>
  <c r="B102" i="11"/>
  <c r="D102" i="11" s="1"/>
  <c r="E102" i="11" s="1"/>
  <c r="F102" i="11" s="1"/>
  <c r="I93" i="2"/>
  <c r="F93" i="21" s="1"/>
  <c r="L93" i="2"/>
  <c r="I94" i="2" l="1"/>
  <c r="F94" i="21" s="1"/>
  <c r="L94" i="2"/>
  <c r="B103" i="11"/>
  <c r="D103" i="11" s="1"/>
  <c r="E103" i="11" s="1"/>
  <c r="F103" i="11" s="1"/>
  <c r="F143" i="9"/>
  <c r="C95" i="21"/>
  <c r="B143" i="9"/>
  <c r="C103" i="11" s="1"/>
  <c r="G103" i="11" s="1"/>
  <c r="F95" i="2"/>
  <c r="J95" i="2"/>
  <c r="A96" i="21"/>
  <c r="A144" i="9"/>
  <c r="A104" i="11" s="1"/>
  <c r="A97" i="2"/>
  <c r="E96" i="2"/>
  <c r="P96" i="2"/>
  <c r="D96" i="2"/>
  <c r="N96" i="2"/>
  <c r="E144" i="9" s="1"/>
  <c r="C96" i="2"/>
  <c r="B96" i="2"/>
  <c r="E95" i="21"/>
  <c r="J95" i="21" s="1"/>
  <c r="D143" i="9"/>
  <c r="H95" i="2"/>
  <c r="G102" i="11"/>
  <c r="D95" i="21"/>
  <c r="I95" i="21" s="1"/>
  <c r="C143" i="9"/>
  <c r="G95" i="2"/>
  <c r="K95" i="2"/>
  <c r="O94" i="2"/>
  <c r="M94" i="2"/>
  <c r="H94" i="21"/>
  <c r="G94" i="21"/>
  <c r="A113" i="22"/>
  <c r="B95" i="21"/>
  <c r="A114" i="22" l="1"/>
  <c r="B96" i="21"/>
  <c r="E96" i="21"/>
  <c r="J96" i="21" s="1"/>
  <c r="D144" i="9"/>
  <c r="H96" i="2"/>
  <c r="O95" i="2"/>
  <c r="M95" i="2"/>
  <c r="H95" i="21"/>
  <c r="G95" i="21"/>
  <c r="D96" i="21"/>
  <c r="I96" i="21" s="1"/>
  <c r="C144" i="9"/>
  <c r="G96" i="2"/>
  <c r="K96" i="2"/>
  <c r="C96" i="21"/>
  <c r="B144" i="9"/>
  <c r="C104" i="11" s="1"/>
  <c r="F96" i="2"/>
  <c r="J96" i="2"/>
  <c r="B104" i="11"/>
  <c r="D104" i="11" s="1"/>
  <c r="E104" i="11" s="1"/>
  <c r="F104" i="11" s="1"/>
  <c r="F144" i="9"/>
  <c r="A97" i="21"/>
  <c r="A145" i="9"/>
  <c r="A105" i="11" s="1"/>
  <c r="A98" i="2"/>
  <c r="E97" i="2"/>
  <c r="P97" i="2"/>
  <c r="D97" i="2"/>
  <c r="N97" i="2"/>
  <c r="E145" i="9" s="1"/>
  <c r="C97" i="2"/>
  <c r="B97" i="2"/>
  <c r="I95" i="2"/>
  <c r="F95" i="21" s="1"/>
  <c r="L95" i="2"/>
  <c r="D97" i="21" l="1"/>
  <c r="I97" i="21" s="1"/>
  <c r="C145" i="9"/>
  <c r="G97" i="2"/>
  <c r="A115" i="22"/>
  <c r="B97" i="21"/>
  <c r="I96" i="2"/>
  <c r="F96" i="21" s="1"/>
  <c r="L96" i="2"/>
  <c r="O96" i="2"/>
  <c r="M96" i="2"/>
  <c r="E97" i="21"/>
  <c r="J97" i="21" s="1"/>
  <c r="D145" i="9"/>
  <c r="H97" i="2"/>
  <c r="G96" i="21"/>
  <c r="H96" i="21"/>
  <c r="C97" i="21"/>
  <c r="B145" i="9"/>
  <c r="C105" i="11" s="1"/>
  <c r="G105" i="11" s="1"/>
  <c r="F97" i="2"/>
  <c r="J97" i="2"/>
  <c r="B105" i="11"/>
  <c r="D105" i="11" s="1"/>
  <c r="E105" i="11" s="1"/>
  <c r="F105" i="11" s="1"/>
  <c r="F145" i="9"/>
  <c r="A98" i="21"/>
  <c r="A99" i="2"/>
  <c r="E98" i="2"/>
  <c r="A146" i="9"/>
  <c r="A106" i="11" s="1"/>
  <c r="P98" i="2"/>
  <c r="D98" i="2"/>
  <c r="N98" i="2"/>
  <c r="E146" i="9" s="1"/>
  <c r="C98" i="2"/>
  <c r="B98" i="2"/>
  <c r="J98" i="2"/>
  <c r="G104" i="11"/>
  <c r="K97" i="2"/>
  <c r="O97" i="2" l="1"/>
  <c r="M97" i="2"/>
  <c r="H97" i="21"/>
  <c r="G97" i="21"/>
  <c r="C98" i="21"/>
  <c r="B146" i="9"/>
  <c r="C106" i="11" s="1"/>
  <c r="F98" i="2"/>
  <c r="I97" i="2"/>
  <c r="F97" i="21" s="1"/>
  <c r="L97" i="2"/>
  <c r="A116" i="22"/>
  <c r="B98" i="21"/>
  <c r="F146" i="9"/>
  <c r="B106" i="11"/>
  <c r="D106" i="11" s="1"/>
  <c r="E106" i="11" s="1"/>
  <c r="F106" i="11" s="1"/>
  <c r="E98" i="21"/>
  <c r="J98" i="21" s="1"/>
  <c r="D146" i="9"/>
  <c r="H98" i="2"/>
  <c r="O98" i="2"/>
  <c r="M98" i="2"/>
  <c r="D98" i="21"/>
  <c r="I98" i="21" s="1"/>
  <c r="C146" i="9"/>
  <c r="G98" i="2"/>
  <c r="K98" i="2"/>
  <c r="A99" i="21"/>
  <c r="A147" i="9"/>
  <c r="A107" i="11" s="1"/>
  <c r="A100" i="2"/>
  <c r="E99" i="2"/>
  <c r="P99" i="2"/>
  <c r="D99" i="2"/>
  <c r="N99" i="2"/>
  <c r="E147" i="9" s="1"/>
  <c r="C99" i="2"/>
  <c r="J99" i="2" s="1"/>
  <c r="B99" i="2"/>
  <c r="O99" i="2" l="1"/>
  <c r="M99" i="2"/>
  <c r="D99" i="21"/>
  <c r="I99" i="21" s="1"/>
  <c r="C147" i="9"/>
  <c r="G99" i="2"/>
  <c r="K99" i="2"/>
  <c r="G106" i="11"/>
  <c r="B107" i="11"/>
  <c r="D107" i="11" s="1"/>
  <c r="E107" i="11" s="1"/>
  <c r="F107" i="11" s="1"/>
  <c r="F147" i="9"/>
  <c r="A100" i="21"/>
  <c r="A101" i="2"/>
  <c r="E100" i="2"/>
  <c r="P100" i="2"/>
  <c r="D100" i="2"/>
  <c r="A148" i="9"/>
  <c r="A108" i="11" s="1"/>
  <c r="C100" i="2"/>
  <c r="J100" i="2" s="1"/>
  <c r="N100" i="2"/>
  <c r="E148" i="9" s="1"/>
  <c r="B100" i="2"/>
  <c r="I98" i="2"/>
  <c r="F98" i="21" s="1"/>
  <c r="L98" i="2"/>
  <c r="A117" i="22"/>
  <c r="B99" i="21"/>
  <c r="H98" i="21"/>
  <c r="G98" i="21"/>
  <c r="C99" i="21"/>
  <c r="B147" i="9"/>
  <c r="C107" i="11" s="1"/>
  <c r="G107" i="11" s="1"/>
  <c r="F99" i="2"/>
  <c r="E99" i="21"/>
  <c r="J99" i="21" s="1"/>
  <c r="D147" i="9"/>
  <c r="H99" i="2"/>
  <c r="O100" i="2" l="1"/>
  <c r="M100" i="2"/>
  <c r="A101" i="21"/>
  <c r="A102" i="2"/>
  <c r="E101" i="2"/>
  <c r="A149" i="9"/>
  <c r="A109" i="11" s="1"/>
  <c r="P101" i="2"/>
  <c r="D101" i="2"/>
  <c r="C101" i="2"/>
  <c r="N101" i="2"/>
  <c r="E149" i="9" s="1"/>
  <c r="B101" i="2"/>
  <c r="D100" i="21"/>
  <c r="I100" i="21" s="1"/>
  <c r="C148" i="9"/>
  <c r="G100" i="2"/>
  <c r="A118" i="22"/>
  <c r="B100" i="21"/>
  <c r="I99" i="2"/>
  <c r="F99" i="21" s="1"/>
  <c r="L99" i="2"/>
  <c r="H99" i="21"/>
  <c r="G99" i="21"/>
  <c r="B108" i="11"/>
  <c r="D108" i="11" s="1"/>
  <c r="E108" i="11" s="1"/>
  <c r="F108" i="11" s="1"/>
  <c r="F148" i="9"/>
  <c r="K100" i="2"/>
  <c r="C100" i="21"/>
  <c r="B148" i="9"/>
  <c r="C108" i="11" s="1"/>
  <c r="G108" i="11" s="1"/>
  <c r="F100" i="2"/>
  <c r="E100" i="21"/>
  <c r="J100" i="21" s="1"/>
  <c r="D148" i="9"/>
  <c r="H100" i="2"/>
  <c r="A119" i="22" l="1"/>
  <c r="B101" i="21"/>
  <c r="B109" i="11"/>
  <c r="D109" i="11" s="1"/>
  <c r="E109" i="11" s="1"/>
  <c r="F109" i="11" s="1"/>
  <c r="F149" i="9"/>
  <c r="C101" i="21"/>
  <c r="B149" i="9"/>
  <c r="C109" i="11" s="1"/>
  <c r="F101" i="2"/>
  <c r="J101" i="2"/>
  <c r="E101" i="21"/>
  <c r="J101" i="21" s="1"/>
  <c r="D149" i="9"/>
  <c r="H101" i="2"/>
  <c r="G100" i="21"/>
  <c r="H100" i="21"/>
  <c r="I100" i="2"/>
  <c r="F100" i="21" s="1"/>
  <c r="L100" i="2"/>
  <c r="D101" i="21"/>
  <c r="I101" i="21" s="1"/>
  <c r="C149" i="9"/>
  <c r="G101" i="2"/>
  <c r="K101" i="2"/>
  <c r="A102" i="21"/>
  <c r="A150" i="9"/>
  <c r="A110" i="11" s="1"/>
  <c r="A103" i="2"/>
  <c r="E102" i="2"/>
  <c r="P102" i="2"/>
  <c r="D102" i="2"/>
  <c r="N102" i="2"/>
  <c r="E150" i="9" s="1"/>
  <c r="C102" i="2"/>
  <c r="B102" i="2"/>
  <c r="F150" i="9" l="1"/>
  <c r="B110" i="11"/>
  <c r="D110" i="11" s="1"/>
  <c r="E110" i="11" s="1"/>
  <c r="F110" i="11" s="1"/>
  <c r="A103" i="21"/>
  <c r="A151" i="9"/>
  <c r="A111" i="11" s="1"/>
  <c r="E103" i="2"/>
  <c r="A2" i="1"/>
  <c r="G10" i="1"/>
  <c r="P103" i="2"/>
  <c r="C9" i="27" s="1"/>
  <c r="D103" i="2"/>
  <c r="N103" i="2"/>
  <c r="E151" i="9" s="1"/>
  <c r="C103" i="2"/>
  <c r="J103" i="2" s="1"/>
  <c r="B103" i="2"/>
  <c r="C5" i="4"/>
  <c r="C19" i="3"/>
  <c r="C12" i="3"/>
  <c r="A13" i="1"/>
  <c r="D53" i="8"/>
  <c r="C11" i="3"/>
  <c r="C16" i="3"/>
  <c r="C15" i="3"/>
  <c r="C7" i="3"/>
  <c r="C8" i="3"/>
  <c r="E52" i="8"/>
  <c r="E53" i="8"/>
  <c r="D5" i="4"/>
  <c r="D7" i="4"/>
  <c r="D52" i="8"/>
  <c r="E5" i="4"/>
  <c r="C14" i="3"/>
  <c r="C18" i="3"/>
  <c r="C13" i="3"/>
  <c r="C17" i="3"/>
  <c r="C5" i="3"/>
  <c r="C6" i="3"/>
  <c r="C9" i="3"/>
  <c r="B5" i="4"/>
  <c r="C10" i="3"/>
  <c r="B6" i="4"/>
  <c r="C7" i="4"/>
  <c r="E9" i="4"/>
  <c r="E7" i="4"/>
  <c r="B8" i="4"/>
  <c r="B7" i="4"/>
  <c r="F7" i="4" s="1"/>
  <c r="D9" i="4"/>
  <c r="C8" i="4"/>
  <c r="D8" i="4"/>
  <c r="E8" i="4"/>
  <c r="B9" i="4"/>
  <c r="I101" i="2"/>
  <c r="F101" i="21" s="1"/>
  <c r="L101" i="2"/>
  <c r="D102" i="21"/>
  <c r="I102" i="21" s="1"/>
  <c r="C150" i="9"/>
  <c r="G102" i="2"/>
  <c r="K103" i="2"/>
  <c r="G109" i="11"/>
  <c r="A120" i="22"/>
  <c r="B102" i="21"/>
  <c r="O101" i="2"/>
  <c r="M101" i="2"/>
  <c r="H101" i="21"/>
  <c r="G101" i="21"/>
  <c r="C102" i="21"/>
  <c r="B150" i="9"/>
  <c r="C110" i="11" s="1"/>
  <c r="G110" i="11" s="1"/>
  <c r="F102" i="2"/>
  <c r="J102" i="2"/>
  <c r="E102" i="21"/>
  <c r="J102" i="21" s="1"/>
  <c r="D150" i="9"/>
  <c r="H102" i="2"/>
  <c r="K102" i="2"/>
  <c r="G9" i="1" l="1"/>
  <c r="O103" i="2"/>
  <c r="M103" i="2"/>
  <c r="I102" i="2"/>
  <c r="F102" i="21" s="1"/>
  <c r="L102" i="2"/>
  <c r="D9" i="3"/>
  <c r="G9" i="3"/>
  <c r="F9" i="3"/>
  <c r="E9" i="3"/>
  <c r="A121" i="22"/>
  <c r="B103" i="21"/>
  <c r="G8" i="4"/>
  <c r="F8" i="4"/>
  <c r="G6" i="3"/>
  <c r="D6" i="3"/>
  <c r="F6" i="3"/>
  <c r="E6" i="3"/>
  <c r="H6" i="3" s="1"/>
  <c r="G18" i="3"/>
  <c r="D18" i="3"/>
  <c r="F18" i="3"/>
  <c r="E18" i="3"/>
  <c r="H18" i="3" s="1"/>
  <c r="D8" i="3"/>
  <c r="E8" i="3"/>
  <c r="G8" i="3"/>
  <c r="F8" i="3"/>
  <c r="D11" i="3"/>
  <c r="G11" i="3"/>
  <c r="F11" i="3"/>
  <c r="E11" i="3"/>
  <c r="H11" i="3" s="1"/>
  <c r="D19" i="3"/>
  <c r="E19" i="3"/>
  <c r="H19" i="3" s="1"/>
  <c r="G19" i="3"/>
  <c r="F19" i="3"/>
  <c r="B111" i="11"/>
  <c r="D111" i="11" s="1"/>
  <c r="E111" i="11" s="1"/>
  <c r="F111" i="11" s="1"/>
  <c r="F151" i="9"/>
  <c r="B6" i="9"/>
  <c r="B11" i="9"/>
  <c r="B22" i="9"/>
  <c r="B18" i="9"/>
  <c r="B20" i="9"/>
  <c r="G7" i="4"/>
  <c r="D13" i="3"/>
  <c r="F13" i="3"/>
  <c r="E13" i="3"/>
  <c r="H13" i="3" s="1"/>
  <c r="G13" i="3"/>
  <c r="H52" i="8"/>
  <c r="F52" i="8"/>
  <c r="G52" i="8" s="1"/>
  <c r="D16" i="3"/>
  <c r="E16" i="3"/>
  <c r="H16" i="3" s="1"/>
  <c r="F16" i="3"/>
  <c r="G16" i="3"/>
  <c r="D12" i="3"/>
  <c r="E12" i="3"/>
  <c r="H12" i="3" s="1"/>
  <c r="G12" i="3"/>
  <c r="F12" i="3"/>
  <c r="M100" i="21"/>
  <c r="D118" i="22" s="1"/>
  <c r="H102" i="21"/>
  <c r="G102" i="21"/>
  <c r="C14" i="27"/>
  <c r="G10" i="3"/>
  <c r="D10" i="3"/>
  <c r="F10" i="3"/>
  <c r="E10" i="3"/>
  <c r="H10" i="3" s="1"/>
  <c r="D5" i="3"/>
  <c r="G5" i="3"/>
  <c r="E5" i="3"/>
  <c r="F5" i="3"/>
  <c r="G14" i="3"/>
  <c r="D14" i="3"/>
  <c r="F14" i="3"/>
  <c r="E14" i="3"/>
  <c r="H14" i="3" s="1"/>
  <c r="D7" i="3"/>
  <c r="E7" i="3"/>
  <c r="H7" i="3" s="1"/>
  <c r="G7" i="3"/>
  <c r="F7" i="3"/>
  <c r="F53" i="8"/>
  <c r="G53" i="8" s="1"/>
  <c r="G5" i="4"/>
  <c r="D103" i="21"/>
  <c r="I103" i="21" s="1"/>
  <c r="C151" i="9"/>
  <c r="C21" i="9" s="1"/>
  <c r="C11" i="8"/>
  <c r="C12" i="8"/>
  <c r="C8" i="8"/>
  <c r="C9" i="8"/>
  <c r="C6" i="8"/>
  <c r="B40" i="8"/>
  <c r="C40" i="8" s="1"/>
  <c r="C15" i="8"/>
  <c r="C10" i="8"/>
  <c r="C5" i="8"/>
  <c r="G103" i="2"/>
  <c r="C14" i="8"/>
  <c r="C7" i="8"/>
  <c r="C13" i="8"/>
  <c r="B42" i="8"/>
  <c r="C42" i="8" s="1"/>
  <c r="C16" i="8"/>
  <c r="B41" i="8"/>
  <c r="C41" i="8" s="1"/>
  <c r="D6" i="4"/>
  <c r="D10" i="4" s="1"/>
  <c r="B43" i="8"/>
  <c r="C43" i="8" s="1"/>
  <c r="B44" i="8"/>
  <c r="C44" i="8" s="1"/>
  <c r="B45" i="8"/>
  <c r="C45" i="8" s="1"/>
  <c r="B46" i="8"/>
  <c r="C46" i="8" s="1"/>
  <c r="E103" i="21"/>
  <c r="J103" i="21" s="1"/>
  <c r="M96" i="21" s="1"/>
  <c r="D114" i="22" s="1"/>
  <c r="D151" i="9"/>
  <c r="D10" i="8"/>
  <c r="D16" i="8"/>
  <c r="D9" i="8"/>
  <c r="E6" i="4"/>
  <c r="H103" i="2"/>
  <c r="D8" i="8"/>
  <c r="D7" i="8"/>
  <c r="D11" i="8"/>
  <c r="D6" i="8"/>
  <c r="D5" i="8"/>
  <c r="D15" i="8"/>
  <c r="D13" i="8"/>
  <c r="D12" i="8"/>
  <c r="D14" i="8"/>
  <c r="C103" i="21"/>
  <c r="B151" i="9"/>
  <c r="C111" i="11" s="1"/>
  <c r="B39" i="8"/>
  <c r="B6" i="8"/>
  <c r="B8" i="8"/>
  <c r="B16" i="8"/>
  <c r="E9" i="1"/>
  <c r="E10" i="1" s="1"/>
  <c r="B13" i="8"/>
  <c r="B20" i="8" s="1"/>
  <c r="B15" i="8"/>
  <c r="B12" i="8"/>
  <c r="B14" i="8"/>
  <c r="B10" i="8"/>
  <c r="F103" i="2"/>
  <c r="B5" i="8"/>
  <c r="B9" i="8"/>
  <c r="B11" i="8"/>
  <c r="B7" i="8"/>
  <c r="C6" i="4"/>
  <c r="O102" i="2"/>
  <c r="H53" i="8" s="1"/>
  <c r="M102" i="2"/>
  <c r="M98" i="21"/>
  <c r="D116" i="22" s="1"/>
  <c r="M97" i="21"/>
  <c r="D115" i="22" s="1"/>
  <c r="L102" i="21"/>
  <c r="C120" i="22" s="1"/>
  <c r="L95" i="21"/>
  <c r="C113" i="22" s="1"/>
  <c r="C9" i="4"/>
  <c r="F5" i="4"/>
  <c r="B10" i="4"/>
  <c r="D17" i="3"/>
  <c r="G17" i="3"/>
  <c r="E17" i="3"/>
  <c r="H17" i="3" s="1"/>
  <c r="F17" i="3"/>
  <c r="E10" i="4"/>
  <c r="D15" i="3"/>
  <c r="E15" i="3"/>
  <c r="H15" i="3" s="1"/>
  <c r="F15" i="3"/>
  <c r="G15" i="3"/>
  <c r="B30" i="8"/>
  <c r="C30" i="8" s="1"/>
  <c r="B34" i="8"/>
  <c r="C34" i="8" s="1"/>
  <c r="D32" i="8"/>
  <c r="E29" i="8"/>
  <c r="D29" i="8"/>
  <c r="D28" i="8"/>
  <c r="E32" i="8"/>
  <c r="E30" i="8"/>
  <c r="B28" i="8"/>
  <c r="C28" i="8" s="1"/>
  <c r="D31" i="8"/>
  <c r="E33" i="8"/>
  <c r="B31" i="8"/>
  <c r="C31" i="8" s="1"/>
  <c r="B32" i="8"/>
  <c r="C32" i="8" s="1"/>
  <c r="D34" i="8"/>
  <c r="D30" i="8"/>
  <c r="E31" i="8"/>
  <c r="E34" i="8"/>
  <c r="E28" i="8"/>
  <c r="D33" i="8"/>
  <c r="B33" i="8"/>
  <c r="C33" i="8" s="1"/>
  <c r="B29" i="8"/>
  <c r="C29" i="8" s="1"/>
  <c r="L100" i="21"/>
  <c r="C118" i="22" s="1"/>
  <c r="G46" i="9" l="1"/>
  <c r="B46" i="9"/>
  <c r="G6" i="4"/>
  <c r="G111" i="11"/>
  <c r="J9" i="11" s="1"/>
  <c r="J11" i="11" s="1"/>
  <c r="J17" i="11"/>
  <c r="K17" i="11"/>
  <c r="J16" i="11"/>
  <c r="K16" i="11"/>
  <c r="K18" i="11" s="1"/>
  <c r="J10" i="11"/>
  <c r="L103" i="21"/>
  <c r="C121" i="22" s="1"/>
  <c r="L5" i="21"/>
  <c r="C23" i="22" s="1"/>
  <c r="X17" i="22" s="1"/>
  <c r="L7" i="21"/>
  <c r="C25" i="22" s="1"/>
  <c r="L9" i="21"/>
  <c r="C27" i="22" s="1"/>
  <c r="L6" i="21"/>
  <c r="C24" i="22" s="1"/>
  <c r="L8" i="21"/>
  <c r="C26" i="22" s="1"/>
  <c r="L12" i="21"/>
  <c r="C30" i="22" s="1"/>
  <c r="L10" i="21"/>
  <c r="C28" i="22" s="1"/>
  <c r="L11" i="21"/>
  <c r="C29" i="22" s="1"/>
  <c r="L16" i="21"/>
  <c r="C34" i="22" s="1"/>
  <c r="L14" i="21"/>
  <c r="C32" i="22" s="1"/>
  <c r="L13" i="21"/>
  <c r="C31" i="22" s="1"/>
  <c r="L15" i="21"/>
  <c r="C33" i="22" s="1"/>
  <c r="L17" i="21"/>
  <c r="C35" i="22" s="1"/>
  <c r="L18" i="21"/>
  <c r="C36" i="22" s="1"/>
  <c r="L22" i="21"/>
  <c r="C40" i="22" s="1"/>
  <c r="L19" i="21"/>
  <c r="C37" i="22" s="1"/>
  <c r="L20" i="21"/>
  <c r="C38" i="22" s="1"/>
  <c r="L21" i="21"/>
  <c r="C39" i="22" s="1"/>
  <c r="L23" i="21"/>
  <c r="C41" i="22" s="1"/>
  <c r="L24" i="21"/>
  <c r="C42" i="22" s="1"/>
  <c r="L25" i="21"/>
  <c r="C43" i="22" s="1"/>
  <c r="L26" i="21"/>
  <c r="C44" i="22" s="1"/>
  <c r="L30" i="21"/>
  <c r="C48" i="22" s="1"/>
  <c r="L28" i="21"/>
  <c r="C46" i="22" s="1"/>
  <c r="L29" i="21"/>
  <c r="C47" i="22" s="1"/>
  <c r="L27" i="21"/>
  <c r="C45" i="22" s="1"/>
  <c r="L32" i="21"/>
  <c r="C50" i="22" s="1"/>
  <c r="L31" i="21"/>
  <c r="C49" i="22" s="1"/>
  <c r="L34" i="21"/>
  <c r="C52" i="22" s="1"/>
  <c r="L33" i="21"/>
  <c r="C51" i="22" s="1"/>
  <c r="L35" i="21"/>
  <c r="C53" i="22" s="1"/>
  <c r="L39" i="21"/>
  <c r="C57" i="22" s="1"/>
  <c r="L36" i="21"/>
  <c r="C54" i="22" s="1"/>
  <c r="L37" i="21"/>
  <c r="C55" i="22" s="1"/>
  <c r="L38" i="21"/>
  <c r="C56" i="22" s="1"/>
  <c r="L41" i="21"/>
  <c r="C59" i="22" s="1"/>
  <c r="L44" i="21"/>
  <c r="C62" i="22" s="1"/>
  <c r="L40" i="21"/>
  <c r="C58" i="22" s="1"/>
  <c r="L42" i="21"/>
  <c r="C60" i="22" s="1"/>
  <c r="L43" i="21"/>
  <c r="C61" i="22" s="1"/>
  <c r="L45" i="21"/>
  <c r="C63" i="22" s="1"/>
  <c r="L47" i="21"/>
  <c r="C65" i="22" s="1"/>
  <c r="L49" i="21"/>
  <c r="C67" i="22" s="1"/>
  <c r="L50" i="21"/>
  <c r="C68" i="22" s="1"/>
  <c r="L46" i="21"/>
  <c r="C64" i="22" s="1"/>
  <c r="L48" i="21"/>
  <c r="C66" i="22" s="1"/>
  <c r="L52" i="21"/>
  <c r="C70" i="22" s="1"/>
  <c r="L51" i="21"/>
  <c r="C69" i="22" s="1"/>
  <c r="L54" i="21"/>
  <c r="C72" i="22" s="1"/>
  <c r="L53" i="21"/>
  <c r="C71" i="22" s="1"/>
  <c r="L55" i="21"/>
  <c r="C73" i="22" s="1"/>
  <c r="L58" i="21"/>
  <c r="C76" i="22" s="1"/>
  <c r="L56" i="21"/>
  <c r="C74" i="22" s="1"/>
  <c r="L57" i="21"/>
  <c r="C75" i="22" s="1"/>
  <c r="L59" i="21"/>
  <c r="C77" i="22" s="1"/>
  <c r="L64" i="21"/>
  <c r="C82" i="22" s="1"/>
  <c r="L60" i="21"/>
  <c r="C78" i="22" s="1"/>
  <c r="L62" i="21"/>
  <c r="C80" i="22" s="1"/>
  <c r="L61" i="21"/>
  <c r="C79" i="22" s="1"/>
  <c r="L66" i="21"/>
  <c r="C84" i="22" s="1"/>
  <c r="L65" i="21"/>
  <c r="C83" i="22" s="1"/>
  <c r="L63" i="21"/>
  <c r="C81" i="22" s="1"/>
  <c r="L67" i="21"/>
  <c r="C85" i="22" s="1"/>
  <c r="L68" i="21"/>
  <c r="C86" i="22" s="1"/>
  <c r="L70" i="21"/>
  <c r="C88" i="22" s="1"/>
  <c r="L69" i="21"/>
  <c r="C87" i="22" s="1"/>
  <c r="L71" i="21"/>
  <c r="C89" i="22" s="1"/>
  <c r="L73" i="21"/>
  <c r="C91" i="22" s="1"/>
  <c r="L75" i="21"/>
  <c r="C93" i="22" s="1"/>
  <c r="L72" i="21"/>
  <c r="C90" i="22" s="1"/>
  <c r="L74" i="21"/>
  <c r="C92" i="22" s="1"/>
  <c r="L78" i="21"/>
  <c r="C96" i="22" s="1"/>
  <c r="L76" i="21"/>
  <c r="C94" i="22" s="1"/>
  <c r="L77" i="21"/>
  <c r="C95" i="22" s="1"/>
  <c r="L79" i="21"/>
  <c r="C97" i="22" s="1"/>
  <c r="L80" i="21"/>
  <c r="C98" i="22" s="1"/>
  <c r="L82" i="21"/>
  <c r="C100" i="22" s="1"/>
  <c r="L84" i="21"/>
  <c r="C102" i="22" s="1"/>
  <c r="L81" i="21"/>
  <c r="C99" i="22" s="1"/>
  <c r="L83" i="21"/>
  <c r="C101" i="22" s="1"/>
  <c r="L86" i="21"/>
  <c r="C104" i="22" s="1"/>
  <c r="L85" i="21"/>
  <c r="C103" i="22" s="1"/>
  <c r="L87" i="21"/>
  <c r="C105" i="22" s="1"/>
  <c r="L90" i="21"/>
  <c r="C108" i="22" s="1"/>
  <c r="L88" i="21"/>
  <c r="C106" i="22" s="1"/>
  <c r="L89" i="21"/>
  <c r="C107" i="22" s="1"/>
  <c r="L91" i="21"/>
  <c r="C109" i="22" s="1"/>
  <c r="L93" i="21"/>
  <c r="C111" i="22" s="1"/>
  <c r="L92" i="21"/>
  <c r="C110" i="22" s="1"/>
  <c r="L94" i="21"/>
  <c r="C112" i="22" s="1"/>
  <c r="L101" i="21"/>
  <c r="C119" i="22" s="1"/>
  <c r="L96" i="21"/>
  <c r="C114" i="22" s="1"/>
  <c r="L99" i="21"/>
  <c r="C117" i="22" s="1"/>
  <c r="L97" i="21"/>
  <c r="C115" i="22" s="1"/>
  <c r="E20" i="3"/>
  <c r="H5" i="3"/>
  <c r="B27" i="9"/>
  <c r="B23" i="9" s="1"/>
  <c r="C46" i="9" s="1"/>
  <c r="C18" i="9"/>
  <c r="D18" i="9" s="1"/>
  <c r="E18" i="9" s="1"/>
  <c r="C20" i="9"/>
  <c r="C6" i="9"/>
  <c r="B24" i="9"/>
  <c r="D46" i="9" s="1"/>
  <c r="F6" i="4"/>
  <c r="H7" i="4" s="1"/>
  <c r="Y17" i="22"/>
  <c r="Y16" i="22"/>
  <c r="Z17" i="22"/>
  <c r="Y18" i="22"/>
  <c r="J9" i="3"/>
  <c r="I9" i="3"/>
  <c r="H140" i="9"/>
  <c r="H138" i="9"/>
  <c r="H123" i="9"/>
  <c r="H107" i="9"/>
  <c r="H91" i="9"/>
  <c r="H75" i="9"/>
  <c r="H59" i="9"/>
  <c r="H139" i="9"/>
  <c r="H118" i="9"/>
  <c r="H102" i="9"/>
  <c r="H86" i="9"/>
  <c r="H70" i="9"/>
  <c r="H54" i="9"/>
  <c r="H121" i="9"/>
  <c r="H89" i="9"/>
  <c r="H57" i="9"/>
  <c r="H68" i="9"/>
  <c r="H120" i="9"/>
  <c r="H88" i="9"/>
  <c r="H56" i="9"/>
  <c r="H133" i="9"/>
  <c r="H101" i="9"/>
  <c r="H69" i="9"/>
  <c r="H132" i="9"/>
  <c r="H92" i="9"/>
  <c r="J17" i="3"/>
  <c r="I17" i="3"/>
  <c r="L98" i="21"/>
  <c r="C116" i="22" s="1"/>
  <c r="I103" i="2"/>
  <c r="F103" i="21" s="1"/>
  <c r="L103" i="2"/>
  <c r="H103" i="21"/>
  <c r="G103" i="21"/>
  <c r="M103" i="21"/>
  <c r="D121" i="22" s="1"/>
  <c r="M5" i="21"/>
  <c r="D23" i="22" s="1"/>
  <c r="X18" i="22" s="1"/>
  <c r="M6" i="21"/>
  <c r="D24" i="22" s="1"/>
  <c r="M7" i="21"/>
  <c r="D25" i="22" s="1"/>
  <c r="M8" i="21"/>
  <c r="D26" i="22" s="1"/>
  <c r="M10" i="21"/>
  <c r="D28" i="22" s="1"/>
  <c r="M9" i="21"/>
  <c r="D27" i="22" s="1"/>
  <c r="M11" i="21"/>
  <c r="D29" i="22" s="1"/>
  <c r="M12" i="21"/>
  <c r="D30" i="22" s="1"/>
  <c r="M13" i="21"/>
  <c r="D31" i="22" s="1"/>
  <c r="M14" i="21"/>
  <c r="D32" i="22" s="1"/>
  <c r="M15" i="21"/>
  <c r="D33" i="22" s="1"/>
  <c r="M16" i="21"/>
  <c r="D34" i="22" s="1"/>
  <c r="M17" i="21"/>
  <c r="D35" i="22" s="1"/>
  <c r="M18" i="21"/>
  <c r="D36" i="22" s="1"/>
  <c r="M20" i="21"/>
  <c r="D38" i="22" s="1"/>
  <c r="M19" i="21"/>
  <c r="D37" i="22" s="1"/>
  <c r="M22" i="21"/>
  <c r="D40" i="22" s="1"/>
  <c r="M21" i="21"/>
  <c r="D39" i="22" s="1"/>
  <c r="M23" i="21"/>
  <c r="D41" i="22" s="1"/>
  <c r="M24" i="21"/>
  <c r="D42" i="22" s="1"/>
  <c r="M26" i="21"/>
  <c r="D44" i="22" s="1"/>
  <c r="M27" i="21"/>
  <c r="D45" i="22" s="1"/>
  <c r="M25" i="21"/>
  <c r="D43" i="22" s="1"/>
  <c r="M29" i="21"/>
  <c r="D47" i="22" s="1"/>
  <c r="M28" i="21"/>
  <c r="D46" i="22" s="1"/>
  <c r="M31" i="21"/>
  <c r="D49" i="22" s="1"/>
  <c r="M33" i="21"/>
  <c r="D51" i="22" s="1"/>
  <c r="M30" i="21"/>
  <c r="D48" i="22" s="1"/>
  <c r="M32" i="21"/>
  <c r="D50" i="22" s="1"/>
  <c r="M35" i="21"/>
  <c r="D53" i="22" s="1"/>
  <c r="M38" i="21"/>
  <c r="D56" i="22" s="1"/>
  <c r="M37" i="21"/>
  <c r="D55" i="22" s="1"/>
  <c r="M34" i="21"/>
  <c r="D52" i="22" s="1"/>
  <c r="M36" i="21"/>
  <c r="D54" i="22" s="1"/>
  <c r="M39" i="21"/>
  <c r="D57" i="22" s="1"/>
  <c r="M40" i="21"/>
  <c r="D58" i="22" s="1"/>
  <c r="M42" i="21"/>
  <c r="D60" i="22" s="1"/>
  <c r="M41" i="21"/>
  <c r="D59" i="22" s="1"/>
  <c r="M43" i="21"/>
  <c r="D61" i="22" s="1"/>
  <c r="M45" i="21"/>
  <c r="D63" i="22" s="1"/>
  <c r="M44" i="21"/>
  <c r="D62" i="22" s="1"/>
  <c r="M47" i="21"/>
  <c r="D65" i="22" s="1"/>
  <c r="M46" i="21"/>
  <c r="D64" i="22" s="1"/>
  <c r="M48" i="21"/>
  <c r="D66" i="22" s="1"/>
  <c r="M49" i="21"/>
  <c r="D67" i="22" s="1"/>
  <c r="M51" i="21"/>
  <c r="D69" i="22" s="1"/>
  <c r="M50" i="21"/>
  <c r="D68" i="22" s="1"/>
  <c r="M53" i="21"/>
  <c r="D71" i="22" s="1"/>
  <c r="M52" i="21"/>
  <c r="D70" i="22" s="1"/>
  <c r="M54" i="21"/>
  <c r="D72" i="22" s="1"/>
  <c r="M56" i="21"/>
  <c r="D74" i="22" s="1"/>
  <c r="M55" i="21"/>
  <c r="D73" i="22" s="1"/>
  <c r="M58" i="21"/>
  <c r="D76" i="22" s="1"/>
  <c r="M57" i="21"/>
  <c r="D75" i="22" s="1"/>
  <c r="M59" i="21"/>
  <c r="D77" i="22" s="1"/>
  <c r="M62" i="21"/>
  <c r="D80" i="22" s="1"/>
  <c r="M60" i="21"/>
  <c r="D78" i="22" s="1"/>
  <c r="M61" i="21"/>
  <c r="D79" i="22" s="1"/>
  <c r="M63" i="21"/>
  <c r="D81" i="22" s="1"/>
  <c r="M64" i="21"/>
  <c r="D82" i="22" s="1"/>
  <c r="M65" i="21"/>
  <c r="D83" i="22" s="1"/>
  <c r="M67" i="21"/>
  <c r="D85" i="22" s="1"/>
  <c r="M66" i="21"/>
  <c r="D84" i="22" s="1"/>
  <c r="M69" i="21"/>
  <c r="D87" i="22" s="1"/>
  <c r="M68" i="21"/>
  <c r="D86" i="22" s="1"/>
  <c r="M71" i="21"/>
  <c r="D89" i="22" s="1"/>
  <c r="M70" i="21"/>
  <c r="D88" i="22" s="1"/>
  <c r="M75" i="21"/>
  <c r="D93" i="22" s="1"/>
  <c r="M72" i="21"/>
  <c r="D90" i="22" s="1"/>
  <c r="M73" i="21"/>
  <c r="D91" i="22" s="1"/>
  <c r="Z18" i="22" s="1"/>
  <c r="M74" i="21"/>
  <c r="D92" i="22" s="1"/>
  <c r="M76" i="21"/>
  <c r="D94" i="22" s="1"/>
  <c r="M78" i="21"/>
  <c r="D96" i="22" s="1"/>
  <c r="M77" i="21"/>
  <c r="D95" i="22" s="1"/>
  <c r="M79" i="21"/>
  <c r="D97" i="22" s="1"/>
  <c r="M81" i="21"/>
  <c r="D99" i="22" s="1"/>
  <c r="M80" i="21"/>
  <c r="D98" i="22" s="1"/>
  <c r="M82" i="21"/>
  <c r="D100" i="22" s="1"/>
  <c r="M83" i="21"/>
  <c r="D101" i="22" s="1"/>
  <c r="M84" i="21"/>
  <c r="D102" i="22" s="1"/>
  <c r="M85" i="21"/>
  <c r="D103" i="22" s="1"/>
  <c r="M86" i="21"/>
  <c r="D104" i="22" s="1"/>
  <c r="M87" i="21"/>
  <c r="D105" i="22" s="1"/>
  <c r="M89" i="21"/>
  <c r="D107" i="22" s="1"/>
  <c r="M88" i="21"/>
  <c r="D106" i="22" s="1"/>
  <c r="M90" i="21"/>
  <c r="D108" i="22" s="1"/>
  <c r="M91" i="21"/>
  <c r="D109" i="22" s="1"/>
  <c r="M93" i="21"/>
  <c r="D111" i="22" s="1"/>
  <c r="M92" i="21"/>
  <c r="D110" i="22" s="1"/>
  <c r="M94" i="21"/>
  <c r="D112" i="22" s="1"/>
  <c r="M95" i="21"/>
  <c r="D113" i="22" s="1"/>
  <c r="M101" i="21"/>
  <c r="D119" i="22" s="1"/>
  <c r="I7" i="3"/>
  <c r="J7" i="3"/>
  <c r="J14" i="3"/>
  <c r="I14" i="3"/>
  <c r="G20" i="3"/>
  <c r="J10" i="3"/>
  <c r="I10" i="3"/>
  <c r="M99" i="21"/>
  <c r="D117" i="22" s="1"/>
  <c r="M102" i="21"/>
  <c r="D120" i="22" s="1"/>
  <c r="I12" i="3"/>
  <c r="J12" i="3"/>
  <c r="I16" i="3"/>
  <c r="J16" i="3"/>
  <c r="B21" i="9"/>
  <c r="D21" i="9" s="1"/>
  <c r="E21" i="9" s="1"/>
  <c r="B10" i="9"/>
  <c r="D45" i="9" s="1"/>
  <c r="B25" i="9"/>
  <c r="B26" i="9" s="1"/>
  <c r="E46" i="9" s="1"/>
  <c r="B8" i="9"/>
  <c r="C19" i="9"/>
  <c r="K99" i="21"/>
  <c r="B117" i="22" s="1"/>
  <c r="H9" i="3"/>
  <c r="H8" i="4"/>
  <c r="G149" i="9"/>
  <c r="G150" i="9"/>
  <c r="G132" i="9"/>
  <c r="G116" i="9"/>
  <c r="G100" i="9"/>
  <c r="G84" i="9"/>
  <c r="G68" i="9"/>
  <c r="D6" i="9"/>
  <c r="E6" i="9" s="1"/>
  <c r="G135" i="9"/>
  <c r="G119" i="9"/>
  <c r="G103" i="9"/>
  <c r="G87" i="9"/>
  <c r="G71" i="9"/>
  <c r="G55" i="9"/>
  <c r="G122" i="9"/>
  <c r="G90" i="9"/>
  <c r="G58" i="9"/>
  <c r="G109" i="9"/>
  <c r="G53" i="9"/>
  <c r="G113" i="9"/>
  <c r="G81" i="9"/>
  <c r="G117" i="9"/>
  <c r="G110" i="9"/>
  <c r="G78" i="9"/>
  <c r="G140" i="9"/>
  <c r="B34" i="9"/>
  <c r="D34" i="9" s="1"/>
  <c r="E34" i="9" s="1"/>
  <c r="C34" i="9"/>
  <c r="B38" i="9"/>
  <c r="B35" i="9"/>
  <c r="B37" i="9"/>
  <c r="D47" i="9" s="1"/>
  <c r="B32" i="9"/>
  <c r="B33" i="9"/>
  <c r="B40" i="9"/>
  <c r="C33" i="9"/>
  <c r="C32" i="9"/>
  <c r="H8" i="3"/>
  <c r="J18" i="3"/>
  <c r="I18" i="3"/>
  <c r="J6" i="3"/>
  <c r="I6" i="3"/>
  <c r="B21" i="8"/>
  <c r="B22" i="8"/>
  <c r="B23" i="8"/>
  <c r="J5" i="3"/>
  <c r="D20" i="3"/>
  <c r="D20" i="9"/>
  <c r="E20" i="9" s="1"/>
  <c r="I15" i="3"/>
  <c r="J15" i="3"/>
  <c r="G9" i="4"/>
  <c r="C39" i="8"/>
  <c r="B47" i="8"/>
  <c r="A19" i="1"/>
  <c r="C10" i="4"/>
  <c r="F20" i="3"/>
  <c r="F9" i="4"/>
  <c r="H9" i="4" s="1"/>
  <c r="K102" i="21"/>
  <c r="B120" i="22" s="1"/>
  <c r="K98" i="21"/>
  <c r="B116" i="22" s="1"/>
  <c r="J13" i="3"/>
  <c r="I13" i="3"/>
  <c r="B13" i="9"/>
  <c r="B12" i="9" s="1"/>
  <c r="E45" i="9" s="1"/>
  <c r="B19" i="9"/>
  <c r="D19" i="9" s="1"/>
  <c r="E19" i="9" s="1"/>
  <c r="B7" i="9"/>
  <c r="C7" i="9"/>
  <c r="I19" i="3"/>
  <c r="J19" i="3"/>
  <c r="I11" i="3"/>
  <c r="J11" i="3"/>
  <c r="I8" i="3"/>
  <c r="J8" i="3"/>
  <c r="A14" i="1"/>
  <c r="G45" i="9" l="1"/>
  <c r="D7" i="9"/>
  <c r="E7" i="9" s="1"/>
  <c r="H6" i="4"/>
  <c r="B47" i="9"/>
  <c r="B36" i="9"/>
  <c r="C47" i="9" s="1"/>
  <c r="G47" i="9"/>
  <c r="G69" i="9"/>
  <c r="G54" i="9"/>
  <c r="G86" i="9"/>
  <c r="G118" i="9"/>
  <c r="G57" i="9"/>
  <c r="G89" i="9"/>
  <c r="G121" i="9"/>
  <c r="G61" i="9"/>
  <c r="G125" i="9"/>
  <c r="G66" i="9"/>
  <c r="G98" i="9"/>
  <c r="G130" i="9"/>
  <c r="G59" i="9"/>
  <c r="G75" i="9"/>
  <c r="G91" i="9"/>
  <c r="G107" i="9"/>
  <c r="G123" i="9"/>
  <c r="G138" i="9"/>
  <c r="G56" i="9"/>
  <c r="G72" i="9"/>
  <c r="G88" i="9"/>
  <c r="G104" i="9"/>
  <c r="G120" i="9"/>
  <c r="G134" i="9"/>
  <c r="G137" i="9"/>
  <c r="K103" i="21"/>
  <c r="B121" i="22" s="1"/>
  <c r="K5" i="21"/>
  <c r="B23" i="22" s="1"/>
  <c r="K7" i="21"/>
  <c r="B25" i="22" s="1"/>
  <c r="K6" i="21"/>
  <c r="B24" i="22" s="1"/>
  <c r="K9" i="21"/>
  <c r="B27" i="22" s="1"/>
  <c r="K8" i="21"/>
  <c r="B26" i="22" s="1"/>
  <c r="K10" i="21"/>
  <c r="B28" i="22" s="1"/>
  <c r="K11" i="21"/>
  <c r="B29" i="22" s="1"/>
  <c r="K13" i="21"/>
  <c r="B31" i="22" s="1"/>
  <c r="K12" i="21"/>
  <c r="B30" i="22" s="1"/>
  <c r="K16" i="21"/>
  <c r="B34" i="22" s="1"/>
  <c r="K15" i="21"/>
  <c r="B33" i="22" s="1"/>
  <c r="K14" i="21"/>
  <c r="B32" i="22" s="1"/>
  <c r="K18" i="21"/>
  <c r="B36" i="22" s="1"/>
  <c r="K20" i="21"/>
  <c r="B38" i="22" s="1"/>
  <c r="K17" i="21"/>
  <c r="B35" i="22" s="1"/>
  <c r="K19" i="21"/>
  <c r="B37" i="22" s="1"/>
  <c r="K22" i="21"/>
  <c r="B40" i="22" s="1"/>
  <c r="K24" i="21"/>
  <c r="B42" i="22" s="1"/>
  <c r="K21" i="21"/>
  <c r="B39" i="22" s="1"/>
  <c r="K23" i="21"/>
  <c r="B41" i="22" s="1"/>
  <c r="K25" i="21"/>
  <c r="B43" i="22" s="1"/>
  <c r="K27" i="21"/>
  <c r="B45" i="22" s="1"/>
  <c r="K26" i="21"/>
  <c r="B44" i="22" s="1"/>
  <c r="K28" i="21"/>
  <c r="B46" i="22" s="1"/>
  <c r="K30" i="21"/>
  <c r="B48" i="22" s="1"/>
  <c r="K33" i="21"/>
  <c r="B51" i="22" s="1"/>
  <c r="K29" i="21"/>
  <c r="B47" i="22" s="1"/>
  <c r="K31" i="21"/>
  <c r="B49" i="22" s="1"/>
  <c r="K32" i="21"/>
  <c r="B50" i="22" s="1"/>
  <c r="K34" i="21"/>
  <c r="B52" i="22" s="1"/>
  <c r="K35" i="21"/>
  <c r="B53" i="22" s="1"/>
  <c r="K37" i="21"/>
  <c r="B55" i="22" s="1"/>
  <c r="K36" i="21"/>
  <c r="B54" i="22" s="1"/>
  <c r="K39" i="21"/>
  <c r="B57" i="22" s="1"/>
  <c r="K38" i="21"/>
  <c r="B56" i="22" s="1"/>
  <c r="K41" i="21"/>
  <c r="B59" i="22" s="1"/>
  <c r="K40" i="21"/>
  <c r="B58" i="22" s="1"/>
  <c r="K43" i="21"/>
  <c r="B61" i="22" s="1"/>
  <c r="K42" i="21"/>
  <c r="B60" i="22" s="1"/>
  <c r="K44" i="21"/>
  <c r="B62" i="22" s="1"/>
  <c r="K46" i="21"/>
  <c r="B64" i="22" s="1"/>
  <c r="K45" i="21"/>
  <c r="B63" i="22" s="1"/>
  <c r="K47" i="21"/>
  <c r="B65" i="22" s="1"/>
  <c r="K48" i="21"/>
  <c r="B66" i="22" s="1"/>
  <c r="K49" i="21"/>
  <c r="B67" i="22" s="1"/>
  <c r="K52" i="21"/>
  <c r="B70" i="22" s="1"/>
  <c r="K50" i="21"/>
  <c r="B68" i="22" s="1"/>
  <c r="K53" i="21"/>
  <c r="B71" i="22" s="1"/>
  <c r="K51" i="21"/>
  <c r="B69" i="22" s="1"/>
  <c r="K56" i="21"/>
  <c r="B74" i="22" s="1"/>
  <c r="K55" i="21"/>
  <c r="B73" i="22" s="1"/>
  <c r="K54" i="21"/>
  <c r="B72" i="22" s="1"/>
  <c r="K58" i="21"/>
  <c r="B76" i="22" s="1"/>
  <c r="K59" i="21"/>
  <c r="B77" i="22" s="1"/>
  <c r="K57" i="21"/>
  <c r="B75" i="22" s="1"/>
  <c r="K60" i="21"/>
  <c r="B78" i="22" s="1"/>
  <c r="K61" i="21"/>
  <c r="B79" i="22" s="1"/>
  <c r="K62" i="21"/>
  <c r="B80" i="22" s="1"/>
  <c r="K65" i="21"/>
  <c r="B83" i="22" s="1"/>
  <c r="K63" i="21"/>
  <c r="B81" i="22" s="1"/>
  <c r="K64" i="21"/>
  <c r="B82" i="22" s="1"/>
  <c r="K66" i="21"/>
  <c r="B84" i="22" s="1"/>
  <c r="K67" i="21"/>
  <c r="B85" i="22" s="1"/>
  <c r="K69" i="21"/>
  <c r="B87" i="22" s="1"/>
  <c r="K68" i="21"/>
  <c r="B86" i="22" s="1"/>
  <c r="K70" i="21"/>
  <c r="B88" i="22" s="1"/>
  <c r="K72" i="21"/>
  <c r="B90" i="22" s="1"/>
  <c r="K71" i="21"/>
  <c r="B89" i="22" s="1"/>
  <c r="K73" i="21"/>
  <c r="B91" i="22" s="1"/>
  <c r="K74" i="21"/>
  <c r="B92" i="22" s="1"/>
  <c r="K76" i="21"/>
  <c r="B94" i="22" s="1"/>
  <c r="K78" i="21"/>
  <c r="B96" i="22" s="1"/>
  <c r="K79" i="21"/>
  <c r="B97" i="22" s="1"/>
  <c r="K75" i="21"/>
  <c r="B93" i="22" s="1"/>
  <c r="K77" i="21"/>
  <c r="B95" i="22" s="1"/>
  <c r="K81" i="21"/>
  <c r="B99" i="22" s="1"/>
  <c r="K80" i="21"/>
  <c r="B98" i="22" s="1"/>
  <c r="K82" i="21"/>
  <c r="B100" i="22" s="1"/>
  <c r="K85" i="21"/>
  <c r="B103" i="22" s="1"/>
  <c r="K84" i="21"/>
  <c r="B102" i="22" s="1"/>
  <c r="K83" i="21"/>
  <c r="B101" i="22" s="1"/>
  <c r="K86" i="21"/>
  <c r="B104" i="22" s="1"/>
  <c r="K88" i="21"/>
  <c r="B106" i="22" s="1"/>
  <c r="K90" i="21"/>
  <c r="B108" i="22" s="1"/>
  <c r="K87" i="21"/>
  <c r="B105" i="22" s="1"/>
  <c r="K89" i="21"/>
  <c r="B107" i="22" s="1"/>
  <c r="K92" i="21"/>
  <c r="B110" i="22" s="1"/>
  <c r="K91" i="21"/>
  <c r="B109" i="22" s="1"/>
  <c r="K93" i="21"/>
  <c r="B111" i="22" s="1"/>
  <c r="K95" i="21"/>
  <c r="B113" i="22" s="1"/>
  <c r="K94" i="21"/>
  <c r="B112" i="22" s="1"/>
  <c r="K96" i="21"/>
  <c r="B114" i="22" s="1"/>
  <c r="K100" i="21"/>
  <c r="B118" i="22" s="1"/>
  <c r="H100" i="9"/>
  <c r="H134" i="9"/>
  <c r="H77" i="9"/>
  <c r="H109" i="9"/>
  <c r="H146" i="9"/>
  <c r="H64" i="9"/>
  <c r="H96" i="9"/>
  <c r="H128" i="9"/>
  <c r="H76" i="9"/>
  <c r="H65" i="9"/>
  <c r="H97" i="9"/>
  <c r="H129" i="9"/>
  <c r="H58" i="9"/>
  <c r="H74" i="9"/>
  <c r="H90" i="9"/>
  <c r="H106" i="9"/>
  <c r="H122" i="9"/>
  <c r="H142" i="9"/>
  <c r="H63" i="9"/>
  <c r="H79" i="9"/>
  <c r="H95" i="9"/>
  <c r="H111" i="9"/>
  <c r="H127" i="9"/>
  <c r="H141" i="9"/>
  <c r="H144" i="9"/>
  <c r="J18" i="11"/>
  <c r="J22" i="11" s="1"/>
  <c r="L16" i="11"/>
  <c r="Y116" i="22"/>
  <c r="F10" i="4"/>
  <c r="I8" i="4"/>
  <c r="A15" i="1" s="1"/>
  <c r="I7" i="4"/>
  <c r="I5" i="4"/>
  <c r="I9" i="4"/>
  <c r="D33" i="9"/>
  <c r="E33" i="9" s="1"/>
  <c r="B39" i="9"/>
  <c r="E47" i="9" s="1"/>
  <c r="G77" i="9"/>
  <c r="G62" i="9"/>
  <c r="G94" i="9"/>
  <c r="G126" i="9"/>
  <c r="G65" i="9"/>
  <c r="G97" i="9"/>
  <c r="G129" i="9"/>
  <c r="G93" i="9"/>
  <c r="G133" i="9"/>
  <c r="G74" i="9"/>
  <c r="G106" i="9"/>
  <c r="G136" i="9"/>
  <c r="G63" i="9"/>
  <c r="G79" i="9"/>
  <c r="G95" i="9"/>
  <c r="G111" i="9"/>
  <c r="G127" i="9"/>
  <c r="G148" i="9"/>
  <c r="G60" i="9"/>
  <c r="G76" i="9"/>
  <c r="G92" i="9"/>
  <c r="G108" i="9"/>
  <c r="G124" i="9"/>
  <c r="G144" i="9"/>
  <c r="G141" i="9"/>
  <c r="B45" i="9"/>
  <c r="B9" i="9"/>
  <c r="C45" i="9" s="1"/>
  <c r="H108" i="9"/>
  <c r="H53" i="9"/>
  <c r="H85" i="9"/>
  <c r="H117" i="9"/>
  <c r="H84" i="9"/>
  <c r="H72" i="9"/>
  <c r="H104" i="9"/>
  <c r="H137" i="9"/>
  <c r="H116" i="9"/>
  <c r="H73" i="9"/>
  <c r="H105" i="9"/>
  <c r="H143" i="9"/>
  <c r="H62" i="9"/>
  <c r="H78" i="9"/>
  <c r="H94" i="9"/>
  <c r="H110" i="9"/>
  <c r="H126" i="9"/>
  <c r="H145" i="9"/>
  <c r="H67" i="9"/>
  <c r="H83" i="9"/>
  <c r="H99" i="9"/>
  <c r="H115" i="9"/>
  <c r="H131" i="9"/>
  <c r="H151" i="9"/>
  <c r="H148" i="9"/>
  <c r="I6" i="4"/>
  <c r="K101" i="21"/>
  <c r="B119" i="22" s="1"/>
  <c r="Y120" i="22"/>
  <c r="I151" i="9"/>
  <c r="I147" i="9"/>
  <c r="I143" i="9"/>
  <c r="I139" i="9"/>
  <c r="I135" i="9"/>
  <c r="I148" i="9"/>
  <c r="I145" i="9"/>
  <c r="I142" i="9"/>
  <c r="I130" i="9"/>
  <c r="I126" i="9"/>
  <c r="I122" i="9"/>
  <c r="I118" i="9"/>
  <c r="I114" i="9"/>
  <c r="I110" i="9"/>
  <c r="I106" i="9"/>
  <c r="I102" i="9"/>
  <c r="I98" i="9"/>
  <c r="I94" i="9"/>
  <c r="I90" i="9"/>
  <c r="I86" i="9"/>
  <c r="I82" i="9"/>
  <c r="I78" i="9"/>
  <c r="I74" i="9"/>
  <c r="I70" i="9"/>
  <c r="I66" i="9"/>
  <c r="I62" i="9"/>
  <c r="I58" i="9"/>
  <c r="I54" i="9"/>
  <c r="D32" i="9"/>
  <c r="E32" i="9" s="1"/>
  <c r="I149" i="9"/>
  <c r="I146" i="9"/>
  <c r="I136" i="9"/>
  <c r="I133" i="9"/>
  <c r="I129" i="9"/>
  <c r="I125" i="9"/>
  <c r="I121" i="9"/>
  <c r="I117" i="9"/>
  <c r="I113" i="9"/>
  <c r="I109" i="9"/>
  <c r="I105" i="9"/>
  <c r="I101" i="9"/>
  <c r="I97" i="9"/>
  <c r="I93" i="9"/>
  <c r="I89" i="9"/>
  <c r="I85" i="9"/>
  <c r="I81" i="9"/>
  <c r="I77" i="9"/>
  <c r="I73" i="9"/>
  <c r="I69" i="9"/>
  <c r="I65" i="9"/>
  <c r="I61" i="9"/>
  <c r="I57" i="9"/>
  <c r="I53" i="9"/>
  <c r="I150" i="9"/>
  <c r="I137" i="9"/>
  <c r="I128" i="9"/>
  <c r="I120" i="9"/>
  <c r="I112" i="9"/>
  <c r="I104" i="9"/>
  <c r="I96" i="9"/>
  <c r="I88" i="9"/>
  <c r="I80" i="9"/>
  <c r="I72" i="9"/>
  <c r="I64" i="9"/>
  <c r="I56" i="9"/>
  <c r="I141" i="9"/>
  <c r="I131" i="9"/>
  <c r="I123" i="9"/>
  <c r="I99" i="9"/>
  <c r="I91" i="9"/>
  <c r="I83" i="9"/>
  <c r="I144" i="9"/>
  <c r="I138" i="9"/>
  <c r="I127" i="9"/>
  <c r="I119" i="9"/>
  <c r="I111" i="9"/>
  <c r="I103" i="9"/>
  <c r="I95" i="9"/>
  <c r="I87" i="9"/>
  <c r="I79" i="9"/>
  <c r="I71" i="9"/>
  <c r="I63" i="9"/>
  <c r="I55" i="9"/>
  <c r="I107" i="9"/>
  <c r="I75" i="9"/>
  <c r="I59" i="9"/>
  <c r="I140" i="9"/>
  <c r="I134" i="9"/>
  <c r="I132" i="9"/>
  <c r="I124" i="9"/>
  <c r="I116" i="9"/>
  <c r="I108" i="9"/>
  <c r="I100" i="9"/>
  <c r="I92" i="9"/>
  <c r="I84" i="9"/>
  <c r="I76" i="9"/>
  <c r="I68" i="9"/>
  <c r="I60" i="9"/>
  <c r="I115" i="9"/>
  <c r="I67" i="9"/>
  <c r="G85" i="9"/>
  <c r="G70" i="9"/>
  <c r="G102" i="9"/>
  <c r="G139" i="9"/>
  <c r="G73" i="9"/>
  <c r="G105" i="9"/>
  <c r="G143" i="9"/>
  <c r="G101" i="9"/>
  <c r="G146" i="9"/>
  <c r="G82" i="9"/>
  <c r="G114" i="9"/>
  <c r="G142" i="9"/>
  <c r="G67" i="9"/>
  <c r="G83" i="9"/>
  <c r="G99" i="9"/>
  <c r="G115" i="9"/>
  <c r="G131" i="9"/>
  <c r="G151" i="9"/>
  <c r="G64" i="9"/>
  <c r="G80" i="9"/>
  <c r="G96" i="9"/>
  <c r="G112" i="9"/>
  <c r="G128" i="9"/>
  <c r="G147" i="9"/>
  <c r="G145" i="9"/>
  <c r="Y117" i="22"/>
  <c r="H60" i="9"/>
  <c r="H124" i="9"/>
  <c r="H61" i="9"/>
  <c r="H93" i="9"/>
  <c r="H125" i="9"/>
  <c r="H80" i="9"/>
  <c r="H112" i="9"/>
  <c r="H150" i="9"/>
  <c r="H147" i="9"/>
  <c r="H81" i="9"/>
  <c r="H113" i="9"/>
  <c r="H149" i="9"/>
  <c r="H66" i="9"/>
  <c r="H82" i="9"/>
  <c r="H98" i="9"/>
  <c r="H114" i="9"/>
  <c r="H130" i="9"/>
  <c r="H55" i="9"/>
  <c r="H71" i="9"/>
  <c r="H87" i="9"/>
  <c r="H103" i="9"/>
  <c r="H119" i="9"/>
  <c r="H135" i="9"/>
  <c r="H136" i="9"/>
  <c r="K97" i="21"/>
  <c r="B115" i="22" s="1"/>
  <c r="H20" i="3"/>
  <c r="L17" i="11"/>
  <c r="J24" i="11" s="1"/>
  <c r="G10" i="4"/>
  <c r="Y109" i="22" l="1"/>
  <c r="Y102" i="22"/>
  <c r="Y96" i="22"/>
  <c r="Y89" i="22"/>
  <c r="Y81" i="22"/>
  <c r="Y71" i="22"/>
  <c r="Y62" i="22"/>
  <c r="Y59" i="22"/>
  <c r="X59" i="22"/>
  <c r="Y49" i="22"/>
  <c r="Y41" i="22"/>
  <c r="Y31" i="22"/>
  <c r="Y121" i="22"/>
  <c r="X121" i="22"/>
  <c r="Y115" i="22"/>
  <c r="Y119" i="22"/>
  <c r="X119" i="22"/>
  <c r="X112" i="22"/>
  <c r="Y112" i="22"/>
  <c r="X110" i="22"/>
  <c r="Y110" i="22"/>
  <c r="Y106" i="22"/>
  <c r="Y103" i="22"/>
  <c r="X95" i="22"/>
  <c r="Y95" i="22"/>
  <c r="Y94" i="22"/>
  <c r="Y90" i="22"/>
  <c r="X90" i="22"/>
  <c r="Y85" i="22"/>
  <c r="X85" i="22"/>
  <c r="Y83" i="22"/>
  <c r="Y75" i="22"/>
  <c r="X75" i="22"/>
  <c r="Y73" i="22"/>
  <c r="X73" i="22"/>
  <c r="Y68" i="22"/>
  <c r="Y65" i="22"/>
  <c r="X65" i="22"/>
  <c r="Y60" i="22"/>
  <c r="Y56" i="22"/>
  <c r="Y53" i="22"/>
  <c r="Y47" i="22"/>
  <c r="Y44" i="22"/>
  <c r="Y39" i="22"/>
  <c r="Y35" i="22"/>
  <c r="Y33" i="22"/>
  <c r="Y29" i="22"/>
  <c r="Y24" i="22"/>
  <c r="Y114" i="22"/>
  <c r="Y108" i="22"/>
  <c r="Y99" i="22"/>
  <c r="Y87" i="22"/>
  <c r="X87" i="22"/>
  <c r="Y78" i="22"/>
  <c r="Y72" i="22"/>
  <c r="X72" i="22"/>
  <c r="X66" i="22"/>
  <c r="Y66" i="22"/>
  <c r="Y55" i="22"/>
  <c r="Y46" i="22"/>
  <c r="Y37" i="22"/>
  <c r="Y32" i="22"/>
  <c r="Y27" i="22"/>
  <c r="I10" i="4"/>
  <c r="Y113" i="22"/>
  <c r="Y107" i="22"/>
  <c r="X107" i="22"/>
  <c r="Y104" i="22"/>
  <c r="Y100" i="22"/>
  <c r="Y93" i="22"/>
  <c r="X92" i="22"/>
  <c r="Y92" i="22"/>
  <c r="Y88" i="22"/>
  <c r="Y84" i="22"/>
  <c r="Y80" i="22"/>
  <c r="Y77" i="22"/>
  <c r="Y74" i="22"/>
  <c r="Y70" i="22"/>
  <c r="Y63" i="22"/>
  <c r="Y61" i="22"/>
  <c r="Y57" i="22"/>
  <c r="X57" i="22"/>
  <c r="Y52" i="22"/>
  <c r="Y51" i="22"/>
  <c r="Y45" i="22"/>
  <c r="Y42" i="22"/>
  <c r="Y38" i="22"/>
  <c r="Y34" i="22"/>
  <c r="Y28" i="22"/>
  <c r="Y25" i="22"/>
  <c r="J23" i="11"/>
  <c r="J25" i="11" s="1"/>
  <c r="L18" i="11"/>
  <c r="J21" i="11" s="1"/>
  <c r="X118" i="22"/>
  <c r="Y118" i="22"/>
  <c r="Y111" i="22"/>
  <c r="Y105" i="22"/>
  <c r="Y101" i="22"/>
  <c r="Y98" i="22"/>
  <c r="Y97" i="22"/>
  <c r="Y91" i="22"/>
  <c r="X91" i="22"/>
  <c r="Z16" i="22"/>
  <c r="Y86" i="22"/>
  <c r="X82" i="22"/>
  <c r="Y82" i="22"/>
  <c r="Y79" i="22"/>
  <c r="Y76" i="22"/>
  <c r="X76" i="22"/>
  <c r="Z69" i="22"/>
  <c r="Y69" i="22"/>
  <c r="X69" i="22"/>
  <c r="AA69" i="22" s="1"/>
  <c r="Y67" i="22"/>
  <c r="Z67" i="22"/>
  <c r="Y64" i="22"/>
  <c r="Y58" i="22"/>
  <c r="X54" i="22"/>
  <c r="Z54" i="22"/>
  <c r="Y54" i="22"/>
  <c r="Y50" i="22"/>
  <c r="X50" i="22"/>
  <c r="Y48" i="22"/>
  <c r="Z48" i="22"/>
  <c r="Y43" i="22"/>
  <c r="X43" i="22"/>
  <c r="Z40" i="22"/>
  <c r="Y40" i="22"/>
  <c r="Y36" i="22"/>
  <c r="Y30" i="22"/>
  <c r="X26" i="22"/>
  <c r="Y26" i="22"/>
  <c r="Y23" i="22"/>
  <c r="X23" i="22"/>
  <c r="Z23" i="22"/>
  <c r="X16" i="22"/>
  <c r="X89" i="22" s="1"/>
  <c r="AA54" i="22" l="1"/>
  <c r="Z116" i="22"/>
  <c r="Z120" i="22"/>
  <c r="Z117" i="22"/>
  <c r="Z61" i="22"/>
  <c r="Z84" i="22"/>
  <c r="Z27" i="22"/>
  <c r="Z55" i="22"/>
  <c r="AA110" i="22"/>
  <c r="Z58" i="22"/>
  <c r="X58" i="22"/>
  <c r="X64" i="22"/>
  <c r="Z76" i="22"/>
  <c r="X79" i="22"/>
  <c r="AA79" i="22" s="1"/>
  <c r="Z97" i="22"/>
  <c r="X98" i="22"/>
  <c r="Z101" i="22"/>
  <c r="X111" i="22"/>
  <c r="AA111" i="22" s="1"/>
  <c r="Z34" i="22"/>
  <c r="X34" i="22"/>
  <c r="AA34" i="22" s="1"/>
  <c r="X45" i="22"/>
  <c r="X51" i="22"/>
  <c r="AA51" i="22" s="1"/>
  <c r="Z52" i="22"/>
  <c r="X63" i="22"/>
  <c r="X80" i="22"/>
  <c r="Z92" i="22"/>
  <c r="AA92" i="22" s="1"/>
  <c r="X93" i="22"/>
  <c r="X113" i="22"/>
  <c r="X37" i="22"/>
  <c r="Z37" i="22"/>
  <c r="Z72" i="22"/>
  <c r="X108" i="22"/>
  <c r="X29" i="22"/>
  <c r="Z33" i="22"/>
  <c r="Z35" i="22"/>
  <c r="Z47" i="22"/>
  <c r="X47" i="22"/>
  <c r="Z65" i="22"/>
  <c r="AA65" i="22" s="1"/>
  <c r="X68" i="22"/>
  <c r="X83" i="22"/>
  <c r="Z112" i="22"/>
  <c r="X115" i="22"/>
  <c r="AA115" i="22" s="1"/>
  <c r="X31" i="22"/>
  <c r="Z62" i="22"/>
  <c r="X62" i="22"/>
  <c r="Z81" i="22"/>
  <c r="Z89" i="22"/>
  <c r="AA89" i="22" s="1"/>
  <c r="X96" i="22"/>
  <c r="X102" i="22"/>
  <c r="X109" i="22"/>
  <c r="AA109" i="22" s="1"/>
  <c r="AA23" i="22"/>
  <c r="AA76" i="22"/>
  <c r="Z86" i="22"/>
  <c r="Z118" i="22"/>
  <c r="AA118" i="22" s="1"/>
  <c r="Z28" i="22"/>
  <c r="Z63" i="22"/>
  <c r="Z77" i="22"/>
  <c r="Z80" i="22"/>
  <c r="Z107" i="22"/>
  <c r="AA107" i="22" s="1"/>
  <c r="AA72" i="22"/>
  <c r="Z78" i="22"/>
  <c r="Z29" i="22"/>
  <c r="Z60" i="22"/>
  <c r="Z94" i="22"/>
  <c r="Z110" i="22"/>
  <c r="Z26" i="22"/>
  <c r="Z30" i="22"/>
  <c r="X36" i="22"/>
  <c r="AA36" i="22" s="1"/>
  <c r="Z43" i="22"/>
  <c r="AA43" i="22" s="1"/>
  <c r="Z64" i="22"/>
  <c r="Z79" i="22"/>
  <c r="X105" i="22"/>
  <c r="AA105" i="22" s="1"/>
  <c r="Z38" i="22"/>
  <c r="X38" i="22"/>
  <c r="AA38" i="22" s="1"/>
  <c r="Z51" i="22"/>
  <c r="X52" i="22"/>
  <c r="AA52" i="22" s="1"/>
  <c r="X61" i="22"/>
  <c r="AA61" i="22" s="1"/>
  <c r="Z70" i="22"/>
  <c r="X70" i="22"/>
  <c r="X77" i="22"/>
  <c r="AA77" i="22" s="1"/>
  <c r="X84" i="22"/>
  <c r="X100" i="22"/>
  <c r="Z46" i="22"/>
  <c r="X46" i="22"/>
  <c r="AA46" i="22" s="1"/>
  <c r="Z87" i="22"/>
  <c r="AA87" i="22" s="1"/>
  <c r="Z99" i="22"/>
  <c r="Z114" i="22"/>
  <c r="X114" i="22"/>
  <c r="AA114" i="22" s="1"/>
  <c r="X24" i="22"/>
  <c r="X35" i="22"/>
  <c r="AA35" i="22" s="1"/>
  <c r="Z39" i="22"/>
  <c r="X53" i="22"/>
  <c r="AA53" i="22" s="1"/>
  <c r="Z53" i="22"/>
  <c r="X56" i="22"/>
  <c r="Z68" i="22"/>
  <c r="Z75" i="22"/>
  <c r="AA75" i="22" s="1"/>
  <c r="Z83" i="22"/>
  <c r="Z85" i="22"/>
  <c r="AA85" i="22" s="1"/>
  <c r="X103" i="22"/>
  <c r="Z103" i="22"/>
  <c r="X106" i="22"/>
  <c r="Z121" i="22"/>
  <c r="X41" i="22"/>
  <c r="Z41" i="22"/>
  <c r="X49" i="22"/>
  <c r="Z59" i="22"/>
  <c r="AA59" i="22" s="1"/>
  <c r="X71" i="22"/>
  <c r="Z102" i="22"/>
  <c r="Z109" i="22"/>
  <c r="Z98" i="22"/>
  <c r="Z111" i="22"/>
  <c r="Z45" i="22"/>
  <c r="AA57" i="22"/>
  <c r="Z100" i="22"/>
  <c r="Z32" i="22"/>
  <c r="Z66" i="22"/>
  <c r="AA66" i="22" s="1"/>
  <c r="Z44" i="22"/>
  <c r="AA112" i="22"/>
  <c r="Z119" i="22"/>
  <c r="AA119" i="22" s="1"/>
  <c r="AA121" i="22"/>
  <c r="Z96" i="22"/>
  <c r="AA26" i="22"/>
  <c r="X117" i="22"/>
  <c r="AA117" i="22" s="1"/>
  <c r="X116" i="22"/>
  <c r="AA116" i="22" s="1"/>
  <c r="X120" i="22"/>
  <c r="X30" i="22"/>
  <c r="AA30" i="22" s="1"/>
  <c r="X48" i="22"/>
  <c r="AA48" i="22" s="1"/>
  <c r="Z36" i="22"/>
  <c r="X40" i="22"/>
  <c r="AA40" i="22" s="1"/>
  <c r="Z50" i="22"/>
  <c r="AA50" i="22" s="1"/>
  <c r="X67" i="22"/>
  <c r="AA67" i="22" s="1"/>
  <c r="Z82" i="22"/>
  <c r="AA82" i="22" s="1"/>
  <c r="X86" i="22"/>
  <c r="AA86" i="22" s="1"/>
  <c r="Z91" i="22"/>
  <c r="AA91" i="22" s="1"/>
  <c r="X97" i="22"/>
  <c r="AA97" i="22" s="1"/>
  <c r="X101" i="22"/>
  <c r="AA101" i="22" s="1"/>
  <c r="Z105" i="22"/>
  <c r="X25" i="22"/>
  <c r="AA25" i="22" s="1"/>
  <c r="Z25" i="22"/>
  <c r="X28" i="22"/>
  <c r="AA28" i="22" s="1"/>
  <c r="Z42" i="22"/>
  <c r="X42" i="22"/>
  <c r="AA42" i="22" s="1"/>
  <c r="Z57" i="22"/>
  <c r="Z74" i="22"/>
  <c r="X74" i="22"/>
  <c r="Z88" i="22"/>
  <c r="X88" i="22"/>
  <c r="Z93" i="22"/>
  <c r="Z104" i="22"/>
  <c r="X104" i="22"/>
  <c r="AA104" i="22" s="1"/>
  <c r="Z113" i="22"/>
  <c r="X27" i="22"/>
  <c r="AA27" i="22" s="1"/>
  <c r="X32" i="22"/>
  <c r="AA32" i="22" s="1"/>
  <c r="X55" i="22"/>
  <c r="AA55" i="22" s="1"/>
  <c r="X78" i="22"/>
  <c r="AA78" i="22" s="1"/>
  <c r="X99" i="22"/>
  <c r="AA99" i="22" s="1"/>
  <c r="Z108" i="22"/>
  <c r="Z24" i="22"/>
  <c r="X33" i="22"/>
  <c r="X39" i="22"/>
  <c r="AA39" i="22" s="1"/>
  <c r="X44" i="22"/>
  <c r="AA44" i="22" s="1"/>
  <c r="Z56" i="22"/>
  <c r="X60" i="22"/>
  <c r="AA60" i="22" s="1"/>
  <c r="Z73" i="22"/>
  <c r="AA73" i="22" s="1"/>
  <c r="Z90" i="22"/>
  <c r="AA90" i="22" s="1"/>
  <c r="X94" i="22"/>
  <c r="AA94" i="22" s="1"/>
  <c r="Z95" i="22"/>
  <c r="AA95" i="22" s="1"/>
  <c r="Z106" i="22"/>
  <c r="Z115" i="22"/>
  <c r="Z31" i="22"/>
  <c r="Z49" i="22"/>
  <c r="Z71" i="22"/>
  <c r="X81" i="22"/>
  <c r="AA81" i="22" l="1"/>
  <c r="AA74" i="22"/>
  <c r="AA120" i="22"/>
  <c r="AA71" i="22"/>
  <c r="AA41" i="22"/>
  <c r="AA103" i="22"/>
  <c r="AA70" i="22"/>
  <c r="AA102" i="22"/>
  <c r="AA62" i="22"/>
  <c r="AA47" i="22"/>
  <c r="AA29" i="22"/>
  <c r="AA37" i="22"/>
  <c r="AA80" i="22"/>
  <c r="AA45" i="22"/>
  <c r="AA56" i="22"/>
  <c r="AA100" i="22"/>
  <c r="AA96" i="22"/>
  <c r="AA83" i="22"/>
  <c r="AA108" i="22"/>
  <c r="AA113" i="22"/>
  <c r="AA63" i="22"/>
  <c r="AA98" i="22"/>
  <c r="AA64" i="22"/>
  <c r="AA33" i="22"/>
  <c r="AA88" i="22"/>
  <c r="AA49" i="22"/>
  <c r="AA106" i="22"/>
  <c r="AA24" i="22"/>
  <c r="AE17" i="22" s="1"/>
  <c r="AA84" i="22"/>
  <c r="AA31" i="22"/>
  <c r="AA68" i="22"/>
  <c r="AA93" i="22"/>
  <c r="AE16" i="22" s="1"/>
  <c r="AA58" i="22"/>
  <c r="AE18" i="22" l="1"/>
  <c r="AE120" i="22" s="1"/>
  <c r="AC17" i="22"/>
  <c r="Z19" i="22"/>
  <c r="AC18" i="22"/>
  <c r="Y19" i="22"/>
  <c r="AC16" i="22"/>
  <c r="AD16" i="22"/>
  <c r="X19" i="22"/>
  <c r="AD18" i="22"/>
  <c r="AD17" i="22"/>
  <c r="AE56" i="22" l="1"/>
  <c r="AE32" i="22"/>
  <c r="AE71" i="22"/>
  <c r="AE27" i="22"/>
  <c r="AE121" i="22"/>
  <c r="AE64" i="22"/>
  <c r="AE46" i="22"/>
  <c r="AE102" i="22"/>
  <c r="AE36" i="22"/>
  <c r="AE90" i="22"/>
  <c r="AE67" i="22"/>
  <c r="AE98" i="22"/>
  <c r="AE61" i="22"/>
  <c r="AE66" i="22"/>
  <c r="AE44" i="22"/>
  <c r="AE94" i="22"/>
  <c r="AE96" i="22"/>
  <c r="AE42" i="22"/>
  <c r="AE23" i="22"/>
  <c r="AE34" i="22"/>
  <c r="AE37" i="22"/>
  <c r="AE33" i="22"/>
  <c r="AE112" i="22"/>
  <c r="AE31" i="22"/>
  <c r="AE57" i="22"/>
  <c r="AE106" i="22"/>
  <c r="AE58" i="22"/>
  <c r="AE97" i="22"/>
  <c r="AE63" i="22"/>
  <c r="AE92" i="22"/>
  <c r="AE55" i="22"/>
  <c r="AE68" i="22"/>
  <c r="AE117" i="22"/>
  <c r="AE54" i="22"/>
  <c r="AE86" i="22"/>
  <c r="AE45" i="22"/>
  <c r="AE39" i="22"/>
  <c r="AE85" i="22"/>
  <c r="AE25" i="22"/>
  <c r="AE73" i="22"/>
  <c r="AE91" i="22"/>
  <c r="AE108" i="22"/>
  <c r="AE95" i="22"/>
  <c r="AE101" i="22"/>
  <c r="AE35" i="22"/>
  <c r="AE26" i="22"/>
  <c r="AE51" i="22"/>
  <c r="AE84" i="22"/>
  <c r="AE53" i="22"/>
  <c r="AD116" i="22"/>
  <c r="AD120" i="22"/>
  <c r="AD117" i="22"/>
  <c r="AD71" i="22"/>
  <c r="AD49" i="22"/>
  <c r="AD119" i="22"/>
  <c r="AD106" i="22"/>
  <c r="AD94" i="22"/>
  <c r="AD85" i="22"/>
  <c r="AD83" i="22"/>
  <c r="AD73" i="22"/>
  <c r="AD56" i="22"/>
  <c r="AD47" i="22"/>
  <c r="AD35" i="22"/>
  <c r="AD24" i="22"/>
  <c r="AD114" i="22"/>
  <c r="AD108" i="22"/>
  <c r="AD100" i="22"/>
  <c r="AD93" i="22"/>
  <c r="AD88" i="22"/>
  <c r="AD80" i="22"/>
  <c r="AD70" i="22"/>
  <c r="AD57" i="22"/>
  <c r="AD52" i="22"/>
  <c r="AD25" i="22"/>
  <c r="AD105" i="22"/>
  <c r="AD86" i="22"/>
  <c r="AD58" i="22"/>
  <c r="AD48" i="22"/>
  <c r="AD36" i="22"/>
  <c r="AD64" i="22"/>
  <c r="AD43" i="22"/>
  <c r="AD26" i="22"/>
  <c r="AD81" i="22"/>
  <c r="AD44" i="22"/>
  <c r="AD39" i="22"/>
  <c r="AD29" i="22"/>
  <c r="AD66" i="22"/>
  <c r="AD55" i="22"/>
  <c r="AD27" i="22"/>
  <c r="AD84" i="22"/>
  <c r="AD61" i="22"/>
  <c r="AD45" i="22"/>
  <c r="AD42" i="22"/>
  <c r="AD34" i="22"/>
  <c r="AD97" i="22"/>
  <c r="AD67" i="22"/>
  <c r="AD40" i="22"/>
  <c r="AD102" i="22"/>
  <c r="AD41" i="22"/>
  <c r="AD31" i="22"/>
  <c r="AD103" i="22"/>
  <c r="AD68" i="22"/>
  <c r="AD53" i="22"/>
  <c r="AD113" i="22"/>
  <c r="AD107" i="22"/>
  <c r="AD92" i="22"/>
  <c r="AD63" i="22"/>
  <c r="AD38" i="22"/>
  <c r="AD101" i="22"/>
  <c r="AD98" i="22"/>
  <c r="AD79" i="22"/>
  <c r="AD109" i="22"/>
  <c r="AD112" i="22"/>
  <c r="AD60" i="22"/>
  <c r="AD77" i="22"/>
  <c r="AD28" i="22"/>
  <c r="AD50" i="22"/>
  <c r="AD96" i="22"/>
  <c r="AD89" i="22"/>
  <c r="AD62" i="22"/>
  <c r="AD59" i="22"/>
  <c r="AD121" i="22"/>
  <c r="AD110" i="22"/>
  <c r="AD95" i="22"/>
  <c r="AD90" i="22"/>
  <c r="AD75" i="22"/>
  <c r="AD65" i="22"/>
  <c r="AD33" i="22"/>
  <c r="AD99" i="22"/>
  <c r="AD87" i="22"/>
  <c r="AD78" i="22"/>
  <c r="AD72" i="22"/>
  <c r="AD37" i="22"/>
  <c r="AD104" i="22"/>
  <c r="AD74" i="22"/>
  <c r="AD118" i="22"/>
  <c r="AD91" i="22"/>
  <c r="AD82" i="22"/>
  <c r="AD76" i="22"/>
  <c r="AD54" i="22"/>
  <c r="AD23" i="22"/>
  <c r="AD115" i="22"/>
  <c r="AD46" i="22"/>
  <c r="AD32" i="22"/>
  <c r="AD51" i="22"/>
  <c r="AD111" i="22"/>
  <c r="AD69" i="22"/>
  <c r="AD30" i="22"/>
  <c r="AE50" i="22"/>
  <c r="AE81" i="22"/>
  <c r="AE69" i="22"/>
  <c r="AE118" i="22"/>
  <c r="AE77" i="22"/>
  <c r="AE78" i="22"/>
  <c r="AE60" i="22"/>
  <c r="AE110" i="22"/>
  <c r="AE82" i="22"/>
  <c r="AE74" i="22"/>
  <c r="AE43" i="22"/>
  <c r="AE88" i="22"/>
  <c r="AE72" i="22"/>
  <c r="AE65" i="22"/>
  <c r="AE119" i="22"/>
  <c r="AE62" i="22"/>
  <c r="AE99" i="22"/>
  <c r="AE49" i="22"/>
  <c r="AE30" i="22"/>
  <c r="AE111" i="22"/>
  <c r="AE70" i="22"/>
  <c r="AE100" i="22"/>
  <c r="AE114" i="22"/>
  <c r="AE103" i="22"/>
  <c r="AE116" i="22"/>
  <c r="AC116" i="22"/>
  <c r="AF116" i="22" s="1"/>
  <c r="AC117" i="22"/>
  <c r="AC120" i="22"/>
  <c r="AF120" i="22" s="1"/>
  <c r="AC109" i="22"/>
  <c r="AC71" i="22"/>
  <c r="AF71" i="22" s="1"/>
  <c r="AC119" i="22"/>
  <c r="AF119" i="22" s="1"/>
  <c r="AC106" i="22"/>
  <c r="AF106" i="22" s="1"/>
  <c r="AC73" i="22"/>
  <c r="AC65" i="22"/>
  <c r="AF65" i="22" s="1"/>
  <c r="AC56" i="22"/>
  <c r="AF56" i="22" s="1"/>
  <c r="AC53" i="22"/>
  <c r="AF53" i="22" s="1"/>
  <c r="AC35" i="22"/>
  <c r="AF35" i="22" s="1"/>
  <c r="AC24" i="22"/>
  <c r="AC114" i="22"/>
  <c r="AF114" i="22" s="1"/>
  <c r="AC99" i="22"/>
  <c r="AF99" i="22" s="1"/>
  <c r="AC87" i="22"/>
  <c r="AC46" i="22"/>
  <c r="AF46" i="22" s="1"/>
  <c r="AC37" i="22"/>
  <c r="AF37" i="22" s="1"/>
  <c r="AC100" i="22"/>
  <c r="AF100" i="22" s="1"/>
  <c r="AC84" i="22"/>
  <c r="AC70" i="22"/>
  <c r="AF70" i="22" s="1"/>
  <c r="AC57" i="22"/>
  <c r="AC52" i="22"/>
  <c r="AF52" i="22" s="1"/>
  <c r="AC38" i="22"/>
  <c r="AC105" i="22"/>
  <c r="AC101" i="22"/>
  <c r="AC91" i="22"/>
  <c r="AF91" i="22" s="1"/>
  <c r="AC48" i="22"/>
  <c r="AC36" i="22"/>
  <c r="AF36" i="22" s="1"/>
  <c r="AC30" i="22"/>
  <c r="AC50" i="22"/>
  <c r="AF50" i="22" s="1"/>
  <c r="AC43" i="22"/>
  <c r="AF43" i="22" s="1"/>
  <c r="AC49" i="22"/>
  <c r="AF49" i="22" s="1"/>
  <c r="AC83" i="22"/>
  <c r="AC60" i="22"/>
  <c r="AF60" i="22" s="1"/>
  <c r="AC44" i="22"/>
  <c r="AC39" i="22"/>
  <c r="AF39" i="22" s="1"/>
  <c r="AC78" i="22"/>
  <c r="AF78" i="22" s="1"/>
  <c r="AC55" i="22"/>
  <c r="AF55" i="22" s="1"/>
  <c r="AC104" i="22"/>
  <c r="AC93" i="22"/>
  <c r="AC42" i="22"/>
  <c r="AF42" i="22" s="1"/>
  <c r="AC98" i="22"/>
  <c r="AF98" i="22" s="1"/>
  <c r="AC79" i="22"/>
  <c r="AC69" i="22"/>
  <c r="AF69" i="22" s="1"/>
  <c r="AC67" i="22"/>
  <c r="AC102" i="22"/>
  <c r="AF102" i="22" s="1"/>
  <c r="AC96" i="22"/>
  <c r="AF96" i="22" s="1"/>
  <c r="AC89" i="22"/>
  <c r="AC62" i="22"/>
  <c r="AC31" i="22"/>
  <c r="AF31" i="22" s="1"/>
  <c r="AC103" i="22"/>
  <c r="AC95" i="22"/>
  <c r="AC85" i="22"/>
  <c r="AF85" i="22" s="1"/>
  <c r="AC68" i="22"/>
  <c r="AF68" i="22" s="1"/>
  <c r="AC47" i="22"/>
  <c r="AC33" i="22"/>
  <c r="AC108" i="22"/>
  <c r="AF108" i="22" s="1"/>
  <c r="AC107" i="22"/>
  <c r="AF107" i="22" s="1"/>
  <c r="AC80" i="22"/>
  <c r="AC63" i="22"/>
  <c r="AF63" i="22" s="1"/>
  <c r="AC51" i="22"/>
  <c r="AF51" i="22" s="1"/>
  <c r="AC34" i="22"/>
  <c r="AF34" i="22" s="1"/>
  <c r="AC25" i="22"/>
  <c r="AF25" i="22" s="1"/>
  <c r="AC97" i="22"/>
  <c r="AC82" i="22"/>
  <c r="AF82" i="22" s="1"/>
  <c r="AC64" i="22"/>
  <c r="AF64" i="22" s="1"/>
  <c r="AC58" i="22"/>
  <c r="AF58" i="22" s="1"/>
  <c r="AC26" i="22"/>
  <c r="AF26" i="22" s="1"/>
  <c r="AC27" i="22"/>
  <c r="AC74" i="22"/>
  <c r="AF74" i="22" s="1"/>
  <c r="AC28" i="22"/>
  <c r="AC111" i="22"/>
  <c r="AC40" i="22"/>
  <c r="AC81" i="22"/>
  <c r="AF81" i="22" s="1"/>
  <c r="AC59" i="22"/>
  <c r="AC41" i="22"/>
  <c r="AC121" i="22"/>
  <c r="AF121" i="22" s="1"/>
  <c r="AC115" i="22"/>
  <c r="AF115" i="22" s="1"/>
  <c r="AC112" i="22"/>
  <c r="AF112" i="22" s="1"/>
  <c r="AC110" i="22"/>
  <c r="AC94" i="22"/>
  <c r="AC75" i="22"/>
  <c r="AF75" i="22" s="1"/>
  <c r="AC72" i="22"/>
  <c r="AC66" i="22"/>
  <c r="AF66" i="22" s="1"/>
  <c r="AC92" i="22"/>
  <c r="AF92" i="22" s="1"/>
  <c r="AC77" i="22"/>
  <c r="AF77" i="22" s="1"/>
  <c r="AC61" i="22"/>
  <c r="AF61" i="22" s="1"/>
  <c r="AC118" i="22"/>
  <c r="AC86" i="22"/>
  <c r="AC76" i="22"/>
  <c r="AF76" i="22" s="1"/>
  <c r="AC54" i="22"/>
  <c r="AC23" i="22"/>
  <c r="AF23" i="22" s="1"/>
  <c r="AC90" i="22"/>
  <c r="AF90" i="22" s="1"/>
  <c r="AC29" i="22"/>
  <c r="AF29" i="22" s="1"/>
  <c r="AC32" i="22"/>
  <c r="AC113" i="22"/>
  <c r="AC88" i="22"/>
  <c r="AC45" i="22"/>
  <c r="AF45" i="22" s="1"/>
  <c r="AE52" i="22"/>
  <c r="AE40" i="22"/>
  <c r="AE79" i="22"/>
  <c r="AE28" i="22"/>
  <c r="AE107" i="22"/>
  <c r="AE29" i="22"/>
  <c r="AE75" i="22"/>
  <c r="AE59" i="22"/>
  <c r="AE105" i="22"/>
  <c r="AE104" i="22"/>
  <c r="AE76" i="22"/>
  <c r="AE93" i="22"/>
  <c r="AE87" i="22"/>
  <c r="AE83" i="22"/>
  <c r="AE115" i="22"/>
  <c r="AE109" i="22"/>
  <c r="AE24" i="22"/>
  <c r="AE89" i="22"/>
  <c r="AE48" i="22"/>
  <c r="AE38" i="22"/>
  <c r="AE80" i="22"/>
  <c r="AE113" i="22"/>
  <c r="AE47" i="22"/>
  <c r="AE41" i="22"/>
  <c r="AF88" i="22" l="1"/>
  <c r="AF86" i="22"/>
  <c r="AF94" i="22"/>
  <c r="AF40" i="22"/>
  <c r="AF27" i="22"/>
  <c r="AF62" i="22"/>
  <c r="AF67" i="22"/>
  <c r="AF83" i="22"/>
  <c r="AF30" i="22"/>
  <c r="AF101" i="22"/>
  <c r="AF57" i="22"/>
  <c r="AF117" i="22"/>
  <c r="AF20" i="22"/>
  <c r="AF41" i="22"/>
  <c r="AF111" i="22"/>
  <c r="AF97" i="22"/>
  <c r="AF33" i="22"/>
  <c r="AF95" i="22"/>
  <c r="AF89" i="22"/>
  <c r="AF93" i="22"/>
  <c r="AF105" i="22"/>
  <c r="AF24" i="22"/>
  <c r="AD19" i="22" s="1"/>
  <c r="AF113" i="22"/>
  <c r="AF118" i="22"/>
  <c r="AF110" i="22"/>
  <c r="AF32" i="22"/>
  <c r="AF54" i="22"/>
  <c r="AF72" i="22"/>
  <c r="AF59" i="22"/>
  <c r="AF28" i="22"/>
  <c r="AF80" i="22"/>
  <c r="AF47" i="22"/>
  <c r="AF103" i="22"/>
  <c r="AF79" i="22"/>
  <c r="AF104" i="22"/>
  <c r="AF44" i="22"/>
  <c r="AJ18" i="22" s="1"/>
  <c r="AF48" i="22"/>
  <c r="AF38" i="22"/>
  <c r="AF84" i="22"/>
  <c r="AF87" i="22"/>
  <c r="AF73" i="22"/>
  <c r="AF109" i="22"/>
  <c r="AJ17" i="22" l="1"/>
  <c r="AE19" i="22"/>
  <c r="AJ16" i="22"/>
  <c r="AH17" i="22"/>
  <c r="AI17" i="22"/>
  <c r="AH18" i="22"/>
  <c r="AI18" i="22"/>
  <c r="AH16" i="22"/>
  <c r="AI16" i="22"/>
  <c r="AC19" i="22"/>
  <c r="AJ116" i="22" l="1"/>
  <c r="AJ117" i="22"/>
  <c r="AJ120" i="22"/>
  <c r="AJ89" i="22"/>
  <c r="AJ62" i="22"/>
  <c r="AJ59" i="22"/>
  <c r="AJ121" i="22"/>
  <c r="AJ112" i="22"/>
  <c r="AJ85" i="22"/>
  <c r="AJ65" i="22"/>
  <c r="AJ35" i="22"/>
  <c r="AJ33" i="22"/>
  <c r="AJ99" i="22"/>
  <c r="AJ72" i="22"/>
  <c r="AJ37" i="22"/>
  <c r="AJ92" i="22"/>
  <c r="AJ52" i="22"/>
  <c r="AJ51" i="22"/>
  <c r="AJ34" i="22"/>
  <c r="AJ105" i="22"/>
  <c r="AJ79" i="22"/>
  <c r="AJ76" i="22"/>
  <c r="AJ58" i="22"/>
  <c r="AJ43" i="22"/>
  <c r="AJ26" i="22"/>
  <c r="AJ54" i="22"/>
  <c r="AJ23" i="22"/>
  <c r="AJ109" i="22"/>
  <c r="AJ102" i="22"/>
  <c r="AJ103" i="22"/>
  <c r="AJ68" i="22"/>
  <c r="AJ47" i="22"/>
  <c r="AJ114" i="22"/>
  <c r="AJ108" i="22"/>
  <c r="AJ88" i="22"/>
  <c r="AJ67" i="22"/>
  <c r="AJ64" i="22"/>
  <c r="AJ81" i="22"/>
  <c r="AJ110" i="22"/>
  <c r="AJ95" i="22"/>
  <c r="AJ94" i="22"/>
  <c r="AJ60" i="22"/>
  <c r="AJ44" i="22"/>
  <c r="AJ29" i="22"/>
  <c r="AJ87" i="22"/>
  <c r="AJ78" i="22"/>
  <c r="AJ66" i="22"/>
  <c r="AJ32" i="22"/>
  <c r="AJ107" i="22"/>
  <c r="AJ93" i="22"/>
  <c r="AJ77" i="22"/>
  <c r="AJ63" i="22"/>
  <c r="AJ61" i="22"/>
  <c r="AJ45" i="22"/>
  <c r="AJ28" i="22"/>
  <c r="AJ118" i="22"/>
  <c r="AJ111" i="22"/>
  <c r="AJ98" i="22"/>
  <c r="AJ91" i="22"/>
  <c r="AJ86" i="22"/>
  <c r="AJ69" i="22"/>
  <c r="AJ40" i="22"/>
  <c r="AJ36" i="22"/>
  <c r="AJ39" i="22"/>
  <c r="AJ113" i="22"/>
  <c r="AJ97" i="22"/>
  <c r="AJ96" i="22"/>
  <c r="AJ49" i="22"/>
  <c r="AJ31" i="22"/>
  <c r="AJ119" i="22"/>
  <c r="AJ106" i="22"/>
  <c r="AJ90" i="22"/>
  <c r="AJ83" i="22"/>
  <c r="AJ75" i="22"/>
  <c r="AJ73" i="22"/>
  <c r="AJ56" i="22"/>
  <c r="AJ24" i="22"/>
  <c r="AJ55" i="22"/>
  <c r="AJ27" i="22"/>
  <c r="AJ104" i="22"/>
  <c r="AJ100" i="22"/>
  <c r="AJ84" i="22"/>
  <c r="AJ80" i="22"/>
  <c r="AJ74" i="22"/>
  <c r="AJ57" i="22"/>
  <c r="AJ42" i="22"/>
  <c r="AJ25" i="22"/>
  <c r="AJ82" i="22"/>
  <c r="AJ50" i="22"/>
  <c r="AJ48" i="22"/>
  <c r="AJ71" i="22"/>
  <c r="AJ41" i="22"/>
  <c r="AJ115" i="22"/>
  <c r="AJ53" i="22"/>
  <c r="AJ46" i="22"/>
  <c r="AJ70" i="22"/>
  <c r="AJ38" i="22"/>
  <c r="AJ101" i="22"/>
  <c r="AJ30" i="22"/>
  <c r="AH120" i="22"/>
  <c r="AK120" i="22" s="1"/>
  <c r="AH117" i="22"/>
  <c r="AH116" i="22"/>
  <c r="AH102" i="22"/>
  <c r="AH96" i="22"/>
  <c r="AK96" i="22" s="1"/>
  <c r="AH62" i="22"/>
  <c r="AH49" i="22"/>
  <c r="AH31" i="22"/>
  <c r="AH83" i="22"/>
  <c r="AK83" i="22" s="1"/>
  <c r="AH68" i="22"/>
  <c r="AH47" i="22"/>
  <c r="AH108" i="22"/>
  <c r="AH99" i="22"/>
  <c r="AH87" i="22"/>
  <c r="AH80" i="22"/>
  <c r="AH63" i="22"/>
  <c r="AH51" i="22"/>
  <c r="AK51" i="22" s="1"/>
  <c r="AH34" i="22"/>
  <c r="AH86" i="22"/>
  <c r="AH79" i="22"/>
  <c r="AH64" i="22"/>
  <c r="AK64" i="22" s="1"/>
  <c r="AH58" i="22"/>
  <c r="AH43" i="22"/>
  <c r="AH26" i="22"/>
  <c r="AH54" i="22"/>
  <c r="AH50" i="22"/>
  <c r="AH23" i="22"/>
  <c r="AH89" i="22"/>
  <c r="AH81" i="22"/>
  <c r="AK81" i="22" s="1"/>
  <c r="AH71" i="22"/>
  <c r="AH106" i="22"/>
  <c r="AH24" i="22"/>
  <c r="AH114" i="22"/>
  <c r="AK114" i="22" s="1"/>
  <c r="AH84" i="22"/>
  <c r="AH77" i="22"/>
  <c r="AH70" i="22"/>
  <c r="AH45" i="22"/>
  <c r="AH59" i="22"/>
  <c r="AH115" i="22"/>
  <c r="AH112" i="22"/>
  <c r="AH110" i="22"/>
  <c r="AH95" i="22"/>
  <c r="AH75" i="22"/>
  <c r="AH73" i="22"/>
  <c r="AH65" i="22"/>
  <c r="AK65" i="22" s="1"/>
  <c r="AH72" i="22"/>
  <c r="AH66" i="22"/>
  <c r="AH37" i="22"/>
  <c r="AH113" i="22"/>
  <c r="AK113" i="22" s="1"/>
  <c r="AH107" i="22"/>
  <c r="AH92" i="22"/>
  <c r="AH57" i="22"/>
  <c r="AH118" i="22"/>
  <c r="AK118" i="22" s="1"/>
  <c r="AH111" i="22"/>
  <c r="AH101" i="22"/>
  <c r="AH91" i="22"/>
  <c r="AH76" i="22"/>
  <c r="AK76" i="22" s="1"/>
  <c r="AH69" i="22"/>
  <c r="AH94" i="22"/>
  <c r="AH90" i="22"/>
  <c r="AH35" i="22"/>
  <c r="AK35" i="22" s="1"/>
  <c r="AH100" i="22"/>
  <c r="AH38" i="22"/>
  <c r="AH105" i="22"/>
  <c r="AH98" i="22"/>
  <c r="AK98" i="22" s="1"/>
  <c r="AH82" i="22"/>
  <c r="AH109" i="22"/>
  <c r="AH121" i="22"/>
  <c r="AH119" i="22"/>
  <c r="AH60" i="22"/>
  <c r="AH44" i="22"/>
  <c r="AH39" i="22"/>
  <c r="AH33" i="22"/>
  <c r="AK33" i="22" s="1"/>
  <c r="AH29" i="22"/>
  <c r="AH78" i="22"/>
  <c r="AH55" i="22"/>
  <c r="AH32" i="22"/>
  <c r="AK32" i="22" s="1"/>
  <c r="AH27" i="22"/>
  <c r="AH104" i="22"/>
  <c r="AH93" i="22"/>
  <c r="AH88" i="22"/>
  <c r="AH74" i="22"/>
  <c r="AH42" i="22"/>
  <c r="AH28" i="22"/>
  <c r="AH25" i="22"/>
  <c r="AK25" i="22" s="1"/>
  <c r="AH67" i="22"/>
  <c r="AH40" i="22"/>
  <c r="AH41" i="22"/>
  <c r="AH103" i="22"/>
  <c r="AK103" i="22" s="1"/>
  <c r="AH85" i="22"/>
  <c r="AH56" i="22"/>
  <c r="AH53" i="22"/>
  <c r="AH46" i="22"/>
  <c r="AK46" i="22" s="1"/>
  <c r="AH61" i="22"/>
  <c r="AH52" i="22"/>
  <c r="AH97" i="22"/>
  <c r="AH48" i="22"/>
  <c r="AH36" i="22"/>
  <c r="AH30" i="22"/>
  <c r="AK30" i="22" s="1"/>
  <c r="AI116" i="22"/>
  <c r="AI117" i="22"/>
  <c r="AI120" i="22"/>
  <c r="AI102" i="22"/>
  <c r="AI96" i="22"/>
  <c r="AI62" i="22"/>
  <c r="AI41" i="22"/>
  <c r="AI31" i="22"/>
  <c r="AI112" i="22"/>
  <c r="AI110" i="22"/>
  <c r="AI103" i="22"/>
  <c r="AI68" i="22"/>
  <c r="AI53" i="22"/>
  <c r="AI66" i="22"/>
  <c r="AI46" i="22"/>
  <c r="AI113" i="22"/>
  <c r="AI107" i="22"/>
  <c r="AI104" i="22"/>
  <c r="AI80" i="22"/>
  <c r="AI63" i="22"/>
  <c r="AI51" i="22"/>
  <c r="AI42" i="22"/>
  <c r="AI34" i="22"/>
  <c r="AI118" i="22"/>
  <c r="AI101" i="22"/>
  <c r="AI82" i="22"/>
  <c r="AI64" i="22"/>
  <c r="AI43" i="22"/>
  <c r="AI30" i="22"/>
  <c r="AI58" i="22"/>
  <c r="AI23" i="22"/>
  <c r="AI95" i="22"/>
  <c r="AI94" i="22"/>
  <c r="AI85" i="22"/>
  <c r="AI73" i="22"/>
  <c r="AI35" i="22"/>
  <c r="AI24" i="22"/>
  <c r="AI54" i="22"/>
  <c r="AI89" i="22"/>
  <c r="AI59" i="22"/>
  <c r="AI121" i="22"/>
  <c r="AI90" i="22"/>
  <c r="AI75" i="22"/>
  <c r="AI65" i="22"/>
  <c r="AI33" i="22"/>
  <c r="AI87" i="22"/>
  <c r="AI72" i="22"/>
  <c r="AI37" i="22"/>
  <c r="AI70" i="22"/>
  <c r="AI38" i="22"/>
  <c r="AI86" i="22"/>
  <c r="AI76" i="22"/>
  <c r="AI49" i="22"/>
  <c r="AI119" i="22"/>
  <c r="AI106" i="22"/>
  <c r="AI47" i="22"/>
  <c r="AI114" i="22"/>
  <c r="AI100" i="22"/>
  <c r="AI57" i="22"/>
  <c r="AI52" i="22"/>
  <c r="AI91" i="22"/>
  <c r="AI109" i="22"/>
  <c r="AI81" i="22"/>
  <c r="AI115" i="22"/>
  <c r="AI83" i="22"/>
  <c r="AI60" i="22"/>
  <c r="AI44" i="22"/>
  <c r="AI39" i="22"/>
  <c r="AI29" i="22"/>
  <c r="AI108" i="22"/>
  <c r="AI55" i="22"/>
  <c r="AI32" i="22"/>
  <c r="AI27" i="22"/>
  <c r="AI88" i="22"/>
  <c r="AI84" i="22"/>
  <c r="AI77" i="22"/>
  <c r="AI61" i="22"/>
  <c r="AI45" i="22"/>
  <c r="AI28" i="22"/>
  <c r="AI111" i="22"/>
  <c r="AI97" i="22"/>
  <c r="AI79" i="22"/>
  <c r="AI69" i="22"/>
  <c r="AI67" i="22"/>
  <c r="AI50" i="22"/>
  <c r="AI40" i="22"/>
  <c r="AI26" i="22"/>
  <c r="AI71" i="22"/>
  <c r="AI56" i="22"/>
  <c r="AI99" i="22"/>
  <c r="AI78" i="22"/>
  <c r="AI93" i="22"/>
  <c r="AI92" i="22"/>
  <c r="AI74" i="22"/>
  <c r="AI25" i="22"/>
  <c r="AI105" i="22"/>
  <c r="AI98" i="22"/>
  <c r="AI48" i="22"/>
  <c r="AI36" i="22"/>
  <c r="AK97" i="22" l="1"/>
  <c r="AK53" i="22"/>
  <c r="AK41" i="22"/>
  <c r="AK28" i="22"/>
  <c r="AK93" i="22"/>
  <c r="AK55" i="22"/>
  <c r="AK39" i="22"/>
  <c r="AK121" i="22"/>
  <c r="AK105" i="22"/>
  <c r="AK90" i="22"/>
  <c r="AK91" i="22"/>
  <c r="AK57" i="22"/>
  <c r="AK37" i="22"/>
  <c r="AK73" i="22"/>
  <c r="AK112" i="22"/>
  <c r="AK70" i="22"/>
  <c r="AK24" i="22"/>
  <c r="AK89" i="22"/>
  <c r="AK26" i="22"/>
  <c r="AK79" i="22"/>
  <c r="AK63" i="22"/>
  <c r="AK108" i="22"/>
  <c r="AK31" i="22"/>
  <c r="AK102" i="22"/>
  <c r="AK88" i="22"/>
  <c r="AK119" i="22"/>
  <c r="AK45" i="22"/>
  <c r="AK54" i="22"/>
  <c r="AK99" i="22"/>
  <c r="AK52" i="22"/>
  <c r="AK56" i="22"/>
  <c r="AK40" i="22"/>
  <c r="AK42" i="22"/>
  <c r="AK104" i="22"/>
  <c r="AK78" i="22"/>
  <c r="AK44" i="22"/>
  <c r="AK109" i="22"/>
  <c r="AK38" i="22"/>
  <c r="AK94" i="22"/>
  <c r="AK101" i="22"/>
  <c r="AK92" i="22"/>
  <c r="AK66" i="22"/>
  <c r="AK75" i="22"/>
  <c r="AK115" i="22"/>
  <c r="AK77" i="22"/>
  <c r="AK106" i="22"/>
  <c r="AK23" i="22"/>
  <c r="AK43" i="22"/>
  <c r="AK86" i="22"/>
  <c r="AK80" i="22"/>
  <c r="AK47" i="22"/>
  <c r="AK49" i="22"/>
  <c r="AK116" i="22"/>
  <c r="AK48" i="22"/>
  <c r="AK110" i="22"/>
  <c r="AK36" i="22"/>
  <c r="AK61" i="22"/>
  <c r="AK85" i="22"/>
  <c r="AK67" i="22"/>
  <c r="AK74" i="22"/>
  <c r="AK27" i="22"/>
  <c r="AK29" i="22"/>
  <c r="AK60" i="22"/>
  <c r="AK82" i="22"/>
  <c r="AK100" i="22"/>
  <c r="AK69" i="22"/>
  <c r="AK111" i="22"/>
  <c r="AK107" i="22"/>
  <c r="AK72" i="22"/>
  <c r="AK95" i="22"/>
  <c r="AK59" i="22"/>
  <c r="AK84" i="22"/>
  <c r="AK71" i="22"/>
  <c r="AK50" i="22"/>
  <c r="AK58" i="22"/>
  <c r="AK34" i="22"/>
  <c r="AK87" i="22"/>
  <c r="AK68" i="22"/>
  <c r="AK62" i="22"/>
  <c r="AK117" i="22"/>
  <c r="AK20" i="22" l="1"/>
  <c r="AJ19" i="22"/>
  <c r="AO18" i="22"/>
  <c r="AN17" i="22"/>
  <c r="AM16" i="22"/>
  <c r="AI19" i="22"/>
  <c r="AN18" i="22"/>
  <c r="AM17" i="22"/>
  <c r="AH19" i="22"/>
  <c r="AM18" i="22"/>
  <c r="AO16" i="22"/>
  <c r="AN16" i="22"/>
  <c r="AO17" i="22"/>
  <c r="AM120" i="22" l="1"/>
  <c r="AM117" i="22"/>
  <c r="AP117" i="22" s="1"/>
  <c r="AM116" i="22"/>
  <c r="AM59" i="22"/>
  <c r="AM41" i="22"/>
  <c r="AM121" i="22"/>
  <c r="AP121" i="22" s="1"/>
  <c r="AM112" i="22"/>
  <c r="AM110" i="22"/>
  <c r="AM95" i="22"/>
  <c r="AM90" i="22"/>
  <c r="AP90" i="22" s="1"/>
  <c r="AM83" i="22"/>
  <c r="AM75" i="22"/>
  <c r="AM53" i="22"/>
  <c r="AM87" i="22"/>
  <c r="AP87" i="22" s="1"/>
  <c r="AM72" i="22"/>
  <c r="AM66" i="22"/>
  <c r="AM92" i="22"/>
  <c r="AM118" i="22"/>
  <c r="AM91" i="22"/>
  <c r="AM79" i="22"/>
  <c r="AM76" i="22"/>
  <c r="AM54" i="22"/>
  <c r="AM50" i="22"/>
  <c r="AM23" i="22"/>
  <c r="AM82" i="22"/>
  <c r="AM40" i="22"/>
  <c r="AM102" i="22"/>
  <c r="AM62" i="22"/>
  <c r="AM31" i="22"/>
  <c r="AM68" i="22"/>
  <c r="AP68" i="22" s="1"/>
  <c r="AM108" i="22"/>
  <c r="AM107" i="22"/>
  <c r="AM101" i="22"/>
  <c r="AM64" i="22"/>
  <c r="AP64" i="22" s="1"/>
  <c r="AM58" i="22"/>
  <c r="AM89" i="22"/>
  <c r="AM81" i="22"/>
  <c r="AM115" i="22"/>
  <c r="AM103" i="22"/>
  <c r="AM94" i="22"/>
  <c r="AM60" i="22"/>
  <c r="AM44" i="22"/>
  <c r="AM39" i="22"/>
  <c r="AM29" i="22"/>
  <c r="AM99" i="22"/>
  <c r="AM78" i="22"/>
  <c r="AM55" i="22"/>
  <c r="AM32" i="22"/>
  <c r="AM27" i="22"/>
  <c r="AM104" i="22"/>
  <c r="AM88" i="22"/>
  <c r="AM74" i="22"/>
  <c r="AM45" i="22"/>
  <c r="AM42" i="22"/>
  <c r="AP42" i="22" s="1"/>
  <c r="AM28" i="22"/>
  <c r="AM97" i="22"/>
  <c r="AM86" i="22"/>
  <c r="AM67" i="22"/>
  <c r="AM36" i="22"/>
  <c r="AM30" i="22"/>
  <c r="AM119" i="22"/>
  <c r="AM77" i="22"/>
  <c r="AM63" i="22"/>
  <c r="AM51" i="22"/>
  <c r="AM25" i="22"/>
  <c r="AM109" i="22"/>
  <c r="AM71" i="22"/>
  <c r="AM49" i="22"/>
  <c r="AM106" i="22"/>
  <c r="AM85" i="22"/>
  <c r="AM73" i="22"/>
  <c r="AM65" i="22"/>
  <c r="AM56" i="22"/>
  <c r="AM35" i="22"/>
  <c r="AP35" i="22" s="1"/>
  <c r="AM24" i="22"/>
  <c r="AM114" i="22"/>
  <c r="AM46" i="22"/>
  <c r="AM37" i="22"/>
  <c r="AP37" i="22" s="1"/>
  <c r="AM113" i="22"/>
  <c r="AM100" i="22"/>
  <c r="AM84" i="22"/>
  <c r="AM70" i="22"/>
  <c r="AP70" i="22" s="1"/>
  <c r="AM61" i="22"/>
  <c r="AM57" i="22"/>
  <c r="AM52" i="22"/>
  <c r="AM38" i="22"/>
  <c r="AM111" i="22"/>
  <c r="AM105" i="22"/>
  <c r="AM98" i="22"/>
  <c r="AM69" i="22"/>
  <c r="AP69" i="22" s="1"/>
  <c r="AM48" i="22"/>
  <c r="AM96" i="22"/>
  <c r="AM47" i="22"/>
  <c r="AM33" i="22"/>
  <c r="AP33" i="22" s="1"/>
  <c r="AM93" i="22"/>
  <c r="AM80" i="22"/>
  <c r="AM34" i="22"/>
  <c r="AM43" i="22"/>
  <c r="AP43" i="22" s="1"/>
  <c r="AM26" i="22"/>
  <c r="AN117" i="22"/>
  <c r="AN116" i="22"/>
  <c r="AN120" i="22"/>
  <c r="AN89" i="22"/>
  <c r="AN59" i="22"/>
  <c r="AN121" i="22"/>
  <c r="AN95" i="22"/>
  <c r="AN75" i="22"/>
  <c r="AN65" i="22"/>
  <c r="AN33" i="22"/>
  <c r="AN78" i="22"/>
  <c r="AN72" i="22"/>
  <c r="AN37" i="22"/>
  <c r="AN74" i="22"/>
  <c r="AN98" i="22"/>
  <c r="AN91" i="22"/>
  <c r="AN76" i="22"/>
  <c r="AN23" i="22"/>
  <c r="AN40" i="22"/>
  <c r="AN30" i="22"/>
  <c r="AN41" i="22"/>
  <c r="AN83" i="22"/>
  <c r="AN108" i="22"/>
  <c r="AN87" i="22"/>
  <c r="AN64" i="22"/>
  <c r="AN43" i="22"/>
  <c r="AN109" i="22"/>
  <c r="AN96" i="22"/>
  <c r="AN81" i="22"/>
  <c r="AN62" i="22"/>
  <c r="AN115" i="22"/>
  <c r="AN110" i="22"/>
  <c r="AN60" i="22"/>
  <c r="AN44" i="22"/>
  <c r="AN39" i="22"/>
  <c r="AN29" i="22"/>
  <c r="AN66" i="22"/>
  <c r="AN55" i="22"/>
  <c r="AN46" i="22"/>
  <c r="AN32" i="22"/>
  <c r="AN27" i="22"/>
  <c r="AN104" i="22"/>
  <c r="AN92" i="22"/>
  <c r="AN77" i="22"/>
  <c r="AN70" i="22"/>
  <c r="AN61" i="22"/>
  <c r="AN45" i="22"/>
  <c r="AN42" i="22"/>
  <c r="AN34" i="22"/>
  <c r="AN28" i="22"/>
  <c r="AN118" i="22"/>
  <c r="AN111" i="22"/>
  <c r="AN97" i="22"/>
  <c r="AN69" i="22"/>
  <c r="AN67" i="22"/>
  <c r="AN36" i="22"/>
  <c r="AN101" i="22"/>
  <c r="AN86" i="22"/>
  <c r="AN79" i="22"/>
  <c r="AN71" i="22"/>
  <c r="AN49" i="22"/>
  <c r="AN119" i="22"/>
  <c r="AN112" i="22"/>
  <c r="AN106" i="22"/>
  <c r="AN90" i="22"/>
  <c r="AN85" i="22"/>
  <c r="AN73" i="22"/>
  <c r="AN56" i="22"/>
  <c r="AN47" i="22"/>
  <c r="AN35" i="22"/>
  <c r="AN24" i="22"/>
  <c r="AN114" i="22"/>
  <c r="AN99" i="22"/>
  <c r="AN100" i="22"/>
  <c r="AN93" i="22"/>
  <c r="AN88" i="22"/>
  <c r="AN84" i="22"/>
  <c r="AN80" i="22"/>
  <c r="AN57" i="22"/>
  <c r="AN52" i="22"/>
  <c r="AN51" i="22"/>
  <c r="AN25" i="22"/>
  <c r="AN105" i="22"/>
  <c r="AN82" i="22"/>
  <c r="AN58" i="22"/>
  <c r="AN54" i="22"/>
  <c r="AN50" i="22"/>
  <c r="AN48" i="22"/>
  <c r="AN102" i="22"/>
  <c r="AN31" i="22"/>
  <c r="AN103" i="22"/>
  <c r="AN94" i="22"/>
  <c r="AN68" i="22"/>
  <c r="AN53" i="22"/>
  <c r="AN113" i="22"/>
  <c r="AN107" i="22"/>
  <c r="AN63" i="22"/>
  <c r="AN38" i="22"/>
  <c r="AN26" i="22"/>
  <c r="AO116" i="22"/>
  <c r="AO117" i="22"/>
  <c r="AO120" i="22"/>
  <c r="AO59" i="22"/>
  <c r="AO121" i="22"/>
  <c r="AO119" i="22"/>
  <c r="AO110" i="22"/>
  <c r="AO94" i="22"/>
  <c r="AO75" i="22"/>
  <c r="AO60" i="22"/>
  <c r="AO47" i="22"/>
  <c r="AO44" i="22"/>
  <c r="AO29" i="22"/>
  <c r="AO108" i="22"/>
  <c r="AO78" i="22"/>
  <c r="AO66" i="22"/>
  <c r="AO32" i="22"/>
  <c r="AO107" i="22"/>
  <c r="AO84" i="22"/>
  <c r="AO77" i="22"/>
  <c r="AO61" i="22"/>
  <c r="AO45" i="22"/>
  <c r="AO28" i="22"/>
  <c r="AO118" i="22"/>
  <c r="AO98" i="22"/>
  <c r="AO86" i="22"/>
  <c r="AO69" i="22"/>
  <c r="AO54" i="22"/>
  <c r="AO43" i="22"/>
  <c r="AO40" i="22"/>
  <c r="AO71" i="22"/>
  <c r="AO62" i="22"/>
  <c r="AO31" i="22"/>
  <c r="AO100" i="22"/>
  <c r="AO80" i="22"/>
  <c r="AO51" i="22"/>
  <c r="AO97" i="22"/>
  <c r="AO76" i="22"/>
  <c r="AO58" i="22"/>
  <c r="AO26" i="22"/>
  <c r="AO109" i="22"/>
  <c r="AO81" i="22"/>
  <c r="AO49" i="22"/>
  <c r="AO115" i="22"/>
  <c r="AO106" i="22"/>
  <c r="AO90" i="22"/>
  <c r="AO83" i="22"/>
  <c r="AO73" i="22"/>
  <c r="AO56" i="22"/>
  <c r="AO24" i="22"/>
  <c r="AO87" i="22"/>
  <c r="AO104" i="22"/>
  <c r="AO93" i="22"/>
  <c r="AO88" i="22"/>
  <c r="AO74" i="22"/>
  <c r="AO63" i="22"/>
  <c r="AO57" i="22"/>
  <c r="AO42" i="22"/>
  <c r="AO25" i="22"/>
  <c r="AO82" i="22"/>
  <c r="AO79" i="22"/>
  <c r="AO50" i="22"/>
  <c r="AO36" i="22"/>
  <c r="AO23" i="22"/>
  <c r="AO112" i="22"/>
  <c r="AO95" i="22"/>
  <c r="AO33" i="22"/>
  <c r="AO113" i="22"/>
  <c r="AO111" i="22"/>
  <c r="AO101" i="22"/>
  <c r="AO67" i="22"/>
  <c r="AO102" i="22"/>
  <c r="AO89" i="22"/>
  <c r="AO41" i="22"/>
  <c r="AO103" i="22"/>
  <c r="AO85" i="22"/>
  <c r="AO68" i="22"/>
  <c r="AO53" i="22"/>
  <c r="AO35" i="22"/>
  <c r="AO114" i="22"/>
  <c r="AO99" i="22"/>
  <c r="AO55" i="22"/>
  <c r="AO46" i="22"/>
  <c r="AO27" i="22"/>
  <c r="AO92" i="22"/>
  <c r="AO70" i="22"/>
  <c r="AO52" i="22"/>
  <c r="AO38" i="22"/>
  <c r="AO105" i="22"/>
  <c r="AO91" i="22"/>
  <c r="AO64" i="22"/>
  <c r="AO48" i="22"/>
  <c r="AO30" i="22"/>
  <c r="AO96" i="22"/>
  <c r="AO65" i="22"/>
  <c r="AO39" i="22"/>
  <c r="AO72" i="22"/>
  <c r="AO37" i="22"/>
  <c r="AO34" i="22"/>
  <c r="AP109" i="22" l="1"/>
  <c r="AP78" i="22"/>
  <c r="AP115" i="22"/>
  <c r="AP118" i="22"/>
  <c r="AP80" i="22"/>
  <c r="AP96" i="22"/>
  <c r="AP105" i="22"/>
  <c r="AP57" i="22"/>
  <c r="AP100" i="22"/>
  <c r="AP114" i="22"/>
  <c r="AP65" i="22"/>
  <c r="AP49" i="22"/>
  <c r="AP51" i="22"/>
  <c r="AP30" i="22"/>
  <c r="AP97" i="22"/>
  <c r="AP74" i="22"/>
  <c r="AP32" i="22"/>
  <c r="AP29" i="22"/>
  <c r="AP94" i="22"/>
  <c r="AP89" i="22"/>
  <c r="AP107" i="22"/>
  <c r="AP62" i="22"/>
  <c r="AP23" i="22"/>
  <c r="AP79" i="22"/>
  <c r="AP66" i="22"/>
  <c r="AP75" i="22"/>
  <c r="AP110" i="22"/>
  <c r="AP59" i="22"/>
  <c r="AP85" i="22"/>
  <c r="AP104" i="22"/>
  <c r="AP26" i="22"/>
  <c r="AP93" i="22"/>
  <c r="AP48" i="22"/>
  <c r="AP111" i="22"/>
  <c r="AP61" i="22"/>
  <c r="AP113" i="22"/>
  <c r="AP24" i="22"/>
  <c r="AP73" i="22"/>
  <c r="AP71" i="22"/>
  <c r="AP63" i="22"/>
  <c r="AP36" i="22"/>
  <c r="AP28" i="22"/>
  <c r="AP88" i="22"/>
  <c r="AP55" i="22"/>
  <c r="AP39" i="22"/>
  <c r="AP103" i="22"/>
  <c r="AP58" i="22"/>
  <c r="AP108" i="22"/>
  <c r="AP102" i="22"/>
  <c r="AP50" i="22"/>
  <c r="AP91" i="22"/>
  <c r="AP72" i="22"/>
  <c r="AP83" i="22"/>
  <c r="AP112" i="22"/>
  <c r="AP116" i="22"/>
  <c r="AP38" i="22"/>
  <c r="AP77" i="22"/>
  <c r="AP67" i="22"/>
  <c r="AP44" i="22"/>
  <c r="AP40" i="22"/>
  <c r="AP54" i="22"/>
  <c r="AP34" i="22"/>
  <c r="AP47" i="22"/>
  <c r="AP98" i="22"/>
  <c r="AP52" i="22"/>
  <c r="AP84" i="22"/>
  <c r="AP46" i="22"/>
  <c r="AP56" i="22"/>
  <c r="AP106" i="22"/>
  <c r="AP25" i="22"/>
  <c r="AP119" i="22"/>
  <c r="AP86" i="22"/>
  <c r="AP45" i="22"/>
  <c r="AP27" i="22"/>
  <c r="AP99" i="22"/>
  <c r="AP60" i="22"/>
  <c r="AP81" i="22"/>
  <c r="AP101" i="22"/>
  <c r="AP31" i="22"/>
  <c r="AP82" i="22"/>
  <c r="AP76" i="22"/>
  <c r="AP92" i="22"/>
  <c r="AP53" i="22"/>
  <c r="AP95" i="22"/>
  <c r="AP41" i="22"/>
  <c r="AP120" i="22"/>
  <c r="AT17" i="22" l="1"/>
  <c r="AS16" i="22"/>
  <c r="AO19" i="22"/>
  <c r="AT18" i="22"/>
  <c r="AS17" i="22"/>
  <c r="AR16" i="22"/>
  <c r="AN19" i="22"/>
  <c r="AS18" i="22"/>
  <c r="AR17" i="22"/>
  <c r="AP20" i="22"/>
  <c r="AM19" i="22"/>
  <c r="AT16" i="22"/>
  <c r="AR18" i="22"/>
  <c r="AR116" i="22" l="1"/>
  <c r="AR120" i="22"/>
  <c r="AR117" i="22"/>
  <c r="AR109" i="22"/>
  <c r="AR41" i="22"/>
  <c r="AR115" i="22"/>
  <c r="AR103" i="22"/>
  <c r="AR95" i="22"/>
  <c r="AR83" i="22"/>
  <c r="AR60" i="22"/>
  <c r="AR53" i="22"/>
  <c r="AR44" i="22"/>
  <c r="AR39" i="22"/>
  <c r="AR87" i="22"/>
  <c r="AR78" i="22"/>
  <c r="AR55" i="22"/>
  <c r="AR32" i="22"/>
  <c r="AR27" i="22"/>
  <c r="AR113" i="22"/>
  <c r="AR107" i="22"/>
  <c r="AR104" i="22"/>
  <c r="AR93" i="22"/>
  <c r="AU93" i="22" s="1"/>
  <c r="AR88" i="22"/>
  <c r="AR77" i="22"/>
  <c r="AR74" i="22"/>
  <c r="AR61" i="22"/>
  <c r="AU61" i="22" s="1"/>
  <c r="AR42" i="22"/>
  <c r="AR28" i="22"/>
  <c r="AR111" i="22"/>
  <c r="AR98" i="22"/>
  <c r="AR91" i="22"/>
  <c r="AR67" i="22"/>
  <c r="AR40" i="22"/>
  <c r="AR48" i="22"/>
  <c r="AR30" i="22"/>
  <c r="AR43" i="22"/>
  <c r="AR59" i="22"/>
  <c r="AR25" i="22"/>
  <c r="AR76" i="22"/>
  <c r="AR23" i="22"/>
  <c r="AR71" i="22"/>
  <c r="AR121" i="22"/>
  <c r="AU121" i="22" s="1"/>
  <c r="AR119" i="22"/>
  <c r="AR106" i="22"/>
  <c r="AR90" i="22"/>
  <c r="AR85" i="22"/>
  <c r="AU85" i="22" s="1"/>
  <c r="AR56" i="22"/>
  <c r="AR35" i="22"/>
  <c r="AR29" i="22"/>
  <c r="AR24" i="22"/>
  <c r="AR114" i="22"/>
  <c r="AR46" i="22"/>
  <c r="AR37" i="22"/>
  <c r="AR100" i="22"/>
  <c r="AU100" i="22" s="1"/>
  <c r="AR84" i="22"/>
  <c r="AR70" i="22"/>
  <c r="AR52" i="22"/>
  <c r="AR45" i="22"/>
  <c r="AU45" i="22" s="1"/>
  <c r="AR38" i="22"/>
  <c r="AR105" i="22"/>
  <c r="AR82" i="22"/>
  <c r="AR50" i="22"/>
  <c r="AR36" i="22"/>
  <c r="AR112" i="22"/>
  <c r="AR110" i="22"/>
  <c r="AR75" i="22"/>
  <c r="AR33" i="22"/>
  <c r="AR92" i="22"/>
  <c r="AR79" i="22"/>
  <c r="AR54" i="22"/>
  <c r="AU54" i="22" s="1"/>
  <c r="AR102" i="22"/>
  <c r="AR96" i="22"/>
  <c r="AR81" i="22"/>
  <c r="AR62" i="22"/>
  <c r="AU62" i="22" s="1"/>
  <c r="AR31" i="22"/>
  <c r="AR94" i="22"/>
  <c r="AR73" i="22"/>
  <c r="AR68" i="22"/>
  <c r="AU68" i="22" s="1"/>
  <c r="AR65" i="22"/>
  <c r="AR47" i="22"/>
  <c r="AR108" i="22"/>
  <c r="AR99" i="22"/>
  <c r="AR80" i="22"/>
  <c r="AR63" i="22"/>
  <c r="AR57" i="22"/>
  <c r="AR51" i="22"/>
  <c r="AR34" i="22"/>
  <c r="AR101" i="22"/>
  <c r="AR97" i="22"/>
  <c r="AR86" i="22"/>
  <c r="AU86" i="22" s="1"/>
  <c r="AR69" i="22"/>
  <c r="AR64" i="22"/>
  <c r="AR58" i="22"/>
  <c r="AR26" i="22"/>
  <c r="AU26" i="22" s="1"/>
  <c r="AR89" i="22"/>
  <c r="AR49" i="22"/>
  <c r="AR72" i="22"/>
  <c r="AR66" i="22"/>
  <c r="AU66" i="22" s="1"/>
  <c r="AR118" i="22"/>
  <c r="AT116" i="22"/>
  <c r="AT117" i="22"/>
  <c r="AT120" i="22"/>
  <c r="AT109" i="22"/>
  <c r="AT89" i="22"/>
  <c r="AT81" i="22"/>
  <c r="AT59" i="22"/>
  <c r="AT49" i="22"/>
  <c r="AT106" i="22"/>
  <c r="AT90" i="22"/>
  <c r="AT75" i="22"/>
  <c r="AT73" i="22"/>
  <c r="AT56" i="22"/>
  <c r="AT39" i="22"/>
  <c r="AT24" i="22"/>
  <c r="AT99" i="22"/>
  <c r="AT104" i="22"/>
  <c r="AT92" i="22"/>
  <c r="AT88" i="22"/>
  <c r="AT74" i="22"/>
  <c r="AT57" i="22"/>
  <c r="AT42" i="22"/>
  <c r="AT25" i="22"/>
  <c r="AT111" i="22"/>
  <c r="AT97" i="22"/>
  <c r="AT82" i="22"/>
  <c r="AT50" i="22"/>
  <c r="AT43" i="22"/>
  <c r="AT36" i="22"/>
  <c r="AT64" i="22"/>
  <c r="AT48" i="22"/>
  <c r="AT30" i="22"/>
  <c r="AT121" i="22"/>
  <c r="AT95" i="22"/>
  <c r="AT60" i="22"/>
  <c r="AT78" i="22"/>
  <c r="AT66" i="22"/>
  <c r="AT107" i="22"/>
  <c r="AT51" i="22"/>
  <c r="AT105" i="22"/>
  <c r="AT69" i="22"/>
  <c r="AT40" i="22"/>
  <c r="AT102" i="22"/>
  <c r="AT96" i="22"/>
  <c r="AT41" i="22"/>
  <c r="AT119" i="22"/>
  <c r="AT103" i="22"/>
  <c r="AT68" i="22"/>
  <c r="AT53" i="22"/>
  <c r="AT47" i="22"/>
  <c r="AT35" i="22"/>
  <c r="AT114" i="22"/>
  <c r="AT46" i="22"/>
  <c r="AT100" i="22"/>
  <c r="AT84" i="22"/>
  <c r="AT80" i="22"/>
  <c r="AT70" i="22"/>
  <c r="AT38" i="22"/>
  <c r="AT67" i="22"/>
  <c r="AT23" i="22"/>
  <c r="AT110" i="22"/>
  <c r="AT94" i="22"/>
  <c r="AT44" i="22"/>
  <c r="AT61" i="22"/>
  <c r="AT45" i="22"/>
  <c r="AT118" i="22"/>
  <c r="AT98" i="22"/>
  <c r="AT86" i="22"/>
  <c r="AT54" i="22"/>
  <c r="AT62" i="22"/>
  <c r="AT115" i="22"/>
  <c r="AT112" i="22"/>
  <c r="AT85" i="22"/>
  <c r="AT83" i="22"/>
  <c r="AT65" i="22"/>
  <c r="AT33" i="22"/>
  <c r="AT108" i="22"/>
  <c r="AT87" i="22"/>
  <c r="AT72" i="22"/>
  <c r="AT55" i="22"/>
  <c r="AT37" i="22"/>
  <c r="AT27" i="22"/>
  <c r="AT113" i="22"/>
  <c r="AT93" i="22"/>
  <c r="AT63" i="22"/>
  <c r="AT52" i="22"/>
  <c r="AT34" i="22"/>
  <c r="AT101" i="22"/>
  <c r="AT91" i="22"/>
  <c r="AT79" i="22"/>
  <c r="AT76" i="22"/>
  <c r="AT58" i="22"/>
  <c r="AT26" i="22"/>
  <c r="AT71" i="22"/>
  <c r="AT31" i="22"/>
  <c r="AT29" i="22"/>
  <c r="AT32" i="22"/>
  <c r="AT77" i="22"/>
  <c r="AT28" i="22"/>
  <c r="AS117" i="22"/>
  <c r="AS116" i="22"/>
  <c r="AS120" i="22"/>
  <c r="AS109" i="22"/>
  <c r="AS96" i="22"/>
  <c r="AS81" i="22"/>
  <c r="AS115" i="22"/>
  <c r="AS94" i="22"/>
  <c r="AS60" i="22"/>
  <c r="AS44" i="22"/>
  <c r="AS39" i="22"/>
  <c r="AS29" i="22"/>
  <c r="AS108" i="22"/>
  <c r="AS55" i="22"/>
  <c r="AS32" i="22"/>
  <c r="AS27" i="22"/>
  <c r="AS100" i="22"/>
  <c r="AS92" i="22"/>
  <c r="AS88" i="22"/>
  <c r="AS77" i="22"/>
  <c r="AS61" i="22"/>
  <c r="AS45" i="22"/>
  <c r="AS28" i="22"/>
  <c r="AS111" i="22"/>
  <c r="AS97" i="22"/>
  <c r="AS86" i="22"/>
  <c r="AS69" i="22"/>
  <c r="AS67" i="22"/>
  <c r="AS54" i="22"/>
  <c r="AS40" i="22"/>
  <c r="AS30" i="22"/>
  <c r="AS48" i="22"/>
  <c r="AS89" i="22"/>
  <c r="AS59" i="22"/>
  <c r="AS75" i="22"/>
  <c r="AS87" i="22"/>
  <c r="AS104" i="22"/>
  <c r="AS84" i="22"/>
  <c r="AS80" i="22"/>
  <c r="AS38" i="22"/>
  <c r="AS91" i="22"/>
  <c r="AS76" i="22"/>
  <c r="AS26" i="22"/>
  <c r="AS23" i="22"/>
  <c r="AS71" i="22"/>
  <c r="AS62" i="22"/>
  <c r="AS49" i="22"/>
  <c r="AS119" i="22"/>
  <c r="AS106" i="22"/>
  <c r="AS85" i="22"/>
  <c r="AS73" i="22"/>
  <c r="AS56" i="22"/>
  <c r="AS47" i="22"/>
  <c r="AS35" i="22"/>
  <c r="AS24" i="22"/>
  <c r="AS78" i="22"/>
  <c r="AS66" i="22"/>
  <c r="AS46" i="22"/>
  <c r="AS93" i="22"/>
  <c r="AS74" i="22"/>
  <c r="AS57" i="22"/>
  <c r="AS52" i="22"/>
  <c r="AS42" i="22"/>
  <c r="AS34" i="22"/>
  <c r="AS25" i="22"/>
  <c r="AS105" i="22"/>
  <c r="AS50" i="22"/>
  <c r="AS36" i="22"/>
  <c r="AS112" i="22"/>
  <c r="AS83" i="22"/>
  <c r="AS33" i="22"/>
  <c r="AS99" i="22"/>
  <c r="AS118" i="22"/>
  <c r="AS82" i="22"/>
  <c r="AS102" i="22"/>
  <c r="AS41" i="22"/>
  <c r="AS31" i="22"/>
  <c r="AS110" i="22"/>
  <c r="AS103" i="22"/>
  <c r="AS95" i="22"/>
  <c r="AS68" i="22"/>
  <c r="AS53" i="22"/>
  <c r="AS114" i="22"/>
  <c r="AS113" i="22"/>
  <c r="AS107" i="22"/>
  <c r="AS70" i="22"/>
  <c r="AS63" i="22"/>
  <c r="AS51" i="22"/>
  <c r="AS101" i="22"/>
  <c r="AS98" i="22"/>
  <c r="AS79" i="22"/>
  <c r="AS64" i="22"/>
  <c r="AS58" i="22"/>
  <c r="AS43" i="22"/>
  <c r="AS121" i="22"/>
  <c r="AS90" i="22"/>
  <c r="AS65" i="22"/>
  <c r="AS72" i="22"/>
  <c r="AS37" i="22"/>
  <c r="AU24" i="22" l="1"/>
  <c r="AU48" i="22"/>
  <c r="AU27" i="22"/>
  <c r="AU87" i="22"/>
  <c r="AU120" i="22"/>
  <c r="AU49" i="22"/>
  <c r="AU64" i="22"/>
  <c r="AU101" i="22"/>
  <c r="AU63" i="22"/>
  <c r="AU47" i="22"/>
  <c r="AU94" i="22"/>
  <c r="AU96" i="22"/>
  <c r="AU92" i="22"/>
  <c r="AU112" i="22"/>
  <c r="AU105" i="22"/>
  <c r="AU70" i="22"/>
  <c r="AU46" i="22"/>
  <c r="AU35" i="22"/>
  <c r="AU106" i="22"/>
  <c r="AU23" i="22"/>
  <c r="AU43" i="22"/>
  <c r="AU67" i="22"/>
  <c r="AU28" i="22"/>
  <c r="AU77" i="22"/>
  <c r="AU107" i="22"/>
  <c r="AU55" i="22"/>
  <c r="AU44" i="22"/>
  <c r="AU95" i="22"/>
  <c r="AU109" i="22"/>
  <c r="AU99" i="22"/>
  <c r="AU75" i="22"/>
  <c r="AU118" i="22"/>
  <c r="AU89" i="22"/>
  <c r="AU69" i="22"/>
  <c r="AU34" i="22"/>
  <c r="AU80" i="22"/>
  <c r="AU65" i="22"/>
  <c r="AU31" i="22"/>
  <c r="AU102" i="22"/>
  <c r="AU33" i="22"/>
  <c r="AU36" i="22"/>
  <c r="AU38" i="22"/>
  <c r="AU84" i="22"/>
  <c r="AU114" i="22"/>
  <c r="AU56" i="22"/>
  <c r="AU119" i="22"/>
  <c r="AU76" i="22"/>
  <c r="AU30" i="22"/>
  <c r="AU91" i="22"/>
  <c r="AU42" i="22"/>
  <c r="AU88" i="22"/>
  <c r="AU113" i="22"/>
  <c r="AU78" i="22"/>
  <c r="AU53" i="22"/>
  <c r="AU103" i="22"/>
  <c r="AU117" i="22"/>
  <c r="AU51" i="22"/>
  <c r="AU50" i="22"/>
  <c r="AU25" i="22"/>
  <c r="AU98" i="22"/>
  <c r="AU60" i="22"/>
  <c r="AU115" i="22"/>
  <c r="AU72" i="22"/>
  <c r="AU58" i="22"/>
  <c r="AU97" i="22"/>
  <c r="AU57" i="22"/>
  <c r="AU108" i="22"/>
  <c r="AU73" i="22"/>
  <c r="AU81" i="22"/>
  <c r="AU79" i="22"/>
  <c r="AU110" i="22"/>
  <c r="AU82" i="22"/>
  <c r="AU52" i="22"/>
  <c r="AU37" i="22"/>
  <c r="AU29" i="22"/>
  <c r="AU90" i="22"/>
  <c r="AU71" i="22"/>
  <c r="AU59" i="22"/>
  <c r="AU40" i="22"/>
  <c r="AU111" i="22"/>
  <c r="AU74" i="22"/>
  <c r="AU104" i="22"/>
  <c r="AU32" i="22"/>
  <c r="AU39" i="22"/>
  <c r="AU83" i="22"/>
  <c r="AU41" i="22"/>
  <c r="AU116" i="22"/>
  <c r="AR19" i="22" l="1"/>
  <c r="AW18" i="22"/>
  <c r="AY16" i="22"/>
  <c r="AY17" i="22"/>
  <c r="AX16" i="22"/>
  <c r="AU20" i="22"/>
  <c r="AT19" i="22"/>
  <c r="AY18" i="22"/>
  <c r="AX17" i="22"/>
  <c r="AW16" i="22"/>
  <c r="AX18" i="22"/>
  <c r="AW17" i="22"/>
  <c r="AS19" i="22"/>
  <c r="AW116" i="22" l="1"/>
  <c r="AW120" i="22"/>
  <c r="AZ120" i="22" s="1"/>
  <c r="AW117" i="22"/>
  <c r="AW81" i="22"/>
  <c r="AW71" i="22"/>
  <c r="AW115" i="22"/>
  <c r="AW106" i="22"/>
  <c r="AW83" i="22"/>
  <c r="AW56" i="22"/>
  <c r="AW35" i="22"/>
  <c r="AZ35" i="22" s="1"/>
  <c r="AW33" i="22"/>
  <c r="AW24" i="22"/>
  <c r="AW114" i="22"/>
  <c r="AW46" i="22"/>
  <c r="AZ46" i="22" s="1"/>
  <c r="AW100" i="22"/>
  <c r="AW84" i="22"/>
  <c r="AW70" i="22"/>
  <c r="AW52" i="22"/>
  <c r="AW38" i="22"/>
  <c r="AW25" i="22"/>
  <c r="AW105" i="22"/>
  <c r="AW86" i="22"/>
  <c r="AW79" i="22"/>
  <c r="AW48" i="22"/>
  <c r="AW36" i="22"/>
  <c r="AW30" i="22"/>
  <c r="AW64" i="22"/>
  <c r="AW58" i="22"/>
  <c r="AW89" i="22"/>
  <c r="AW103" i="22"/>
  <c r="AZ103" i="22" s="1"/>
  <c r="AW95" i="22"/>
  <c r="AW37" i="22"/>
  <c r="AW27" i="22"/>
  <c r="AW104" i="22"/>
  <c r="AZ104" i="22" s="1"/>
  <c r="AW67" i="22"/>
  <c r="AW50" i="22"/>
  <c r="AW40" i="22"/>
  <c r="AW102" i="22"/>
  <c r="AZ102" i="22" s="1"/>
  <c r="AW96" i="22"/>
  <c r="AW62" i="22"/>
  <c r="AW49" i="22"/>
  <c r="AW41" i="22"/>
  <c r="AW31" i="22"/>
  <c r="AW121" i="22"/>
  <c r="AW94" i="22"/>
  <c r="AW90" i="22"/>
  <c r="AW68" i="22"/>
  <c r="AW47" i="22"/>
  <c r="AW108" i="22"/>
  <c r="AW99" i="22"/>
  <c r="AW113" i="22"/>
  <c r="AW107" i="22"/>
  <c r="AW80" i="22"/>
  <c r="AW77" i="22"/>
  <c r="AW63" i="22"/>
  <c r="AW61" i="22"/>
  <c r="AW51" i="22"/>
  <c r="AW34" i="22"/>
  <c r="AZ34" i="22" s="1"/>
  <c r="AW111" i="22"/>
  <c r="AW101" i="22"/>
  <c r="AW91" i="22"/>
  <c r="AW43" i="22"/>
  <c r="AZ43" i="22" s="1"/>
  <c r="AW26" i="22"/>
  <c r="AW60" i="22"/>
  <c r="AW44" i="22"/>
  <c r="AW39" i="22"/>
  <c r="AW78" i="22"/>
  <c r="AW55" i="22"/>
  <c r="AW32" i="22"/>
  <c r="AW93" i="22"/>
  <c r="AZ93" i="22" s="1"/>
  <c r="AW88" i="22"/>
  <c r="AW42" i="22"/>
  <c r="AW82" i="22"/>
  <c r="AW109" i="22"/>
  <c r="AZ109" i="22" s="1"/>
  <c r="AW59" i="22"/>
  <c r="AW119" i="22"/>
  <c r="AW112" i="22"/>
  <c r="AW110" i="22"/>
  <c r="AW75" i="22"/>
  <c r="AW53" i="22"/>
  <c r="AW29" i="22"/>
  <c r="AW87" i="22"/>
  <c r="AW72" i="22"/>
  <c r="AW66" i="22"/>
  <c r="AW92" i="22"/>
  <c r="AW45" i="22"/>
  <c r="AZ45" i="22" s="1"/>
  <c r="AW118" i="22"/>
  <c r="AW98" i="22"/>
  <c r="AW97" i="22"/>
  <c r="AW76" i="22"/>
  <c r="AZ76" i="22" s="1"/>
  <c r="AW69" i="22"/>
  <c r="AW54" i="22"/>
  <c r="AW23" i="22"/>
  <c r="AW85" i="22"/>
  <c r="AZ85" i="22" s="1"/>
  <c r="AW73" i="22"/>
  <c r="AW65" i="22"/>
  <c r="AW74" i="22"/>
  <c r="AW57" i="22"/>
  <c r="AZ57" i="22" s="1"/>
  <c r="AW28" i="22"/>
  <c r="AY120" i="22"/>
  <c r="AY116" i="22"/>
  <c r="AY117" i="22"/>
  <c r="AY102" i="22"/>
  <c r="AY96" i="22"/>
  <c r="AY89" i="22"/>
  <c r="AY41" i="22"/>
  <c r="AY31" i="22"/>
  <c r="AY103" i="22"/>
  <c r="AY85" i="22"/>
  <c r="AY68" i="22"/>
  <c r="AY53" i="22"/>
  <c r="AY47" i="22"/>
  <c r="AY114" i="22"/>
  <c r="AY99" i="22"/>
  <c r="AY46" i="22"/>
  <c r="AY27" i="22"/>
  <c r="AY70" i="22"/>
  <c r="AY38" i="22"/>
  <c r="AY64" i="22"/>
  <c r="AY48" i="22"/>
  <c r="AY30" i="22"/>
  <c r="AY23" i="22"/>
  <c r="AY40" i="22"/>
  <c r="AY109" i="22"/>
  <c r="AY49" i="22"/>
  <c r="AY56" i="22"/>
  <c r="AY104" i="22"/>
  <c r="AY93" i="22"/>
  <c r="AY63" i="22"/>
  <c r="AY42" i="22"/>
  <c r="AY82" i="22"/>
  <c r="AY43" i="22"/>
  <c r="AY81" i="22"/>
  <c r="AY71" i="22"/>
  <c r="AY62" i="22"/>
  <c r="AY59" i="22"/>
  <c r="AY112" i="22"/>
  <c r="AY95" i="22"/>
  <c r="AY75" i="22"/>
  <c r="AY65" i="22"/>
  <c r="AY39" i="22"/>
  <c r="AY33" i="22"/>
  <c r="AY72" i="22"/>
  <c r="AY37" i="22"/>
  <c r="AY107" i="22"/>
  <c r="AY92" i="22"/>
  <c r="AY52" i="22"/>
  <c r="AY34" i="22"/>
  <c r="AY76" i="22"/>
  <c r="AY67" i="22"/>
  <c r="AY58" i="22"/>
  <c r="AY26" i="22"/>
  <c r="AY119" i="22"/>
  <c r="AY90" i="22"/>
  <c r="AY24" i="22"/>
  <c r="AY108" i="22"/>
  <c r="AY55" i="22"/>
  <c r="AY88" i="22"/>
  <c r="AY57" i="22"/>
  <c r="AY79" i="22"/>
  <c r="AY50" i="22"/>
  <c r="AY36" i="22"/>
  <c r="AY110" i="22"/>
  <c r="AY94" i="22"/>
  <c r="AY83" i="22"/>
  <c r="AY60" i="22"/>
  <c r="AY44" i="22"/>
  <c r="AY35" i="22"/>
  <c r="AY29" i="22"/>
  <c r="AY87" i="22"/>
  <c r="AY78" i="22"/>
  <c r="AY66" i="22"/>
  <c r="AY32" i="22"/>
  <c r="AY113" i="22"/>
  <c r="AY100" i="22"/>
  <c r="AY84" i="22"/>
  <c r="AY80" i="22"/>
  <c r="AY77" i="22"/>
  <c r="AY61" i="22"/>
  <c r="AY51" i="22"/>
  <c r="AY45" i="22"/>
  <c r="AY28" i="22"/>
  <c r="AY118" i="22"/>
  <c r="AY111" i="22"/>
  <c r="AY105" i="22"/>
  <c r="AY101" i="22"/>
  <c r="AY98" i="22"/>
  <c r="AY97" i="22"/>
  <c r="AY91" i="22"/>
  <c r="AY86" i="22"/>
  <c r="AY69" i="22"/>
  <c r="AY54" i="22"/>
  <c r="AY121" i="22"/>
  <c r="AY115" i="22"/>
  <c r="AY106" i="22"/>
  <c r="AY73" i="22"/>
  <c r="AY74" i="22"/>
  <c r="AY25" i="22"/>
  <c r="AX116" i="22"/>
  <c r="AX120" i="22"/>
  <c r="AX117" i="22"/>
  <c r="AX96" i="22"/>
  <c r="AX71" i="22"/>
  <c r="AX49" i="22"/>
  <c r="AX119" i="22"/>
  <c r="AX110" i="22"/>
  <c r="AX106" i="22"/>
  <c r="AX90" i="22"/>
  <c r="AX85" i="22"/>
  <c r="AX73" i="22"/>
  <c r="AX56" i="22"/>
  <c r="AX35" i="22"/>
  <c r="AX24" i="22"/>
  <c r="AX107" i="22"/>
  <c r="AX104" i="22"/>
  <c r="AX93" i="22"/>
  <c r="AX57" i="22"/>
  <c r="AX52" i="22"/>
  <c r="AX38" i="22"/>
  <c r="AX25" i="22"/>
  <c r="AX118" i="22"/>
  <c r="AX105" i="22"/>
  <c r="AX82" i="22"/>
  <c r="AX48" i="22"/>
  <c r="AX36" i="22"/>
  <c r="AX26" i="22"/>
  <c r="AX54" i="22"/>
  <c r="AX50" i="22"/>
  <c r="AX95" i="22"/>
  <c r="AX60" i="22"/>
  <c r="AX114" i="22"/>
  <c r="AX87" i="22"/>
  <c r="AX32" i="22"/>
  <c r="AX67" i="22"/>
  <c r="AX40" i="22"/>
  <c r="AX102" i="22"/>
  <c r="AX62" i="22"/>
  <c r="AX41" i="22"/>
  <c r="AX31" i="22"/>
  <c r="AX112" i="22"/>
  <c r="AX103" i="22"/>
  <c r="AX83" i="22"/>
  <c r="AX68" i="22"/>
  <c r="AX53" i="22"/>
  <c r="AX47" i="22"/>
  <c r="AX99" i="22"/>
  <c r="AX78" i="22"/>
  <c r="AX113" i="22"/>
  <c r="AX84" i="22"/>
  <c r="AX74" i="22"/>
  <c r="AX63" i="22"/>
  <c r="AX51" i="22"/>
  <c r="AX101" i="22"/>
  <c r="AX64" i="22"/>
  <c r="AX43" i="22"/>
  <c r="AX23" i="22"/>
  <c r="AX44" i="22"/>
  <c r="AX39" i="22"/>
  <c r="AX29" i="22"/>
  <c r="AX61" i="22"/>
  <c r="AX45" i="22"/>
  <c r="AX111" i="22"/>
  <c r="AX97" i="22"/>
  <c r="AX91" i="22"/>
  <c r="AX86" i="22"/>
  <c r="AX58" i="22"/>
  <c r="AX89" i="22"/>
  <c r="AX59" i="22"/>
  <c r="AX121" i="22"/>
  <c r="AX94" i="22"/>
  <c r="AX75" i="22"/>
  <c r="AX65" i="22"/>
  <c r="AX33" i="22"/>
  <c r="AX108" i="22"/>
  <c r="AX72" i="22"/>
  <c r="AX66" i="22"/>
  <c r="AX46" i="22"/>
  <c r="AX37" i="22"/>
  <c r="AX100" i="22"/>
  <c r="AX88" i="22"/>
  <c r="AX80" i="22"/>
  <c r="AX42" i="22"/>
  <c r="AX34" i="22"/>
  <c r="AX79" i="22"/>
  <c r="AX76" i="22"/>
  <c r="AX30" i="22"/>
  <c r="AX109" i="22"/>
  <c r="AX81" i="22"/>
  <c r="AX115" i="22"/>
  <c r="AX55" i="22"/>
  <c r="AX27" i="22"/>
  <c r="AX92" i="22"/>
  <c r="AX77" i="22"/>
  <c r="AX70" i="22"/>
  <c r="AX28" i="22"/>
  <c r="AX98" i="22"/>
  <c r="AX69" i="22"/>
  <c r="AZ110" i="22" l="1"/>
  <c r="AZ39" i="22"/>
  <c r="AZ77" i="22"/>
  <c r="AZ86" i="22"/>
  <c r="AZ65" i="22"/>
  <c r="AZ54" i="22"/>
  <c r="AZ98" i="22"/>
  <c r="AZ66" i="22"/>
  <c r="AZ53" i="22"/>
  <c r="AZ119" i="22"/>
  <c r="AZ42" i="22"/>
  <c r="AZ55" i="22"/>
  <c r="AZ60" i="22"/>
  <c r="AZ101" i="22"/>
  <c r="AZ61" i="22"/>
  <c r="AZ107" i="22"/>
  <c r="AZ47" i="22"/>
  <c r="AZ121" i="22"/>
  <c r="AZ62" i="22"/>
  <c r="AZ50" i="22"/>
  <c r="AZ37" i="22"/>
  <c r="AZ58" i="22"/>
  <c r="AZ48" i="22"/>
  <c r="AZ25" i="22"/>
  <c r="AZ84" i="22"/>
  <c r="AZ24" i="22"/>
  <c r="AZ83" i="22"/>
  <c r="AZ81" i="22"/>
  <c r="AZ87" i="22"/>
  <c r="AZ90" i="22"/>
  <c r="AZ30" i="22"/>
  <c r="AZ115" i="22"/>
  <c r="AZ28" i="22"/>
  <c r="AZ73" i="22"/>
  <c r="AZ69" i="22"/>
  <c r="AZ118" i="22"/>
  <c r="AZ72" i="22"/>
  <c r="AZ75" i="22"/>
  <c r="AZ59" i="22"/>
  <c r="AZ88" i="22"/>
  <c r="AZ78" i="22"/>
  <c r="AZ26" i="22"/>
  <c r="AZ111" i="22"/>
  <c r="AZ63" i="22"/>
  <c r="AZ113" i="22"/>
  <c r="AZ68" i="22"/>
  <c r="AZ31" i="22"/>
  <c r="AZ96" i="22"/>
  <c r="AZ67" i="22"/>
  <c r="AZ95" i="22"/>
  <c r="AZ64" i="22"/>
  <c r="AZ79" i="22"/>
  <c r="AZ38" i="22"/>
  <c r="AZ100" i="22"/>
  <c r="AZ33" i="22"/>
  <c r="AZ106" i="22"/>
  <c r="AZ117" i="22"/>
  <c r="AZ99" i="22"/>
  <c r="AZ41" i="22"/>
  <c r="AZ52" i="22"/>
  <c r="AZ74" i="22"/>
  <c r="AZ23" i="22"/>
  <c r="AZ97" i="22"/>
  <c r="AZ92" i="22"/>
  <c r="AZ29" i="22"/>
  <c r="AZ112" i="22"/>
  <c r="AZ82" i="22"/>
  <c r="AZ32" i="22"/>
  <c r="AZ44" i="22"/>
  <c r="AZ91" i="22"/>
  <c r="AZ51" i="22"/>
  <c r="AZ80" i="22"/>
  <c r="AZ108" i="22"/>
  <c r="AZ94" i="22"/>
  <c r="AZ49" i="22"/>
  <c r="AZ40" i="22"/>
  <c r="AZ27" i="22"/>
  <c r="AZ89" i="22"/>
  <c r="AZ36" i="22"/>
  <c r="AZ105" i="22"/>
  <c r="AZ70" i="22"/>
  <c r="AZ114" i="22"/>
  <c r="AZ56" i="22"/>
  <c r="AZ71" i="22"/>
  <c r="AZ116" i="22"/>
  <c r="AX19" i="22" l="1"/>
  <c r="BC18" i="22"/>
  <c r="BB17" i="22"/>
  <c r="AZ20" i="22"/>
  <c r="AW19" i="22"/>
  <c r="BB18" i="22"/>
  <c r="BD16" i="22"/>
  <c r="BD17" i="22"/>
  <c r="BC16" i="22"/>
  <c r="BC17" i="22"/>
  <c r="AY19" i="22"/>
  <c r="BD18" i="22"/>
  <c r="BB16" i="22"/>
  <c r="BD120" i="22" l="1"/>
  <c r="BD117" i="22"/>
  <c r="BD116" i="22"/>
  <c r="BD96" i="22"/>
  <c r="BD62" i="22"/>
  <c r="BD112" i="22"/>
  <c r="BD75" i="22"/>
  <c r="BD65" i="22"/>
  <c r="BD47" i="22"/>
  <c r="BD33" i="22"/>
  <c r="BD72" i="22"/>
  <c r="BD37" i="22"/>
  <c r="BD84" i="22"/>
  <c r="BD63" i="22"/>
  <c r="BD34" i="22"/>
  <c r="BD76" i="22"/>
  <c r="BD58" i="22"/>
  <c r="BD48" i="22"/>
  <c r="BD26" i="22"/>
  <c r="BD54" i="22"/>
  <c r="BD40" i="22"/>
  <c r="BD23" i="22"/>
  <c r="BD36" i="22"/>
  <c r="BD81" i="22"/>
  <c r="BD59" i="22"/>
  <c r="BD53" i="22"/>
  <c r="BD46" i="22"/>
  <c r="BD70" i="22"/>
  <c r="BD38" i="22"/>
  <c r="BD64" i="22"/>
  <c r="BD109" i="22"/>
  <c r="BD31" i="22"/>
  <c r="BD115" i="22"/>
  <c r="BD119" i="22"/>
  <c r="BD110" i="22"/>
  <c r="BD94" i="22"/>
  <c r="BD60" i="22"/>
  <c r="BD44" i="22"/>
  <c r="BD29" i="22"/>
  <c r="BD108" i="22"/>
  <c r="BD78" i="22"/>
  <c r="BD66" i="22"/>
  <c r="BD55" i="22"/>
  <c r="BD32" i="22"/>
  <c r="BD27" i="22"/>
  <c r="BD113" i="22"/>
  <c r="BD88" i="22"/>
  <c r="BD77" i="22"/>
  <c r="BD61" i="22"/>
  <c r="BD52" i="22"/>
  <c r="BD45" i="22"/>
  <c r="BD28" i="22"/>
  <c r="BD118" i="22"/>
  <c r="BD111" i="22"/>
  <c r="BD101" i="22"/>
  <c r="BD98" i="22"/>
  <c r="BD97" i="22"/>
  <c r="BD86" i="22"/>
  <c r="BD79" i="22"/>
  <c r="BD69" i="22"/>
  <c r="BD41" i="22"/>
  <c r="BD103" i="22"/>
  <c r="BD114" i="22"/>
  <c r="BD43" i="22"/>
  <c r="BD30" i="22"/>
  <c r="BD89" i="22"/>
  <c r="BD71" i="22"/>
  <c r="BD49" i="22"/>
  <c r="BD121" i="22"/>
  <c r="BD106" i="22"/>
  <c r="BD95" i="22"/>
  <c r="BD90" i="22"/>
  <c r="BD85" i="22"/>
  <c r="BD73" i="22"/>
  <c r="BD56" i="22"/>
  <c r="BD39" i="22"/>
  <c r="BD24" i="22"/>
  <c r="BD87" i="22"/>
  <c r="BD107" i="22"/>
  <c r="BD104" i="22"/>
  <c r="BD93" i="22"/>
  <c r="BD92" i="22"/>
  <c r="BD74" i="22"/>
  <c r="BD57" i="22"/>
  <c r="BD51" i="22"/>
  <c r="BD42" i="22"/>
  <c r="BD25" i="22"/>
  <c r="BD105" i="22"/>
  <c r="BD91" i="22"/>
  <c r="BD82" i="22"/>
  <c r="BD67" i="22"/>
  <c r="BD50" i="22"/>
  <c r="BD102" i="22"/>
  <c r="BD83" i="22"/>
  <c r="BD68" i="22"/>
  <c r="BD35" i="22"/>
  <c r="BD99" i="22"/>
  <c r="BD100" i="22"/>
  <c r="BD80" i="22"/>
  <c r="BB120" i="22"/>
  <c r="BB116" i="22"/>
  <c r="BB117" i="22"/>
  <c r="BE117" i="22" s="1"/>
  <c r="BB109" i="22"/>
  <c r="BB102" i="22"/>
  <c r="BB96" i="22"/>
  <c r="BB62" i="22"/>
  <c r="BE62" i="22" s="1"/>
  <c r="BB31" i="22"/>
  <c r="BB121" i="22"/>
  <c r="BB119" i="22"/>
  <c r="BB103" i="22"/>
  <c r="BE103" i="22" s="1"/>
  <c r="BB73" i="22"/>
  <c r="BB68" i="22"/>
  <c r="BB65" i="22"/>
  <c r="BB47" i="22"/>
  <c r="BE47" i="22" s="1"/>
  <c r="BB29" i="22"/>
  <c r="BB108" i="22"/>
  <c r="BB37" i="22"/>
  <c r="BB93" i="22"/>
  <c r="BB80" i="22"/>
  <c r="BB63" i="22"/>
  <c r="BB57" i="22"/>
  <c r="BB51" i="22"/>
  <c r="BE51" i="22" s="1"/>
  <c r="BB34" i="22"/>
  <c r="BB101" i="22"/>
  <c r="BB69" i="22"/>
  <c r="BB64" i="22"/>
  <c r="BB58" i="22"/>
  <c r="BB50" i="22"/>
  <c r="BB43" i="22"/>
  <c r="BB26" i="22"/>
  <c r="BE26" i="22" s="1"/>
  <c r="BB40" i="22"/>
  <c r="BB56" i="22"/>
  <c r="BB35" i="22"/>
  <c r="BB46" i="22"/>
  <c r="BB100" i="22"/>
  <c r="BB38" i="22"/>
  <c r="BB89" i="22"/>
  <c r="BB81" i="22"/>
  <c r="BE81" i="22" s="1"/>
  <c r="BB59" i="22"/>
  <c r="BB112" i="22"/>
  <c r="BB110" i="22"/>
  <c r="BB95" i="22"/>
  <c r="BE95" i="22" s="1"/>
  <c r="BB94" i="22"/>
  <c r="BB90" i="22"/>
  <c r="BB85" i="22"/>
  <c r="BB83" i="22"/>
  <c r="BE83" i="22" s="1"/>
  <c r="BB75" i="22"/>
  <c r="BB33" i="22"/>
  <c r="BB87" i="22"/>
  <c r="BB72" i="22"/>
  <c r="BE72" i="22" s="1"/>
  <c r="BB66" i="22"/>
  <c r="BB92" i="22"/>
  <c r="BB25" i="22"/>
  <c r="BB118" i="22"/>
  <c r="BE118" i="22" s="1"/>
  <c r="BB98" i="22"/>
  <c r="BB97" i="22"/>
  <c r="BB82" i="22"/>
  <c r="BB79" i="22"/>
  <c r="BE79" i="22" s="1"/>
  <c r="BB76" i="22"/>
  <c r="BB54" i="22"/>
  <c r="BB23" i="22"/>
  <c r="BB115" i="22"/>
  <c r="BB24" i="22"/>
  <c r="BB114" i="22"/>
  <c r="BB52" i="22"/>
  <c r="BB111" i="22"/>
  <c r="BB48" i="22"/>
  <c r="BB36" i="22"/>
  <c r="BB30" i="22"/>
  <c r="BB49" i="22"/>
  <c r="BE49" i="22" s="1"/>
  <c r="BB41" i="22"/>
  <c r="BB60" i="22"/>
  <c r="BB53" i="22"/>
  <c r="BB44" i="22"/>
  <c r="BE44" i="22" s="1"/>
  <c r="BB39" i="22"/>
  <c r="BB99" i="22"/>
  <c r="BB78" i="22"/>
  <c r="BB55" i="22"/>
  <c r="BE55" i="22" s="1"/>
  <c r="BB32" i="22"/>
  <c r="BB27" i="22"/>
  <c r="BB107" i="22"/>
  <c r="BB104" i="22"/>
  <c r="BE104" i="22" s="1"/>
  <c r="BB88" i="22"/>
  <c r="BB77" i="22"/>
  <c r="BB74" i="22"/>
  <c r="BB61" i="22"/>
  <c r="BE61" i="22" s="1"/>
  <c r="BB45" i="22"/>
  <c r="BB42" i="22"/>
  <c r="BB28" i="22"/>
  <c r="BB86" i="22"/>
  <c r="BE86" i="22" s="1"/>
  <c r="BB67" i="22"/>
  <c r="BB71" i="22"/>
  <c r="BB106" i="22"/>
  <c r="BB113" i="22"/>
  <c r="BE113" i="22" s="1"/>
  <c r="BB84" i="22"/>
  <c r="BB70" i="22"/>
  <c r="BB105" i="22"/>
  <c r="BB91" i="22"/>
  <c r="BE91" i="22" s="1"/>
  <c r="BC116" i="22"/>
  <c r="BC120" i="22"/>
  <c r="BC117" i="22"/>
  <c r="BC102" i="22"/>
  <c r="BC41" i="22"/>
  <c r="BC31" i="22"/>
  <c r="BC103" i="22"/>
  <c r="BC68" i="22"/>
  <c r="BC53" i="22"/>
  <c r="BC99" i="22"/>
  <c r="BC113" i="22"/>
  <c r="BC107" i="22"/>
  <c r="BC88" i="22"/>
  <c r="BC70" i="22"/>
  <c r="BC63" i="22"/>
  <c r="BC38" i="22"/>
  <c r="BC118" i="22"/>
  <c r="BC101" i="22"/>
  <c r="BC91" i="22"/>
  <c r="BC64" i="22"/>
  <c r="BC58" i="22"/>
  <c r="BC50" i="22"/>
  <c r="BC43" i="22"/>
  <c r="BC40" i="22"/>
  <c r="BC71" i="22"/>
  <c r="BC49" i="22"/>
  <c r="BC56" i="22"/>
  <c r="BC46" i="22"/>
  <c r="BC104" i="22"/>
  <c r="BC57" i="22"/>
  <c r="BC51" i="22"/>
  <c r="BC25" i="22"/>
  <c r="BC89" i="22"/>
  <c r="BC59" i="22"/>
  <c r="BC121" i="22"/>
  <c r="BC110" i="22"/>
  <c r="BC94" i="22"/>
  <c r="BC75" i="22"/>
  <c r="BC65" i="22"/>
  <c r="BC33" i="22"/>
  <c r="BC114" i="22"/>
  <c r="BC108" i="22"/>
  <c r="BC72" i="22"/>
  <c r="BC37" i="22"/>
  <c r="BC92" i="22"/>
  <c r="BC84" i="22"/>
  <c r="BC98" i="22"/>
  <c r="BC76" i="22"/>
  <c r="BC26" i="22"/>
  <c r="BC23" i="22"/>
  <c r="BC73" i="22"/>
  <c r="BC35" i="22"/>
  <c r="BC24" i="22"/>
  <c r="BC87" i="22"/>
  <c r="BC66" i="22"/>
  <c r="BC93" i="22"/>
  <c r="BC105" i="22"/>
  <c r="BC86" i="22"/>
  <c r="BC36" i="22"/>
  <c r="BC30" i="22"/>
  <c r="BC109" i="22"/>
  <c r="BC96" i="22"/>
  <c r="BC81" i="22"/>
  <c r="BC115" i="22"/>
  <c r="BC112" i="22"/>
  <c r="BC95" i="22"/>
  <c r="BC90" i="22"/>
  <c r="BC60" i="22"/>
  <c r="BC47" i="22"/>
  <c r="BC44" i="22"/>
  <c r="BC39" i="22"/>
  <c r="BC29" i="22"/>
  <c r="BC78" i="22"/>
  <c r="BC55" i="22"/>
  <c r="BC32" i="22"/>
  <c r="BC27" i="22"/>
  <c r="BC100" i="22"/>
  <c r="BC80" i="22"/>
  <c r="BC77" i="22"/>
  <c r="BC74" i="22"/>
  <c r="BC61" i="22"/>
  <c r="BC45" i="22"/>
  <c r="BC28" i="22"/>
  <c r="BC111" i="22"/>
  <c r="BC97" i="22"/>
  <c r="BC82" i="22"/>
  <c r="BC69" i="22"/>
  <c r="BC67" i="22"/>
  <c r="BC54" i="22"/>
  <c r="BC62" i="22"/>
  <c r="BC119" i="22"/>
  <c r="BC106" i="22"/>
  <c r="BC85" i="22"/>
  <c r="BC83" i="22"/>
  <c r="BC52" i="22"/>
  <c r="BC42" i="22"/>
  <c r="BC34" i="22"/>
  <c r="BC79" i="22"/>
  <c r="BC48" i="22"/>
  <c r="BE46" i="22" l="1"/>
  <c r="BE64" i="22"/>
  <c r="BE93" i="22"/>
  <c r="BE70" i="22"/>
  <c r="BE71" i="22"/>
  <c r="BE42" i="22"/>
  <c r="BE77" i="22"/>
  <c r="BE27" i="22"/>
  <c r="BE99" i="22"/>
  <c r="BE60" i="22"/>
  <c r="BE36" i="22"/>
  <c r="BE114" i="22"/>
  <c r="BE54" i="22"/>
  <c r="BE97" i="22"/>
  <c r="BE92" i="22"/>
  <c r="BE33" i="22"/>
  <c r="BE90" i="22"/>
  <c r="BE112" i="22"/>
  <c r="BE38" i="22"/>
  <c r="BE56" i="22"/>
  <c r="BE50" i="22"/>
  <c r="BE101" i="22"/>
  <c r="BE63" i="22"/>
  <c r="BE108" i="22"/>
  <c r="BE68" i="22"/>
  <c r="BE121" i="22"/>
  <c r="BE102" i="22"/>
  <c r="BE120" i="22"/>
  <c r="BE111" i="22"/>
  <c r="BE84" i="22"/>
  <c r="BE67" i="22"/>
  <c r="BE45" i="22"/>
  <c r="BE88" i="22"/>
  <c r="BE32" i="22"/>
  <c r="BE39" i="22"/>
  <c r="BE41" i="22"/>
  <c r="BE48" i="22"/>
  <c r="BE24" i="22"/>
  <c r="BE76" i="22"/>
  <c r="BE98" i="22"/>
  <c r="BE66" i="22"/>
  <c r="BE75" i="22"/>
  <c r="BE94" i="22"/>
  <c r="BE59" i="22"/>
  <c r="BE100" i="22"/>
  <c r="BE40" i="22"/>
  <c r="BE58" i="22"/>
  <c r="BE34" i="22"/>
  <c r="BE80" i="22"/>
  <c r="BE29" i="22"/>
  <c r="BE73" i="22"/>
  <c r="BE31" i="22"/>
  <c r="BE109" i="22"/>
  <c r="BE115" i="22"/>
  <c r="BE105" i="22"/>
  <c r="BE106" i="22"/>
  <c r="BE28" i="22"/>
  <c r="BE74" i="22"/>
  <c r="BE107" i="22"/>
  <c r="BE78" i="22"/>
  <c r="BE53" i="22"/>
  <c r="BE30" i="22"/>
  <c r="BE52" i="22"/>
  <c r="BE23" i="22"/>
  <c r="BE82" i="22"/>
  <c r="BE25" i="22"/>
  <c r="BE87" i="22"/>
  <c r="BE85" i="22"/>
  <c r="BE110" i="22"/>
  <c r="BE89" i="22"/>
  <c r="BE35" i="22"/>
  <c r="BE43" i="22"/>
  <c r="BE69" i="22"/>
  <c r="BE57" i="22"/>
  <c r="BE37" i="22"/>
  <c r="BE65" i="22"/>
  <c r="BE119" i="22"/>
  <c r="BE96" i="22"/>
  <c r="BE116" i="22"/>
  <c r="BE20" i="22" l="1"/>
  <c r="BD19" i="22"/>
  <c r="BI18" i="22"/>
  <c r="BH17" i="22"/>
  <c r="BG16" i="22"/>
  <c r="BC19" i="22"/>
  <c r="BH18" i="22"/>
  <c r="BG17" i="22"/>
  <c r="BB19" i="22"/>
  <c r="BG18" i="22"/>
  <c r="BI16" i="22"/>
  <c r="BI17" i="22"/>
  <c r="BH16" i="22"/>
  <c r="BG116" i="22" l="1"/>
  <c r="BG117" i="22"/>
  <c r="BJ117" i="22" s="1"/>
  <c r="BG120" i="22"/>
  <c r="BG109" i="22"/>
  <c r="BG59" i="22"/>
  <c r="BG49" i="22"/>
  <c r="BG121" i="22"/>
  <c r="BG112" i="22"/>
  <c r="BG110" i="22"/>
  <c r="BG75" i="22"/>
  <c r="BG29" i="22"/>
  <c r="BG99" i="22"/>
  <c r="BG72" i="22"/>
  <c r="BG66" i="22"/>
  <c r="BJ66" i="22" s="1"/>
  <c r="BG113" i="22"/>
  <c r="BG107" i="22"/>
  <c r="BG92" i="22"/>
  <c r="BG61" i="22"/>
  <c r="BJ61" i="22" s="1"/>
  <c r="BG45" i="22"/>
  <c r="BG118" i="22"/>
  <c r="BG111" i="22"/>
  <c r="BG82" i="22"/>
  <c r="BJ82" i="22" s="1"/>
  <c r="BG76" i="22"/>
  <c r="BG54" i="22"/>
  <c r="BG23" i="22"/>
  <c r="BG40" i="22"/>
  <c r="BG36" i="22"/>
  <c r="BG30" i="22"/>
  <c r="BG96" i="22"/>
  <c r="BG89" i="22"/>
  <c r="BG41" i="22"/>
  <c r="BG53" i="22"/>
  <c r="BG47" i="22"/>
  <c r="BG80" i="22"/>
  <c r="BJ80" i="22" s="1"/>
  <c r="BG51" i="22"/>
  <c r="BG58" i="22"/>
  <c r="BG43" i="22"/>
  <c r="BG119" i="22"/>
  <c r="BJ119" i="22" s="1"/>
  <c r="BG83" i="22"/>
  <c r="BG73" i="22"/>
  <c r="BG65" i="22"/>
  <c r="BG60" i="22"/>
  <c r="BG44" i="22"/>
  <c r="BG39" i="22"/>
  <c r="BG87" i="22"/>
  <c r="BG78" i="22"/>
  <c r="BG55" i="22"/>
  <c r="BG37" i="22"/>
  <c r="BG32" i="22"/>
  <c r="BG27" i="22"/>
  <c r="BG104" i="22"/>
  <c r="BG93" i="22"/>
  <c r="BG88" i="22"/>
  <c r="BG74" i="22"/>
  <c r="BJ74" i="22" s="1"/>
  <c r="BG57" i="22"/>
  <c r="BG42" i="22"/>
  <c r="BG28" i="22"/>
  <c r="BG98" i="22"/>
  <c r="BG91" i="22"/>
  <c r="BG79" i="22"/>
  <c r="BG69" i="22"/>
  <c r="BG67" i="22"/>
  <c r="BJ67" i="22" s="1"/>
  <c r="BG115" i="22"/>
  <c r="BG108" i="22"/>
  <c r="BG34" i="22"/>
  <c r="BG86" i="22"/>
  <c r="BG64" i="22"/>
  <c r="BG26" i="22"/>
  <c r="BG71" i="22"/>
  <c r="BG106" i="22"/>
  <c r="BJ106" i="22" s="1"/>
  <c r="BG103" i="22"/>
  <c r="BG95" i="22"/>
  <c r="BG90" i="22"/>
  <c r="BG56" i="22"/>
  <c r="BJ56" i="22" s="1"/>
  <c r="BG35" i="22"/>
  <c r="BG33" i="22"/>
  <c r="BG24" i="22"/>
  <c r="BG114" i="22"/>
  <c r="BJ114" i="22" s="1"/>
  <c r="BG46" i="22"/>
  <c r="BG100" i="22"/>
  <c r="BG84" i="22"/>
  <c r="BG77" i="22"/>
  <c r="BJ77" i="22" s="1"/>
  <c r="BG70" i="22"/>
  <c r="BG52" i="22"/>
  <c r="BG38" i="22"/>
  <c r="BG25" i="22"/>
  <c r="BJ25" i="22" s="1"/>
  <c r="BG105" i="22"/>
  <c r="BG50" i="22"/>
  <c r="BG48" i="22"/>
  <c r="BG102" i="22"/>
  <c r="BJ102" i="22" s="1"/>
  <c r="BG81" i="22"/>
  <c r="BG62" i="22"/>
  <c r="BG31" i="22"/>
  <c r="BG94" i="22"/>
  <c r="BG85" i="22"/>
  <c r="BG68" i="22"/>
  <c r="BG63" i="22"/>
  <c r="BG101" i="22"/>
  <c r="BJ101" i="22" s="1"/>
  <c r="BG97" i="22"/>
  <c r="BH116" i="22"/>
  <c r="BH117" i="22"/>
  <c r="BH120" i="22"/>
  <c r="BH89" i="22"/>
  <c r="BH62" i="22"/>
  <c r="BH59" i="22"/>
  <c r="BH121" i="22"/>
  <c r="BH112" i="22"/>
  <c r="BH90" i="22"/>
  <c r="BH83" i="22"/>
  <c r="BH75" i="22"/>
  <c r="BH65" i="22"/>
  <c r="BH33" i="22"/>
  <c r="BH87" i="22"/>
  <c r="BH72" i="22"/>
  <c r="BH66" i="22"/>
  <c r="BH46" i="22"/>
  <c r="BH37" i="22"/>
  <c r="BH100" i="22"/>
  <c r="BH84" i="22"/>
  <c r="BH80" i="22"/>
  <c r="BH70" i="22"/>
  <c r="BH51" i="22"/>
  <c r="BH42" i="22"/>
  <c r="BH34" i="22"/>
  <c r="BH82" i="22"/>
  <c r="BH79" i="22"/>
  <c r="BH76" i="22"/>
  <c r="BH54" i="22"/>
  <c r="BH50" i="22"/>
  <c r="BH30" i="22"/>
  <c r="BH23" i="22"/>
  <c r="BH36" i="22"/>
  <c r="BH102" i="22"/>
  <c r="BH96" i="22"/>
  <c r="BH31" i="22"/>
  <c r="BH103" i="22"/>
  <c r="BH68" i="22"/>
  <c r="BH53" i="22"/>
  <c r="BH78" i="22"/>
  <c r="BH88" i="22"/>
  <c r="BH74" i="22"/>
  <c r="BH109" i="22"/>
  <c r="BH81" i="22"/>
  <c r="BH115" i="22"/>
  <c r="BH94" i="22"/>
  <c r="BH60" i="22"/>
  <c r="BH44" i="22"/>
  <c r="BH39" i="22"/>
  <c r="BH29" i="22"/>
  <c r="BH108" i="22"/>
  <c r="BH55" i="22"/>
  <c r="BH32" i="22"/>
  <c r="BH27" i="22"/>
  <c r="BH107" i="22"/>
  <c r="BH104" i="22"/>
  <c r="BH77" i="22"/>
  <c r="BH61" i="22"/>
  <c r="BH45" i="22"/>
  <c r="BH28" i="22"/>
  <c r="BH111" i="22"/>
  <c r="BH97" i="22"/>
  <c r="BH86" i="22"/>
  <c r="BH69" i="22"/>
  <c r="BH67" i="22"/>
  <c r="BH58" i="22"/>
  <c r="BH40" i="22"/>
  <c r="BH110" i="22"/>
  <c r="BH113" i="22"/>
  <c r="BH92" i="22"/>
  <c r="BH63" i="22"/>
  <c r="BH118" i="22"/>
  <c r="BH64" i="22"/>
  <c r="BH71" i="22"/>
  <c r="BH49" i="22"/>
  <c r="BH119" i="22"/>
  <c r="BH106" i="22"/>
  <c r="BH95" i="22"/>
  <c r="BH85" i="22"/>
  <c r="BH73" i="22"/>
  <c r="BH56" i="22"/>
  <c r="BH47" i="22"/>
  <c r="BH35" i="22"/>
  <c r="BH24" i="22"/>
  <c r="BH114" i="22"/>
  <c r="BH99" i="22"/>
  <c r="BH57" i="22"/>
  <c r="BH52" i="22"/>
  <c r="BH38" i="22"/>
  <c r="BH25" i="22"/>
  <c r="BH105" i="22"/>
  <c r="BH98" i="22"/>
  <c r="BH91" i="22"/>
  <c r="BH48" i="22"/>
  <c r="BH26" i="22"/>
  <c r="BH41" i="22"/>
  <c r="BH93" i="22"/>
  <c r="BH101" i="22"/>
  <c r="BH43" i="22"/>
  <c r="BI116" i="22"/>
  <c r="BI120" i="22"/>
  <c r="BI117" i="22"/>
  <c r="BI89" i="22"/>
  <c r="BI115" i="22"/>
  <c r="BI110" i="22"/>
  <c r="BI95" i="22"/>
  <c r="BI94" i="22"/>
  <c r="BI85" i="22"/>
  <c r="BI60" i="22"/>
  <c r="BI44" i="22"/>
  <c r="BI29" i="22"/>
  <c r="BI87" i="22"/>
  <c r="BI66" i="22"/>
  <c r="BI32" i="22"/>
  <c r="BI92" i="22"/>
  <c r="BI77" i="22"/>
  <c r="BI63" i="22"/>
  <c r="BI61" i="22"/>
  <c r="BI52" i="22"/>
  <c r="BI45" i="22"/>
  <c r="BI28" i="22"/>
  <c r="BI118" i="22"/>
  <c r="BI98" i="22"/>
  <c r="BI86" i="22"/>
  <c r="BI69" i="22"/>
  <c r="BI54" i="22"/>
  <c r="BI40" i="22"/>
  <c r="BI36" i="22"/>
  <c r="BI59" i="22"/>
  <c r="BI112" i="22"/>
  <c r="BI65" i="22"/>
  <c r="BI33" i="22"/>
  <c r="BI99" i="22"/>
  <c r="BI72" i="22"/>
  <c r="BI37" i="22"/>
  <c r="BI96" i="22"/>
  <c r="BI49" i="22"/>
  <c r="BI106" i="22"/>
  <c r="BI90" i="22"/>
  <c r="BI73" i="22"/>
  <c r="BI56" i="22"/>
  <c r="BI47" i="22"/>
  <c r="BI35" i="22"/>
  <c r="BI24" i="22"/>
  <c r="BI108" i="22"/>
  <c r="BI55" i="22"/>
  <c r="BI27" i="22"/>
  <c r="BI113" i="22"/>
  <c r="BI104" i="22"/>
  <c r="BI100" i="22"/>
  <c r="BI84" i="22"/>
  <c r="BI80" i="22"/>
  <c r="BI74" i="22"/>
  <c r="BI57" i="22"/>
  <c r="BI51" i="22"/>
  <c r="BI42" i="22"/>
  <c r="BI25" i="22"/>
  <c r="BI111" i="22"/>
  <c r="BI97" i="22"/>
  <c r="BI82" i="22"/>
  <c r="BI50" i="22"/>
  <c r="BI23" i="22"/>
  <c r="BI30" i="22"/>
  <c r="BI75" i="22"/>
  <c r="BI107" i="22"/>
  <c r="BI88" i="22"/>
  <c r="BI34" i="22"/>
  <c r="BI76" i="22"/>
  <c r="BI26" i="22"/>
  <c r="BI102" i="22"/>
  <c r="BI81" i="22"/>
  <c r="BI71" i="22"/>
  <c r="BI41" i="22"/>
  <c r="BI31" i="22"/>
  <c r="BI121" i="22"/>
  <c r="BI119" i="22"/>
  <c r="BI103" i="22"/>
  <c r="BI83" i="22"/>
  <c r="BI68" i="22"/>
  <c r="BI53" i="22"/>
  <c r="BI39" i="22"/>
  <c r="BI114" i="22"/>
  <c r="BI78" i="22"/>
  <c r="BI46" i="22"/>
  <c r="BI93" i="22"/>
  <c r="BI70" i="22"/>
  <c r="BI38" i="22"/>
  <c r="BI101" i="22"/>
  <c r="BI79" i="22"/>
  <c r="BI67" i="22"/>
  <c r="BI64" i="22"/>
  <c r="BI48" i="22"/>
  <c r="BI109" i="22"/>
  <c r="BI62" i="22"/>
  <c r="BI105" i="22"/>
  <c r="BI91" i="22"/>
  <c r="BI58" i="22"/>
  <c r="BI43" i="22"/>
  <c r="BJ98" i="22" l="1"/>
  <c r="BJ40" i="22"/>
  <c r="BJ75" i="22"/>
  <c r="BJ68" i="22"/>
  <c r="BJ62" i="22"/>
  <c r="BJ50" i="22"/>
  <c r="BJ52" i="22"/>
  <c r="BJ100" i="22"/>
  <c r="BJ33" i="22"/>
  <c r="BJ95" i="22"/>
  <c r="BJ26" i="22"/>
  <c r="BJ108" i="22"/>
  <c r="BJ79" i="22"/>
  <c r="BJ42" i="22"/>
  <c r="BJ93" i="22"/>
  <c r="BJ37" i="22"/>
  <c r="BJ39" i="22"/>
  <c r="BJ73" i="22"/>
  <c r="BJ58" i="22"/>
  <c r="BJ53" i="22"/>
  <c r="BJ30" i="22"/>
  <c r="BJ54" i="22"/>
  <c r="BJ118" i="22"/>
  <c r="BJ107" i="22"/>
  <c r="BJ99" i="22"/>
  <c r="BJ112" i="22"/>
  <c r="BJ109" i="22"/>
  <c r="BJ86" i="22"/>
  <c r="BJ78" i="22"/>
  <c r="BJ49" i="22"/>
  <c r="BJ97" i="22"/>
  <c r="BJ85" i="22"/>
  <c r="BJ81" i="22"/>
  <c r="BJ105" i="22"/>
  <c r="BJ70" i="22"/>
  <c r="BJ46" i="22"/>
  <c r="BJ35" i="22"/>
  <c r="BJ103" i="22"/>
  <c r="BJ64" i="22"/>
  <c r="BJ115" i="22"/>
  <c r="BJ91" i="22"/>
  <c r="BJ57" i="22"/>
  <c r="BJ104" i="22"/>
  <c r="BJ55" i="22"/>
  <c r="BJ44" i="22"/>
  <c r="BJ83" i="22"/>
  <c r="BJ51" i="22"/>
  <c r="BJ41" i="22"/>
  <c r="BJ36" i="22"/>
  <c r="BJ76" i="22"/>
  <c r="BJ45" i="22"/>
  <c r="BJ113" i="22"/>
  <c r="BJ29" i="22"/>
  <c r="BJ121" i="22"/>
  <c r="BJ120" i="22"/>
  <c r="BJ94" i="22"/>
  <c r="BJ27" i="22"/>
  <c r="BJ60" i="22"/>
  <c r="BJ89" i="22"/>
  <c r="BJ63" i="22"/>
  <c r="BJ31" i="22"/>
  <c r="BJ48" i="22"/>
  <c r="BJ38" i="22"/>
  <c r="BJ84" i="22"/>
  <c r="BJ24" i="22"/>
  <c r="BJ90" i="22"/>
  <c r="BJ71" i="22"/>
  <c r="BJ34" i="22"/>
  <c r="BJ69" i="22"/>
  <c r="BJ28" i="22"/>
  <c r="BJ88" i="22"/>
  <c r="BJ32" i="22"/>
  <c r="BJ87" i="22"/>
  <c r="BJ65" i="22"/>
  <c r="BJ43" i="22"/>
  <c r="BJ47" i="22"/>
  <c r="BJ96" i="22"/>
  <c r="BJ23" i="22"/>
  <c r="BJ111" i="22"/>
  <c r="BJ92" i="22"/>
  <c r="BJ72" i="22"/>
  <c r="BJ110" i="22"/>
  <c r="BJ59" i="22"/>
  <c r="BJ116" i="22"/>
  <c r="BN17" i="22" l="1"/>
  <c r="BM16" i="22"/>
  <c r="BI19" i="22"/>
  <c r="BN18" i="22"/>
  <c r="BM17" i="22"/>
  <c r="BL16" i="22"/>
  <c r="BH19" i="22"/>
  <c r="BM18" i="22"/>
  <c r="BL17" i="22"/>
  <c r="BG19" i="22"/>
  <c r="BN16" i="22"/>
  <c r="BL18" i="22"/>
  <c r="BJ20" i="22"/>
  <c r="BL116" i="22" l="1"/>
  <c r="BL117" i="22"/>
  <c r="BL120" i="22"/>
  <c r="BL89" i="22"/>
  <c r="BL81" i="22"/>
  <c r="BL94" i="22"/>
  <c r="BO94" i="22" s="1"/>
  <c r="BL60" i="22"/>
  <c r="BL44" i="22"/>
  <c r="BL39" i="22"/>
  <c r="BL29" i="22"/>
  <c r="BO29" i="22" s="1"/>
  <c r="BL55" i="22"/>
  <c r="BL32" i="22"/>
  <c r="BL27" i="22"/>
  <c r="BL107" i="22"/>
  <c r="BL104" i="22"/>
  <c r="BL93" i="22"/>
  <c r="BL88" i="22"/>
  <c r="BL74" i="22"/>
  <c r="BL45" i="22"/>
  <c r="BL42" i="22"/>
  <c r="BL28" i="22"/>
  <c r="BL97" i="22"/>
  <c r="BL79" i="22"/>
  <c r="BL67" i="22"/>
  <c r="BL40" i="22"/>
  <c r="BL48" i="22"/>
  <c r="BO48" i="22" s="1"/>
  <c r="BL119" i="22"/>
  <c r="BL90" i="22"/>
  <c r="BL75" i="22"/>
  <c r="BL86" i="22"/>
  <c r="BO86" i="22" s="1"/>
  <c r="BL71" i="22"/>
  <c r="BL49" i="22"/>
  <c r="BL106" i="22"/>
  <c r="BL95" i="22"/>
  <c r="BO95" i="22" s="1"/>
  <c r="BL83" i="22"/>
  <c r="BL73" i="22"/>
  <c r="BL65" i="22"/>
  <c r="BL56" i="22"/>
  <c r="BO56" i="22" s="1"/>
  <c r="BL35" i="22"/>
  <c r="BL24" i="22"/>
  <c r="BL114" i="22"/>
  <c r="BL99" i="22"/>
  <c r="BO99" i="22" s="1"/>
  <c r="BL87" i="22"/>
  <c r="BL46" i="22"/>
  <c r="BL100" i="22"/>
  <c r="BL84" i="22"/>
  <c r="BL70" i="22"/>
  <c r="BL57" i="22"/>
  <c r="BL52" i="22"/>
  <c r="BL38" i="22"/>
  <c r="BL105" i="22"/>
  <c r="BL91" i="22"/>
  <c r="BL69" i="22"/>
  <c r="BL36" i="22"/>
  <c r="BO36" i="22" s="1"/>
  <c r="BL30" i="22"/>
  <c r="BL43" i="22"/>
  <c r="BL26" i="22"/>
  <c r="BL41" i="22"/>
  <c r="BL112" i="22"/>
  <c r="BL103" i="22"/>
  <c r="BL53" i="22"/>
  <c r="BL72" i="22"/>
  <c r="BL61" i="22"/>
  <c r="BL118" i="22"/>
  <c r="BL82" i="22"/>
  <c r="BL76" i="22"/>
  <c r="BO76" i="22" s="1"/>
  <c r="BL23" i="22"/>
  <c r="BL109" i="22"/>
  <c r="BL102" i="22"/>
  <c r="BL96" i="22"/>
  <c r="BL62" i="22"/>
  <c r="BL31" i="22"/>
  <c r="BL115" i="22"/>
  <c r="BL68" i="22"/>
  <c r="BL47" i="22"/>
  <c r="BL33" i="22"/>
  <c r="BL108" i="22"/>
  <c r="BL78" i="22"/>
  <c r="BL113" i="22"/>
  <c r="BL80" i="22"/>
  <c r="BL63" i="22"/>
  <c r="BL51" i="22"/>
  <c r="BO51" i="22" s="1"/>
  <c r="BL34" i="22"/>
  <c r="BL25" i="22"/>
  <c r="BL111" i="22"/>
  <c r="BL101" i="22"/>
  <c r="BO101" i="22" s="1"/>
  <c r="BL98" i="22"/>
  <c r="BL64" i="22"/>
  <c r="BL58" i="22"/>
  <c r="BL50" i="22"/>
  <c r="BO50" i="22" s="1"/>
  <c r="BL59" i="22"/>
  <c r="BL121" i="22"/>
  <c r="BL110" i="22"/>
  <c r="BL85" i="22"/>
  <c r="BL66" i="22"/>
  <c r="BL37" i="22"/>
  <c r="BL92" i="22"/>
  <c r="BL77" i="22"/>
  <c r="BO77" i="22" s="1"/>
  <c r="BL54" i="22"/>
  <c r="BN116" i="22"/>
  <c r="BN120" i="22"/>
  <c r="BN117" i="22"/>
  <c r="BN49" i="22"/>
  <c r="BN115" i="22"/>
  <c r="BN119" i="22"/>
  <c r="BN106" i="22"/>
  <c r="BN90" i="22"/>
  <c r="BN73" i="22"/>
  <c r="BN56" i="22"/>
  <c r="BN35" i="22"/>
  <c r="BN24" i="22"/>
  <c r="BN108" i="22"/>
  <c r="BN113" i="22"/>
  <c r="BN107" i="22"/>
  <c r="BN104" i="22"/>
  <c r="BN74" i="22"/>
  <c r="BN57" i="22"/>
  <c r="BN42" i="22"/>
  <c r="BN25" i="22"/>
  <c r="BN111" i="22"/>
  <c r="BN101" i="22"/>
  <c r="BN82" i="22"/>
  <c r="BN67" i="22"/>
  <c r="BN50" i="22"/>
  <c r="BN36" i="22"/>
  <c r="BN23" i="22"/>
  <c r="BN59" i="22"/>
  <c r="BN39" i="22"/>
  <c r="BN66" i="22"/>
  <c r="BN32" i="22"/>
  <c r="BN77" i="22"/>
  <c r="BN61" i="22"/>
  <c r="BN28" i="22"/>
  <c r="BN69" i="22"/>
  <c r="BN43" i="22"/>
  <c r="BN102" i="22"/>
  <c r="BN41" i="22"/>
  <c r="BN121" i="22"/>
  <c r="BN103" i="22"/>
  <c r="BN95" i="22"/>
  <c r="BN85" i="22"/>
  <c r="BN68" i="22"/>
  <c r="BN53" i="22"/>
  <c r="BN114" i="22"/>
  <c r="BN78" i="22"/>
  <c r="BN55" i="22"/>
  <c r="BN46" i="22"/>
  <c r="BN27" i="22"/>
  <c r="BN88" i="22"/>
  <c r="BN70" i="22"/>
  <c r="BN63" i="22"/>
  <c r="BN52" i="22"/>
  <c r="BN51" i="22"/>
  <c r="BN38" i="22"/>
  <c r="BN64" i="22"/>
  <c r="BN30" i="22"/>
  <c r="BN26" i="22"/>
  <c r="BN110" i="22"/>
  <c r="BN94" i="22"/>
  <c r="BN75" i="22"/>
  <c r="BN60" i="22"/>
  <c r="BN47" i="22"/>
  <c r="BN29" i="22"/>
  <c r="BN99" i="22"/>
  <c r="BN87" i="22"/>
  <c r="BN84" i="22"/>
  <c r="BN118" i="22"/>
  <c r="BN91" i="22"/>
  <c r="BN86" i="22"/>
  <c r="BN79" i="22"/>
  <c r="BN54" i="22"/>
  <c r="BN89" i="22"/>
  <c r="BN81" i="22"/>
  <c r="BN71" i="22"/>
  <c r="BN62" i="22"/>
  <c r="BN31" i="22"/>
  <c r="BN112" i="22"/>
  <c r="BN65" i="22"/>
  <c r="BN33" i="22"/>
  <c r="BN72" i="22"/>
  <c r="BN37" i="22"/>
  <c r="BN93" i="22"/>
  <c r="BN92" i="22"/>
  <c r="BN34" i="22"/>
  <c r="BN105" i="22"/>
  <c r="BN97" i="22"/>
  <c r="BN76" i="22"/>
  <c r="BN58" i="22"/>
  <c r="BN109" i="22"/>
  <c r="BN96" i="22"/>
  <c r="BN83" i="22"/>
  <c r="BN44" i="22"/>
  <c r="BN100" i="22"/>
  <c r="BN80" i="22"/>
  <c r="BN45" i="22"/>
  <c r="BN98" i="22"/>
  <c r="BN48" i="22"/>
  <c r="BN40" i="22"/>
  <c r="BM116" i="22"/>
  <c r="BM120" i="22"/>
  <c r="BM117" i="22"/>
  <c r="BM109" i="22"/>
  <c r="BM81" i="22"/>
  <c r="BM62" i="22"/>
  <c r="BM115" i="22"/>
  <c r="BM110" i="22"/>
  <c r="BM83" i="22"/>
  <c r="BM60" i="22"/>
  <c r="BM44" i="22"/>
  <c r="BM39" i="22"/>
  <c r="BM29" i="22"/>
  <c r="BM114" i="22"/>
  <c r="BM87" i="22"/>
  <c r="BM78" i="22"/>
  <c r="BM66" i="22"/>
  <c r="BM55" i="22"/>
  <c r="BM46" i="22"/>
  <c r="BM32" i="22"/>
  <c r="BM27" i="22"/>
  <c r="BM104" i="22"/>
  <c r="BM77" i="22"/>
  <c r="BM74" i="22"/>
  <c r="BM61" i="22"/>
  <c r="BM45" i="22"/>
  <c r="BM42" i="22"/>
  <c r="BM34" i="22"/>
  <c r="BM28" i="22"/>
  <c r="BM111" i="22"/>
  <c r="BM98" i="22"/>
  <c r="BM97" i="22"/>
  <c r="BM91" i="22"/>
  <c r="BM82" i="22"/>
  <c r="BM69" i="22"/>
  <c r="BM67" i="22"/>
  <c r="BM40" i="22"/>
  <c r="BM48" i="22"/>
  <c r="BM36" i="22"/>
  <c r="BM30" i="22"/>
  <c r="BM96" i="22"/>
  <c r="BM121" i="22"/>
  <c r="BM33" i="22"/>
  <c r="BM72" i="22"/>
  <c r="BM37" i="22"/>
  <c r="BM107" i="22"/>
  <c r="BM79" i="22"/>
  <c r="BM54" i="22"/>
  <c r="BM71" i="22"/>
  <c r="BM49" i="22"/>
  <c r="BM119" i="22"/>
  <c r="BM112" i="22"/>
  <c r="BM106" i="22"/>
  <c r="BM95" i="22"/>
  <c r="BM90" i="22"/>
  <c r="BM85" i="22"/>
  <c r="BM73" i="22"/>
  <c r="BM56" i="22"/>
  <c r="BM35" i="22"/>
  <c r="BM24" i="22"/>
  <c r="BM84" i="22"/>
  <c r="BM80" i="22"/>
  <c r="BM70" i="22"/>
  <c r="BM57" i="22"/>
  <c r="BM52" i="22"/>
  <c r="BM51" i="22"/>
  <c r="BM25" i="22"/>
  <c r="BM105" i="22"/>
  <c r="BM58" i="22"/>
  <c r="BM26" i="22"/>
  <c r="BM65" i="22"/>
  <c r="BM118" i="22"/>
  <c r="BM76" i="22"/>
  <c r="BM23" i="22"/>
  <c r="BM102" i="22"/>
  <c r="BM41" i="22"/>
  <c r="BM31" i="22"/>
  <c r="BM103" i="22"/>
  <c r="BM94" i="22"/>
  <c r="BM68" i="22"/>
  <c r="BM53" i="22"/>
  <c r="BM108" i="22"/>
  <c r="BM99" i="22"/>
  <c r="BM113" i="22"/>
  <c r="BM100" i="22"/>
  <c r="BM93" i="22"/>
  <c r="BM88" i="22"/>
  <c r="BM63" i="22"/>
  <c r="BM38" i="22"/>
  <c r="BM101" i="22"/>
  <c r="BM86" i="22"/>
  <c r="BM64" i="22"/>
  <c r="BM43" i="22"/>
  <c r="BM89" i="22"/>
  <c r="BM59" i="22"/>
  <c r="BM75" i="22"/>
  <c r="BM47" i="22"/>
  <c r="BM92" i="22"/>
  <c r="BM50" i="22"/>
  <c r="BO85" i="22" l="1"/>
  <c r="BO68" i="22"/>
  <c r="BO41" i="22"/>
  <c r="BO38" i="22"/>
  <c r="BO74" i="22"/>
  <c r="BO117" i="22"/>
  <c r="BO37" i="22"/>
  <c r="BO121" i="22"/>
  <c r="BO64" i="22"/>
  <c r="BO25" i="22"/>
  <c r="BO80" i="22"/>
  <c r="BO33" i="22"/>
  <c r="BO31" i="22"/>
  <c r="BO109" i="22"/>
  <c r="BO118" i="22"/>
  <c r="BO103" i="22"/>
  <c r="BO43" i="22"/>
  <c r="BO91" i="22"/>
  <c r="BO57" i="22"/>
  <c r="BO46" i="22"/>
  <c r="BO24" i="22"/>
  <c r="BO73" i="22"/>
  <c r="BO49" i="22"/>
  <c r="BO90" i="22"/>
  <c r="BO67" i="22"/>
  <c r="BO42" i="22"/>
  <c r="BO93" i="22"/>
  <c r="BO32" i="22"/>
  <c r="BO44" i="22"/>
  <c r="BO89" i="22"/>
  <c r="BO54" i="22"/>
  <c r="BO66" i="22"/>
  <c r="BO59" i="22"/>
  <c r="BO98" i="22"/>
  <c r="BO34" i="22"/>
  <c r="BO113" i="22"/>
  <c r="BO47" i="22"/>
  <c r="BO62" i="22"/>
  <c r="BO23" i="22"/>
  <c r="BO61" i="22"/>
  <c r="BO112" i="22"/>
  <c r="BO30" i="22"/>
  <c r="BO105" i="22"/>
  <c r="BO70" i="22"/>
  <c r="BO87" i="22"/>
  <c r="BO35" i="22"/>
  <c r="BO83" i="22"/>
  <c r="BO71" i="22"/>
  <c r="BO119" i="22"/>
  <c r="BO79" i="22"/>
  <c r="BO45" i="22"/>
  <c r="BO104" i="22"/>
  <c r="BO55" i="22"/>
  <c r="BO60" i="22"/>
  <c r="BO120" i="22"/>
  <c r="BO78" i="22"/>
  <c r="BO96" i="22"/>
  <c r="BO72" i="22"/>
  <c r="BO84" i="22"/>
  <c r="BO97" i="22"/>
  <c r="BO107" i="22"/>
  <c r="BO92" i="22"/>
  <c r="BO110" i="22"/>
  <c r="BO58" i="22"/>
  <c r="BO111" i="22"/>
  <c r="BO63" i="22"/>
  <c r="BO108" i="22"/>
  <c r="BO115" i="22"/>
  <c r="BO102" i="22"/>
  <c r="BO82" i="22"/>
  <c r="BO53" i="22"/>
  <c r="BO26" i="22"/>
  <c r="BO69" i="22"/>
  <c r="BO52" i="22"/>
  <c r="BO100" i="22"/>
  <c r="BO114" i="22"/>
  <c r="BO65" i="22"/>
  <c r="BO106" i="22"/>
  <c r="BO75" i="22"/>
  <c r="BO40" i="22"/>
  <c r="BO28" i="22"/>
  <c r="BO88" i="22"/>
  <c r="BO27" i="22"/>
  <c r="BO39" i="22"/>
  <c r="BO81" i="22"/>
  <c r="BO116" i="22"/>
  <c r="BL19" i="22" l="1"/>
  <c r="BQ18" i="22"/>
  <c r="BS16" i="22"/>
  <c r="BS17" i="22"/>
  <c r="BR16" i="22"/>
  <c r="BO20" i="22"/>
  <c r="BN19" i="22"/>
  <c r="BS18" i="22"/>
  <c r="BR17" i="22"/>
  <c r="BQ16" i="22"/>
  <c r="BM19" i="22"/>
  <c r="BR18" i="22"/>
  <c r="BQ17" i="22"/>
  <c r="BQ116" i="22" l="1"/>
  <c r="BQ117" i="22"/>
  <c r="BQ120" i="22"/>
  <c r="BQ109" i="22"/>
  <c r="BQ71" i="22"/>
  <c r="BQ41" i="22"/>
  <c r="BQ119" i="22"/>
  <c r="BQ106" i="22"/>
  <c r="BQ103" i="22"/>
  <c r="BQ95" i="22"/>
  <c r="BQ94" i="22"/>
  <c r="BQ90" i="22"/>
  <c r="BQ56" i="22"/>
  <c r="BQ35" i="22"/>
  <c r="BT35" i="22" s="1"/>
  <c r="BQ24" i="22"/>
  <c r="BQ114" i="22"/>
  <c r="BQ87" i="22"/>
  <c r="BQ78" i="22"/>
  <c r="BQ46" i="22"/>
  <c r="BQ100" i="22"/>
  <c r="BQ93" i="22"/>
  <c r="BQ84" i="22"/>
  <c r="BT84" i="22" s="1"/>
  <c r="BQ77" i="22"/>
  <c r="BQ70" i="22"/>
  <c r="BQ61" i="22"/>
  <c r="BQ52" i="22"/>
  <c r="BT52" i="22" s="1"/>
  <c r="BQ38" i="22"/>
  <c r="BQ105" i="22"/>
  <c r="BQ97" i="22"/>
  <c r="BQ69" i="22"/>
  <c r="BQ48" i="22"/>
  <c r="BQ36" i="22"/>
  <c r="BQ30" i="22"/>
  <c r="BQ58" i="22"/>
  <c r="BT58" i="22" s="1"/>
  <c r="BQ43" i="22"/>
  <c r="BQ60" i="22"/>
  <c r="BQ32" i="22"/>
  <c r="BQ74" i="22"/>
  <c r="BT74" i="22" s="1"/>
  <c r="BQ28" i="22"/>
  <c r="BQ102" i="22"/>
  <c r="BQ96" i="22"/>
  <c r="BQ89" i="22"/>
  <c r="BQ62" i="22"/>
  <c r="BQ31" i="22"/>
  <c r="BQ85" i="22"/>
  <c r="BQ83" i="22"/>
  <c r="BT83" i="22" s="1"/>
  <c r="BQ68" i="22"/>
  <c r="BQ53" i="22"/>
  <c r="BQ47" i="22"/>
  <c r="BQ29" i="22"/>
  <c r="BQ108" i="22"/>
  <c r="BQ80" i="22"/>
  <c r="BQ63" i="22"/>
  <c r="BQ51" i="22"/>
  <c r="BT51" i="22" s="1"/>
  <c r="BQ45" i="22"/>
  <c r="BQ34" i="22"/>
  <c r="BQ101" i="22"/>
  <c r="BQ98" i="22"/>
  <c r="BT98" i="22" s="1"/>
  <c r="BQ82" i="22"/>
  <c r="BQ79" i="22"/>
  <c r="BQ64" i="22"/>
  <c r="BQ50" i="22"/>
  <c r="BT50" i="22" s="1"/>
  <c r="BQ26" i="22"/>
  <c r="BQ23" i="22"/>
  <c r="BQ104" i="22"/>
  <c r="BQ67" i="22"/>
  <c r="BT67" i="22" s="1"/>
  <c r="BQ40" i="22"/>
  <c r="BQ81" i="22"/>
  <c r="BQ59" i="22"/>
  <c r="BQ115" i="22"/>
  <c r="BT115" i="22" s="1"/>
  <c r="BQ112" i="22"/>
  <c r="BQ110" i="22"/>
  <c r="BQ75" i="22"/>
  <c r="BQ73" i="22"/>
  <c r="BQ65" i="22"/>
  <c r="BQ99" i="22"/>
  <c r="BQ72" i="22"/>
  <c r="BQ66" i="22"/>
  <c r="BT66" i="22" s="1"/>
  <c r="BQ37" i="22"/>
  <c r="BQ113" i="22"/>
  <c r="BQ107" i="22"/>
  <c r="BQ92" i="22"/>
  <c r="BQ57" i="22"/>
  <c r="BQ118" i="22"/>
  <c r="BQ91" i="22"/>
  <c r="BQ86" i="22"/>
  <c r="BQ76" i="22"/>
  <c r="BQ54" i="22"/>
  <c r="BQ49" i="22"/>
  <c r="BQ121" i="22"/>
  <c r="BT121" i="22" s="1"/>
  <c r="BQ44" i="22"/>
  <c r="BQ39" i="22"/>
  <c r="BQ33" i="22"/>
  <c r="BQ55" i="22"/>
  <c r="BQ27" i="22"/>
  <c r="BQ88" i="22"/>
  <c r="BQ42" i="22"/>
  <c r="BQ25" i="22"/>
  <c r="BT25" i="22" s="1"/>
  <c r="BQ111" i="22"/>
  <c r="BS120" i="22"/>
  <c r="BS116" i="22"/>
  <c r="BS117" i="22"/>
  <c r="BS102" i="22"/>
  <c r="BS71" i="22"/>
  <c r="BS59" i="22"/>
  <c r="BS41" i="22"/>
  <c r="BS103" i="22"/>
  <c r="BS75" i="22"/>
  <c r="BS68" i="22"/>
  <c r="BS53" i="22"/>
  <c r="BS39" i="22"/>
  <c r="BS114" i="22"/>
  <c r="BS99" i="22"/>
  <c r="BS78" i="22"/>
  <c r="BS46" i="22"/>
  <c r="BS113" i="22"/>
  <c r="BS84" i="22"/>
  <c r="BS80" i="22"/>
  <c r="BS70" i="22"/>
  <c r="BS51" i="22"/>
  <c r="BS38" i="22"/>
  <c r="BS111" i="22"/>
  <c r="BS101" i="22"/>
  <c r="BS97" i="22"/>
  <c r="BS67" i="22"/>
  <c r="BS64" i="22"/>
  <c r="BS30" i="22"/>
  <c r="BS58" i="22"/>
  <c r="BS26" i="22"/>
  <c r="BS81" i="22"/>
  <c r="BS49" i="22"/>
  <c r="BS106" i="22"/>
  <c r="BS90" i="22"/>
  <c r="BS93" i="22"/>
  <c r="BS74" i="22"/>
  <c r="BS25" i="22"/>
  <c r="BS50" i="22"/>
  <c r="BS36" i="22"/>
  <c r="BS23" i="22"/>
  <c r="BS109" i="22"/>
  <c r="BS96" i="22"/>
  <c r="BS62" i="22"/>
  <c r="BS121" i="22"/>
  <c r="BS119" i="22"/>
  <c r="BS112" i="22"/>
  <c r="BS65" i="22"/>
  <c r="BS35" i="22"/>
  <c r="BS33" i="22"/>
  <c r="BS108" i="22"/>
  <c r="BS72" i="22"/>
  <c r="BS55" i="22"/>
  <c r="BS37" i="22"/>
  <c r="BS100" i="22"/>
  <c r="BS88" i="22"/>
  <c r="BS34" i="22"/>
  <c r="BS105" i="22"/>
  <c r="BS79" i="22"/>
  <c r="BS76" i="22"/>
  <c r="BS40" i="22"/>
  <c r="BS31" i="22"/>
  <c r="BS95" i="22"/>
  <c r="BS73" i="22"/>
  <c r="BS56" i="22"/>
  <c r="BS87" i="22"/>
  <c r="BS104" i="22"/>
  <c r="BS92" i="22"/>
  <c r="BS52" i="22"/>
  <c r="BS91" i="22"/>
  <c r="BS82" i="22"/>
  <c r="BS89" i="22"/>
  <c r="BS115" i="22"/>
  <c r="BS110" i="22"/>
  <c r="BS94" i="22"/>
  <c r="BS85" i="22"/>
  <c r="BS60" i="22"/>
  <c r="BS47" i="22"/>
  <c r="BS44" i="22"/>
  <c r="BS29" i="22"/>
  <c r="BS66" i="22"/>
  <c r="BS32" i="22"/>
  <c r="BS107" i="22"/>
  <c r="BS77" i="22"/>
  <c r="BS63" i="22"/>
  <c r="BS61" i="22"/>
  <c r="BS45" i="22"/>
  <c r="BS28" i="22"/>
  <c r="BS118" i="22"/>
  <c r="BS98" i="22"/>
  <c r="BS86" i="22"/>
  <c r="BS69" i="22"/>
  <c r="BS54" i="22"/>
  <c r="BS43" i="22"/>
  <c r="BS83" i="22"/>
  <c r="BS24" i="22"/>
  <c r="BS27" i="22"/>
  <c r="BS57" i="22"/>
  <c r="BS42" i="22"/>
  <c r="BS48" i="22"/>
  <c r="BR116" i="22"/>
  <c r="BR120" i="22"/>
  <c r="BR117" i="22"/>
  <c r="BR71" i="22"/>
  <c r="BR49" i="22"/>
  <c r="BR119" i="22"/>
  <c r="BR106" i="22"/>
  <c r="BR95" i="22"/>
  <c r="BR94" i="22"/>
  <c r="BR85" i="22"/>
  <c r="BR73" i="22"/>
  <c r="BR56" i="22"/>
  <c r="BR35" i="22"/>
  <c r="BR24" i="22"/>
  <c r="BR108" i="22"/>
  <c r="BR87" i="22"/>
  <c r="BR100" i="22"/>
  <c r="BR88" i="22"/>
  <c r="BR74" i="22"/>
  <c r="BR57" i="22"/>
  <c r="BR52" i="22"/>
  <c r="BR25" i="22"/>
  <c r="BR105" i="22"/>
  <c r="BR91" i="22"/>
  <c r="BR54" i="22"/>
  <c r="BR48" i="22"/>
  <c r="BR36" i="22"/>
  <c r="BR64" i="22"/>
  <c r="BR43" i="22"/>
  <c r="BR109" i="22"/>
  <c r="BR81" i="22"/>
  <c r="BR62" i="22"/>
  <c r="BR83" i="22"/>
  <c r="BR47" i="22"/>
  <c r="BR99" i="22"/>
  <c r="BR55" i="22"/>
  <c r="BR27" i="22"/>
  <c r="BR77" i="22"/>
  <c r="BR61" i="22"/>
  <c r="BR28" i="22"/>
  <c r="BR50" i="22"/>
  <c r="BR102" i="22"/>
  <c r="BR41" i="22"/>
  <c r="BR31" i="22"/>
  <c r="BR103" i="22"/>
  <c r="BR68" i="22"/>
  <c r="BR53" i="22"/>
  <c r="BR114" i="22"/>
  <c r="BR78" i="22"/>
  <c r="BR66" i="22"/>
  <c r="BR46" i="22"/>
  <c r="BR113" i="22"/>
  <c r="BR93" i="22"/>
  <c r="BR92" i="22"/>
  <c r="BR63" i="22"/>
  <c r="BR42" i="22"/>
  <c r="BR34" i="22"/>
  <c r="BR101" i="22"/>
  <c r="BR98" i="22"/>
  <c r="BR86" i="22"/>
  <c r="BR30" i="22"/>
  <c r="BR23" i="22"/>
  <c r="BR115" i="22"/>
  <c r="BR60" i="22"/>
  <c r="BR84" i="22"/>
  <c r="BR80" i="22"/>
  <c r="BR51" i="22"/>
  <c r="BR38" i="22"/>
  <c r="BR111" i="22"/>
  <c r="BR79" i="22"/>
  <c r="BR67" i="22"/>
  <c r="BR40" i="22"/>
  <c r="BR26" i="22"/>
  <c r="BR96" i="22"/>
  <c r="BR89" i="22"/>
  <c r="BR59" i="22"/>
  <c r="BR121" i="22"/>
  <c r="BR110" i="22"/>
  <c r="BR90" i="22"/>
  <c r="BR75" i="22"/>
  <c r="BR65" i="22"/>
  <c r="BR33" i="22"/>
  <c r="BR72" i="22"/>
  <c r="BR37" i="22"/>
  <c r="BR107" i="22"/>
  <c r="BR104" i="22"/>
  <c r="BR70" i="22"/>
  <c r="BR118" i="22"/>
  <c r="BR82" i="22"/>
  <c r="BR76" i="22"/>
  <c r="BR58" i="22"/>
  <c r="BR112" i="22"/>
  <c r="BR44" i="22"/>
  <c r="BR39" i="22"/>
  <c r="BR29" i="22"/>
  <c r="BR32" i="22"/>
  <c r="BR45" i="22"/>
  <c r="BR97" i="22"/>
  <c r="BR69" i="22"/>
  <c r="BT89" i="22" l="1"/>
  <c r="BT117" i="22"/>
  <c r="BT88" i="22"/>
  <c r="BT39" i="22"/>
  <c r="BT54" i="22"/>
  <c r="BT118" i="22"/>
  <c r="BT113" i="22"/>
  <c r="BT99" i="22"/>
  <c r="BT110" i="22"/>
  <c r="BT81" i="22"/>
  <c r="BT23" i="22"/>
  <c r="BT79" i="22"/>
  <c r="BT34" i="22"/>
  <c r="BT80" i="22"/>
  <c r="BT53" i="22"/>
  <c r="BT31" i="22"/>
  <c r="BT102" i="22"/>
  <c r="BT60" i="22"/>
  <c r="BT36" i="22"/>
  <c r="BT105" i="22"/>
  <c r="BT70" i="22"/>
  <c r="BT100" i="22"/>
  <c r="BT114" i="22"/>
  <c r="BT90" i="22"/>
  <c r="BT106" i="22"/>
  <c r="BT109" i="22"/>
  <c r="BT92" i="22"/>
  <c r="BT73" i="22"/>
  <c r="BT78" i="22"/>
  <c r="BT41" i="22"/>
  <c r="BT111" i="22"/>
  <c r="BT27" i="22"/>
  <c r="BT44" i="22"/>
  <c r="BT76" i="22"/>
  <c r="BT57" i="22"/>
  <c r="BT37" i="22"/>
  <c r="BT65" i="22"/>
  <c r="BT112" i="22"/>
  <c r="BT40" i="22"/>
  <c r="BT26" i="22"/>
  <c r="BT82" i="22"/>
  <c r="BT45" i="22"/>
  <c r="BT108" i="22"/>
  <c r="BT68" i="22"/>
  <c r="BT62" i="22"/>
  <c r="BT28" i="22"/>
  <c r="BT43" i="22"/>
  <c r="BT48" i="22"/>
  <c r="BT38" i="22"/>
  <c r="BT77" i="22"/>
  <c r="BT46" i="22"/>
  <c r="BT24" i="22"/>
  <c r="BT94" i="22"/>
  <c r="BT119" i="22"/>
  <c r="BT120" i="22"/>
  <c r="BT55" i="22"/>
  <c r="BT86" i="22"/>
  <c r="BT29" i="22"/>
  <c r="BT69" i="22"/>
  <c r="BT95" i="22"/>
  <c r="BT42" i="22"/>
  <c r="BT33" i="22"/>
  <c r="BT49" i="22"/>
  <c r="BT91" i="22"/>
  <c r="BT107" i="22"/>
  <c r="BT72" i="22"/>
  <c r="BT75" i="22"/>
  <c r="BT59" i="22"/>
  <c r="BT104" i="22"/>
  <c r="BT64" i="22"/>
  <c r="BT101" i="22"/>
  <c r="BT63" i="22"/>
  <c r="BT47" i="22"/>
  <c r="BT85" i="22"/>
  <c r="BT96" i="22"/>
  <c r="BT32" i="22"/>
  <c r="BT30" i="22"/>
  <c r="BT97" i="22"/>
  <c r="BT61" i="22"/>
  <c r="BT93" i="22"/>
  <c r="BT87" i="22"/>
  <c r="BT56" i="22"/>
  <c r="BT103" i="22"/>
  <c r="BT71" i="22"/>
  <c r="BT116" i="22"/>
  <c r="BR19" i="22" l="1"/>
  <c r="BW18" i="22"/>
  <c r="BV17" i="22"/>
  <c r="BT20" i="22"/>
  <c r="BQ19" i="22"/>
  <c r="BV18" i="22"/>
  <c r="BX16" i="22"/>
  <c r="BX17" i="22"/>
  <c r="BW16" i="22"/>
  <c r="BX18" i="22"/>
  <c r="BV16" i="22"/>
  <c r="BW17" i="22"/>
  <c r="BS19" i="22"/>
  <c r="BV120" i="22" l="1"/>
  <c r="BV116" i="22"/>
  <c r="BY116" i="22" s="1"/>
  <c r="BV117" i="22"/>
  <c r="BV102" i="22"/>
  <c r="BV96" i="22"/>
  <c r="BV62" i="22"/>
  <c r="BY62" i="22" s="1"/>
  <c r="BV49" i="22"/>
  <c r="BV31" i="22"/>
  <c r="BV95" i="22"/>
  <c r="BV68" i="22"/>
  <c r="BV47" i="22"/>
  <c r="BV33" i="22"/>
  <c r="BV108" i="22"/>
  <c r="BV78" i="22"/>
  <c r="BV80" i="22"/>
  <c r="BV63" i="22"/>
  <c r="BV51" i="22"/>
  <c r="BV45" i="22"/>
  <c r="BV34" i="22"/>
  <c r="BV25" i="22"/>
  <c r="BV101" i="22"/>
  <c r="BV86" i="22"/>
  <c r="BY86" i="22" s="1"/>
  <c r="BV64" i="22"/>
  <c r="BV58" i="22"/>
  <c r="BV50" i="22"/>
  <c r="BV43" i="22"/>
  <c r="BV26" i="22"/>
  <c r="BV54" i="22"/>
  <c r="BV23" i="22"/>
  <c r="BV89" i="22"/>
  <c r="BY89" i="22" s="1"/>
  <c r="BV71" i="22"/>
  <c r="BV106" i="22"/>
  <c r="BV90" i="22"/>
  <c r="BV29" i="22"/>
  <c r="BV70" i="22"/>
  <c r="BV69" i="22"/>
  <c r="BV36" i="22"/>
  <c r="BV30" i="22"/>
  <c r="BY30" i="22" s="1"/>
  <c r="BV59" i="22"/>
  <c r="BV41" i="22"/>
  <c r="BV115" i="22"/>
  <c r="BV112" i="22"/>
  <c r="BV110" i="22"/>
  <c r="BV75" i="22"/>
  <c r="BV53" i="22"/>
  <c r="BV99" i="22"/>
  <c r="BY99" i="22" s="1"/>
  <c r="BV72" i="22"/>
  <c r="BV66" i="22"/>
  <c r="BV113" i="22"/>
  <c r="BV93" i="22"/>
  <c r="BY93" i="22" s="1"/>
  <c r="BV92" i="22"/>
  <c r="BV77" i="22"/>
  <c r="BV61" i="22"/>
  <c r="BV118" i="22"/>
  <c r="BV111" i="22"/>
  <c r="BV91" i="22"/>
  <c r="BV76" i="22"/>
  <c r="BV40" i="22"/>
  <c r="BV94" i="22"/>
  <c r="BV56" i="22"/>
  <c r="BV100" i="22"/>
  <c r="BV84" i="22"/>
  <c r="BY84" i="22" s="1"/>
  <c r="BV105" i="22"/>
  <c r="BV98" i="22"/>
  <c r="BV82" i="22"/>
  <c r="BV109" i="22"/>
  <c r="BY109" i="22" s="1"/>
  <c r="BV121" i="22"/>
  <c r="BV119" i="22"/>
  <c r="BV103" i="22"/>
  <c r="BV83" i="22"/>
  <c r="BV60" i="22"/>
  <c r="BV44" i="22"/>
  <c r="BV39" i="22"/>
  <c r="BV87" i="22"/>
  <c r="BY87" i="22" s="1"/>
  <c r="BV55" i="22"/>
  <c r="BV32" i="22"/>
  <c r="BV27" i="22"/>
  <c r="BV104" i="22"/>
  <c r="BY104" i="22" s="1"/>
  <c r="BV88" i="22"/>
  <c r="BV74" i="22"/>
  <c r="BV42" i="22"/>
  <c r="BV28" i="22"/>
  <c r="BV79" i="22"/>
  <c r="BV67" i="22"/>
  <c r="BV81" i="22"/>
  <c r="BV85" i="22"/>
  <c r="BY85" i="22" s="1"/>
  <c r="BV73" i="22"/>
  <c r="BV65" i="22"/>
  <c r="BV35" i="22"/>
  <c r="BV24" i="22"/>
  <c r="BV114" i="22"/>
  <c r="BV46" i="22"/>
  <c r="BV37" i="22"/>
  <c r="BV107" i="22"/>
  <c r="BV57" i="22"/>
  <c r="BV52" i="22"/>
  <c r="BV38" i="22"/>
  <c r="BV97" i="22"/>
  <c r="BY97" i="22" s="1"/>
  <c r="BV48" i="22"/>
  <c r="BX120" i="22"/>
  <c r="BX116" i="22"/>
  <c r="BX117" i="22"/>
  <c r="BX89" i="22"/>
  <c r="BX62" i="22"/>
  <c r="BX121" i="22"/>
  <c r="BX112" i="22"/>
  <c r="BX85" i="22"/>
  <c r="BX65" i="22"/>
  <c r="BX33" i="22"/>
  <c r="BX72" i="22"/>
  <c r="BX55" i="22"/>
  <c r="BX37" i="22"/>
  <c r="BX27" i="22"/>
  <c r="BX92" i="22"/>
  <c r="BX51" i="22"/>
  <c r="BX34" i="22"/>
  <c r="BX76" i="22"/>
  <c r="BX58" i="22"/>
  <c r="BX26" i="22"/>
  <c r="BX23" i="22"/>
  <c r="BX67" i="22"/>
  <c r="BX40" i="22"/>
  <c r="BX102" i="22"/>
  <c r="BX41" i="22"/>
  <c r="BX83" i="22"/>
  <c r="BX68" i="22"/>
  <c r="BX113" i="22"/>
  <c r="BX64" i="22"/>
  <c r="BX30" i="22"/>
  <c r="BX81" i="22"/>
  <c r="BX71" i="22"/>
  <c r="BX110" i="22"/>
  <c r="BX94" i="22"/>
  <c r="BX60" i="22"/>
  <c r="BX44" i="22"/>
  <c r="BX39" i="22"/>
  <c r="BX29" i="22"/>
  <c r="BX66" i="22"/>
  <c r="BX32" i="22"/>
  <c r="BX100" i="22"/>
  <c r="BX93" i="22"/>
  <c r="BX80" i="22"/>
  <c r="BX77" i="22"/>
  <c r="BX61" i="22"/>
  <c r="BX45" i="22"/>
  <c r="BX28" i="22"/>
  <c r="BX118" i="22"/>
  <c r="BX105" i="22"/>
  <c r="BX101" i="22"/>
  <c r="BX98" i="22"/>
  <c r="BX97" i="22"/>
  <c r="BX86" i="22"/>
  <c r="BX69" i="22"/>
  <c r="BX54" i="22"/>
  <c r="BX36" i="22"/>
  <c r="BX31" i="22"/>
  <c r="BX95" i="22"/>
  <c r="BX53" i="22"/>
  <c r="BX87" i="22"/>
  <c r="BX78" i="22"/>
  <c r="BX46" i="22"/>
  <c r="BX107" i="22"/>
  <c r="BX52" i="22"/>
  <c r="BX96" i="22"/>
  <c r="BX59" i="22"/>
  <c r="BX49" i="22"/>
  <c r="BX119" i="22"/>
  <c r="BX106" i="22"/>
  <c r="BX90" i="22"/>
  <c r="BX73" i="22"/>
  <c r="BX56" i="22"/>
  <c r="BX47" i="22"/>
  <c r="BX35" i="22"/>
  <c r="BX24" i="22"/>
  <c r="BX99" i="22"/>
  <c r="BX104" i="22"/>
  <c r="BX84" i="22"/>
  <c r="BX74" i="22"/>
  <c r="BX57" i="22"/>
  <c r="BX42" i="22"/>
  <c r="BX25" i="22"/>
  <c r="BX111" i="22"/>
  <c r="BX82" i="22"/>
  <c r="BX79" i="22"/>
  <c r="BX50" i="22"/>
  <c r="BX48" i="22"/>
  <c r="BX43" i="22"/>
  <c r="BX109" i="22"/>
  <c r="BX115" i="22"/>
  <c r="BX103" i="22"/>
  <c r="BX75" i="22"/>
  <c r="BX114" i="22"/>
  <c r="BX108" i="22"/>
  <c r="BX88" i="22"/>
  <c r="BX70" i="22"/>
  <c r="BX63" i="22"/>
  <c r="BX38" i="22"/>
  <c r="BX91" i="22"/>
  <c r="BW116" i="22"/>
  <c r="BW120" i="22"/>
  <c r="BW117" i="22"/>
  <c r="BW102" i="22"/>
  <c r="BW96" i="22"/>
  <c r="BW41" i="22"/>
  <c r="BW31" i="22"/>
  <c r="BW112" i="22"/>
  <c r="BW103" i="22"/>
  <c r="BW95" i="22"/>
  <c r="BW90" i="22"/>
  <c r="BW83" i="22"/>
  <c r="BW68" i="22"/>
  <c r="BW53" i="22"/>
  <c r="BW47" i="22"/>
  <c r="BW113" i="22"/>
  <c r="BW93" i="22"/>
  <c r="BW80" i="22"/>
  <c r="BW63" i="22"/>
  <c r="BW101" i="22"/>
  <c r="BW82" i="22"/>
  <c r="BW79" i="22"/>
  <c r="BW64" i="22"/>
  <c r="BW43" i="22"/>
  <c r="BW26" i="22"/>
  <c r="BW23" i="22"/>
  <c r="BW49" i="22"/>
  <c r="BW110" i="22"/>
  <c r="BW106" i="22"/>
  <c r="BW85" i="22"/>
  <c r="BW70" i="22"/>
  <c r="BW98" i="22"/>
  <c r="BW58" i="22"/>
  <c r="BW36" i="22"/>
  <c r="BW89" i="22"/>
  <c r="BW59" i="22"/>
  <c r="BW121" i="22"/>
  <c r="BW75" i="22"/>
  <c r="BW65" i="22"/>
  <c r="BW33" i="22"/>
  <c r="BW99" i="22"/>
  <c r="BW87" i="22"/>
  <c r="BW72" i="22"/>
  <c r="BW37" i="22"/>
  <c r="BW107" i="22"/>
  <c r="BW100" i="22"/>
  <c r="BW74" i="22"/>
  <c r="BW118" i="22"/>
  <c r="BW91" i="22"/>
  <c r="BW86" i="22"/>
  <c r="BW76" i="22"/>
  <c r="BW54" i="22"/>
  <c r="BW40" i="22"/>
  <c r="BW30" i="22"/>
  <c r="BW119" i="22"/>
  <c r="BW56" i="22"/>
  <c r="BW78" i="22"/>
  <c r="BW92" i="22"/>
  <c r="BW52" i="22"/>
  <c r="BW51" i="22"/>
  <c r="BW109" i="22"/>
  <c r="BW81" i="22"/>
  <c r="BW62" i="22"/>
  <c r="BW115" i="22"/>
  <c r="BW94" i="22"/>
  <c r="BW60" i="22"/>
  <c r="BW44" i="22"/>
  <c r="BW39" i="22"/>
  <c r="BW29" i="22"/>
  <c r="BW66" i="22"/>
  <c r="BW55" i="22"/>
  <c r="BW46" i="22"/>
  <c r="BW32" i="22"/>
  <c r="BW27" i="22"/>
  <c r="BW104" i="22"/>
  <c r="BW88" i="22"/>
  <c r="BW84" i="22"/>
  <c r="BW77" i="22"/>
  <c r="BW61" i="22"/>
  <c r="BW45" i="22"/>
  <c r="BW42" i="22"/>
  <c r="BW38" i="22"/>
  <c r="BW34" i="22"/>
  <c r="BW28" i="22"/>
  <c r="BW111" i="22"/>
  <c r="BW97" i="22"/>
  <c r="BW69" i="22"/>
  <c r="BW67" i="22"/>
  <c r="BW50" i="22"/>
  <c r="BW71" i="22"/>
  <c r="BW73" i="22"/>
  <c r="BW35" i="22"/>
  <c r="BW24" i="22"/>
  <c r="BW114" i="22"/>
  <c r="BW108" i="22"/>
  <c r="BW57" i="22"/>
  <c r="BW25" i="22"/>
  <c r="BW105" i="22"/>
  <c r="BW48" i="22"/>
  <c r="BY83" i="22" l="1"/>
  <c r="BY118" i="22"/>
  <c r="BY78" i="22"/>
  <c r="BY52" i="22"/>
  <c r="BY46" i="22"/>
  <c r="BY65" i="22"/>
  <c r="BY67" i="22"/>
  <c r="BY74" i="22"/>
  <c r="BY32" i="22"/>
  <c r="BY44" i="22"/>
  <c r="BY119" i="22"/>
  <c r="BY98" i="22"/>
  <c r="BY56" i="22"/>
  <c r="BY91" i="22"/>
  <c r="BY77" i="22"/>
  <c r="BY66" i="22"/>
  <c r="BY75" i="22"/>
  <c r="BY41" i="22"/>
  <c r="BY69" i="22"/>
  <c r="BY106" i="22"/>
  <c r="BY54" i="22"/>
  <c r="BY58" i="22"/>
  <c r="BY25" i="22"/>
  <c r="BY63" i="22"/>
  <c r="BY33" i="22"/>
  <c r="BY31" i="22"/>
  <c r="BY102" i="22"/>
  <c r="BY107" i="22"/>
  <c r="BY48" i="22"/>
  <c r="BY57" i="22"/>
  <c r="BY114" i="22"/>
  <c r="BY73" i="22"/>
  <c r="BY79" i="22"/>
  <c r="BY88" i="22"/>
  <c r="BY55" i="22"/>
  <c r="BY60" i="22"/>
  <c r="BY121" i="22"/>
  <c r="BY105" i="22"/>
  <c r="BY94" i="22"/>
  <c r="BY111" i="22"/>
  <c r="BY92" i="22"/>
  <c r="BY72" i="22"/>
  <c r="BY110" i="22"/>
  <c r="BY59" i="22"/>
  <c r="BY70" i="22"/>
  <c r="BY71" i="22"/>
  <c r="BY26" i="22"/>
  <c r="BY64" i="22"/>
  <c r="BY34" i="22"/>
  <c r="BY80" i="22"/>
  <c r="BY47" i="22"/>
  <c r="BY49" i="22"/>
  <c r="BY117" i="22"/>
  <c r="BY24" i="22"/>
  <c r="BY28" i="22"/>
  <c r="BY40" i="22"/>
  <c r="BY112" i="22"/>
  <c r="BY29" i="22"/>
  <c r="BY43" i="22"/>
  <c r="BY45" i="22"/>
  <c r="BY68" i="22"/>
  <c r="BY38" i="22"/>
  <c r="BY37" i="22"/>
  <c r="BY35" i="22"/>
  <c r="BY81" i="22"/>
  <c r="BY42" i="22"/>
  <c r="BY27" i="22"/>
  <c r="BY39" i="22"/>
  <c r="BY103" i="22"/>
  <c r="BY82" i="22"/>
  <c r="BY100" i="22"/>
  <c r="BY76" i="22"/>
  <c r="BY61" i="22"/>
  <c r="BY113" i="22"/>
  <c r="BY53" i="22"/>
  <c r="BY115" i="22"/>
  <c r="BY36" i="22"/>
  <c r="BY90" i="22"/>
  <c r="BY23" i="22"/>
  <c r="BY50" i="22"/>
  <c r="BY101" i="22"/>
  <c r="BY51" i="22"/>
  <c r="BY108" i="22"/>
  <c r="BY95" i="22"/>
  <c r="BY96" i="22"/>
  <c r="BY120" i="22"/>
  <c r="BY20" i="22" l="1"/>
  <c r="BX19" i="22"/>
  <c r="CC18" i="22"/>
  <c r="CB17" i="22"/>
  <c r="CA16" i="22"/>
  <c r="BW19" i="22"/>
  <c r="CB18" i="22"/>
  <c r="CA17" i="22"/>
  <c r="BV19" i="22"/>
  <c r="CA18" i="22"/>
  <c r="CC16" i="22"/>
  <c r="CC17" i="22"/>
  <c r="CB16" i="22"/>
  <c r="CB117" i="22" l="1"/>
  <c r="CB116" i="22"/>
  <c r="CB120" i="22"/>
  <c r="CB89" i="22"/>
  <c r="CB59" i="22"/>
  <c r="CB121" i="22"/>
  <c r="CB75" i="22"/>
  <c r="CB65" i="22"/>
  <c r="CB33" i="22"/>
  <c r="CB72" i="22"/>
  <c r="CB37" i="22"/>
  <c r="CB98" i="22"/>
  <c r="CB76" i="22"/>
  <c r="CB58" i="22"/>
  <c r="CB23" i="22"/>
  <c r="CB40" i="22"/>
  <c r="CB62" i="22"/>
  <c r="CB41" i="22"/>
  <c r="CB99" i="22"/>
  <c r="CB66" i="22"/>
  <c r="CB113" i="22"/>
  <c r="CB93" i="22"/>
  <c r="CB101" i="22"/>
  <c r="CB86" i="22"/>
  <c r="CB64" i="22"/>
  <c r="CB54" i="22"/>
  <c r="CB43" i="22"/>
  <c r="CB30" i="22"/>
  <c r="CB109" i="22"/>
  <c r="CB81" i="22"/>
  <c r="CB115" i="22"/>
  <c r="CB110" i="22"/>
  <c r="CB83" i="22"/>
  <c r="CB60" i="22"/>
  <c r="CB44" i="22"/>
  <c r="CB39" i="22"/>
  <c r="CB29" i="22"/>
  <c r="CB114" i="22"/>
  <c r="CB87" i="22"/>
  <c r="CB78" i="22"/>
  <c r="CB55" i="22"/>
  <c r="CB32" i="22"/>
  <c r="CB27" i="22"/>
  <c r="CB92" i="22"/>
  <c r="CB88" i="22"/>
  <c r="CB77" i="22"/>
  <c r="CB61" i="22"/>
  <c r="CB45" i="22"/>
  <c r="CB38" i="22"/>
  <c r="CB28" i="22"/>
  <c r="CB118" i="22"/>
  <c r="CB111" i="22"/>
  <c r="CB97" i="22"/>
  <c r="CB79" i="22"/>
  <c r="CB69" i="22"/>
  <c r="CB67" i="22"/>
  <c r="CB26" i="22"/>
  <c r="CB31" i="22"/>
  <c r="CB94" i="22"/>
  <c r="CB53" i="22"/>
  <c r="CB46" i="22"/>
  <c r="CB104" i="22"/>
  <c r="CB42" i="22"/>
  <c r="CB34" i="22"/>
  <c r="CB71" i="22"/>
  <c r="CB49" i="22"/>
  <c r="CB119" i="22"/>
  <c r="CB112" i="22"/>
  <c r="CB106" i="22"/>
  <c r="CB95" i="22"/>
  <c r="CB90" i="22"/>
  <c r="CB85" i="22"/>
  <c r="CB73" i="22"/>
  <c r="CB56" i="22"/>
  <c r="CB35" i="22"/>
  <c r="CB24" i="22"/>
  <c r="CB107" i="22"/>
  <c r="CB100" i="22"/>
  <c r="CB84" i="22"/>
  <c r="CB80" i="22"/>
  <c r="CB74" i="22"/>
  <c r="CB70" i="22"/>
  <c r="CB57" i="22"/>
  <c r="CB52" i="22"/>
  <c r="CB51" i="22"/>
  <c r="CB25" i="22"/>
  <c r="CB105" i="22"/>
  <c r="CB91" i="22"/>
  <c r="CB82" i="22"/>
  <c r="CB50" i="22"/>
  <c r="CB48" i="22"/>
  <c r="CB36" i="22"/>
  <c r="CB102" i="22"/>
  <c r="CB96" i="22"/>
  <c r="CB103" i="22"/>
  <c r="CB68" i="22"/>
  <c r="CB47" i="22"/>
  <c r="CB108" i="22"/>
  <c r="CB63" i="22"/>
  <c r="CA120" i="22"/>
  <c r="CA117" i="22"/>
  <c r="CA116" i="22"/>
  <c r="CD116" i="22" s="1"/>
  <c r="E116" i="22" s="1"/>
  <c r="CA59" i="22"/>
  <c r="CA112" i="22"/>
  <c r="CA110" i="22"/>
  <c r="CA90" i="22"/>
  <c r="CD90" i="22" s="1"/>
  <c r="E90" i="22" s="1"/>
  <c r="CA85" i="22"/>
  <c r="CA75" i="22"/>
  <c r="CA73" i="22"/>
  <c r="CA65" i="22"/>
  <c r="CD65" i="22" s="1"/>
  <c r="E65" i="22" s="1"/>
  <c r="CA72" i="22"/>
  <c r="CA66" i="22"/>
  <c r="CA37" i="22"/>
  <c r="CA92" i="22"/>
  <c r="CA77" i="22"/>
  <c r="CA57" i="22"/>
  <c r="CA118" i="22"/>
  <c r="CA98" i="22"/>
  <c r="CD98" i="22" s="1"/>
  <c r="E98" i="22" s="1"/>
  <c r="CA76" i="22"/>
  <c r="CA69" i="22"/>
  <c r="CA54" i="22"/>
  <c r="CA50" i="22"/>
  <c r="CD50" i="22" s="1"/>
  <c r="E50" i="22" s="1"/>
  <c r="CA23" i="22"/>
  <c r="CA102" i="22"/>
  <c r="CA62" i="22"/>
  <c r="CA119" i="22"/>
  <c r="CD119" i="22" s="1"/>
  <c r="E119" i="22" s="1"/>
  <c r="CA68" i="22"/>
  <c r="CA78" i="22"/>
  <c r="CA113" i="22"/>
  <c r="CA61" i="22"/>
  <c r="CD61" i="22" s="1"/>
  <c r="E61" i="22" s="1"/>
  <c r="CA34" i="22"/>
  <c r="CA101" i="22"/>
  <c r="CA64" i="22"/>
  <c r="CA26" i="22"/>
  <c r="CD26" i="22" s="1"/>
  <c r="E26" i="22" s="1"/>
  <c r="CA109" i="22"/>
  <c r="CA89" i="22"/>
  <c r="CA81" i="22"/>
  <c r="CA115" i="22"/>
  <c r="CD115" i="22" s="1"/>
  <c r="E115" i="22" s="1"/>
  <c r="CA94" i="22"/>
  <c r="CA60" i="22"/>
  <c r="CA44" i="22"/>
  <c r="CA39" i="22"/>
  <c r="CD39" i="22" s="1"/>
  <c r="E39" i="22" s="1"/>
  <c r="CA33" i="22"/>
  <c r="CA99" i="22"/>
  <c r="CA55" i="22"/>
  <c r="CA32" i="22"/>
  <c r="CD32" i="22" s="1"/>
  <c r="E32" i="22" s="1"/>
  <c r="CA27" i="22"/>
  <c r="CA107" i="22"/>
  <c r="CA104" i="22"/>
  <c r="CA88" i="22"/>
  <c r="CD88" i="22" s="1"/>
  <c r="E88" i="22" s="1"/>
  <c r="CA74" i="22"/>
  <c r="CA42" i="22"/>
  <c r="CA28" i="22"/>
  <c r="CA25" i="22"/>
  <c r="CD25" i="22" s="1"/>
  <c r="E25" i="22" s="1"/>
  <c r="CA97" i="22"/>
  <c r="CA86" i="22"/>
  <c r="CA82" i="22"/>
  <c r="CA67" i="22"/>
  <c r="CA40" i="22"/>
  <c r="CA31" i="22"/>
  <c r="CA47" i="22"/>
  <c r="CA29" i="22"/>
  <c r="CD29" i="22" s="1"/>
  <c r="E29" i="22" s="1"/>
  <c r="CA80" i="22"/>
  <c r="CA45" i="22"/>
  <c r="CA58" i="22"/>
  <c r="CA71" i="22"/>
  <c r="CD71" i="22" s="1"/>
  <c r="E71" i="22" s="1"/>
  <c r="CA49" i="22"/>
  <c r="CA41" i="22"/>
  <c r="CA106" i="22"/>
  <c r="CA103" i="22"/>
  <c r="CD103" i="22" s="1"/>
  <c r="E103" i="22" s="1"/>
  <c r="CA95" i="22"/>
  <c r="CA83" i="22"/>
  <c r="CA56" i="22"/>
  <c r="CA53" i="22"/>
  <c r="CD53" i="22" s="1"/>
  <c r="E53" i="22" s="1"/>
  <c r="CA35" i="22"/>
  <c r="CA24" i="22"/>
  <c r="CA114" i="22"/>
  <c r="CA87" i="22"/>
  <c r="CD87" i="22" s="1"/>
  <c r="E87" i="22" s="1"/>
  <c r="CA46" i="22"/>
  <c r="CA100" i="22"/>
  <c r="CA93" i="22"/>
  <c r="CA84" i="22"/>
  <c r="CD84" i="22" s="1"/>
  <c r="E84" i="22" s="1"/>
  <c r="CA70" i="22"/>
  <c r="CA52" i="22"/>
  <c r="CA38" i="22"/>
  <c r="CA111" i="22"/>
  <c r="CD111" i="22" s="1"/>
  <c r="E111" i="22" s="1"/>
  <c r="CA105" i="22"/>
  <c r="CA91" i="22"/>
  <c r="CA79" i="22"/>
  <c r="CA48" i="22"/>
  <c r="CD48" i="22" s="1"/>
  <c r="E48" i="22" s="1"/>
  <c r="CA36" i="22"/>
  <c r="CA30" i="22"/>
  <c r="CA96" i="22"/>
  <c r="CA121" i="22"/>
  <c r="CD121" i="22" s="1"/>
  <c r="E121" i="22" s="1"/>
  <c r="CA108" i="22"/>
  <c r="CA63" i="22"/>
  <c r="CA51" i="22"/>
  <c r="CA43" i="22"/>
  <c r="CD43" i="22" s="1"/>
  <c r="E43" i="22" s="1"/>
  <c r="CC116" i="22"/>
  <c r="CC117" i="22"/>
  <c r="CC120" i="22"/>
  <c r="CC81" i="22"/>
  <c r="CC121" i="22"/>
  <c r="CC115" i="22"/>
  <c r="CC119" i="22"/>
  <c r="CC110" i="22"/>
  <c r="CC94" i="22"/>
  <c r="CC60" i="22"/>
  <c r="CC44" i="22"/>
  <c r="CC35" i="22"/>
  <c r="CC29" i="22"/>
  <c r="CC99" i="22"/>
  <c r="CC66" i="22"/>
  <c r="CC55" i="22"/>
  <c r="CC32" i="22"/>
  <c r="CC27" i="22"/>
  <c r="CC107" i="22"/>
  <c r="CC93" i="22"/>
  <c r="CC84" i="22"/>
  <c r="CC77" i="22"/>
  <c r="CC61" i="22"/>
  <c r="CC45" i="22"/>
  <c r="CC28" i="22"/>
  <c r="CC118" i="22"/>
  <c r="CC98" i="22"/>
  <c r="CC91" i="22"/>
  <c r="CC86" i="22"/>
  <c r="CC69" i="22"/>
  <c r="CC54" i="22"/>
  <c r="CC40" i="22"/>
  <c r="CC23" i="22"/>
  <c r="CC48" i="22"/>
  <c r="CC30" i="22"/>
  <c r="CC96" i="22"/>
  <c r="CC47" i="22"/>
  <c r="CC113" i="22"/>
  <c r="CC34" i="22"/>
  <c r="CC97" i="22"/>
  <c r="CC26" i="22"/>
  <c r="CC109" i="22"/>
  <c r="CC71" i="22"/>
  <c r="CC49" i="22"/>
  <c r="CC31" i="22"/>
  <c r="CC106" i="22"/>
  <c r="CC90" i="22"/>
  <c r="CC73" i="22"/>
  <c r="CC56" i="22"/>
  <c r="CC39" i="22"/>
  <c r="CC24" i="22"/>
  <c r="CC104" i="22"/>
  <c r="CC88" i="22"/>
  <c r="CC74" i="22"/>
  <c r="CC57" i="22"/>
  <c r="CC42" i="22"/>
  <c r="CC25" i="22"/>
  <c r="CC105" i="22"/>
  <c r="CC82" i="22"/>
  <c r="CC67" i="22"/>
  <c r="CC50" i="22"/>
  <c r="CC36" i="22"/>
  <c r="CC62" i="22"/>
  <c r="CC112" i="22"/>
  <c r="CC95" i="22"/>
  <c r="CC108" i="22"/>
  <c r="CC72" i="22"/>
  <c r="CC37" i="22"/>
  <c r="CC100" i="22"/>
  <c r="CC80" i="22"/>
  <c r="CC111" i="22"/>
  <c r="CC101" i="22"/>
  <c r="CC79" i="22"/>
  <c r="CC58" i="22"/>
  <c r="CC102" i="22"/>
  <c r="CC89" i="22"/>
  <c r="CC59" i="22"/>
  <c r="CC41" i="22"/>
  <c r="CC103" i="22"/>
  <c r="CC85" i="22"/>
  <c r="CC75" i="22"/>
  <c r="CC68" i="22"/>
  <c r="CC53" i="22"/>
  <c r="CC114" i="22"/>
  <c r="CC87" i="22"/>
  <c r="CC78" i="22"/>
  <c r="CC46" i="22"/>
  <c r="CC92" i="22"/>
  <c r="CC70" i="22"/>
  <c r="CC52" i="22"/>
  <c r="CC38" i="22"/>
  <c r="CC64" i="22"/>
  <c r="CC43" i="22"/>
  <c r="CC83" i="22"/>
  <c r="CC65" i="22"/>
  <c r="CC33" i="22"/>
  <c r="CC63" i="22"/>
  <c r="CC51" i="22"/>
  <c r="CC76" i="22"/>
  <c r="T93" i="26" l="1"/>
  <c r="P93" i="26"/>
  <c r="R93" i="26"/>
  <c r="S93" i="26"/>
  <c r="Q93" i="26"/>
  <c r="O93" i="26"/>
  <c r="T85" i="26"/>
  <c r="P85" i="26"/>
  <c r="R85" i="26"/>
  <c r="O85" i="26"/>
  <c r="S85" i="26"/>
  <c r="Q85" i="26"/>
  <c r="CD67" i="22"/>
  <c r="E67" i="22" s="1"/>
  <c r="Q14" i="26"/>
  <c r="T14" i="26"/>
  <c r="P14" i="26"/>
  <c r="S14" i="26"/>
  <c r="R14" i="26"/>
  <c r="O14" i="26"/>
  <c r="Q8" i="26"/>
  <c r="R8" i="26"/>
  <c r="P8" i="26"/>
  <c r="O8" i="26"/>
  <c r="T8" i="26"/>
  <c r="S8" i="26"/>
  <c r="S32" i="26"/>
  <c r="O32" i="26"/>
  <c r="P32" i="26"/>
  <c r="T32" i="26"/>
  <c r="Q32" i="26"/>
  <c r="R32" i="26"/>
  <c r="T47" i="26"/>
  <c r="P47" i="26"/>
  <c r="S47" i="26"/>
  <c r="O47" i="26"/>
  <c r="R47" i="26"/>
  <c r="Q47" i="26"/>
  <c r="CD63" i="22"/>
  <c r="E63" i="22" s="1"/>
  <c r="CD30" i="22"/>
  <c r="E30" i="22" s="1"/>
  <c r="CD91" i="22"/>
  <c r="E91" i="22" s="1"/>
  <c r="CD52" i="22"/>
  <c r="E52" i="22" s="1"/>
  <c r="CD100" i="22"/>
  <c r="E100" i="22" s="1"/>
  <c r="CD24" i="22"/>
  <c r="E24" i="22" s="1"/>
  <c r="CD83" i="22"/>
  <c r="E83" i="22" s="1"/>
  <c r="CD41" i="22"/>
  <c r="E41" i="22" s="1"/>
  <c r="CD45" i="22"/>
  <c r="E45" i="22" s="1"/>
  <c r="CD31" i="22"/>
  <c r="E31" i="22" s="1"/>
  <c r="CD86" i="22"/>
  <c r="E86" i="22" s="1"/>
  <c r="CD42" i="22"/>
  <c r="E42" i="22" s="1"/>
  <c r="CD107" i="22"/>
  <c r="E107" i="22" s="1"/>
  <c r="CD99" i="22"/>
  <c r="E99" i="22" s="1"/>
  <c r="CD60" i="22"/>
  <c r="E60" i="22" s="1"/>
  <c r="CD89" i="22"/>
  <c r="E89" i="22" s="1"/>
  <c r="CD101" i="22"/>
  <c r="E101" i="22" s="1"/>
  <c r="CD78" i="22"/>
  <c r="E78" i="22" s="1"/>
  <c r="CD102" i="22"/>
  <c r="E102" i="22" s="1"/>
  <c r="CD69" i="22"/>
  <c r="E69" i="22" s="1"/>
  <c r="CD57" i="22"/>
  <c r="E57" i="22" s="1"/>
  <c r="CD66" i="22"/>
  <c r="E66" i="22" s="1"/>
  <c r="CD75" i="22"/>
  <c r="E75" i="22" s="1"/>
  <c r="CD112" i="22"/>
  <c r="E112" i="22" s="1"/>
  <c r="CD120" i="22"/>
  <c r="E120" i="22" s="1"/>
  <c r="Q25" i="26"/>
  <c r="T25" i="26"/>
  <c r="P25" i="26"/>
  <c r="S25" i="26"/>
  <c r="R25" i="26"/>
  <c r="O25" i="26"/>
  <c r="S30" i="26"/>
  <c r="O30" i="26"/>
  <c r="R30" i="26"/>
  <c r="Q30" i="26"/>
  <c r="T30" i="26"/>
  <c r="P30" i="26"/>
  <c r="S69" i="26"/>
  <c r="O69" i="26"/>
  <c r="R69" i="26"/>
  <c r="Q69" i="26"/>
  <c r="P69" i="26"/>
  <c r="T69" i="26"/>
  <c r="T53" i="26"/>
  <c r="P53" i="26"/>
  <c r="S53" i="26"/>
  <c r="O53" i="26"/>
  <c r="Q53" i="26"/>
  <c r="R53" i="26"/>
  <c r="Q7" i="26"/>
  <c r="T7" i="26"/>
  <c r="O7" i="26"/>
  <c r="S7" i="26"/>
  <c r="R7" i="26"/>
  <c r="P7" i="26"/>
  <c r="Q21" i="26"/>
  <c r="T21" i="26"/>
  <c r="P21" i="26"/>
  <c r="S21" i="26"/>
  <c r="R21" i="26"/>
  <c r="O21" i="26"/>
  <c r="T43" i="26"/>
  <c r="P43" i="26"/>
  <c r="S43" i="26"/>
  <c r="O43" i="26"/>
  <c r="R43" i="26"/>
  <c r="Q43" i="26"/>
  <c r="T80" i="26"/>
  <c r="P80" i="26"/>
  <c r="O80" i="26"/>
  <c r="S80" i="26"/>
  <c r="R80" i="26"/>
  <c r="Q80" i="26"/>
  <c r="T98" i="26"/>
  <c r="P98" i="26"/>
  <c r="Q98" i="26"/>
  <c r="O98" i="26"/>
  <c r="R98" i="26"/>
  <c r="S98" i="26"/>
  <c r="CD108" i="22"/>
  <c r="E108" i="22" s="1"/>
  <c r="CD36" i="22"/>
  <c r="E36" i="22" s="1"/>
  <c r="CD105" i="22"/>
  <c r="E105" i="22" s="1"/>
  <c r="CD70" i="22"/>
  <c r="E70" i="22" s="1"/>
  <c r="CD46" i="22"/>
  <c r="E46" i="22" s="1"/>
  <c r="CD35" i="22"/>
  <c r="E35" i="22" s="1"/>
  <c r="CD95" i="22"/>
  <c r="E95" i="22" s="1"/>
  <c r="CD49" i="22"/>
  <c r="E49" i="22" s="1"/>
  <c r="CD80" i="22"/>
  <c r="E80" i="22" s="1"/>
  <c r="CD40" i="22"/>
  <c r="E40" i="22" s="1"/>
  <c r="CD97" i="22"/>
  <c r="E97" i="22" s="1"/>
  <c r="CD74" i="22"/>
  <c r="E74" i="22" s="1"/>
  <c r="CD27" i="22"/>
  <c r="E27" i="22" s="1"/>
  <c r="CD33" i="22"/>
  <c r="E33" i="22" s="1"/>
  <c r="CD94" i="22"/>
  <c r="E94" i="22" s="1"/>
  <c r="CD109" i="22"/>
  <c r="E109" i="22" s="1"/>
  <c r="CD34" i="22"/>
  <c r="E34" i="22" s="1"/>
  <c r="CD68" i="22"/>
  <c r="E68" i="22" s="1"/>
  <c r="CD23" i="22"/>
  <c r="CD76" i="22"/>
  <c r="E76" i="22" s="1"/>
  <c r="CD77" i="22"/>
  <c r="E77" i="22" s="1"/>
  <c r="CD72" i="22"/>
  <c r="E72" i="22" s="1"/>
  <c r="CD85" i="22"/>
  <c r="E85" i="22" s="1"/>
  <c r="CD59" i="22"/>
  <c r="E59" i="22" s="1"/>
  <c r="T103" i="26"/>
  <c r="P103" i="26"/>
  <c r="O103" i="26"/>
  <c r="S103" i="26"/>
  <c r="R103" i="26"/>
  <c r="Q103" i="26"/>
  <c r="T66" i="26"/>
  <c r="P66" i="26"/>
  <c r="S66" i="26"/>
  <c r="O66" i="26"/>
  <c r="R66" i="26"/>
  <c r="Q66" i="26"/>
  <c r="S35" i="26"/>
  <c r="O35" i="26"/>
  <c r="Q35" i="26"/>
  <c r="P35" i="26"/>
  <c r="T35" i="26"/>
  <c r="R35" i="26"/>
  <c r="Q11" i="26"/>
  <c r="T11" i="26"/>
  <c r="O11" i="26"/>
  <c r="S11" i="26"/>
  <c r="R11" i="26"/>
  <c r="P11" i="26"/>
  <c r="S70" i="26"/>
  <c r="O70" i="26"/>
  <c r="R70" i="26"/>
  <c r="Q70" i="26"/>
  <c r="P70" i="26"/>
  <c r="T70" i="26"/>
  <c r="T97" i="26"/>
  <c r="P97" i="26"/>
  <c r="R97" i="26"/>
  <c r="S97" i="26"/>
  <c r="Q97" i="26"/>
  <c r="O97" i="26"/>
  <c r="T101" i="26"/>
  <c r="P101" i="26"/>
  <c r="R101" i="26"/>
  <c r="O101" i="26"/>
  <c r="S101" i="26"/>
  <c r="Q101" i="26"/>
  <c r="CD92" i="22"/>
  <c r="E92" i="22" s="1"/>
  <c r="S72" i="26"/>
  <c r="O72" i="26"/>
  <c r="R72" i="26"/>
  <c r="Q72" i="26"/>
  <c r="P72" i="26"/>
  <c r="T72" i="26"/>
  <c r="CD51" i="22"/>
  <c r="E51" i="22" s="1"/>
  <c r="CD96" i="22"/>
  <c r="E96" i="22" s="1"/>
  <c r="CD79" i="22"/>
  <c r="E79" i="22" s="1"/>
  <c r="CD38" i="22"/>
  <c r="E38" i="22" s="1"/>
  <c r="CD93" i="22"/>
  <c r="E93" i="22" s="1"/>
  <c r="CD114" i="22"/>
  <c r="E114" i="22" s="1"/>
  <c r="CD56" i="22"/>
  <c r="E56" i="22" s="1"/>
  <c r="CD106" i="22"/>
  <c r="E106" i="22" s="1"/>
  <c r="CD58" i="22"/>
  <c r="E58" i="22" s="1"/>
  <c r="CD47" i="22"/>
  <c r="E47" i="22" s="1"/>
  <c r="CD82" i="22"/>
  <c r="E82" i="22" s="1"/>
  <c r="CD28" i="22"/>
  <c r="E28" i="22" s="1"/>
  <c r="CD104" i="22"/>
  <c r="E104" i="22" s="1"/>
  <c r="CD55" i="22"/>
  <c r="E55" i="22" s="1"/>
  <c r="CD44" i="22"/>
  <c r="E44" i="22" s="1"/>
  <c r="CD81" i="22"/>
  <c r="E81" i="22" s="1"/>
  <c r="CD64" i="22"/>
  <c r="E64" i="22" s="1"/>
  <c r="CD113" i="22"/>
  <c r="E113" i="22" s="1"/>
  <c r="CD62" i="22"/>
  <c r="E62" i="22" s="1"/>
  <c r="CD54" i="22"/>
  <c r="E54" i="22" s="1"/>
  <c r="CD118" i="22"/>
  <c r="E118" i="22" s="1"/>
  <c r="CD37" i="22"/>
  <c r="E37" i="22" s="1"/>
  <c r="CD73" i="22"/>
  <c r="E73" i="22" s="1"/>
  <c r="CD110" i="22"/>
  <c r="E110" i="22" s="1"/>
  <c r="CD117" i="22"/>
  <c r="E117" i="22" s="1"/>
  <c r="Q26" i="26" l="1"/>
  <c r="T26" i="26"/>
  <c r="P26" i="26"/>
  <c r="R26" i="26"/>
  <c r="O26" i="26"/>
  <c r="S26" i="26"/>
  <c r="T56" i="26"/>
  <c r="P56" i="26"/>
  <c r="S56" i="26"/>
  <c r="O56" i="26"/>
  <c r="R56" i="26"/>
  <c r="Q56" i="26"/>
  <c r="T39" i="26"/>
  <c r="P39" i="26"/>
  <c r="S39" i="26"/>
  <c r="O39" i="26"/>
  <c r="R39" i="26"/>
  <c r="Q39" i="26"/>
  <c r="S27" i="26"/>
  <c r="Q27" i="26"/>
  <c r="P27" i="26"/>
  <c r="T27" i="26"/>
  <c r="R27" i="26"/>
  <c r="O27" i="26"/>
  <c r="T96" i="26"/>
  <c r="P96" i="26"/>
  <c r="S96" i="26"/>
  <c r="R96" i="26"/>
  <c r="Q96" i="26"/>
  <c r="O96" i="26"/>
  <c r="T99" i="26"/>
  <c r="P99" i="26"/>
  <c r="O99" i="26"/>
  <c r="R99" i="26"/>
  <c r="Q99" i="26"/>
  <c r="S99" i="26"/>
  <c r="T46" i="26"/>
  <c r="P46" i="26"/>
  <c r="S46" i="26"/>
  <c r="O46" i="26"/>
  <c r="R46" i="26"/>
  <c r="Q46" i="26"/>
  <c r="S75" i="26"/>
  <c r="O75" i="26"/>
  <c r="R75" i="26"/>
  <c r="T75" i="26"/>
  <c r="Q75" i="26"/>
  <c r="P75" i="26"/>
  <c r="T54" i="26"/>
  <c r="P54" i="26"/>
  <c r="S54" i="26"/>
  <c r="O54" i="26"/>
  <c r="R54" i="26"/>
  <c r="Q54" i="26"/>
  <c r="T50" i="26"/>
  <c r="P50" i="26"/>
  <c r="S50" i="26"/>
  <c r="O50" i="26"/>
  <c r="R50" i="26"/>
  <c r="Q50" i="26"/>
  <c r="S15" i="26"/>
  <c r="O15" i="26"/>
  <c r="R15" i="26"/>
  <c r="T15" i="26"/>
  <c r="Q15" i="26"/>
  <c r="P15" i="26"/>
  <c r="Q22" i="26"/>
  <c r="T22" i="26"/>
  <c r="P22" i="26"/>
  <c r="R22" i="26"/>
  <c r="O22" i="26"/>
  <c r="S22" i="26"/>
  <c r="S17" i="26"/>
  <c r="O17" i="26"/>
  <c r="R17" i="26"/>
  <c r="P17" i="26"/>
  <c r="T17" i="26"/>
  <c r="Q17" i="26"/>
  <c r="Q18" i="26"/>
  <c r="T18" i="26"/>
  <c r="P18" i="26"/>
  <c r="S18" i="26"/>
  <c r="R18" i="26"/>
  <c r="O18" i="26"/>
  <c r="T57" i="26"/>
  <c r="P57" i="26"/>
  <c r="S57" i="26"/>
  <c r="O57" i="26"/>
  <c r="Q57" i="26"/>
  <c r="R57" i="26"/>
  <c r="T84" i="26"/>
  <c r="P84" i="26"/>
  <c r="O84" i="26"/>
  <c r="S84" i="26"/>
  <c r="Q84" i="26"/>
  <c r="R84" i="26"/>
  <c r="T42" i="26"/>
  <c r="P42" i="26"/>
  <c r="S42" i="26"/>
  <c r="O42" i="26"/>
  <c r="R42" i="26"/>
  <c r="Q42" i="26"/>
  <c r="T68" i="26"/>
  <c r="P68" i="26"/>
  <c r="S68" i="26"/>
  <c r="O68" i="26"/>
  <c r="R68" i="26"/>
  <c r="Q68" i="26"/>
  <c r="T65" i="26"/>
  <c r="P65" i="26"/>
  <c r="S65" i="26"/>
  <c r="O65" i="26"/>
  <c r="Q65" i="26"/>
  <c r="R65" i="26"/>
  <c r="S73" i="26"/>
  <c r="O73" i="26"/>
  <c r="R73" i="26"/>
  <c r="T73" i="26"/>
  <c r="Q73" i="26"/>
  <c r="P73" i="26"/>
  <c r="T44" i="26"/>
  <c r="P44" i="26"/>
  <c r="S44" i="26"/>
  <c r="O44" i="26"/>
  <c r="R44" i="26"/>
  <c r="Q44" i="26"/>
  <c r="T64" i="26"/>
  <c r="P64" i="26"/>
  <c r="S64" i="26"/>
  <c r="O64" i="26"/>
  <c r="R64" i="26"/>
  <c r="Q64" i="26"/>
  <c r="T61" i="26"/>
  <c r="P61" i="26"/>
  <c r="S61" i="26"/>
  <c r="O61" i="26"/>
  <c r="Q61" i="26"/>
  <c r="R61" i="26"/>
  <c r="T58" i="26"/>
  <c r="P58" i="26"/>
  <c r="S58" i="26"/>
  <c r="O58" i="26"/>
  <c r="R58" i="26"/>
  <c r="Q58" i="26"/>
  <c r="T52" i="26"/>
  <c r="P52" i="26"/>
  <c r="S52" i="26"/>
  <c r="O52" i="26"/>
  <c r="R52" i="26"/>
  <c r="Q52" i="26"/>
  <c r="T102" i="26"/>
  <c r="P102" i="26"/>
  <c r="Q102" i="26"/>
  <c r="R102" i="26"/>
  <c r="O102" i="26"/>
  <c r="S102" i="26"/>
  <c r="T89" i="26"/>
  <c r="P89" i="26"/>
  <c r="R89" i="26"/>
  <c r="Q89" i="26"/>
  <c r="O89" i="26"/>
  <c r="S89" i="26"/>
  <c r="T45" i="26"/>
  <c r="P45" i="26"/>
  <c r="S45" i="26"/>
  <c r="O45" i="26"/>
  <c r="Q45" i="26"/>
  <c r="R45" i="26"/>
  <c r="S19" i="26"/>
  <c r="O19" i="26"/>
  <c r="R19" i="26"/>
  <c r="T19" i="26"/>
  <c r="Q19" i="26"/>
  <c r="P19" i="26"/>
  <c r="S29" i="26"/>
  <c r="O29" i="26"/>
  <c r="T29" i="26"/>
  <c r="R29" i="26"/>
  <c r="Q29" i="26"/>
  <c r="P29" i="26"/>
  <c r="T100" i="26"/>
  <c r="P100" i="26"/>
  <c r="S100" i="26"/>
  <c r="R100" i="26"/>
  <c r="Q100" i="26"/>
  <c r="O100" i="26"/>
  <c r="T86" i="26"/>
  <c r="P86" i="26"/>
  <c r="Q86" i="26"/>
  <c r="R86" i="26"/>
  <c r="O86" i="26"/>
  <c r="S86" i="26"/>
  <c r="T40" i="26"/>
  <c r="P40" i="26"/>
  <c r="S40" i="26"/>
  <c r="O40" i="26"/>
  <c r="R40" i="26"/>
  <c r="Q40" i="26"/>
  <c r="S33" i="26"/>
  <c r="O33" i="26"/>
  <c r="T33" i="26"/>
  <c r="R33" i="26"/>
  <c r="P33" i="26"/>
  <c r="Q33" i="26"/>
  <c r="T92" i="26"/>
  <c r="P92" i="26"/>
  <c r="S92" i="26"/>
  <c r="Q92" i="26"/>
  <c r="O92" i="26"/>
  <c r="R92" i="26"/>
  <c r="S36" i="26"/>
  <c r="O36" i="26"/>
  <c r="P36" i="26"/>
  <c r="T36" i="26"/>
  <c r="R36" i="26"/>
  <c r="Q36" i="26"/>
  <c r="T63" i="26"/>
  <c r="P63" i="26"/>
  <c r="S63" i="26"/>
  <c r="O63" i="26"/>
  <c r="R63" i="26"/>
  <c r="Q63" i="26"/>
  <c r="Q10" i="26"/>
  <c r="P10" i="26"/>
  <c r="T10" i="26"/>
  <c r="S10" i="26"/>
  <c r="R10" i="26"/>
  <c r="O10" i="26"/>
  <c r="T88" i="26"/>
  <c r="P88" i="26"/>
  <c r="S88" i="26"/>
  <c r="O88" i="26"/>
  <c r="R88" i="26"/>
  <c r="Q88" i="26"/>
  <c r="Q20" i="26"/>
  <c r="T20" i="26"/>
  <c r="P20" i="26"/>
  <c r="R20" i="26"/>
  <c r="O20" i="26"/>
  <c r="S20" i="26"/>
  <c r="S74" i="26"/>
  <c r="O74" i="26"/>
  <c r="R74" i="26"/>
  <c r="Q74" i="26"/>
  <c r="P74" i="26"/>
  <c r="T74" i="26"/>
  <c r="T59" i="26"/>
  <c r="P59" i="26"/>
  <c r="S59" i="26"/>
  <c r="O59" i="26"/>
  <c r="R59" i="26"/>
  <c r="Q59" i="26"/>
  <c r="Q16" i="26"/>
  <c r="T16" i="26"/>
  <c r="P16" i="26"/>
  <c r="R16" i="26"/>
  <c r="O16" i="26"/>
  <c r="S16" i="26"/>
  <c r="Q9" i="26"/>
  <c r="S9" i="26"/>
  <c r="P9" i="26"/>
  <c r="O9" i="26"/>
  <c r="T9" i="26"/>
  <c r="R9" i="26"/>
  <c r="T62" i="26"/>
  <c r="P62" i="26"/>
  <c r="S62" i="26"/>
  <c r="O62" i="26"/>
  <c r="R62" i="26"/>
  <c r="Q62" i="26"/>
  <c r="S28" i="26"/>
  <c r="O28" i="26"/>
  <c r="P28" i="26"/>
  <c r="T28" i="26"/>
  <c r="R28" i="26"/>
  <c r="Q28" i="26"/>
  <c r="T90" i="26"/>
  <c r="P90" i="26"/>
  <c r="Q90" i="26"/>
  <c r="S90" i="26"/>
  <c r="R90" i="26"/>
  <c r="O90" i="26"/>
  <c r="T48" i="26"/>
  <c r="P48" i="26"/>
  <c r="S48" i="26"/>
  <c r="O48" i="26"/>
  <c r="R48" i="26"/>
  <c r="Q48" i="26"/>
  <c r="T60" i="26"/>
  <c r="P60" i="26"/>
  <c r="S60" i="26"/>
  <c r="O60" i="26"/>
  <c r="R60" i="26"/>
  <c r="Q60" i="26"/>
  <c r="T81" i="26"/>
  <c r="P81" i="26"/>
  <c r="S81" i="26"/>
  <c r="R81" i="26"/>
  <c r="Q81" i="26"/>
  <c r="O81" i="26"/>
  <c r="S13" i="26"/>
  <c r="O13" i="26"/>
  <c r="R13" i="26"/>
  <c r="P13" i="26"/>
  <c r="T13" i="26"/>
  <c r="Q13" i="26"/>
  <c r="Q6" i="26"/>
  <c r="R6" i="26"/>
  <c r="P6" i="26"/>
  <c r="T6" i="26"/>
  <c r="S6" i="26"/>
  <c r="O6" i="26"/>
  <c r="Q12" i="26"/>
  <c r="R12" i="26"/>
  <c r="P12" i="26"/>
  <c r="O12" i="26"/>
  <c r="T12" i="26"/>
  <c r="S12" i="26"/>
  <c r="T55" i="26"/>
  <c r="P55" i="26"/>
  <c r="S55" i="26"/>
  <c r="O55" i="26"/>
  <c r="R55" i="26"/>
  <c r="Q55" i="26"/>
  <c r="T38" i="26"/>
  <c r="S38" i="26"/>
  <c r="O38" i="26"/>
  <c r="R38" i="26"/>
  <c r="Q38" i="26"/>
  <c r="P38" i="26"/>
  <c r="T41" i="26"/>
  <c r="P41" i="26"/>
  <c r="S41" i="26"/>
  <c r="O41" i="26"/>
  <c r="Q41" i="26"/>
  <c r="R41" i="26"/>
  <c r="T91" i="26"/>
  <c r="P91" i="26"/>
  <c r="O91" i="26"/>
  <c r="S91" i="26"/>
  <c r="R91" i="26"/>
  <c r="Q91" i="26"/>
  <c r="S31" i="26"/>
  <c r="O31" i="26"/>
  <c r="Q31" i="26"/>
  <c r="P31" i="26"/>
  <c r="R31" i="26"/>
  <c r="T31" i="26"/>
  <c r="T83" i="26"/>
  <c r="P83" i="26"/>
  <c r="Q83" i="26"/>
  <c r="O83" i="26"/>
  <c r="S83" i="26"/>
  <c r="R83" i="26"/>
  <c r="T82" i="26"/>
  <c r="P82" i="26"/>
  <c r="R82" i="26"/>
  <c r="Q82" i="26"/>
  <c r="O82" i="26"/>
  <c r="S82" i="26"/>
  <c r="T95" i="26"/>
  <c r="P95" i="26"/>
  <c r="O95" i="26"/>
  <c r="Q95" i="26"/>
  <c r="S95" i="26"/>
  <c r="R95" i="26"/>
  <c r="S37" i="26"/>
  <c r="O37" i="26"/>
  <c r="T37" i="26"/>
  <c r="R37" i="26"/>
  <c r="Q37" i="26"/>
  <c r="P37" i="26"/>
  <c r="T78" i="26"/>
  <c r="P78" i="26"/>
  <c r="R78" i="26"/>
  <c r="Q78" i="26"/>
  <c r="S78" i="26"/>
  <c r="O78" i="26"/>
  <c r="T67" i="26"/>
  <c r="P67" i="26"/>
  <c r="S67" i="26"/>
  <c r="O67" i="26"/>
  <c r="R67" i="26"/>
  <c r="Q67" i="26"/>
  <c r="E23" i="22"/>
  <c r="CC19" i="22"/>
  <c r="CB19" i="22"/>
  <c r="CD20" i="22"/>
  <c r="N21" i="22" s="1"/>
  <c r="F14" i="12" s="1"/>
  <c r="CA19" i="22"/>
  <c r="S76" i="26"/>
  <c r="O76" i="26"/>
  <c r="R76" i="26"/>
  <c r="Q76" i="26"/>
  <c r="P76" i="26"/>
  <c r="T76" i="26"/>
  <c r="T79" i="26"/>
  <c r="P79" i="26"/>
  <c r="Q79" i="26"/>
  <c r="O79" i="26"/>
  <c r="S79" i="26"/>
  <c r="R79" i="26"/>
  <c r="T77" i="26"/>
  <c r="S77" i="26"/>
  <c r="O77" i="26"/>
  <c r="R77" i="26"/>
  <c r="P77" i="26"/>
  <c r="Q77" i="26"/>
  <c r="T87" i="26"/>
  <c r="P87" i="26"/>
  <c r="O87" i="26"/>
  <c r="S87" i="26"/>
  <c r="R87" i="26"/>
  <c r="Q87" i="26"/>
  <c r="T94" i="26"/>
  <c r="P94" i="26"/>
  <c r="Q94" i="26"/>
  <c r="S94" i="26"/>
  <c r="R94" i="26"/>
  <c r="O94" i="26"/>
  <c r="T51" i="26"/>
  <c r="P51" i="26"/>
  <c r="S51" i="26"/>
  <c r="O51" i="26"/>
  <c r="R51" i="26"/>
  <c r="Q51" i="26"/>
  <c r="S71" i="26"/>
  <c r="O71" i="26"/>
  <c r="R71" i="26"/>
  <c r="T71" i="26"/>
  <c r="Q71" i="26"/>
  <c r="P71" i="26"/>
  <c r="Q24" i="26"/>
  <c r="T24" i="26"/>
  <c r="P24" i="26"/>
  <c r="R24" i="26"/>
  <c r="O24" i="26"/>
  <c r="S24" i="26"/>
  <c r="Q23" i="26"/>
  <c r="T23" i="26"/>
  <c r="P23" i="26"/>
  <c r="S23" i="26"/>
  <c r="R23" i="26"/>
  <c r="O23" i="26"/>
  <c r="S34" i="26"/>
  <c r="O34" i="26"/>
  <c r="R34" i="26"/>
  <c r="Q34" i="26"/>
  <c r="T34" i="26"/>
  <c r="P34" i="26"/>
  <c r="T49" i="26"/>
  <c r="P49" i="26"/>
  <c r="S49" i="26"/>
  <c r="O49" i="26"/>
  <c r="Q49" i="26"/>
  <c r="R49" i="26"/>
  <c r="Q5" i="26" l="1"/>
  <c r="T5" i="26"/>
  <c r="O5" i="26"/>
  <c r="S5" i="26"/>
  <c r="R5" i="26"/>
  <c r="P5" i="26"/>
  <c r="N18" i="22"/>
  <c r="M17" i="22"/>
  <c r="L16" i="22"/>
  <c r="F23" i="22" s="1"/>
  <c r="T7" i="22"/>
  <c r="P7" i="22"/>
  <c r="U6" i="22"/>
  <c r="Q6" i="22"/>
  <c r="S5" i="22"/>
  <c r="O5" i="22"/>
  <c r="N19" i="22"/>
  <c r="M18" i="22"/>
  <c r="L17" i="22"/>
  <c r="S7" i="22"/>
  <c r="O7" i="22"/>
  <c r="T6" i="22"/>
  <c r="P6" i="22"/>
  <c r="R5" i="22"/>
  <c r="N5" i="22"/>
  <c r="M19" i="22"/>
  <c r="L18" i="22"/>
  <c r="N16" i="22"/>
  <c r="R7" i="22"/>
  <c r="N7" i="22"/>
  <c r="S6" i="22"/>
  <c r="O6" i="22"/>
  <c r="M6" i="22" s="1"/>
  <c r="U5" i="22"/>
  <c r="Q5" i="22"/>
  <c r="M16" i="22"/>
  <c r="R6" i="22"/>
  <c r="P5" i="22"/>
  <c r="U7" i="22"/>
  <c r="N6" i="22"/>
  <c r="N17" i="22"/>
  <c r="Q7" i="22"/>
  <c r="L19" i="22"/>
  <c r="T5" i="22"/>
  <c r="M5" i="22" l="1"/>
  <c r="G98" i="22"/>
  <c r="G116" i="22"/>
  <c r="G119" i="22"/>
  <c r="G111" i="22"/>
  <c r="G103" i="22"/>
  <c r="G115" i="22"/>
  <c r="G121" i="22"/>
  <c r="G88" i="22"/>
  <c r="G73" i="22"/>
  <c r="G109" i="22"/>
  <c r="G100" i="22"/>
  <c r="G113" i="22"/>
  <c r="G105" i="22"/>
  <c r="G114" i="22"/>
  <c r="G117" i="22"/>
  <c r="G93" i="22"/>
  <c r="G102" i="22"/>
  <c r="G86" i="22"/>
  <c r="G120" i="22"/>
  <c r="G107" i="22"/>
  <c r="G118" i="22"/>
  <c r="G104" i="22"/>
  <c r="G110" i="22"/>
  <c r="G106" i="22"/>
  <c r="G108" i="22"/>
  <c r="G78" i="22"/>
  <c r="G99" i="22"/>
  <c r="G101" i="22"/>
  <c r="G97" i="22"/>
  <c r="G112" i="22"/>
  <c r="S8" i="22"/>
  <c r="F50" i="22"/>
  <c r="F65" i="22"/>
  <c r="F71" i="22"/>
  <c r="F61" i="22"/>
  <c r="F90" i="22"/>
  <c r="F84" i="22"/>
  <c r="F87" i="22"/>
  <c r="F53" i="22"/>
  <c r="F94" i="22"/>
  <c r="F95" i="22"/>
  <c r="F69" i="22"/>
  <c r="F89" i="22"/>
  <c r="F52" i="22"/>
  <c r="F67" i="22"/>
  <c r="F74" i="22"/>
  <c r="F57" i="22"/>
  <c r="F64" i="22"/>
  <c r="F72" i="22"/>
  <c r="F68" i="22"/>
  <c r="F75" i="22"/>
  <c r="F60" i="22"/>
  <c r="F83" i="22"/>
  <c r="F91" i="22"/>
  <c r="F62" i="22"/>
  <c r="F82" i="22"/>
  <c r="F79" i="22"/>
  <c r="F76" i="22"/>
  <c r="F70" i="22"/>
  <c r="F63" i="22"/>
  <c r="F58" i="22"/>
  <c r="F54" i="22"/>
  <c r="F81" i="22"/>
  <c r="F92" i="22"/>
  <c r="F77" i="22"/>
  <c r="F80" i="22"/>
  <c r="F66" i="22"/>
  <c r="F56" i="22"/>
  <c r="F59" i="22"/>
  <c r="F55" i="22"/>
  <c r="F96" i="22"/>
  <c r="F85" i="22"/>
  <c r="F32" i="22"/>
  <c r="F26" i="22"/>
  <c r="F48" i="22"/>
  <c r="F29" i="22"/>
  <c r="F43" i="22"/>
  <c r="F25" i="22"/>
  <c r="F39" i="22"/>
  <c r="F42" i="22"/>
  <c r="F41" i="22"/>
  <c r="F44" i="22"/>
  <c r="F45" i="22"/>
  <c r="F33" i="22"/>
  <c r="F40" i="22"/>
  <c r="F35" i="22"/>
  <c r="F36" i="22"/>
  <c r="F37" i="22"/>
  <c r="F47" i="22"/>
  <c r="F51" i="22"/>
  <c r="F28" i="22"/>
  <c r="L20" i="22" s="1"/>
  <c r="F38" i="22"/>
  <c r="F34" i="22"/>
  <c r="F27" i="22"/>
  <c r="F46" i="22"/>
  <c r="F31" i="22"/>
  <c r="F24" i="22"/>
  <c r="L21" i="22" s="1"/>
  <c r="E14" i="12" s="1"/>
  <c r="F30" i="22"/>
  <c r="F49" i="22"/>
  <c r="F115" i="22"/>
  <c r="F119" i="22"/>
  <c r="F111" i="22"/>
  <c r="F103" i="22"/>
  <c r="F98" i="22"/>
  <c r="F116" i="22"/>
  <c r="F121" i="22"/>
  <c r="F88" i="22"/>
  <c r="F97" i="22"/>
  <c r="F105" i="22"/>
  <c r="F112" i="22"/>
  <c r="F114" i="22"/>
  <c r="F117" i="22"/>
  <c r="F93" i="22"/>
  <c r="F102" i="22"/>
  <c r="F86" i="22"/>
  <c r="F120" i="22"/>
  <c r="F107" i="22"/>
  <c r="F118" i="22"/>
  <c r="F104" i="22"/>
  <c r="F110" i="22"/>
  <c r="F106" i="22"/>
  <c r="F108" i="22"/>
  <c r="F78" i="22"/>
  <c r="F99" i="22"/>
  <c r="F73" i="22"/>
  <c r="F109" i="22"/>
  <c r="F101" i="22"/>
  <c r="F100" i="22"/>
  <c r="F113" i="22"/>
  <c r="N8" i="22"/>
  <c r="M7" i="22"/>
  <c r="M20" i="22" l="1"/>
  <c r="N20" i="22"/>
  <c r="D14" i="12"/>
  <c r="G43" i="22"/>
  <c r="G48" i="22"/>
  <c r="G25" i="22"/>
  <c r="G39" i="22"/>
  <c r="G29" i="22"/>
  <c r="G32" i="22"/>
  <c r="G26" i="22"/>
  <c r="G49" i="22"/>
  <c r="G42" i="22"/>
  <c r="G44" i="22"/>
  <c r="G45" i="22"/>
  <c r="G33" i="22"/>
  <c r="G40" i="22"/>
  <c r="G35" i="22"/>
  <c r="G36" i="22"/>
  <c r="G37" i="22"/>
  <c r="G47" i="22"/>
  <c r="G51" i="22"/>
  <c r="G28" i="22"/>
  <c r="G38" i="22"/>
  <c r="G34" i="22"/>
  <c r="G27" i="22"/>
  <c r="G46" i="22"/>
  <c r="G31" i="22"/>
  <c r="G24" i="22"/>
  <c r="G30" i="22"/>
  <c r="G41" i="22"/>
  <c r="G23" i="22"/>
  <c r="G87" i="22"/>
  <c r="G71" i="22"/>
  <c r="G61" i="22"/>
  <c r="G84" i="22"/>
  <c r="G53" i="22"/>
  <c r="G50" i="22"/>
  <c r="G65" i="22"/>
  <c r="G90" i="22"/>
  <c r="G55" i="22"/>
  <c r="G85" i="22"/>
  <c r="G95" i="22"/>
  <c r="G94" i="22"/>
  <c r="G69" i="22"/>
  <c r="G89" i="22"/>
  <c r="G52" i="22"/>
  <c r="G67" i="22"/>
  <c r="G74" i="22"/>
  <c r="G57" i="22"/>
  <c r="G64" i="22"/>
  <c r="G72" i="22"/>
  <c r="G68" i="22"/>
  <c r="G75" i="22"/>
  <c r="G60" i="22"/>
  <c r="G83" i="22"/>
  <c r="G91" i="22"/>
  <c r="G62" i="22"/>
  <c r="G82" i="22"/>
  <c r="G79" i="22"/>
  <c r="G76" i="22"/>
  <c r="G70" i="22"/>
  <c r="G63" i="22"/>
  <c r="G58" i="22"/>
  <c r="G54" i="22"/>
  <c r="G81" i="22"/>
  <c r="G92" i="22"/>
  <c r="G77" i="22"/>
  <c r="G80" i="22"/>
  <c r="G66" i="22"/>
  <c r="G56" i="22"/>
  <c r="G59" i="22"/>
  <c r="G96" i="22"/>
</calcChain>
</file>

<file path=xl/sharedStrings.xml><?xml version="1.0" encoding="utf-8"?>
<sst xmlns="http://schemas.openxmlformats.org/spreadsheetml/2006/main" count="9967" uniqueCount="605">
  <si>
    <t>Pakistan COVID-19 — Data Analysis Report</t>
  </si>
  <si>
    <t>TOTAL CASES</t>
  </si>
  <si>
    <t>TOTAL DEATHS</t>
  </si>
  <si>
    <t>RECOVERED</t>
  </si>
  <si>
    <t>ACTIVE CASES</t>
  </si>
  <si>
    <t>confirmed</t>
  </si>
  <si>
    <t>reported</t>
  </si>
  <si>
    <t>reported (under-counted)</t>
  </si>
  <si>
    <t>derived: cases − deaths − recovered</t>
  </si>
  <si>
    <t>CASE FATALITY RATE</t>
  </si>
  <si>
    <t>REPORTED RECOVERY RATE</t>
  </si>
  <si>
    <t>PEAK SINGLE DAY</t>
  </si>
  <si>
    <t>LATEST 7-DAY AVERAGE</t>
  </si>
  <si>
    <t>deaths ÷ cases (crude)</t>
  </si>
  <si>
    <t>recovered ÷ cases</t>
  </si>
  <si>
    <t>Key findings</t>
  </si>
  <si>
    <t>Implications</t>
  </si>
  <si>
    <t>• Monitor the 7-day average, not single days: daily counts swing widely and the series was still climbing at the end of the data.</t>
  </si>
  <si>
    <t>• Concentrate response capacity on the two big-city clusters (Karachi, Lahore) — together they hold well over half of all cases.</t>
  </si>
  <si>
    <t>• Review clinical capacity and case management in the province with the highest fatality rate; its deaths are out of proportion to its case count.</t>
  </si>
  <si>
    <t>• Standardise recovery reporting across provinces before using Active Cases or recovery rates for planning.</t>
  </si>
  <si>
    <t>• Treat the recorded source-of-infection field with caution: most cases default to "local", so it says little about how outbreaks start.</t>
  </si>
  <si>
    <t>Daily trend</t>
  </si>
  <si>
    <t>One row per calendar day (days with no reported records are shown as zero). All values are formulas on the Data sheet.</t>
  </si>
  <si>
    <t>Date</t>
  </si>
  <si>
    <t>Day</t>
  </si>
  <si>
    <t>Daily cases</t>
  </si>
  <si>
    <t>Daily deaths</t>
  </si>
  <si>
    <t>Daily recovered</t>
  </si>
  <si>
    <t>Cumulative cases</t>
  </si>
  <si>
    <t>Cumulative deaths</t>
  </si>
  <si>
    <t>Cumulative recovered</t>
  </si>
  <si>
    <t>Active cases</t>
  </si>
  <si>
    <t>7-day avg cases</t>
  </si>
  <si>
    <t>7-day avg deaths</t>
  </si>
  <si>
    <t>Cumulative CFR</t>
  </si>
  <si>
    <t>Week-on-week change (7-day avg)</t>
  </si>
  <si>
    <t>Day index</t>
  </si>
  <si>
    <t>Ln(7-day avg cases)</t>
  </si>
  <si>
    <t>Records</t>
  </si>
  <si>
    <t>Notes: 7-day averages start on day 7. Active cases = cumulative cases − deaths − recovered (same definition as the source dashboard). Cumulative CFR = cumulative deaths ÷ cumulative cases (crude, not lag-adjusted).</t>
  </si>
  <si>
    <t>Weekly trend</t>
  </si>
  <si>
    <t>Weeks run for 7 days from the first reported day; the last week is partial and excluded from week-on-week change.</t>
  </si>
  <si>
    <t>Week</t>
  </si>
  <si>
    <t>Week start</t>
  </si>
  <si>
    <t>Week end</t>
  </si>
  <si>
    <t>Days</t>
  </si>
  <si>
    <t>Cases</t>
  </si>
  <si>
    <t>Deaths</t>
  </si>
  <si>
    <t>Recovered</t>
  </si>
  <si>
    <t>Avg cases per day</t>
  </si>
  <si>
    <t>Week-on-week change</t>
  </si>
  <si>
    <t>Status</t>
  </si>
  <si>
    <t>Total</t>
  </si>
  <si>
    <t>Monthly summary</t>
  </si>
  <si>
    <t>February covers 26–29 Feb only and June covers 1–3 Jun only — compare months using the average-per-day column.</t>
  </si>
  <si>
    <t>Month</t>
  </si>
  <si>
    <t>Days covered</t>
  </si>
  <si>
    <t>CFR</t>
  </si>
  <si>
    <t>Change in avg/day vs prior month</t>
  </si>
  <si>
    <t>Share of all cases</t>
  </si>
  <si>
    <t>Province analysis</t>
  </si>
  <si>
    <t>Sorted by total cases. Shares and CFR are formulas on the Data sheet. Province names are as spelled in the source file.</t>
  </si>
  <si>
    <t>Province</t>
  </si>
  <si>
    <t>Recovered (reported)</t>
  </si>
  <si>
    <t>Active (derived)</t>
  </si>
  <si>
    <t>Share of cases</t>
  </si>
  <si>
    <t>Share of deaths</t>
  </si>
  <si>
    <t>Reported recovery rate</t>
  </si>
  <si>
    <t>CFR vs national (×)</t>
  </si>
  <si>
    <t>Sindh</t>
  </si>
  <si>
    <t>Punjab</t>
  </si>
  <si>
    <t>Khyber Pakhtunkhwa</t>
  </si>
  <si>
    <t>Baluchistan</t>
  </si>
  <si>
    <t>Islamabad Capital Territory</t>
  </si>
  <si>
    <t>Gilgit-Baltistan</t>
  </si>
  <si>
    <t>Azad Jummu Kashmir</t>
  </si>
  <si>
    <t>Federal Administration Tribal Area</t>
  </si>
  <si>
    <t>Pakistan (total)</t>
  </si>
  <si>
    <t>Min. cases for comparisons (input)</t>
  </si>
  <si>
    <t>Highest CFR (province, rate)</t>
  </si>
  <si>
    <t>Recovery-rate range (min, max)</t>
  </si>
  <si>
    <t>Small provinces (GB, AJK, FATA) have few cases, so their CFR is volatile; the threshold above avoids ranking them. No population data is in the file, so per-capita rates are not calculated.</t>
  </si>
  <si>
    <t>Cases by province and month</t>
  </si>
  <si>
    <t>Check vs table</t>
  </si>
  <si>
    <t>Share of each month's cases, by province</t>
  </si>
  <si>
    <t>City analysis — top 15 cities by cases</t>
  </si>
  <si>
    <t>City province = province of the first record for that city (six tribal-district names appear under more than one province).</t>
  </si>
  <si>
    <t>Rank</t>
  </si>
  <si>
    <t>City</t>
  </si>
  <si>
    <t>Cumulative share</t>
  </si>
  <si>
    <t>Karachi</t>
  </si>
  <si>
    <t>Lahore</t>
  </si>
  <si>
    <t>Quetta</t>
  </si>
  <si>
    <t>Peshawar</t>
  </si>
  <si>
    <t>Islamabad</t>
  </si>
  <si>
    <t>Swat</t>
  </si>
  <si>
    <t>Multan</t>
  </si>
  <si>
    <t>Sukkur</t>
  </si>
  <si>
    <t>Hyderabad</t>
  </si>
  <si>
    <t>Raiwind</t>
  </si>
  <si>
    <t>Malakand</t>
  </si>
  <si>
    <t>Mardan</t>
  </si>
  <si>
    <t>Gilgit</t>
  </si>
  <si>
    <t>Larkana</t>
  </si>
  <si>
    <t>Ghotki</t>
  </si>
  <si>
    <t>All other cities</t>
  </si>
  <si>
    <t>The file has 117 distinct city names (counted in Python from the Clean sheet). A city with a high case count but near-zero reported recoveries (e.g. Multan, Raiwind) signals under-reported recoveries rather than real outcomes.</t>
  </si>
  <si>
    <t>Source of infection (travel history)</t>
  </si>
  <si>
    <t>Group mapping in column B is an analyst assumption (blue = editable input); totals recalculate if you change it.</t>
  </si>
  <si>
    <t>Travel history</t>
  </si>
  <si>
    <t>Group (assumption)</t>
  </si>
  <si>
    <t>Local - Social Contact</t>
  </si>
  <si>
    <t>Local transmission</t>
  </si>
  <si>
    <t>Unknown</t>
  </si>
  <si>
    <t>Unknown source</t>
  </si>
  <si>
    <t>Tableeghi Jamaat</t>
  </si>
  <si>
    <t>Cluster / institutional</t>
  </si>
  <si>
    <t>Iran/Taftan</t>
  </si>
  <si>
    <t>Travel-linked (imported)</t>
  </si>
  <si>
    <t>Jail</t>
  </si>
  <si>
    <t>Afghanistan</t>
  </si>
  <si>
    <t>International Passenger</t>
  </si>
  <si>
    <t>Syria</t>
  </si>
  <si>
    <t>KSA</t>
  </si>
  <si>
    <t>UK</t>
  </si>
  <si>
    <t>China</t>
  </si>
  <si>
    <t>India</t>
  </si>
  <si>
    <t>Dubai</t>
  </si>
  <si>
    <t>Local - Covid Relative</t>
  </si>
  <si>
    <t>USA</t>
  </si>
  <si>
    <t>By group</t>
  </si>
  <si>
    <t>Group</t>
  </si>
  <si>
    <t>Travel history is a recorded field, not a contact-tracing result: "Local - Social Contact" is the default for most records, and 4% of cases have no known source.</t>
  </si>
  <si>
    <t>Statistical analysis</t>
  </si>
  <si>
    <t>Descriptive statistics, outliers, weekday pattern, case-to-death lag and growth-rate fit — all computed from the Daily sheet.</t>
  </si>
  <si>
    <t>1. Descriptive statistics (per calendar day)</t>
  </si>
  <si>
    <t>Metric</t>
  </si>
  <si>
    <t>Mean</t>
  </si>
  <si>
    <t>Median</t>
  </si>
  <si>
    <t>Standard deviation</t>
  </si>
  <si>
    <t>Coefficient of variation</t>
  </si>
  <si>
    <t>Minimum</t>
  </si>
  <si>
    <t>Quartile 1</t>
  </si>
  <si>
    <t>Quartile 3</t>
  </si>
  <si>
    <t>Interquartile range</t>
  </si>
  <si>
    <t>Maximum</t>
  </si>
  <si>
    <t>Skewness</t>
  </si>
  <si>
    <t>Mean far above median and high skewness mean a few very large late-period days dominate the average: use the median and the 7-day average when describing a "typical" day.</t>
  </si>
  <si>
    <t>2. Outlier screen — daily cases (Tukey fence)</t>
  </si>
  <si>
    <t>Upper fence (Q3 + 1.5 × IQR)</t>
  </si>
  <si>
    <t>Days above the fence</t>
  </si>
  <si>
    <t>First day above the fence</t>
  </si>
  <si>
    <t>Share of all cases on those days</t>
  </si>
  <si>
    <t>Flagged days are bunched at the end of the period (see first-day date), consistent with accelerating spread rather than isolated data errors. No days were removed.</t>
  </si>
  <si>
    <t>3. Day-of-week pattern</t>
  </si>
  <si>
    <t>Avg cases</t>
  </si>
  <si>
    <t>Index (all-day mean = 100)</t>
  </si>
  <si>
    <t>Avg deaths</t>
  </si>
  <si>
    <t>Days in sample</t>
  </si>
  <si>
    <t>Mon</t>
  </si>
  <si>
    <t>Tue</t>
  </si>
  <si>
    <t>Wed</t>
  </si>
  <si>
    <t>Thu</t>
  </si>
  <si>
    <t>Fri</t>
  </si>
  <si>
    <t>Sat</t>
  </si>
  <si>
    <t>Sun</t>
  </si>
  <si>
    <t>Only 14 weeks of data and a strong upward trend: later weekdays are inflated simply by being later, so this is weak evidence of any weekly reporting cycle.</t>
  </si>
  <si>
    <t>4. Do cases lead deaths? Correlation at different lags</t>
  </si>
  <si>
    <t>Lag (days) — deaths on day t+lag vs cases on day t</t>
  </si>
  <si>
    <t>Correlation r</t>
  </si>
  <si>
    <t>R²</t>
  </si>
  <si>
    <t>Lag with the highest correlation (days)</t>
  </si>
  <si>
    <t>Cases and deaths both trend upward, so r is inflated by the shared trend. Treat as indicative of a close relationship, not as an estimate of the true reporting delay.</t>
  </si>
  <si>
    <t>5. Growth-rate fit (log-linear regression on the 7-day average of cases)</t>
  </si>
  <si>
    <t>Phase</t>
  </si>
  <si>
    <t>Start (input)</t>
  </si>
  <si>
    <t>End (input)</t>
  </si>
  <si>
    <t>First row #</t>
  </si>
  <si>
    <t>Last row #</t>
  </si>
  <si>
    <t>Fitted daily growth</t>
  </si>
  <si>
    <t>Doubling time (days)</t>
  </si>
  <si>
    <t>R² of fit</t>
  </si>
  <si>
    <t>Early surge</t>
  </si>
  <si>
    <t>Peak phase</t>
  </si>
  <si>
    <t>Growth is the exponential-equivalent daily rate over the chosen window (change the blue dates to test other windows). It describes the past; it is not a forecast.</t>
  </si>
  <si>
    <t>Regression analysis — Excel (LINEST)</t>
  </si>
  <si>
    <t>Unit of analysis: one row per calendar day (99 days). Every coefficient below is a live LINEST formula on the data table at the bottom of this sheet.</t>
  </si>
  <si>
    <t>1. Simple linear regression: Cases = b0 + b1·Day_Num</t>
  </si>
  <si>
    <t>Term</t>
  </si>
  <si>
    <t>Coefficient</t>
  </si>
  <si>
    <t>Std error</t>
  </si>
  <si>
    <t>t-stat</t>
  </si>
  <si>
    <t>p-value</t>
  </si>
  <si>
    <t>Intercept</t>
  </si>
  <si>
    <t>Day_Num</t>
  </si>
  <si>
    <t>Adjusted R²</t>
  </si>
  <si>
    <t>Std error of regression</t>
  </si>
  <si>
    <t>F statistic</t>
  </si>
  <si>
    <t>Significance F</t>
  </si>
  <si>
    <t>Residual df</t>
  </si>
  <si>
    <t>2. Multiple linear regression: Cases = b0 + b1·Deaths + b2·Recovered + b3·Day_Num</t>
  </si>
  <si>
    <t>3. Polynomial regression (degree 2): Cases = b0 + b1·Day_Num + b2·Day_Sq</t>
  </si>
  <si>
    <t>Day_Sq</t>
  </si>
  <si>
    <t>Model comparison</t>
  </si>
  <si>
    <t>Model</t>
  </si>
  <si>
    <t>Reading the results</t>
  </si>
  <si>
    <t>Simple</t>
  </si>
  <si>
    <t>Multiple</t>
  </si>
  <si>
    <t>Polynomial (deg 2)</t>
  </si>
  <si>
    <t>Method: Excel LINEST with statistics on 99 daily observations; p-values use TDIST (t-test on each coefficient) and FDIST (overall F test). Day_Num = day index + 1 (26 Feb 2020 = 1). The data are a time series, so residuals are autocorrelated and p-values are optimistic; the early-period zero days and the late surge are what drive the poor linear fit.</t>
  </si>
  <si>
    <t>Data table (linked to the Daily sheet)</t>
  </si>
  <si>
    <t>Fitted: simple</t>
  </si>
  <si>
    <t>Fitted: multiple</t>
  </si>
  <si>
    <t>Fitted: polynomial</t>
  </si>
  <si>
    <t>Regression charts</t>
  </si>
  <si>
    <t>Scatter plots with trendlines and R² shown on the chart (Excel trendline feature); fitted series come from Regression_Excel.</t>
  </si>
  <si>
    <t>Logistic regression (Solver) and confusion matrix</t>
  </si>
  <si>
    <t>High_Cases = 1 when a day has at least the threshold number of new cases. Predictor: Day_Num. Coefficients are fitted by maximum likelihood, the objective Solver maximises.</t>
  </si>
  <si>
    <t>Inputs (blue = you may change)</t>
  </si>
  <si>
    <t>High_Cases threshold (cases/day)</t>
  </si>
  <si>
    <t>Classification cut-off (probability)</t>
  </si>
  <si>
    <t>b0 (intercept) - Solver changes this</t>
  </si>
  <si>
    <t>b1 (Day_Num) - Solver changes this</t>
  </si>
  <si>
    <t>Log-likelihood (Solver objective: MAX)</t>
  </si>
  <si>
    <t>Null log-likelihood (intercept only)</t>
  </si>
  <si>
    <t>McFadden pseudo-R²</t>
  </si>
  <si>
    <t>High_Cases</t>
  </si>
  <si>
    <t>z = b0+b1·x</t>
  </si>
  <si>
    <t>Probability</t>
  </si>
  <si>
    <t>Predicted</t>
  </si>
  <si>
    <t>Log-lik term</t>
  </si>
  <si>
    <t>Confusion matrix (COUNTIFS)</t>
  </si>
  <si>
    <t>Predicted = 1</t>
  </si>
  <si>
    <t>Predicted = 0</t>
  </si>
  <si>
    <t>Row total</t>
  </si>
  <si>
    <t>Actual = 1</t>
  </si>
  <si>
    <t>Actual = 0</t>
  </si>
  <si>
    <t>Column total</t>
  </si>
  <si>
    <t>TP = J16, FN = K16, FP = J17, TN = K17</t>
  </si>
  <si>
    <t>Value</t>
  </si>
  <si>
    <t>Accuracy</t>
  </si>
  <si>
    <t>Precision</t>
  </si>
  <si>
    <t>Recall (sensitivity)</t>
  </si>
  <si>
    <t>Specificity</t>
  </si>
  <si>
    <t>F1 score</t>
  </si>
  <si>
    <t>Odds ratio per extra day = EXP(b1)</t>
  </si>
  <si>
    <t>Day when probability = 50%</t>
  </si>
  <si>
    <t>Calendar date of that day</t>
  </si>
  <si>
    <t>How to run Solver (Data tab &gt; Solver)</t>
  </si>
  <si>
    <t>1. Set Objective: $J$9, To: Max.</t>
  </si>
  <si>
    <t>2. By Changing Variable Cells: $J$7:$J$8.</t>
  </si>
  <si>
    <t>3. Untick "Make Unconstrained Variables Non-Negative".</t>
  </si>
  <si>
    <t>4. Solving Method: GRG Nonlinear, then Solve.</t>
  </si>
  <si>
    <t>5. To test it: type 0 in J7 and J8 first, then run Solver.</t>
  </si>
  <si>
    <t>Expect J7 and J8 to return to about the values stored here.</t>
  </si>
  <si>
    <t>The stored b0 and b1 were found by maximum likelihood in Python (scipy) because Solver cannot be run in the environment that built this file. They maximise the same log-likelihood (J9), so Solver should land on them. Day_Num alone almost separates the classes (cases rise steadily), so the slope is steep and Solver may stop slightly away from these values; the log-likelihood in J9 shows which is better.</t>
  </si>
  <si>
    <t>K-Means clustering: Pakistan COVID-19</t>
  </si>
  <si>
    <t>Excel implementation of the K-Means workflow: every distance, assignment, centroid, WCSS and silhouette value is a live formula.</t>
  </si>
  <si>
    <t>Control panel</t>
  </si>
  <si>
    <t>Setting</t>
  </si>
  <si>
    <t>What it does</t>
  </si>
  <si>
    <t>Log-transform the features</t>
  </si>
  <si>
    <t>1 = use LN(1 + x) before standardising (recommended: cases are heavily skewed). 0 = raw counts, exactly as in the guide. Everything recalculates.</t>
  </si>
  <si>
    <t>Clusters in the main runs (K)</t>
  </si>
  <si>
    <t>K = 3 on every KMeans_ sheet. K = 2 to 6 is compared for cities on Elbow_Silhouette.</t>
  </si>
  <si>
    <t>Results at a glance</t>
  </si>
  <si>
    <t>Analysis</t>
  </si>
  <si>
    <t>Sheet</t>
  </si>
  <si>
    <t>Cluster sizes (cluster 1 / 2 / 3) and tiers</t>
  </si>
  <si>
    <t>Total WCSS</t>
  </si>
  <si>
    <t>Cities (117)</t>
  </si>
  <si>
    <t>KMeans_City</t>
  </si>
  <si>
    <t>Provinces (8)</t>
  </si>
  <si>
    <t>KMeans_Province</t>
  </si>
  <si>
    <t>Days (99) as phases</t>
  </si>
  <si>
    <t>KMeans_Phase</t>
  </si>
  <si>
    <t>Travel history (15)</t>
  </si>
  <si>
    <t>KMeans_Travel</t>
  </si>
  <si>
    <t>Best K for cities (silhouette)</t>
  </si>
  <si>
    <t>Elbow_Silhouette</t>
  </si>
  <si>
    <t>1. What K-Means does</t>
  </si>
  <si>
    <t>K-Means splits the data into K groups. Every point belongs to the cluster with the nearest centroid (the cluster mean). The centroids are recomputed until the assignments stop changing. The quantity it minimises is the within-cluster sum of squares (WCSS, also called inertia).</t>
  </si>
  <si>
    <t>Algorithm: 1) choose K. 2) pick K starting centroids. 3) assign each point to the nearest centroid. 4) move each centroid to the mean of its points. 5) repeat 3 and 4 until nothing changes. In this workbook each repeat is one "Iteration" block on a KMeans_ sheet, and the Reassigned row shows how many points changed.</t>
  </si>
  <si>
    <t>2. Dataset and what was clustered</t>
  </si>
  <si>
    <t>Column</t>
  </si>
  <si>
    <t>Type</t>
  </si>
  <si>
    <t>Use in clustering</t>
  </si>
  <si>
    <t>Rows of Phase_Data: each day becomes a point</t>
  </si>
  <si>
    <t>Cases, Deaths, Recovered</t>
  </si>
  <si>
    <t>Integer</t>
  </si>
  <si>
    <t>The three features (summed per city / province / category, or daily)</t>
  </si>
  <si>
    <t>Travel_history</t>
  </si>
  <si>
    <t>Categorical</t>
  </si>
  <si>
    <t>Aggregated into Travel_Data (15 categories)</t>
  </si>
  <si>
    <t>Province, City</t>
  </si>
  <si>
    <t>Aggregated into Province_Agg and City_Agg; used as labels</t>
  </si>
  <si>
    <t>3. Where each step of the guide lives</t>
  </si>
  <si>
    <t>Guide step</t>
  </si>
  <si>
    <t>What you will find</t>
  </si>
  <si>
    <t>Step 3-5: helper columns and aggregation</t>
  </si>
  <si>
    <t>City_Agg, Province_Agg</t>
  </si>
  <si>
    <t>SUMIF totals, Active = cases - deaths - recovered, CFR % = deaths / cases * 100. The Data sheet is already cleaned.</t>
  </si>
  <si>
    <t>Step 1-2: data matrix, standardise</t>
  </si>
  <si>
    <t>KMeans_Data</t>
  </si>
  <si>
    <t>X1 to X3, optional log transform, then Z-scores with (x - AVERAGE) / STDEV</t>
  </si>
  <si>
    <t>Steps 3-7: centroids, distances, assignment, iterate</t>
  </si>
  <si>
    <t>Starting centroids in blue (B8:B10), then 12 iteration blocks. Distance = SQRT of the sum of squared z differences; Cluster = MATCH(MIN(...))</t>
  </si>
  <si>
    <t>Step 8: WCSS</t>
  </si>
  <si>
    <t>Per-cluster and total WCSS next to the final centroids</t>
  </si>
  <si>
    <t>Step 9: elbow method</t>
  </si>
  <si>
    <t>Elbow_Silhouette, Elbow_Engine</t>
  </si>
  <si>
    <t>Full K-Means for K = 2 to 6, WCSS and elbow chart</t>
  </si>
  <si>
    <t>Step 10: silhouette</t>
  </si>
  <si>
    <t>Elbow_Silhouette, Distance_Matrix</t>
  </si>
  <si>
    <t>a(i), b(i) and s(i) for every city, mean silhouette per K</t>
  </si>
  <si>
    <t>Objectives 2-4</t>
  </si>
  <si>
    <t>KMeans_Province, KMeans_Phase, KMeans_Travel</t>
  </si>
  <si>
    <t>Same engine on provinces, days and travel history</t>
  </si>
  <si>
    <t>Visualisation</t>
  </si>
  <si>
    <t>Cluster_Charts, Elbow_Silhouette</t>
  </si>
  <si>
    <t>Scatter plot per cluster, elbow chart, silhouette chart</t>
  </si>
  <si>
    <t>4. Reading the results</t>
  </si>
  <si>
    <t>Why the log transform: with raw counts (switch = 0) Karachi and Lahore are so large that each becomes its own cluster of one and the other 115 cities collapse into a single cluster. That result is mathematically correct but not useful. Taking LN(1 + x) first reveals three real tiers.</t>
  </si>
  <si>
    <t>Phases: the days cluster into low, medium and high activity periods; see First day and Last day on KMeans_Phase for the date ranges.</t>
  </si>
  <si>
    <t>Caution: K-Means is distance based and sensitive to scale and starting points. The farthest-first starting centroids used here are a fixed, reproducible choice; change them in the blue cells to test stability. Provinces (8) and travel categories (15) are small samples, so treat their clusters as tiers rather than findings.</t>
  </si>
  <si>
    <t>5. Using an add-in instead (optional)</t>
  </si>
  <si>
    <t>XLSTAT (trial) or Real Statistics (free) can run K-Means on the Z_ columns of KMeans_Data with K = 3 and give cluster assignments, centroids, WCSS and plots. They were not run for this workbook (add-ins cannot be installed in the environment that built it); the formula method above is the full implementation.</t>
  </si>
  <si>
    <t>City_Agg: city-level aggregation</t>
  </si>
  <si>
    <t>SUMIF on the Data sheet (guide Step 4). Cities are listed by total cases; Province is looked up with INDEX/MATCH.</t>
  </si>
  <si>
    <t>Total_Cases</t>
  </si>
  <si>
    <t>Total_Deaths</t>
  </si>
  <si>
    <t>Total_Recovered</t>
  </si>
  <si>
    <t>Total_Active</t>
  </si>
  <si>
    <t>CFR %</t>
  </si>
  <si>
    <t>Dir Lower</t>
  </si>
  <si>
    <t>Khairpur</t>
  </si>
  <si>
    <t>Abbottabad</t>
  </si>
  <si>
    <t>Nowshera</t>
  </si>
  <si>
    <t>Muzaffarabad</t>
  </si>
  <si>
    <t>Dera Ghazi Khan</t>
  </si>
  <si>
    <t>Charsadda</t>
  </si>
  <si>
    <t>Dir Upper</t>
  </si>
  <si>
    <t>Khyber</t>
  </si>
  <si>
    <t>Bajaur</t>
  </si>
  <si>
    <t>Shikarpur</t>
  </si>
  <si>
    <t>Rawalpindi</t>
  </si>
  <si>
    <t>Buner</t>
  </si>
  <si>
    <t>Sargodha</t>
  </si>
  <si>
    <t>Shaheed Benazirabad</t>
  </si>
  <si>
    <t>Gujrat</t>
  </si>
  <si>
    <t>Dera Ismail Khan</t>
  </si>
  <si>
    <t>Karak</t>
  </si>
  <si>
    <t>Shangla</t>
  </si>
  <si>
    <t>Mansehra</t>
  </si>
  <si>
    <t>Swabi</t>
  </si>
  <si>
    <t>Haripur</t>
  </si>
  <si>
    <t>Battagram</t>
  </si>
  <si>
    <t>Kohat</t>
  </si>
  <si>
    <t>Kurram</t>
  </si>
  <si>
    <t>Kambar Shahdadkot</t>
  </si>
  <si>
    <t>Nagar</t>
  </si>
  <si>
    <t>Rahim Yar Khan</t>
  </si>
  <si>
    <t>Jamshoro</t>
  </si>
  <si>
    <t>Gujranwala</t>
  </si>
  <si>
    <t>Bannu</t>
  </si>
  <si>
    <t>Lodhran</t>
  </si>
  <si>
    <t>Jacobabad</t>
  </si>
  <si>
    <t>Skardu</t>
  </si>
  <si>
    <t>Sialkot</t>
  </si>
  <si>
    <t>Faisalabad</t>
  </si>
  <si>
    <t>Jhelum</t>
  </si>
  <si>
    <t>Vehari</t>
  </si>
  <si>
    <t>Astore</t>
  </si>
  <si>
    <t>Sanghar</t>
  </si>
  <si>
    <t>Bhakkar</t>
  </si>
  <si>
    <t>Muzaffargar</t>
  </si>
  <si>
    <t>Badin</t>
  </si>
  <si>
    <t>Bahawalpur</t>
  </si>
  <si>
    <t>Dadu</t>
  </si>
  <si>
    <t>Other</t>
  </si>
  <si>
    <t>Thatta</t>
  </si>
  <si>
    <t>Hafizabad</t>
  </si>
  <si>
    <t>Mirpurkhas</t>
  </si>
  <si>
    <t>Kashmore</t>
  </si>
  <si>
    <t>Naushero Feroz</t>
  </si>
  <si>
    <t>Tando M. Khan</t>
  </si>
  <si>
    <t>Chitral Lower</t>
  </si>
  <si>
    <t>Sujawal</t>
  </si>
  <si>
    <t>Laiya</t>
  </si>
  <si>
    <t>Shigar</t>
  </si>
  <si>
    <t>Narowal</t>
  </si>
  <si>
    <t>Mandi Bahauddin</t>
  </si>
  <si>
    <t>Ghanche</t>
  </si>
  <si>
    <t>Hunza</t>
  </si>
  <si>
    <t>Nankana Sahib</t>
  </si>
  <si>
    <t>Khushab</t>
  </si>
  <si>
    <t>Sheikhupura</t>
  </si>
  <si>
    <t>Diamer</t>
  </si>
  <si>
    <t>Hangu</t>
  </si>
  <si>
    <t>Mohmand</t>
  </si>
  <si>
    <t>Bahawal Nagar</t>
  </si>
  <si>
    <t>Ghizer</t>
  </si>
  <si>
    <t>Mianwali</t>
  </si>
  <si>
    <t>Kharmang</t>
  </si>
  <si>
    <t>Attock</t>
  </si>
  <si>
    <t>Chitral Upper</t>
  </si>
  <si>
    <t>Matiari</t>
  </si>
  <si>
    <t>Lakki Marwat</t>
  </si>
  <si>
    <t>Taftan</t>
  </si>
  <si>
    <t>Orakzai</t>
  </si>
  <si>
    <t>North Waziristan</t>
  </si>
  <si>
    <t>Kasur</t>
  </si>
  <si>
    <t>Rajanpur</t>
  </si>
  <si>
    <t>Umerkot</t>
  </si>
  <si>
    <t>Tando Allahyar</t>
  </si>
  <si>
    <t>Mirpur</t>
  </si>
  <si>
    <t>Tank</t>
  </si>
  <si>
    <t>Sahiwal</t>
  </si>
  <si>
    <t>Chiniot</t>
  </si>
  <si>
    <t>South Waziristan</t>
  </si>
  <si>
    <t>Toba Tek Singh</t>
  </si>
  <si>
    <t>Khanewal</t>
  </si>
  <si>
    <t>Tharparkar</t>
  </si>
  <si>
    <t>Chakwal</t>
  </si>
  <si>
    <t>Pishin</t>
  </si>
  <si>
    <t>Kohistan Lower</t>
  </si>
  <si>
    <t>Bhambore</t>
  </si>
  <si>
    <t>Jhang</t>
  </si>
  <si>
    <t>Tor Ghar</t>
  </si>
  <si>
    <t>Trarkhel</t>
  </si>
  <si>
    <t>Kohistan Upper</t>
  </si>
  <si>
    <t>Okara</t>
  </si>
  <si>
    <t>Ziarat</t>
  </si>
  <si>
    <t>Pakpatan</t>
  </si>
  <si>
    <t>Chitral</t>
  </si>
  <si>
    <t>Kolai Pallas</t>
  </si>
  <si>
    <t>KMeans_Data: city feature matrix</t>
  </si>
  <si>
    <t>X1 to X3 link to City_Agg. Transformed columns follow the switch on Clustering_Guide (1 = log). Z columns are STANDARDIZE-style z-scores (guide Step 2).</t>
  </si>
  <si>
    <t>Cases (X1)</t>
  </si>
  <si>
    <t>Deaths (X2)</t>
  </si>
  <si>
    <t>Recovered (X3)</t>
  </si>
  <si>
    <t>Cases_T</t>
  </si>
  <si>
    <t>Deaths_T</t>
  </si>
  <si>
    <t>Recovered_T</t>
  </si>
  <si>
    <t>Z_Cases</t>
  </si>
  <si>
    <t>Z_Deaths</t>
  </si>
  <si>
    <t>Z_Recovered</t>
  </si>
  <si>
    <t>K-Means: cities (K = 3)</t>
  </si>
  <si>
    <t>Manual K-Means with formulas (guide Method C). Each iteration block: distances to the 3 centroids, nearest-centroid assignment, then new centroids = AVERAGEIF of the previous assignment.</t>
  </si>
  <si>
    <t>Settings</t>
  </si>
  <si>
    <t>Cluster</t>
  </si>
  <si>
    <t>Tier</t>
  </si>
  <si>
    <t>Size</t>
  </si>
  <si>
    <t>Avg recovered</t>
  </si>
  <si>
    <t>Number of clusters K</t>
  </si>
  <si>
    <t>Log transform (1 = yes)</t>
  </si>
  <si>
    <t>Starting centroids (edit)</t>
  </si>
  <si>
    <t>Centroid 1 starts at</t>
  </si>
  <si>
    <t>Centroid 2 starts at</t>
  </si>
  <si>
    <t>Centroid 3 starts at</t>
  </si>
  <si>
    <t>Type another label to restart from different points.</t>
  </si>
  <si>
    <t>Final centroids (z)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</si>
  <si>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</si>
  <si>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</si>
  <si>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</si>
  <si>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</si>
  <si>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</si>
  <si>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</si>
  <si>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</si>
  <si>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</si>
  <si>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</si>
  <si>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</si>
  <si>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Iteration 11</t>
  </si>
  <si>
    <t>Iteration 12</t>
  </si>
  <si>
    <t>Cluster size</t>
  </si>
  <si>
    <t>WCSS by cluster</t>
  </si>
  <si>
    <t>Reassigned</t>
  </si>
  <si>
    <t>start</t>
  </si>
  <si>
    <t>Label</t>
  </si>
  <si>
    <t>Sq. distance</t>
  </si>
  <si>
    <t>a(i)</t>
  </si>
  <si>
    <t>b(i)</t>
  </si>
  <si>
    <t>Silhouette s(i)</t>
  </si>
  <si>
    <t>Dist C1</t>
  </si>
  <si>
    <t>Dist C2</t>
  </si>
  <si>
    <t>Dist C3</t>
  </si>
  <si>
    <t>Choosing K: elbow method and silhouette score (cities)</t>
  </si>
  <si>
    <t>WCSS and mean silhouette for K = 2 to 6, all from formulas (guide Steps 9 and 10).</t>
  </si>
  <si>
    <t>K</t>
  </si>
  <si>
    <t>WCSS (inertia)</t>
  </si>
  <si>
    <t>Drop vs previous K</t>
  </si>
  <si>
    <t>Mean silhouette</t>
  </si>
  <si>
    <t>Cluster sizes</t>
  </si>
  <si>
    <t>Best K by silhouette</t>
  </si>
  <si>
    <t>How to read: WCSS always falls as K grows, so look for the K after which the drop becomes small (the elbow). The silhouette score (between -1 and 1) measures how well each city sits in its own cluster versus the next nearest one; higher is better. Both measures depend on the log-transform switch on Clustering_Guide.</t>
  </si>
  <si>
    <t>Elbow and silhouette engine (cities, K = 2 to 6)</t>
  </si>
  <si>
    <t>Same K-Means formulas as KMeans_City, repeated for K = 2, 4, 5 and 6 (K = 3 is on KMeans_City). Feeds Elbow_Silhouette.</t>
  </si>
  <si>
    <t>K = 2</t>
  </si>
  <si>
    <t>Starting centroids</t>
  </si>
  <si>
    <t>Sq. distance to centroid</t>
  </si>
  <si>
    <t>K = 4</t>
  </si>
  <si>
    <t>Centroid 4 starts at</t>
  </si>
  <si>
    <t>Dist C4</t>
  </si>
  <si>
    <t>K = 5</t>
  </si>
  <si>
    <t>Centroid 5 starts at</t>
  </si>
  <si>
    <t>Dist C5</t>
  </si>
  <si>
    <t>K = 6</t>
  </si>
  <si>
    <t>Centroid 6 starts at</t>
  </si>
  <si>
    <t>Dist C6</t>
  </si>
  <si>
    <t>Pairwise distance matrix (cities)</t>
  </si>
  <si>
    <t>Euclidean distance between every pair of cities in z-score space. Rows 8 to 12 hold each city's cluster for K = 2 to 6 so silhouettes can use SUMIF.</t>
  </si>
  <si>
    <t>Cluster, K = 2</t>
  </si>
  <si>
    <t>Cluster, K = 3</t>
  </si>
  <si>
    <t>Cluster, K = 4</t>
  </si>
  <si>
    <t>Cluster, K = 5</t>
  </si>
  <si>
    <t>Cluster, K = 6</t>
  </si>
  <si>
    <t>Province_Agg: province-level aggregation</t>
  </si>
  <si>
    <t>Same structure as City_Agg, grouped by Province (guide Step 5). Columns H to M add the log transform and z-scores used for clustering.</t>
  </si>
  <si>
    <t>K-Means: provinces (K = 3)</t>
  </si>
  <si>
    <t>Eight provinces grouped by outbreak size using the same engine. With only 8 rows this is a worked example; read it as a ranking in three tiers.</t>
  </si>
  <si>
    <t>Phase_Data: one row per calendar day</t>
  </si>
  <si>
    <t>Daily cases, deaths and recoveries from the Daily sheet. Columns H to M add the transform and z-scores used to cluster days into phases.</t>
  </si>
  <si>
    <t>Weekday</t>
  </si>
  <si>
    <t>Active</t>
  </si>
  <si>
    <t>K-Means: days grouped into transmission phases (K = 3)</t>
  </si>
  <si>
    <t>Each of the 99 calendar days is a point (cases, deaths, recoveries). Tier names rank the clusters by average daily cases.</t>
  </si>
  <si>
    <t>First day</t>
  </si>
  <si>
    <t>Last day</t>
  </si>
  <si>
    <t>Travel_Data: source-of-infection aggregation</t>
  </si>
  <si>
    <t>Travel history as recorded in the source Clean sheet (blank travel history is already labelled Local there). Columns H to M add the transform and z-scores.</t>
  </si>
  <si>
    <t>K-Means: travel-history categories (K = 3)</t>
  </si>
  <si>
    <t>Fifteen recorded sources of infection grouped by impact. Dominated by "Local - Social Contact"; read as a ranking in three tiers.</t>
  </si>
  <si>
    <t>Cluster charts</t>
  </si>
  <si>
    <t>One colour per cluster. Points update when the switch or starting centroids change.</t>
  </si>
  <si>
    <t>Chart helper data</t>
  </si>
  <si>
    <t>Feeds the scatter charts on Cluster_Charts. #N/A is deliberate: it makes Excel skip a point that belongs to a different cluster.</t>
  </si>
  <si>
    <t>X C1</t>
  </si>
  <si>
    <t>Y C1</t>
  </si>
  <si>
    <t>X C2</t>
  </si>
  <si>
    <t>Y C2</t>
  </si>
  <si>
    <t>X C3</t>
  </si>
  <si>
    <t>Y C3</t>
  </si>
  <si>
    <t>Data quality, definitions and assumptions</t>
  </si>
  <si>
    <t>What was checked in the source file, how problems were handled, and how each measure is defined.</t>
  </si>
  <si>
    <t>#</t>
  </si>
  <si>
    <t>Check</t>
  </si>
  <si>
    <t>Result</t>
  </si>
  <si>
    <t>Finding / how it was handled</t>
  </si>
  <si>
    <t>Case records analysed</t>
  </si>
  <si>
    <t>Taken from the Clean sheet of the source workbook.</t>
  </si>
  <si>
    <t>Duplicate rows</t>
  </si>
  <si>
    <t>None found (checked in Python on all seven columns).</t>
  </si>
  <si>
    <t>Missing values</t>
  </si>
  <si>
    <t>None found in any column.</t>
  </si>
  <si>
    <t>Rows with a negative Recovered value</t>
  </si>
  <si>
    <t>Calendar days with no records</t>
  </si>
  <si>
    <t>Shown as zero in the Daily sheet so every 7-day window is a true 7 calendar days (the source Daily sheet skips these days).</t>
  </si>
  <si>
    <t>Rows with zero cases</t>
  </si>
  <si>
    <t>Kept: about two-thirds are empty placeholder rows (no cases, deaths or recoveries) that add nothing to totals; the rest carry deaths or recoveries for earlier cases.</t>
  </si>
  <si>
    <t>Place names mapped to more than one province</t>
  </si>
  <si>
    <t>Tribal districts (Bajaur, Khyber, Kurram, Mohmand, North Waziristan, South Waziristan) appear under more than one province. Province totals use each row's own province; the City sheet shows the first one.</t>
  </si>
  <si>
    <t>Raw sheet in source file</t>
  </si>
  <si>
    <t>Not used</t>
  </si>
  <si>
    <t>In the source file's Raw sheet, Cases/Deaths/Recovered are stored as date/time values (formatting damage), so all analysis uses the Clean sheet only.</t>
  </si>
  <si>
    <t>Recovery reporting</t>
  </si>
  <si>
    <t>Some large cities report almost no recoveries, and provincial recovery rates differ widely. Recovered and Active figures are therefore unreliable; deaths and cases are the stronger measures.</t>
  </si>
  <si>
    <t>Last period is partial</t>
  </si>
  <si>
    <t>The file ends on the day cases were highest, so the end of the outbreak (and any peak) is not captured. February is also partial (4 days).</t>
  </si>
  <si>
    <t>Definitions</t>
  </si>
  <si>
    <t>CFR (case fatality rate)</t>
  </si>
  <si>
    <t>Deaths ÷ cases. A crude ratio: it ignores the delay between infection and death and the number of untested cases, so it is not the true fatality risk.</t>
  </si>
  <si>
    <t>Cases − deaths − reported recoveries (same definition as the source dashboard). Overstated wherever recoveries are under-reported.</t>
  </si>
  <si>
    <t>7-day average</t>
  </si>
  <si>
    <t>Mean of the latest 7 calendar days; removes day-to-day reporting noise.</t>
  </si>
  <si>
    <t>7-day average today ÷ 7-day average a week earlier − 1.</t>
  </si>
  <si>
    <t>Fitted growth / doubling time</t>
  </si>
  <si>
    <t>Slope of ln(7-day average) against day number; doubling time = ln 2 ÷ ln(1 + daily growth).</t>
  </si>
  <si>
    <t>Per-capita rates</t>
  </si>
  <si>
    <t>Not calculated: the file contains no population figures.</t>
  </si>
  <si>
    <t>Colour code</t>
  </si>
  <si>
    <t>Blue text = hard-coded input or analyst assumption (editable). Black = formula.</t>
  </si>
  <si>
    <t>Source file</t>
  </si>
  <si>
    <t>The source workbook was not modified; this report is a new file with live formulas on the Data sheet.</t>
  </si>
  <si>
    <t>Sheet guide</t>
  </si>
  <si>
    <t>Summary</t>
  </si>
  <si>
    <t>Headline KPIs, findings, implications</t>
  </si>
  <si>
    <t>Daily</t>
  </si>
  <si>
    <t>Day-by-day series, charts</t>
  </si>
  <si>
    <t>Weekly / Monthly</t>
  </si>
  <si>
    <t>Period roll-ups</t>
  </si>
  <si>
    <t>Province / City</t>
  </si>
  <si>
    <t>Geographic breakdown</t>
  </si>
  <si>
    <t>Travel</t>
  </si>
  <si>
    <t>Recorded source of infection</t>
  </si>
  <si>
    <t>Statistics</t>
  </si>
  <si>
    <t>Distribution, lag, growth fit</t>
  </si>
  <si>
    <t>Regression_Excel</t>
  </si>
  <si>
    <t>Simple, multiple and polynomial regression (LINEST)</t>
  </si>
  <si>
    <t>Regression_Charts</t>
  </si>
  <si>
    <t>Scatter plots, trendlines, R²</t>
  </si>
  <si>
    <t>Logistic_Solver</t>
  </si>
  <si>
    <t>Logistic regression for High_Cases, Solver setup, confusion matrix</t>
  </si>
  <si>
    <t>Data</t>
  </si>
  <si>
    <t>Cleaned records driving every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</si>
</sst>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%"/>
    <numFmt numFmtId="165" formatCode="dd\-mmm\-yy"/>
    <numFmt numFmtId="166" formatCode="#,##0.0"/>
    <numFmt numFmtId="167" formatCode="0.000"/>
    <numFmt numFmtId="168" formatCode="\+0%;\-0%;0%"/>
    <numFmt numFmtId="169" formatCode="mmm\ yyyy"/>
    <numFmt numFmtId="170" formatCode="0;\-0;&quot;OK&quot;"/>
    <numFmt numFmtId="171" formatCode="0.0"/>
    <numFmt numFmtId="172" formatCode="#,##0.0000"/>
    <numFmt numFmtId="173" formatCode="0.0000"/>
    <numFmt numFmtId="174" formatCode="0.000000"/>
    <numFmt numFmtId="175" formatCode="d\ mmm\ yyyy"/>
  </numFmts>
  <fonts count="14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i/>
      <sz val="10"/>
      <color rgb="FF595959"/>
      <name val="Arial"/>
      <family val="2"/>
    </font>
    <font>
      <b/>
      <sz val="9"/>
      <color rgb="FF595959"/>
      <name val="Arial"/>
      <family val="2"/>
    </font>
    <font>
      <b/>
      <sz val="20"/>
      <color rgb="FF1F3A5F"/>
      <name val="Arial"/>
      <family val="2"/>
    </font>
    <font>
      <sz val="9"/>
      <color rgb="FF595959"/>
      <name val="Arial"/>
      <family val="2"/>
    </font>
    <font>
      <b/>
      <sz val="12"/>
      <color rgb="FF1F3A5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F1F8"/>
        <bgColor rgb="FFD9E2F3"/>
      </patternFill>
    </fill>
    <fill>
      <patternFill patternType="solid">
        <fgColor rgb="FF1F3A5F"/>
        <bgColor rgb="FF333333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9" fillId="0" borderId="0" xfId="0" applyFont="1" applyBorder="1" applyAlignment="1">
      <alignment vertical="top" wrapText="1"/>
    </xf>
    <xf numFmtId="0" fontId="7" fillId="0" borderId="0" xfId="0" applyFont="1" applyBorder="1" applyAlignment="1">
      <alignment vertical="top" wrapText="1"/>
    </xf>
    <xf numFmtId="164" fontId="4" fillId="2" borderId="0" xfId="0" applyNumberFormat="1" applyFont="1" applyFill="1" applyBorder="1" applyAlignment="1">
      <alignment horizontal="center"/>
    </xf>
    <xf numFmtId="10" fontId="4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3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0" fontId="7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" fontId="7" fillId="0" borderId="1" xfId="0" applyNumberFormat="1" applyFont="1" applyBorder="1"/>
    <xf numFmtId="166" fontId="7" fillId="0" borderId="1" xfId="0" applyNumberFormat="1" applyFont="1" applyBorder="1"/>
    <xf numFmtId="167" fontId="7" fillId="0" borderId="1" xfId="0" applyNumberFormat="1" applyFont="1" applyBorder="1"/>
    <xf numFmtId="168" fontId="7" fillId="0" borderId="1" xfId="0" applyNumberFormat="1" applyFont="1" applyBorder="1"/>
    <xf numFmtId="0" fontId="10" fillId="4" borderId="1" xfId="0" applyFont="1" applyFill="1" applyBorder="1"/>
    <xf numFmtId="1" fontId="10" fillId="4" borderId="1" xfId="0" applyNumberFormat="1" applyFont="1" applyFill="1" applyBorder="1"/>
    <xf numFmtId="3" fontId="10" fillId="4" borderId="1" xfId="0" applyNumberFormat="1" applyFont="1" applyFill="1" applyBorder="1"/>
    <xf numFmtId="166" fontId="10" fillId="4" borderId="1" xfId="0" applyNumberFormat="1" applyFont="1" applyFill="1" applyBorder="1"/>
    <xf numFmtId="169" fontId="7" fillId="0" borderId="1" xfId="0" applyNumberFormat="1" applyFont="1" applyBorder="1"/>
    <xf numFmtId="164" fontId="10" fillId="4" borderId="1" xfId="0" applyNumberFormat="1" applyFont="1" applyFill="1" applyBorder="1"/>
    <xf numFmtId="2" fontId="7" fillId="0" borderId="1" xfId="0" applyNumberFormat="1" applyFont="1" applyBorder="1"/>
    <xf numFmtId="2" fontId="10" fillId="4" borderId="1" xfId="0" applyNumberFormat="1" applyFont="1" applyFill="1" applyBorder="1"/>
    <xf numFmtId="3" fontId="11" fillId="0" borderId="1" xfId="0" applyNumberFormat="1" applyFont="1" applyBorder="1"/>
    <xf numFmtId="17" fontId="8" fillId="3" borderId="1" xfId="0" applyNumberFormat="1" applyFont="1" applyFill="1" applyBorder="1" applyAlignment="1">
      <alignment horizontal="center" vertical="center" wrapText="1"/>
    </xf>
    <xf numFmtId="170" fontId="7" fillId="0" borderId="1" xfId="0" applyNumberFormat="1" applyFont="1" applyBorder="1"/>
    <xf numFmtId="170" fontId="10" fillId="4" borderId="1" xfId="0" applyNumberFormat="1" applyFont="1" applyFill="1" applyBorder="1"/>
    <xf numFmtId="0" fontId="11" fillId="0" borderId="1" xfId="0" applyFont="1" applyBorder="1"/>
    <xf numFmtId="1" fontId="11" fillId="0" borderId="1" xfId="0" applyNumberFormat="1" applyFont="1" applyBorder="1"/>
    <xf numFmtId="165" fontId="11" fillId="0" borderId="1" xfId="0" applyNumberFormat="1" applyFont="1" applyBorder="1"/>
    <xf numFmtId="171" fontId="7" fillId="0" borderId="1" xfId="0" applyNumberFormat="1" applyFont="1" applyBorder="1"/>
    <xf numFmtId="0" fontId="10" fillId="0" borderId="1" xfId="0" applyFont="1" applyBorder="1"/>
    <xf numFmtId="172" fontId="7" fillId="0" borderId="1" xfId="0" applyNumberFormat="1" applyFont="1" applyBorder="1"/>
    <xf numFmtId="173" fontId="7" fillId="0" borderId="1" xfId="0" applyNumberFormat="1" applyFont="1" applyBorder="1"/>
    <xf numFmtId="4" fontId="7" fillId="0" borderId="1" xfId="0" applyNumberFormat="1" applyFont="1" applyBorder="1"/>
    <xf numFmtId="0" fontId="10" fillId="0" borderId="0" xfId="0" applyFont="1"/>
    <xf numFmtId="0" fontId="7" fillId="0" borderId="0" xfId="0" applyFont="1" applyAlignment="1">
      <alignment vertical="center"/>
    </xf>
    <xf numFmtId="15" fontId="7" fillId="0" borderId="1" xfId="0" applyNumberFormat="1" applyFont="1" applyBorder="1"/>
    <xf numFmtId="2" fontId="11" fillId="0" borderId="1" xfId="0" applyNumberFormat="1" applyFont="1" applyBorder="1"/>
    <xf numFmtId="174" fontId="11" fillId="0" borderId="1" xfId="0" applyNumberFormat="1" applyFont="1" applyBorder="1"/>
    <xf numFmtId="173" fontId="10" fillId="4" borderId="1" xfId="0" applyNumberFormat="1" applyFont="1" applyFill="1" applyBorder="1"/>
    <xf numFmtId="0" fontId="9" fillId="0" borderId="0" xfId="0" applyFont="1"/>
    <xf numFmtId="175" fontId="7" fillId="0" borderId="1" xfId="0" applyNumberFormat="1" applyFont="1" applyBorder="1"/>
    <xf numFmtId="0" fontId="7" fillId="0" borderId="0" xfId="0" applyFont="1"/>
    <xf numFmtId="1" fontId="1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vertical="top" wrapText="1"/>
    </xf>
    <xf numFmtId="0" fontId="10" fillId="4" borderId="0" xfId="0" applyFont="1" applyFill="1"/>
    <xf numFmtId="0" fontId="0" fillId="4" borderId="0" xfId="0" applyFill="1"/>
    <xf numFmtId="1" fontId="10" fillId="0" borderId="1" xfId="0" applyNumberFormat="1" applyFont="1" applyBorder="1"/>
    <xf numFmtId="167" fontId="10" fillId="4" borderId="1" xfId="0" applyNumberFormat="1" applyFont="1" applyFill="1" applyBorder="1"/>
    <xf numFmtId="0" fontId="12" fillId="0" borderId="0" xfId="0" applyFont="1" applyAlignment="1">
      <alignment horizontal="right" textRotation="90"/>
    </xf>
    <xf numFmtId="2" fontId="7" fillId="0" borderId="0" xfId="0" applyNumberFormat="1" applyFont="1"/>
    <xf numFmtId="1" fontId="7" fillId="0" borderId="0" xfId="0" applyNumberFormat="1" applyFont="1"/>
    <xf numFmtId="2" fontId="13" fillId="0" borderId="0" xfId="0" applyNumberFormat="1" applyFont="1"/>
    <xf numFmtId="15" fontId="11" fillId="0" borderId="1" xfId="0" applyNumberFormat="1" applyFont="1" applyBorder="1"/>
    <xf numFmtId="15" fontId="10" fillId="0" borderId="1" xfId="0" applyNumberFormat="1" applyFont="1" applyBorder="1"/>
    <xf numFmtId="167" fontId="7" fillId="0" borderId="0" xfId="0" applyNumberFormat="1" applyFont="1"/>
    <xf numFmtId="1" fontId="7" fillId="0" borderId="1" xfId="0" applyNumberFormat="1" applyFont="1" applyBorder="1" applyAlignment="1">
      <alignment vertical="top"/>
    </xf>
    <xf numFmtId="3" fontId="7" fillId="0" borderId="1" xfId="0" applyNumberFormat="1" applyFont="1" applyBorder="1" applyAlignment="1">
      <alignment vertical="top" wrapText="1"/>
    </xf>
    <xf numFmtId="1" fontId="7" fillId="0" borderId="1" xfId="0" applyNumberFormat="1" applyFont="1" applyBorder="1" applyAlignment="1">
      <alignment vertical="top" wrapText="1"/>
    </xf>
    <xf numFmtId="165" fontId="7" fillId="0" borderId="0" xfId="0" applyNumberFormat="1" applyFont="1"/>
    <xf numFmtId="17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A6A6A6"/>
      <rgbColor rgb="FF993366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DC3E6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C55A11"/>
      <rgbColor rgb="FF595959"/>
      <rgbColor rgb="FF878787"/>
      <rgbColor rgb="FF1F3A5F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new cases and 7-day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Daily!$C$4</c:f>
              <c:strCache>
                <c:ptCount val="1"/>
                <c:pt idx="0">
                  <c:v>Daily cases</c:v>
                </c:pt>
              </c:strCache>
            </c:strRef>
          </c:tx>
          <c:spPr>
            <a:ln w="1512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Daily!$C$5:$C$103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B-4344-9105-D9D64118C8B2}"/>
            </c:ext>
          </c:extLst>
        </c:ser>
        <c:ser>
          <c:idx val="1"/>
          <c:order val="1"/>
          <c:tx>
            <c:strRef>
              <c:f>Daily!$J$4</c:f>
              <c:strCache>
                <c:ptCount val="1"/>
                <c:pt idx="0">
                  <c:v>7-day avg cases</c:v>
                </c:pt>
              </c:strCache>
            </c:strRef>
          </c:tx>
          <c:spPr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Daily!$J$5:$J$103</c:f>
              <c:numCache>
                <c:formatCode>General</c:formatCode>
                <c:ptCount val="99"/>
                <c:pt idx="6" formatCode="#,##0.0">
                  <c:v>0.8571428571428571</c:v>
                </c:pt>
                <c:pt idx="7" formatCode="#,##0.0">
                  <c:v>0.42857142857142855</c:v>
                </c:pt>
                <c:pt idx="8" formatCode="#,##0.0">
                  <c:v>0.42857142857142855</c:v>
                </c:pt>
                <c:pt idx="9" formatCode="#,##0.0">
                  <c:v>0.42857142857142855</c:v>
                </c:pt>
                <c:pt idx="10" formatCode="#,##0.0">
                  <c:v>0.2857142857142857</c:v>
                </c:pt>
                <c:pt idx="11" formatCode="#,##0.0">
                  <c:v>0.2857142857142857</c:v>
                </c:pt>
                <c:pt idx="12" formatCode="#,##0.0">
                  <c:v>1.4285714285714286</c:v>
                </c:pt>
                <c:pt idx="13" formatCode="#,##0.0">
                  <c:v>1.8571428571428572</c:v>
                </c:pt>
                <c:pt idx="14" formatCode="#,##0.0">
                  <c:v>2</c:v>
                </c:pt>
                <c:pt idx="15" formatCode="#,##0.0">
                  <c:v>2.1428571428571428</c:v>
                </c:pt>
                <c:pt idx="16" formatCode="#,##0.0">
                  <c:v>3.4285714285714284</c:v>
                </c:pt>
                <c:pt idx="17" formatCode="#,##0.0">
                  <c:v>3.2857142857142856</c:v>
                </c:pt>
                <c:pt idx="18" formatCode="#,##0.0">
                  <c:v>8.1428571428571423</c:v>
                </c:pt>
                <c:pt idx="19" formatCode="#,##0.0">
                  <c:v>28.428571428571427</c:v>
                </c:pt>
                <c:pt idx="20" formatCode="#,##0.0">
                  <c:v>35.428571428571431</c:v>
                </c:pt>
                <c:pt idx="21" formatCode="#,##0.0">
                  <c:v>43.428571428571431</c:v>
                </c:pt>
                <c:pt idx="22" formatCode="#,##0.0">
                  <c:v>65.285714285714292</c:v>
                </c:pt>
                <c:pt idx="23" formatCode="#,##0.0">
                  <c:v>71.142857142857139</c:v>
                </c:pt>
                <c:pt idx="24" formatCode="#,##0.0">
                  <c:v>90.285714285714292</c:v>
                </c:pt>
                <c:pt idx="25" formatCode="#,##0.0">
                  <c:v>101.14285714285714</c:v>
                </c:pt>
                <c:pt idx="26" formatCode="#,##0.0">
                  <c:v>91.285714285714292</c:v>
                </c:pt>
                <c:pt idx="27" formatCode="#,##0.0">
                  <c:v>100.14285714285714</c:v>
                </c:pt>
                <c:pt idx="28" formatCode="#,##0.0">
                  <c:v>107.71428571428571</c:v>
                </c:pt>
                <c:pt idx="29" formatCode="#,##0.0">
                  <c:v>104.42857142857143</c:v>
                </c:pt>
                <c:pt idx="30" formatCode="#,##0.0">
                  <c:v>114.71428571428571</c:v>
                </c:pt>
                <c:pt idx="31" formatCode="#,##0.0">
                  <c:v>121.85714285714286</c:v>
                </c:pt>
                <c:pt idx="32" formatCode="#,##0.0">
                  <c:v>118.57142857142857</c:v>
                </c:pt>
                <c:pt idx="33" formatCode="#,##0.0">
                  <c:v>127.57142857142857</c:v>
                </c:pt>
                <c:pt idx="34" formatCode="#,##0.0">
                  <c:v>143.14285714285714</c:v>
                </c:pt>
                <c:pt idx="35" formatCode="#,##0.0">
                  <c:v>164.57142857142858</c:v>
                </c:pt>
                <c:pt idx="36" formatCode="#,##0.0">
                  <c:v>172</c:v>
                </c:pt>
                <c:pt idx="37" formatCode="#,##0.0">
                  <c:v>188.71428571428572</c:v>
                </c:pt>
                <c:pt idx="38" formatCode="#,##0.0">
                  <c:v>173.71428571428572</c:v>
                </c:pt>
                <c:pt idx="39" formatCode="#,##0.0">
                  <c:v>187</c:v>
                </c:pt>
                <c:pt idx="40" formatCode="#,##0.0">
                  <c:v>201.85714285714286</c:v>
                </c:pt>
                <c:pt idx="41" formatCode="#,##0.0">
                  <c:v>185.28571428571428</c:v>
                </c:pt>
                <c:pt idx="42" formatCode="#,##0.0">
                  <c:v>196.28571428571428</c:v>
                </c:pt>
                <c:pt idx="43" formatCode="#,##0.0">
                  <c:v>295</c:v>
                </c:pt>
                <c:pt idx="44" formatCode="#,##0.0">
                  <c:v>283.14285714285717</c:v>
                </c:pt>
                <c:pt idx="45" formatCode="#,##0.0">
                  <c:v>314.28571428571428</c:v>
                </c:pt>
                <c:pt idx="46" formatCode="#,##0.0">
                  <c:v>324.71428571428572</c:v>
                </c:pt>
                <c:pt idx="47" formatCode="#,##0.0">
                  <c:v>313.85714285714283</c:v>
                </c:pt>
                <c:pt idx="48" formatCode="#,##0.0">
                  <c:v>388.28571428571428</c:v>
                </c:pt>
                <c:pt idx="49" formatCode="#,##0.0">
                  <c:v>386</c:v>
                </c:pt>
                <c:pt idx="50" formatCode="#,##0.0">
                  <c:v>358.71428571428572</c:v>
                </c:pt>
                <c:pt idx="51" formatCode="#,##0.0">
                  <c:v>409.57142857142856</c:v>
                </c:pt>
                <c:pt idx="52" formatCode="#,##0.0">
                  <c:v>407.85714285714283</c:v>
                </c:pt>
                <c:pt idx="53" formatCode="#,##0.0">
                  <c:v>455</c:v>
                </c:pt>
                <c:pt idx="54" formatCode="#,##0.0">
                  <c:v>531.28571428571433</c:v>
                </c:pt>
                <c:pt idx="55" formatCode="#,##0.0">
                  <c:v>538.28571428571433</c:v>
                </c:pt>
                <c:pt idx="56" formatCode="#,##0.0">
                  <c:v>602</c:v>
                </c:pt>
                <c:pt idx="57" formatCode="#,##0.0">
                  <c:v>596</c:v>
                </c:pt>
                <c:pt idx="58" formatCode="#,##0.0">
                  <c:v>599.14285714285711</c:v>
                </c:pt>
                <c:pt idx="59" formatCode="#,##0.0">
                  <c:v>690.14285714285711</c:v>
                </c:pt>
                <c:pt idx="60" formatCode="#,##0.0">
                  <c:v>701.14285714285711</c:v>
                </c:pt>
                <c:pt idx="61" formatCode="#,##0.0">
                  <c:v>705.71428571428567</c:v>
                </c:pt>
                <c:pt idx="62" formatCode="#,##0.0">
                  <c:v>713.28571428571433</c:v>
                </c:pt>
                <c:pt idx="63" formatCode="#,##0.0">
                  <c:v>739.14285714285711</c:v>
                </c:pt>
                <c:pt idx="64" formatCode="#,##0.0">
                  <c:v>742.57142857142856</c:v>
                </c:pt>
                <c:pt idx="65" formatCode="#,##0.0">
                  <c:v>819.14285714285711</c:v>
                </c:pt>
                <c:pt idx="66" formatCode="#,##0.0">
                  <c:v>847.85714285714289</c:v>
                </c:pt>
                <c:pt idx="67" formatCode="#,##0.0">
                  <c:v>945.28571428571433</c:v>
                </c:pt>
                <c:pt idx="68" formatCode="#,##0.0">
                  <c:v>990</c:v>
                </c:pt>
                <c:pt idx="69" formatCode="#,##0.0">
                  <c:v>1031.8571428571429</c:v>
                </c:pt>
                <c:pt idx="70" formatCode="#,##0.0">
                  <c:v>1154.1428571428571</c:v>
                </c:pt>
                <c:pt idx="71" formatCode="#,##0.0">
                  <c:v>1182.4285714285713</c:v>
                </c:pt>
                <c:pt idx="72" formatCode="#,##0.0">
                  <c:v>1290.8571428571429</c:v>
                </c:pt>
                <c:pt idx="73" formatCode="#,##0.0">
                  <c:v>1495.2857142857142</c:v>
                </c:pt>
                <c:pt idx="74" formatCode="#,##0.0">
                  <c:v>1512.5714285714287</c:v>
                </c:pt>
                <c:pt idx="75" formatCode="#,##0.0">
                  <c:v>1516.4285714285713</c:v>
                </c:pt>
                <c:pt idx="76" formatCode="#,##0.0">
                  <c:v>1692.2857142857142</c:v>
                </c:pt>
                <c:pt idx="77" formatCode="#,##0.0">
                  <c:v>1639</c:v>
                </c:pt>
                <c:pt idx="78" formatCode="#,##0.0">
                  <c:v>1722.7142857142858</c:v>
                </c:pt>
                <c:pt idx="79" formatCode="#,##0.0">
                  <c:v>1677.8571428571429</c:v>
                </c:pt>
                <c:pt idx="80" formatCode="#,##0.0">
                  <c:v>1509</c:v>
                </c:pt>
                <c:pt idx="81" formatCode="#,##0.0">
                  <c:v>1579.4285714285713</c:v>
                </c:pt>
                <c:pt idx="82" formatCode="#,##0.0">
                  <c:v>1682.4285714285713</c:v>
                </c:pt>
                <c:pt idx="83" formatCode="#,##0.0">
                  <c:v>1628.1428571428571</c:v>
                </c:pt>
                <c:pt idx="84" formatCode="#,##0.0">
                  <c:v>1725.8571428571429</c:v>
                </c:pt>
                <c:pt idx="85" formatCode="#,##0.0">
                  <c:v>1881.5714285714287</c:v>
                </c:pt>
                <c:pt idx="86" formatCode="#,##0.0">
                  <c:v>1912</c:v>
                </c:pt>
                <c:pt idx="87" formatCode="#,##0.0">
                  <c:v>2010.2857142857142</c:v>
                </c:pt>
                <c:pt idx="88" formatCode="#,##0.0">
                  <c:v>1980</c:v>
                </c:pt>
                <c:pt idx="89" formatCode="#,##0.0">
                  <c:v>1916.5714285714287</c:v>
                </c:pt>
                <c:pt idx="90" formatCode="#,##0.0">
                  <c:v>1854.5714285714287</c:v>
                </c:pt>
                <c:pt idx="91" formatCode="#,##0.0">
                  <c:v>1862.8571428571429</c:v>
                </c:pt>
                <c:pt idx="92" formatCode="#,##0.0">
                  <c:v>1866.1428571428571</c:v>
                </c:pt>
                <c:pt idx="93" formatCode="#,##0.0">
                  <c:v>1965.8571428571429</c:v>
                </c:pt>
                <c:pt idx="94" formatCode="#,##0.0">
                  <c:v>2093.8571428571427</c:v>
                </c:pt>
                <c:pt idx="95" formatCode="#,##0.0">
                  <c:v>2256.5714285714284</c:v>
                </c:pt>
                <c:pt idx="96" formatCode="#,##0.0">
                  <c:v>2616</c:v>
                </c:pt>
                <c:pt idx="97" formatCode="#,##0.0">
                  <c:v>3016.2857142857142</c:v>
                </c:pt>
                <c:pt idx="98" formatCode="#,##0.0">
                  <c:v>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B-4344-9105-D9D64118C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869874"/>
        <c:axId val="49731138"/>
      </c:lineChart>
      <c:dateAx>
        <c:axId val="36869874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31138"/>
        <c:crosses val="autoZero"/>
        <c:auto val="1"/>
        <c:lblOffset val="100"/>
        <c:baseTimeUnit val="days"/>
      </c:dateAx>
      <c:valAx>
        <c:axId val="497311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6987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cases by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Province!$B$4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Province!$A$5:$A$12</c:f>
              <c:strCache>
                <c:ptCount val="8"/>
                <c:pt idx="0">
                  <c:v>Sindh</c:v>
                </c:pt>
                <c:pt idx="1">
                  <c:v>Punjab</c:v>
                </c:pt>
                <c:pt idx="2">
                  <c:v>Khyber Pakhtunkhwa</c:v>
                </c:pt>
                <c:pt idx="3">
                  <c:v>Baluchistan</c:v>
                </c:pt>
                <c:pt idx="4">
                  <c:v>Islamabad Capital Territory</c:v>
                </c:pt>
                <c:pt idx="5">
                  <c:v>Gilgit-Baltistan</c:v>
                </c:pt>
                <c:pt idx="6">
                  <c:v>Azad Jummu Kashmir</c:v>
                </c:pt>
                <c:pt idx="7">
                  <c:v>Federal Administration Tribal Area</c:v>
                </c:pt>
              </c:strCache>
            </c:strRef>
          </c:cat>
          <c:val>
            <c:numRef>
              <c:f>Province!$B$5:$B$12</c:f>
              <c:numCache>
                <c:formatCode>#,##0</c:formatCode>
                <c:ptCount val="8"/>
                <c:pt idx="0">
                  <c:v>32858</c:v>
                </c:pt>
                <c:pt idx="1">
                  <c:v>31096</c:v>
                </c:pt>
                <c:pt idx="2">
                  <c:v>10259</c:v>
                </c:pt>
                <c:pt idx="3">
                  <c:v>5125</c:v>
                </c:pt>
                <c:pt idx="4">
                  <c:v>3523</c:v>
                </c:pt>
                <c:pt idx="5">
                  <c:v>786</c:v>
                </c:pt>
                <c:pt idx="6">
                  <c:v>285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D-4A79-8B66-A6834260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81087"/>
        <c:axId val="93762338"/>
      </c:barChart>
      <c:catAx>
        <c:axId val="147810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62338"/>
        <c:crosses val="autoZero"/>
        <c:auto val="1"/>
        <c:lblAlgn val="ctr"/>
        <c:lblOffset val="100"/>
        <c:noMultiLvlLbl val="0"/>
      </c:catAx>
      <c:valAx>
        <c:axId val="93762338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81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new cases and 7-day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Daily!$C$4</c:f>
              <c:strCache>
                <c:ptCount val="1"/>
                <c:pt idx="0">
                  <c:v>Daily cases</c:v>
                </c:pt>
              </c:strCache>
            </c:strRef>
          </c:tx>
          <c:spPr>
            <a:ln w="15120">
              <a:solidFill>
                <a:srgbClr val="9DC3E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Daily!$C$5:$C$103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7-414F-B349-897C14472F3E}"/>
            </c:ext>
          </c:extLst>
        </c:ser>
        <c:ser>
          <c:idx val="1"/>
          <c:order val="1"/>
          <c:tx>
            <c:strRef>
              <c:f>Daily!$J$4</c:f>
              <c:strCache>
                <c:ptCount val="1"/>
                <c:pt idx="0">
                  <c:v>7-day avg cases</c:v>
                </c:pt>
              </c:strCache>
            </c:strRef>
          </c:tx>
          <c:spPr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Daily!$J$5:$J$103</c:f>
              <c:numCache>
                <c:formatCode>General</c:formatCode>
                <c:ptCount val="99"/>
                <c:pt idx="6" formatCode="#,##0.0">
                  <c:v>0.8571428571428571</c:v>
                </c:pt>
                <c:pt idx="7" formatCode="#,##0.0">
                  <c:v>0.42857142857142855</c:v>
                </c:pt>
                <c:pt idx="8" formatCode="#,##0.0">
                  <c:v>0.42857142857142855</c:v>
                </c:pt>
                <c:pt idx="9" formatCode="#,##0.0">
                  <c:v>0.42857142857142855</c:v>
                </c:pt>
                <c:pt idx="10" formatCode="#,##0.0">
                  <c:v>0.2857142857142857</c:v>
                </c:pt>
                <c:pt idx="11" formatCode="#,##0.0">
                  <c:v>0.2857142857142857</c:v>
                </c:pt>
                <c:pt idx="12" formatCode="#,##0.0">
                  <c:v>1.4285714285714286</c:v>
                </c:pt>
                <c:pt idx="13" formatCode="#,##0.0">
                  <c:v>1.8571428571428572</c:v>
                </c:pt>
                <c:pt idx="14" formatCode="#,##0.0">
                  <c:v>2</c:v>
                </c:pt>
                <c:pt idx="15" formatCode="#,##0.0">
                  <c:v>2.1428571428571428</c:v>
                </c:pt>
                <c:pt idx="16" formatCode="#,##0.0">
                  <c:v>3.4285714285714284</c:v>
                </c:pt>
                <c:pt idx="17" formatCode="#,##0.0">
                  <c:v>3.2857142857142856</c:v>
                </c:pt>
                <c:pt idx="18" formatCode="#,##0.0">
                  <c:v>8.1428571428571423</c:v>
                </c:pt>
                <c:pt idx="19" formatCode="#,##0.0">
                  <c:v>28.428571428571427</c:v>
                </c:pt>
                <c:pt idx="20" formatCode="#,##0.0">
                  <c:v>35.428571428571431</c:v>
                </c:pt>
                <c:pt idx="21" formatCode="#,##0.0">
                  <c:v>43.428571428571431</c:v>
                </c:pt>
                <c:pt idx="22" formatCode="#,##0.0">
                  <c:v>65.285714285714292</c:v>
                </c:pt>
                <c:pt idx="23" formatCode="#,##0.0">
                  <c:v>71.142857142857139</c:v>
                </c:pt>
                <c:pt idx="24" formatCode="#,##0.0">
                  <c:v>90.285714285714292</c:v>
                </c:pt>
                <c:pt idx="25" formatCode="#,##0.0">
                  <c:v>101.14285714285714</c:v>
                </c:pt>
                <c:pt idx="26" formatCode="#,##0.0">
                  <c:v>91.285714285714292</c:v>
                </c:pt>
                <c:pt idx="27" formatCode="#,##0.0">
                  <c:v>100.14285714285714</c:v>
                </c:pt>
                <c:pt idx="28" formatCode="#,##0.0">
                  <c:v>107.71428571428571</c:v>
                </c:pt>
                <c:pt idx="29" formatCode="#,##0.0">
                  <c:v>104.42857142857143</c:v>
                </c:pt>
                <c:pt idx="30" formatCode="#,##0.0">
                  <c:v>114.71428571428571</c:v>
                </c:pt>
                <c:pt idx="31" formatCode="#,##0.0">
                  <c:v>121.85714285714286</c:v>
                </c:pt>
                <c:pt idx="32" formatCode="#,##0.0">
                  <c:v>118.57142857142857</c:v>
                </c:pt>
                <c:pt idx="33" formatCode="#,##0.0">
                  <c:v>127.57142857142857</c:v>
                </c:pt>
                <c:pt idx="34" formatCode="#,##0.0">
                  <c:v>143.14285714285714</c:v>
                </c:pt>
                <c:pt idx="35" formatCode="#,##0.0">
                  <c:v>164.57142857142858</c:v>
                </c:pt>
                <c:pt idx="36" formatCode="#,##0.0">
                  <c:v>172</c:v>
                </c:pt>
                <c:pt idx="37" formatCode="#,##0.0">
                  <c:v>188.71428571428572</c:v>
                </c:pt>
                <c:pt idx="38" formatCode="#,##0.0">
                  <c:v>173.71428571428572</c:v>
                </c:pt>
                <c:pt idx="39" formatCode="#,##0.0">
                  <c:v>187</c:v>
                </c:pt>
                <c:pt idx="40" formatCode="#,##0.0">
                  <c:v>201.85714285714286</c:v>
                </c:pt>
                <c:pt idx="41" formatCode="#,##0.0">
                  <c:v>185.28571428571428</c:v>
                </c:pt>
                <c:pt idx="42" formatCode="#,##0.0">
                  <c:v>196.28571428571428</c:v>
                </c:pt>
                <c:pt idx="43" formatCode="#,##0.0">
                  <c:v>295</c:v>
                </c:pt>
                <c:pt idx="44" formatCode="#,##0.0">
                  <c:v>283.14285714285717</c:v>
                </c:pt>
                <c:pt idx="45" formatCode="#,##0.0">
                  <c:v>314.28571428571428</c:v>
                </c:pt>
                <c:pt idx="46" formatCode="#,##0.0">
                  <c:v>324.71428571428572</c:v>
                </c:pt>
                <c:pt idx="47" formatCode="#,##0.0">
                  <c:v>313.85714285714283</c:v>
                </c:pt>
                <c:pt idx="48" formatCode="#,##0.0">
                  <c:v>388.28571428571428</c:v>
                </c:pt>
                <c:pt idx="49" formatCode="#,##0.0">
                  <c:v>386</c:v>
                </c:pt>
                <c:pt idx="50" formatCode="#,##0.0">
                  <c:v>358.71428571428572</c:v>
                </c:pt>
                <c:pt idx="51" formatCode="#,##0.0">
                  <c:v>409.57142857142856</c:v>
                </c:pt>
                <c:pt idx="52" formatCode="#,##0.0">
                  <c:v>407.85714285714283</c:v>
                </c:pt>
                <c:pt idx="53" formatCode="#,##0.0">
                  <c:v>455</c:v>
                </c:pt>
                <c:pt idx="54" formatCode="#,##0.0">
                  <c:v>531.28571428571433</c:v>
                </c:pt>
                <c:pt idx="55" formatCode="#,##0.0">
                  <c:v>538.28571428571433</c:v>
                </c:pt>
                <c:pt idx="56" formatCode="#,##0.0">
                  <c:v>602</c:v>
                </c:pt>
                <c:pt idx="57" formatCode="#,##0.0">
                  <c:v>596</c:v>
                </c:pt>
                <c:pt idx="58" formatCode="#,##0.0">
                  <c:v>599.14285714285711</c:v>
                </c:pt>
                <c:pt idx="59" formatCode="#,##0.0">
                  <c:v>690.14285714285711</c:v>
                </c:pt>
                <c:pt idx="60" formatCode="#,##0.0">
                  <c:v>701.14285714285711</c:v>
                </c:pt>
                <c:pt idx="61" formatCode="#,##0.0">
                  <c:v>705.71428571428567</c:v>
                </c:pt>
                <c:pt idx="62" formatCode="#,##0.0">
                  <c:v>713.28571428571433</c:v>
                </c:pt>
                <c:pt idx="63" formatCode="#,##0.0">
                  <c:v>739.14285714285711</c:v>
                </c:pt>
                <c:pt idx="64" formatCode="#,##0.0">
                  <c:v>742.57142857142856</c:v>
                </c:pt>
                <c:pt idx="65" formatCode="#,##0.0">
                  <c:v>819.14285714285711</c:v>
                </c:pt>
                <c:pt idx="66" formatCode="#,##0.0">
                  <c:v>847.85714285714289</c:v>
                </c:pt>
                <c:pt idx="67" formatCode="#,##0.0">
                  <c:v>945.28571428571433</c:v>
                </c:pt>
                <c:pt idx="68" formatCode="#,##0.0">
                  <c:v>990</c:v>
                </c:pt>
                <c:pt idx="69" formatCode="#,##0.0">
                  <c:v>1031.8571428571429</c:v>
                </c:pt>
                <c:pt idx="70" formatCode="#,##0.0">
                  <c:v>1154.1428571428571</c:v>
                </c:pt>
                <c:pt idx="71" formatCode="#,##0.0">
                  <c:v>1182.4285714285713</c:v>
                </c:pt>
                <c:pt idx="72" formatCode="#,##0.0">
                  <c:v>1290.8571428571429</c:v>
                </c:pt>
                <c:pt idx="73" formatCode="#,##0.0">
                  <c:v>1495.2857142857142</c:v>
                </c:pt>
                <c:pt idx="74" formatCode="#,##0.0">
                  <c:v>1512.5714285714287</c:v>
                </c:pt>
                <c:pt idx="75" formatCode="#,##0.0">
                  <c:v>1516.4285714285713</c:v>
                </c:pt>
                <c:pt idx="76" formatCode="#,##0.0">
                  <c:v>1692.2857142857142</c:v>
                </c:pt>
                <c:pt idx="77" formatCode="#,##0.0">
                  <c:v>1639</c:v>
                </c:pt>
                <c:pt idx="78" formatCode="#,##0.0">
                  <c:v>1722.7142857142858</c:v>
                </c:pt>
                <c:pt idx="79" formatCode="#,##0.0">
                  <c:v>1677.8571428571429</c:v>
                </c:pt>
                <c:pt idx="80" formatCode="#,##0.0">
                  <c:v>1509</c:v>
                </c:pt>
                <c:pt idx="81" formatCode="#,##0.0">
                  <c:v>1579.4285714285713</c:v>
                </c:pt>
                <c:pt idx="82" formatCode="#,##0.0">
                  <c:v>1682.4285714285713</c:v>
                </c:pt>
                <c:pt idx="83" formatCode="#,##0.0">
                  <c:v>1628.1428571428571</c:v>
                </c:pt>
                <c:pt idx="84" formatCode="#,##0.0">
                  <c:v>1725.8571428571429</c:v>
                </c:pt>
                <c:pt idx="85" formatCode="#,##0.0">
                  <c:v>1881.5714285714287</c:v>
                </c:pt>
                <c:pt idx="86" formatCode="#,##0.0">
                  <c:v>1912</c:v>
                </c:pt>
                <c:pt idx="87" formatCode="#,##0.0">
                  <c:v>2010.2857142857142</c:v>
                </c:pt>
                <c:pt idx="88" formatCode="#,##0.0">
                  <c:v>1980</c:v>
                </c:pt>
                <c:pt idx="89" formatCode="#,##0.0">
                  <c:v>1916.5714285714287</c:v>
                </c:pt>
                <c:pt idx="90" formatCode="#,##0.0">
                  <c:v>1854.5714285714287</c:v>
                </c:pt>
                <c:pt idx="91" formatCode="#,##0.0">
                  <c:v>1862.8571428571429</c:v>
                </c:pt>
                <c:pt idx="92" formatCode="#,##0.0">
                  <c:v>1866.1428571428571</c:v>
                </c:pt>
                <c:pt idx="93" formatCode="#,##0.0">
                  <c:v>1965.8571428571429</c:v>
                </c:pt>
                <c:pt idx="94" formatCode="#,##0.0">
                  <c:v>2093.8571428571427</c:v>
                </c:pt>
                <c:pt idx="95" formatCode="#,##0.0">
                  <c:v>2256.5714285714284</c:v>
                </c:pt>
                <c:pt idx="96" formatCode="#,##0.0">
                  <c:v>2616</c:v>
                </c:pt>
                <c:pt idx="97" formatCode="#,##0.0">
                  <c:v>3016.2857142857142</c:v>
                </c:pt>
                <c:pt idx="98" formatCode="#,##0.0">
                  <c:v>3374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37-414F-B349-897C14472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970775"/>
        <c:axId val="61769411"/>
      </c:lineChart>
      <c:dateAx>
        <c:axId val="73970775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769411"/>
        <c:crosses val="autoZero"/>
        <c:auto val="1"/>
        <c:lblOffset val="100"/>
        <c:baseTimeUnit val="days"/>
      </c:dateAx>
      <c:valAx>
        <c:axId val="617694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707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Daily deaths and 7-day average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Daily!$D$4</c:f>
              <c:strCache>
                <c:ptCount val="1"/>
                <c:pt idx="0">
                  <c:v>Daily deaths</c:v>
                </c:pt>
              </c:strCache>
            </c:strRef>
          </c:tx>
          <c:spPr>
            <a:ln w="15120">
              <a:solidFill>
                <a:srgbClr val="F4B18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Daily!$D$5:$D$103</c:f>
              <c:numCache>
                <c:formatCode>#,##0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6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7</c:v>
                </c:pt>
                <c:pt idx="43">
                  <c:v>4</c:v>
                </c:pt>
                <c:pt idx="44">
                  <c:v>4</c:v>
                </c:pt>
                <c:pt idx="45">
                  <c:v>15</c:v>
                </c:pt>
                <c:pt idx="46">
                  <c:v>7</c:v>
                </c:pt>
                <c:pt idx="47">
                  <c:v>4</c:v>
                </c:pt>
                <c:pt idx="48">
                  <c:v>11</c:v>
                </c:pt>
                <c:pt idx="49">
                  <c:v>11</c:v>
                </c:pt>
                <c:pt idx="50">
                  <c:v>16</c:v>
                </c:pt>
                <c:pt idx="51">
                  <c:v>4</c:v>
                </c:pt>
                <c:pt idx="52">
                  <c:v>11</c:v>
                </c:pt>
                <c:pt idx="53">
                  <c:v>18</c:v>
                </c:pt>
                <c:pt idx="54">
                  <c:v>18</c:v>
                </c:pt>
                <c:pt idx="55">
                  <c:v>23</c:v>
                </c:pt>
                <c:pt idx="56">
                  <c:v>13</c:v>
                </c:pt>
                <c:pt idx="57">
                  <c:v>8</c:v>
                </c:pt>
                <c:pt idx="58">
                  <c:v>11</c:v>
                </c:pt>
                <c:pt idx="59">
                  <c:v>14</c:v>
                </c:pt>
                <c:pt idx="60">
                  <c:v>12</c:v>
                </c:pt>
                <c:pt idx="61">
                  <c:v>23</c:v>
                </c:pt>
                <c:pt idx="62">
                  <c:v>5</c:v>
                </c:pt>
                <c:pt idx="63">
                  <c:v>19</c:v>
                </c:pt>
                <c:pt idx="64">
                  <c:v>15</c:v>
                </c:pt>
                <c:pt idx="65">
                  <c:v>23</c:v>
                </c:pt>
                <c:pt idx="66">
                  <c:v>24</c:v>
                </c:pt>
                <c:pt idx="67">
                  <c:v>30</c:v>
                </c:pt>
                <c:pt idx="68">
                  <c:v>24</c:v>
                </c:pt>
                <c:pt idx="69">
                  <c:v>28</c:v>
                </c:pt>
                <c:pt idx="70">
                  <c:v>49</c:v>
                </c:pt>
                <c:pt idx="71">
                  <c:v>28</c:v>
                </c:pt>
                <c:pt idx="72">
                  <c:v>31</c:v>
                </c:pt>
                <c:pt idx="73">
                  <c:v>19</c:v>
                </c:pt>
                <c:pt idx="74">
                  <c:v>23</c:v>
                </c:pt>
                <c:pt idx="75">
                  <c:v>38</c:v>
                </c:pt>
                <c:pt idx="76">
                  <c:v>39</c:v>
                </c:pt>
                <c:pt idx="77">
                  <c:v>36</c:v>
                </c:pt>
                <c:pt idx="78">
                  <c:v>33</c:v>
                </c:pt>
                <c:pt idx="79">
                  <c:v>31</c:v>
                </c:pt>
                <c:pt idx="80">
                  <c:v>39</c:v>
                </c:pt>
                <c:pt idx="81">
                  <c:v>30</c:v>
                </c:pt>
                <c:pt idx="82">
                  <c:v>46</c:v>
                </c:pt>
                <c:pt idx="83">
                  <c:v>46</c:v>
                </c:pt>
                <c:pt idx="84">
                  <c:v>32</c:v>
                </c:pt>
                <c:pt idx="85">
                  <c:v>43</c:v>
                </c:pt>
                <c:pt idx="86">
                  <c:v>34</c:v>
                </c:pt>
                <c:pt idx="87">
                  <c:v>32</c:v>
                </c:pt>
                <c:pt idx="88">
                  <c:v>34</c:v>
                </c:pt>
                <c:pt idx="89">
                  <c:v>30</c:v>
                </c:pt>
                <c:pt idx="90">
                  <c:v>27</c:v>
                </c:pt>
                <c:pt idx="91">
                  <c:v>36</c:v>
                </c:pt>
                <c:pt idx="92">
                  <c:v>59</c:v>
                </c:pt>
                <c:pt idx="93">
                  <c:v>78</c:v>
                </c:pt>
                <c:pt idx="94">
                  <c:v>88</c:v>
                </c:pt>
                <c:pt idx="95">
                  <c:v>60</c:v>
                </c:pt>
                <c:pt idx="96">
                  <c:v>78</c:v>
                </c:pt>
                <c:pt idx="97">
                  <c:v>69</c:v>
                </c:pt>
                <c:pt idx="98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C-40F1-886E-B0F1B41037AA}"/>
            </c:ext>
          </c:extLst>
        </c:ser>
        <c:ser>
          <c:idx val="1"/>
          <c:order val="1"/>
          <c:tx>
            <c:strRef>
              <c:f>Daily!$K$4</c:f>
              <c:strCache>
                <c:ptCount val="1"/>
                <c:pt idx="0">
                  <c:v>7-day avg deaths</c:v>
                </c:pt>
              </c:strCache>
            </c:strRef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Daily!$K$5:$K$103</c:f>
              <c:numCache>
                <c:formatCode>General</c:formatCode>
                <c:ptCount val="99"/>
                <c:pt idx="6" formatCode="#,##0.0">
                  <c:v>0</c:v>
                </c:pt>
                <c:pt idx="7" formatCode="#,##0.0">
                  <c:v>0</c:v>
                </c:pt>
                <c:pt idx="8" formatCode="#,##0.0">
                  <c:v>0</c:v>
                </c:pt>
                <c:pt idx="9" formatCode="#,##0.0">
                  <c:v>0</c:v>
                </c:pt>
                <c:pt idx="10" formatCode="#,##0.0">
                  <c:v>0</c:v>
                </c:pt>
                <c:pt idx="11" formatCode="#,##0.0">
                  <c:v>0</c:v>
                </c:pt>
                <c:pt idx="12" formatCode="#,##0.0">
                  <c:v>0</c:v>
                </c:pt>
                <c:pt idx="13" formatCode="#,##0.0">
                  <c:v>0</c:v>
                </c:pt>
                <c:pt idx="14" formatCode="#,##0.0">
                  <c:v>0</c:v>
                </c:pt>
                <c:pt idx="15" formatCode="#,##0.0">
                  <c:v>0</c:v>
                </c:pt>
                <c:pt idx="16" formatCode="#,##0.0">
                  <c:v>0</c:v>
                </c:pt>
                <c:pt idx="17" formatCode="#,##0.0">
                  <c:v>0</c:v>
                </c:pt>
                <c:pt idx="18" formatCode="#,##0.0">
                  <c:v>0.14285714285714285</c:v>
                </c:pt>
                <c:pt idx="19" formatCode="#,##0.0">
                  <c:v>0.14285714285714285</c:v>
                </c:pt>
                <c:pt idx="20" formatCode="#,##0.0">
                  <c:v>0.14285714285714285</c:v>
                </c:pt>
                <c:pt idx="21" formatCode="#,##0.0">
                  <c:v>0.42857142857142855</c:v>
                </c:pt>
                <c:pt idx="22" formatCode="#,##0.0">
                  <c:v>0.42857142857142855</c:v>
                </c:pt>
                <c:pt idx="23" formatCode="#,##0.0">
                  <c:v>0.5714285714285714</c:v>
                </c:pt>
                <c:pt idx="24" formatCode="#,##0.0">
                  <c:v>0.5714285714285714</c:v>
                </c:pt>
                <c:pt idx="25" formatCode="#,##0.0">
                  <c:v>0.5714285714285714</c:v>
                </c:pt>
                <c:pt idx="26" formatCode="#,##0.0">
                  <c:v>0.7142857142857143</c:v>
                </c:pt>
                <c:pt idx="27" formatCode="#,##0.0">
                  <c:v>0.8571428571428571</c:v>
                </c:pt>
                <c:pt idx="28" formatCode="#,##0.0">
                  <c:v>0.7142857142857143</c:v>
                </c:pt>
                <c:pt idx="29" formatCode="#,##0.0">
                  <c:v>0.8571428571428571</c:v>
                </c:pt>
                <c:pt idx="30" formatCode="#,##0.0">
                  <c:v>1</c:v>
                </c:pt>
                <c:pt idx="31" formatCode="#,##0.0">
                  <c:v>1.2857142857142858</c:v>
                </c:pt>
                <c:pt idx="32" formatCode="#,##0.0">
                  <c:v>2</c:v>
                </c:pt>
                <c:pt idx="33" formatCode="#,##0.0">
                  <c:v>2.4285714285714284</c:v>
                </c:pt>
                <c:pt idx="34" formatCode="#,##0.0">
                  <c:v>2.8571428571428572</c:v>
                </c:pt>
                <c:pt idx="35" formatCode="#,##0.0">
                  <c:v>3.2857142857142856</c:v>
                </c:pt>
                <c:pt idx="36" formatCode="#,##0.0">
                  <c:v>3.8571428571428572</c:v>
                </c:pt>
                <c:pt idx="37" formatCode="#,##0.0">
                  <c:v>4.2857142857142856</c:v>
                </c:pt>
                <c:pt idx="38" formatCode="#,##0.0">
                  <c:v>4.5714285714285712</c:v>
                </c:pt>
                <c:pt idx="39" formatCode="#,##0.0">
                  <c:v>4.1428571428571432</c:v>
                </c:pt>
                <c:pt idx="40" formatCode="#,##0.0">
                  <c:v>4.2857142857142856</c:v>
                </c:pt>
                <c:pt idx="41" formatCode="#,##0.0">
                  <c:v>4.1428571428571432</c:v>
                </c:pt>
                <c:pt idx="42" formatCode="#,##0.0">
                  <c:v>4.5714285714285712</c:v>
                </c:pt>
                <c:pt idx="43" formatCode="#,##0.0">
                  <c:v>4.4285714285714288</c:v>
                </c:pt>
                <c:pt idx="44" formatCode="#,##0.0">
                  <c:v>4.2857142857142856</c:v>
                </c:pt>
                <c:pt idx="45" formatCode="#,##0.0">
                  <c:v>5.8571428571428568</c:v>
                </c:pt>
                <c:pt idx="46" formatCode="#,##0.0">
                  <c:v>6.4285714285714288</c:v>
                </c:pt>
                <c:pt idx="47" formatCode="#,##0.0">
                  <c:v>6.2857142857142856</c:v>
                </c:pt>
                <c:pt idx="48" formatCode="#,##0.0">
                  <c:v>7.4285714285714288</c:v>
                </c:pt>
                <c:pt idx="49" formatCode="#,##0.0">
                  <c:v>8</c:v>
                </c:pt>
                <c:pt idx="50" formatCode="#,##0.0">
                  <c:v>9.7142857142857135</c:v>
                </c:pt>
                <c:pt idx="51" formatCode="#,##0.0">
                  <c:v>9.7142857142857135</c:v>
                </c:pt>
                <c:pt idx="52" formatCode="#,##0.0">
                  <c:v>9.1428571428571423</c:v>
                </c:pt>
                <c:pt idx="53" formatCode="#,##0.0">
                  <c:v>10.714285714285714</c:v>
                </c:pt>
                <c:pt idx="54" formatCode="#,##0.0">
                  <c:v>12.714285714285714</c:v>
                </c:pt>
                <c:pt idx="55" formatCode="#,##0.0">
                  <c:v>14.428571428571429</c:v>
                </c:pt>
                <c:pt idx="56" formatCode="#,##0.0">
                  <c:v>14.714285714285714</c:v>
                </c:pt>
                <c:pt idx="57" formatCode="#,##0.0">
                  <c:v>13.571428571428571</c:v>
                </c:pt>
                <c:pt idx="58" formatCode="#,##0.0">
                  <c:v>14.571428571428571</c:v>
                </c:pt>
                <c:pt idx="59" formatCode="#,##0.0">
                  <c:v>15</c:v>
                </c:pt>
                <c:pt idx="60" formatCode="#,##0.0">
                  <c:v>14.142857142857142</c:v>
                </c:pt>
                <c:pt idx="61" formatCode="#,##0.0">
                  <c:v>14.857142857142858</c:v>
                </c:pt>
                <c:pt idx="62" formatCode="#,##0.0">
                  <c:v>12.285714285714286</c:v>
                </c:pt>
                <c:pt idx="63" formatCode="#,##0.0">
                  <c:v>13.142857142857142</c:v>
                </c:pt>
                <c:pt idx="64" formatCode="#,##0.0">
                  <c:v>14.142857142857142</c:v>
                </c:pt>
                <c:pt idx="65" formatCode="#,##0.0">
                  <c:v>15.857142857142858</c:v>
                </c:pt>
                <c:pt idx="66" formatCode="#,##0.0">
                  <c:v>17.285714285714285</c:v>
                </c:pt>
                <c:pt idx="67" formatCode="#,##0.0">
                  <c:v>19.857142857142858</c:v>
                </c:pt>
                <c:pt idx="68" formatCode="#,##0.0">
                  <c:v>20</c:v>
                </c:pt>
                <c:pt idx="69" formatCode="#,##0.0">
                  <c:v>23.285714285714285</c:v>
                </c:pt>
                <c:pt idx="70" formatCode="#,##0.0">
                  <c:v>27.571428571428573</c:v>
                </c:pt>
                <c:pt idx="71" formatCode="#,##0.0">
                  <c:v>29.428571428571427</c:v>
                </c:pt>
                <c:pt idx="72" formatCode="#,##0.0">
                  <c:v>30.571428571428573</c:v>
                </c:pt>
                <c:pt idx="73" formatCode="#,##0.0">
                  <c:v>29.857142857142858</c:v>
                </c:pt>
                <c:pt idx="74" formatCode="#,##0.0">
                  <c:v>28.857142857142858</c:v>
                </c:pt>
                <c:pt idx="75" formatCode="#,##0.0">
                  <c:v>30.857142857142858</c:v>
                </c:pt>
                <c:pt idx="76" formatCode="#,##0.0">
                  <c:v>32.428571428571431</c:v>
                </c:pt>
                <c:pt idx="77" formatCode="#,##0.0">
                  <c:v>30.571428571428573</c:v>
                </c:pt>
                <c:pt idx="78" formatCode="#,##0.0">
                  <c:v>31.285714285714285</c:v>
                </c:pt>
                <c:pt idx="79" formatCode="#,##0.0">
                  <c:v>31.285714285714285</c:v>
                </c:pt>
                <c:pt idx="80" formatCode="#,##0.0">
                  <c:v>34.142857142857146</c:v>
                </c:pt>
                <c:pt idx="81" formatCode="#,##0.0">
                  <c:v>35.142857142857146</c:v>
                </c:pt>
                <c:pt idx="82" formatCode="#,##0.0">
                  <c:v>36.285714285714285</c:v>
                </c:pt>
                <c:pt idx="83" formatCode="#,##0.0">
                  <c:v>37.285714285714285</c:v>
                </c:pt>
                <c:pt idx="84" formatCode="#,##0.0">
                  <c:v>36.714285714285715</c:v>
                </c:pt>
                <c:pt idx="85" formatCode="#,##0.0">
                  <c:v>38.142857142857146</c:v>
                </c:pt>
                <c:pt idx="86" formatCode="#,##0.0">
                  <c:v>38.571428571428569</c:v>
                </c:pt>
                <c:pt idx="87" formatCode="#,##0.0">
                  <c:v>37.571428571428569</c:v>
                </c:pt>
                <c:pt idx="88" formatCode="#,##0.0">
                  <c:v>38.142857142857146</c:v>
                </c:pt>
                <c:pt idx="89" formatCode="#,##0.0">
                  <c:v>35.857142857142854</c:v>
                </c:pt>
                <c:pt idx="90" formatCode="#,##0.0">
                  <c:v>33.142857142857146</c:v>
                </c:pt>
                <c:pt idx="91" formatCode="#,##0.0">
                  <c:v>33.714285714285715</c:v>
                </c:pt>
                <c:pt idx="92" formatCode="#,##0.0">
                  <c:v>36</c:v>
                </c:pt>
                <c:pt idx="93" formatCode="#,##0.0">
                  <c:v>42.285714285714285</c:v>
                </c:pt>
                <c:pt idx="94" formatCode="#,##0.0">
                  <c:v>50.285714285714285</c:v>
                </c:pt>
                <c:pt idx="95" formatCode="#,##0.0">
                  <c:v>54</c:v>
                </c:pt>
                <c:pt idx="96" formatCode="#,##0.0">
                  <c:v>60.857142857142854</c:v>
                </c:pt>
                <c:pt idx="97" formatCode="#,##0.0">
                  <c:v>66.857142857142861</c:v>
                </c:pt>
                <c:pt idx="98" formatCode="#,##0.0">
                  <c:v>73.428571428571431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C-40F1-886E-B0F1B4103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414598"/>
        <c:axId val="97621618"/>
      </c:lineChart>
      <c:dateAx>
        <c:axId val="71414598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621618"/>
        <c:crosses val="autoZero"/>
        <c:auto val="1"/>
        <c:lblOffset val="100"/>
        <c:baseTimeUnit val="days"/>
      </c:dateAx>
      <c:valAx>
        <c:axId val="976216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4145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Cumulative cases, active cases and reported recoveries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Daily!$F$4</c:f>
              <c:strCache>
                <c:ptCount val="1"/>
                <c:pt idx="0">
                  <c:v>Cumulative cases</c:v>
                </c:pt>
              </c:strCache>
            </c:strRef>
          </c:tx>
          <c:spPr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Daily!$F$5:$F$103</c:f>
              <c:numCache>
                <c:formatCode>#,##0</c:formatCode>
                <c:ptCount val="9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16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30</c:v>
                </c:pt>
                <c:pt idx="17">
                  <c:v>30</c:v>
                </c:pt>
                <c:pt idx="18">
                  <c:v>64</c:v>
                </c:pt>
                <c:pt idx="19">
                  <c:v>215</c:v>
                </c:pt>
                <c:pt idx="20">
                  <c:v>267</c:v>
                </c:pt>
                <c:pt idx="21">
                  <c:v>324</c:v>
                </c:pt>
                <c:pt idx="22">
                  <c:v>478</c:v>
                </c:pt>
                <c:pt idx="23">
                  <c:v>528</c:v>
                </c:pt>
                <c:pt idx="24">
                  <c:v>662</c:v>
                </c:pt>
                <c:pt idx="25">
                  <c:v>772</c:v>
                </c:pt>
                <c:pt idx="26">
                  <c:v>854</c:v>
                </c:pt>
                <c:pt idx="27">
                  <c:v>968</c:v>
                </c:pt>
                <c:pt idx="28">
                  <c:v>1078</c:v>
                </c:pt>
                <c:pt idx="29">
                  <c:v>1209</c:v>
                </c:pt>
                <c:pt idx="30">
                  <c:v>1331</c:v>
                </c:pt>
                <c:pt idx="31">
                  <c:v>1515</c:v>
                </c:pt>
                <c:pt idx="32">
                  <c:v>1602</c:v>
                </c:pt>
                <c:pt idx="33">
                  <c:v>1747</c:v>
                </c:pt>
                <c:pt idx="34">
                  <c:v>1970</c:v>
                </c:pt>
                <c:pt idx="35">
                  <c:v>2230</c:v>
                </c:pt>
                <c:pt idx="36">
                  <c:v>2413</c:v>
                </c:pt>
                <c:pt idx="37">
                  <c:v>2652</c:v>
                </c:pt>
                <c:pt idx="38">
                  <c:v>2731</c:v>
                </c:pt>
                <c:pt idx="39">
                  <c:v>2911</c:v>
                </c:pt>
                <c:pt idx="40">
                  <c:v>3160</c:v>
                </c:pt>
                <c:pt idx="41">
                  <c:v>3267</c:v>
                </c:pt>
                <c:pt idx="42">
                  <c:v>3604</c:v>
                </c:pt>
                <c:pt idx="43">
                  <c:v>4478</c:v>
                </c:pt>
                <c:pt idx="44">
                  <c:v>4634</c:v>
                </c:pt>
                <c:pt idx="45">
                  <c:v>4931</c:v>
                </c:pt>
                <c:pt idx="46">
                  <c:v>5184</c:v>
                </c:pt>
                <c:pt idx="47">
                  <c:v>5357</c:v>
                </c:pt>
                <c:pt idx="48">
                  <c:v>5985</c:v>
                </c:pt>
                <c:pt idx="49">
                  <c:v>6306</c:v>
                </c:pt>
                <c:pt idx="50">
                  <c:v>6989</c:v>
                </c:pt>
                <c:pt idx="51">
                  <c:v>7501</c:v>
                </c:pt>
                <c:pt idx="52">
                  <c:v>7786</c:v>
                </c:pt>
                <c:pt idx="53">
                  <c:v>8369</c:v>
                </c:pt>
                <c:pt idx="54">
                  <c:v>9076</c:v>
                </c:pt>
                <c:pt idx="55">
                  <c:v>9753</c:v>
                </c:pt>
                <c:pt idx="56">
                  <c:v>10520</c:v>
                </c:pt>
                <c:pt idx="57">
                  <c:v>11161</c:v>
                </c:pt>
                <c:pt idx="58">
                  <c:v>11695</c:v>
                </c:pt>
                <c:pt idx="59">
                  <c:v>12617</c:v>
                </c:pt>
                <c:pt idx="60">
                  <c:v>13277</c:v>
                </c:pt>
                <c:pt idx="61">
                  <c:v>14016</c:v>
                </c:pt>
                <c:pt idx="62">
                  <c:v>14746</c:v>
                </c:pt>
                <c:pt idx="63">
                  <c:v>15694</c:v>
                </c:pt>
                <c:pt idx="64">
                  <c:v>16359</c:v>
                </c:pt>
                <c:pt idx="65">
                  <c:v>17429</c:v>
                </c:pt>
                <c:pt idx="66">
                  <c:v>18552</c:v>
                </c:pt>
                <c:pt idx="67">
                  <c:v>19894</c:v>
                </c:pt>
                <c:pt idx="68">
                  <c:v>20946</c:v>
                </c:pt>
                <c:pt idx="69">
                  <c:v>21969</c:v>
                </c:pt>
                <c:pt idx="70">
                  <c:v>23773</c:v>
                </c:pt>
                <c:pt idx="71">
                  <c:v>24636</c:v>
                </c:pt>
                <c:pt idx="72">
                  <c:v>26465</c:v>
                </c:pt>
                <c:pt idx="73">
                  <c:v>29019</c:v>
                </c:pt>
                <c:pt idx="74">
                  <c:v>30482</c:v>
                </c:pt>
                <c:pt idx="75">
                  <c:v>31561</c:v>
                </c:pt>
                <c:pt idx="76">
                  <c:v>33815</c:v>
                </c:pt>
                <c:pt idx="77">
                  <c:v>35246</c:v>
                </c:pt>
                <c:pt idx="78">
                  <c:v>36695</c:v>
                </c:pt>
                <c:pt idx="79">
                  <c:v>38210</c:v>
                </c:pt>
                <c:pt idx="80">
                  <c:v>39582</c:v>
                </c:pt>
                <c:pt idx="81">
                  <c:v>41538</c:v>
                </c:pt>
                <c:pt idx="82">
                  <c:v>43338</c:v>
                </c:pt>
                <c:pt idx="83">
                  <c:v>45212</c:v>
                </c:pt>
                <c:pt idx="84">
                  <c:v>47327</c:v>
                </c:pt>
                <c:pt idx="85">
                  <c:v>49866</c:v>
                </c:pt>
                <c:pt idx="86">
                  <c:v>51594</c:v>
                </c:pt>
                <c:pt idx="87">
                  <c:v>53654</c:v>
                </c:pt>
                <c:pt idx="88">
                  <c:v>55398</c:v>
                </c:pt>
                <c:pt idx="89">
                  <c:v>56754</c:v>
                </c:pt>
                <c:pt idx="90">
                  <c:v>58194</c:v>
                </c:pt>
                <c:pt idx="91">
                  <c:v>60367</c:v>
                </c:pt>
                <c:pt idx="92">
                  <c:v>62929</c:v>
                </c:pt>
                <c:pt idx="93">
                  <c:v>65355</c:v>
                </c:pt>
                <c:pt idx="94">
                  <c:v>68311</c:v>
                </c:pt>
                <c:pt idx="95">
                  <c:v>71194</c:v>
                </c:pt>
                <c:pt idx="96">
                  <c:v>75066</c:v>
                </c:pt>
                <c:pt idx="97">
                  <c:v>79308</c:v>
                </c:pt>
                <c:pt idx="98">
                  <c:v>83985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6B-4D76-9810-309BEA3A442C}"/>
            </c:ext>
          </c:extLst>
        </c:ser>
        <c:ser>
          <c:idx val="1"/>
          <c:order val="1"/>
          <c:tx>
            <c:strRef>
              <c:f>Daily!$I$4</c:f>
              <c:strCache>
                <c:ptCount val="1"/>
                <c:pt idx="0">
                  <c:v>Active cases</c:v>
                </c:pt>
              </c:strCache>
            </c:strRef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Daily!$I$5:$I$103</c:f>
              <c:numCache>
                <c:formatCode>#,##0</c:formatCode>
                <c:ptCount val="9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15</c:v>
                </c:pt>
                <c:pt idx="13">
                  <c:v>18</c:v>
                </c:pt>
                <c:pt idx="14">
                  <c:v>18</c:v>
                </c:pt>
                <c:pt idx="15">
                  <c:v>19</c:v>
                </c:pt>
                <c:pt idx="16">
                  <c:v>27</c:v>
                </c:pt>
                <c:pt idx="17">
                  <c:v>27</c:v>
                </c:pt>
                <c:pt idx="18">
                  <c:v>60</c:v>
                </c:pt>
                <c:pt idx="19">
                  <c:v>210</c:v>
                </c:pt>
                <c:pt idx="20">
                  <c:v>262</c:v>
                </c:pt>
                <c:pt idx="21">
                  <c:v>317</c:v>
                </c:pt>
                <c:pt idx="22">
                  <c:v>470</c:v>
                </c:pt>
                <c:pt idx="23">
                  <c:v>519</c:v>
                </c:pt>
                <c:pt idx="24">
                  <c:v>650</c:v>
                </c:pt>
                <c:pt idx="25">
                  <c:v>759</c:v>
                </c:pt>
                <c:pt idx="26">
                  <c:v>840</c:v>
                </c:pt>
                <c:pt idx="27">
                  <c:v>935</c:v>
                </c:pt>
                <c:pt idx="28">
                  <c:v>1040</c:v>
                </c:pt>
                <c:pt idx="29">
                  <c:v>1165</c:v>
                </c:pt>
                <c:pt idx="30">
                  <c:v>1280</c:v>
                </c:pt>
                <c:pt idx="31">
                  <c:v>1461</c:v>
                </c:pt>
                <c:pt idx="32">
                  <c:v>1535</c:v>
                </c:pt>
                <c:pt idx="33">
                  <c:v>1644</c:v>
                </c:pt>
                <c:pt idx="34">
                  <c:v>1821</c:v>
                </c:pt>
                <c:pt idx="35">
                  <c:v>2062</c:v>
                </c:pt>
                <c:pt idx="36">
                  <c:v>2226</c:v>
                </c:pt>
                <c:pt idx="37">
                  <c:v>2459</c:v>
                </c:pt>
                <c:pt idx="38">
                  <c:v>2501</c:v>
                </c:pt>
                <c:pt idx="39">
                  <c:v>2633</c:v>
                </c:pt>
                <c:pt idx="40">
                  <c:v>2702</c:v>
                </c:pt>
                <c:pt idx="41">
                  <c:v>2724</c:v>
                </c:pt>
                <c:pt idx="42">
                  <c:v>2942</c:v>
                </c:pt>
                <c:pt idx="43">
                  <c:v>3699</c:v>
                </c:pt>
                <c:pt idx="44">
                  <c:v>3798</c:v>
                </c:pt>
                <c:pt idx="45">
                  <c:v>4043</c:v>
                </c:pt>
                <c:pt idx="46">
                  <c:v>4064</c:v>
                </c:pt>
                <c:pt idx="47">
                  <c:v>4195</c:v>
                </c:pt>
                <c:pt idx="48">
                  <c:v>4756</c:v>
                </c:pt>
                <c:pt idx="49">
                  <c:v>4857</c:v>
                </c:pt>
                <c:pt idx="50">
                  <c:v>5317</c:v>
                </c:pt>
                <c:pt idx="51">
                  <c:v>5811</c:v>
                </c:pt>
                <c:pt idx="52">
                  <c:v>6046</c:v>
                </c:pt>
                <c:pt idx="53">
                  <c:v>6527</c:v>
                </c:pt>
                <c:pt idx="54">
                  <c:v>7154</c:v>
                </c:pt>
                <c:pt idx="55">
                  <c:v>7705</c:v>
                </c:pt>
                <c:pt idx="56">
                  <c:v>8391</c:v>
                </c:pt>
                <c:pt idx="57">
                  <c:v>8758</c:v>
                </c:pt>
                <c:pt idx="58">
                  <c:v>9147</c:v>
                </c:pt>
                <c:pt idx="59">
                  <c:v>10022</c:v>
                </c:pt>
                <c:pt idx="60">
                  <c:v>10608</c:v>
                </c:pt>
                <c:pt idx="61">
                  <c:v>11261</c:v>
                </c:pt>
                <c:pt idx="62">
                  <c:v>11986</c:v>
                </c:pt>
                <c:pt idx="63">
                  <c:v>12707</c:v>
                </c:pt>
                <c:pt idx="64">
                  <c:v>13357</c:v>
                </c:pt>
                <c:pt idx="65">
                  <c:v>14285</c:v>
                </c:pt>
                <c:pt idx="66">
                  <c:v>15341</c:v>
                </c:pt>
                <c:pt idx="67">
                  <c:v>16653</c:v>
                </c:pt>
                <c:pt idx="68">
                  <c:v>17681</c:v>
                </c:pt>
                <c:pt idx="69">
                  <c:v>18631</c:v>
                </c:pt>
                <c:pt idx="70">
                  <c:v>20262</c:v>
                </c:pt>
                <c:pt idx="71">
                  <c:v>21083</c:v>
                </c:pt>
                <c:pt idx="72">
                  <c:v>22868</c:v>
                </c:pt>
                <c:pt idx="73">
                  <c:v>25385</c:v>
                </c:pt>
                <c:pt idx="74">
                  <c:v>26687</c:v>
                </c:pt>
                <c:pt idx="75">
                  <c:v>27561</c:v>
                </c:pt>
                <c:pt idx="76">
                  <c:v>29529</c:v>
                </c:pt>
                <c:pt idx="77">
                  <c:v>30168</c:v>
                </c:pt>
                <c:pt idx="78">
                  <c:v>31210</c:v>
                </c:pt>
                <c:pt idx="79">
                  <c:v>32029</c:v>
                </c:pt>
                <c:pt idx="80">
                  <c:v>33078</c:v>
                </c:pt>
                <c:pt idx="81">
                  <c:v>34518</c:v>
                </c:pt>
                <c:pt idx="82">
                  <c:v>35318</c:v>
                </c:pt>
                <c:pt idx="83">
                  <c:v>36549</c:v>
                </c:pt>
                <c:pt idx="84">
                  <c:v>37594</c:v>
                </c:pt>
                <c:pt idx="85">
                  <c:v>39076</c:v>
                </c:pt>
                <c:pt idx="86">
                  <c:v>39332</c:v>
                </c:pt>
                <c:pt idx="87">
                  <c:v>40821</c:v>
                </c:pt>
                <c:pt idx="88">
                  <c:v>42249</c:v>
                </c:pt>
                <c:pt idx="89">
                  <c:v>42745</c:v>
                </c:pt>
                <c:pt idx="90">
                  <c:v>43334</c:v>
                </c:pt>
                <c:pt idx="91">
                  <c:v>44406</c:v>
                </c:pt>
                <c:pt idx="92">
                  <c:v>44837</c:v>
                </c:pt>
                <c:pt idx="93">
                  <c:v>45361</c:v>
                </c:pt>
                <c:pt idx="94">
                  <c:v>47091</c:v>
                </c:pt>
                <c:pt idx="95">
                  <c:v>49105</c:v>
                </c:pt>
                <c:pt idx="96">
                  <c:v>51872</c:v>
                </c:pt>
                <c:pt idx="97">
                  <c:v>54114</c:v>
                </c:pt>
                <c:pt idx="98">
                  <c:v>57504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6B-4D76-9810-309BEA3A442C}"/>
            </c:ext>
          </c:extLst>
        </c:ser>
        <c:ser>
          <c:idx val="2"/>
          <c:order val="2"/>
          <c:tx>
            <c:strRef>
              <c:f>Daily!$H$4</c:f>
              <c:strCache>
                <c:ptCount val="1"/>
                <c:pt idx="0">
                  <c:v>Cumulative recovered</c:v>
                </c:pt>
              </c:strCache>
            </c:strRef>
          </c:tx>
          <c:spPr>
            <a:ln w="2808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Daily!$A$5:$A$103</c:f>
              <c:numCache>
                <c:formatCode>dd\-mmm\-yy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cat>
          <c:val>
            <c:numRef>
              <c:f>Daily!$H$5:$H$103</c:f>
              <c:numCache>
                <c:formatCode>#,##0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5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26</c:v>
                </c:pt>
                <c:pt idx="28">
                  <c:v>30</c:v>
                </c:pt>
                <c:pt idx="29">
                  <c:v>35</c:v>
                </c:pt>
                <c:pt idx="30">
                  <c:v>40</c:v>
                </c:pt>
                <c:pt idx="31">
                  <c:v>41</c:v>
                </c:pt>
                <c:pt idx="32">
                  <c:v>48</c:v>
                </c:pt>
                <c:pt idx="33">
                  <c:v>80</c:v>
                </c:pt>
                <c:pt idx="34">
                  <c:v>122</c:v>
                </c:pt>
                <c:pt idx="35">
                  <c:v>137</c:v>
                </c:pt>
                <c:pt idx="36">
                  <c:v>151</c:v>
                </c:pt>
                <c:pt idx="37">
                  <c:v>152</c:v>
                </c:pt>
                <c:pt idx="38">
                  <c:v>185</c:v>
                </c:pt>
                <c:pt idx="39">
                  <c:v>230</c:v>
                </c:pt>
                <c:pt idx="40">
                  <c:v>405</c:v>
                </c:pt>
                <c:pt idx="41">
                  <c:v>487</c:v>
                </c:pt>
                <c:pt idx="42">
                  <c:v>599</c:v>
                </c:pt>
                <c:pt idx="43">
                  <c:v>712</c:v>
                </c:pt>
                <c:pt idx="44">
                  <c:v>765</c:v>
                </c:pt>
                <c:pt idx="45">
                  <c:v>802</c:v>
                </c:pt>
                <c:pt idx="46">
                  <c:v>1027</c:v>
                </c:pt>
                <c:pt idx="47">
                  <c:v>1065</c:v>
                </c:pt>
                <c:pt idx="48">
                  <c:v>1121</c:v>
                </c:pt>
                <c:pt idx="49">
                  <c:v>1330</c:v>
                </c:pt>
                <c:pt idx="50">
                  <c:v>1537</c:v>
                </c:pt>
                <c:pt idx="51">
                  <c:v>1551</c:v>
                </c:pt>
                <c:pt idx="52">
                  <c:v>1590</c:v>
                </c:pt>
                <c:pt idx="53">
                  <c:v>1674</c:v>
                </c:pt>
                <c:pt idx="54">
                  <c:v>1736</c:v>
                </c:pt>
                <c:pt idx="55">
                  <c:v>1839</c:v>
                </c:pt>
                <c:pt idx="56">
                  <c:v>1907</c:v>
                </c:pt>
                <c:pt idx="57">
                  <c:v>2173</c:v>
                </c:pt>
                <c:pt idx="58">
                  <c:v>2307</c:v>
                </c:pt>
                <c:pt idx="59">
                  <c:v>2340</c:v>
                </c:pt>
                <c:pt idx="60">
                  <c:v>2402</c:v>
                </c:pt>
                <c:pt idx="61">
                  <c:v>2465</c:v>
                </c:pt>
                <c:pt idx="62">
                  <c:v>2465</c:v>
                </c:pt>
                <c:pt idx="63">
                  <c:v>2673</c:v>
                </c:pt>
                <c:pt idx="64">
                  <c:v>2673</c:v>
                </c:pt>
                <c:pt idx="65">
                  <c:v>2792</c:v>
                </c:pt>
                <c:pt idx="66">
                  <c:v>2835</c:v>
                </c:pt>
                <c:pt idx="67">
                  <c:v>2835</c:v>
                </c:pt>
                <c:pt idx="68">
                  <c:v>2835</c:v>
                </c:pt>
                <c:pt idx="69">
                  <c:v>2880</c:v>
                </c:pt>
                <c:pt idx="70">
                  <c:v>3004</c:v>
                </c:pt>
                <c:pt idx="71">
                  <c:v>3018</c:v>
                </c:pt>
                <c:pt idx="72">
                  <c:v>3031</c:v>
                </c:pt>
                <c:pt idx="73">
                  <c:v>3049</c:v>
                </c:pt>
                <c:pt idx="74">
                  <c:v>3187</c:v>
                </c:pt>
                <c:pt idx="75">
                  <c:v>3354</c:v>
                </c:pt>
                <c:pt idx="76">
                  <c:v>3601</c:v>
                </c:pt>
                <c:pt idx="77">
                  <c:v>4357</c:v>
                </c:pt>
                <c:pt idx="78">
                  <c:v>4731</c:v>
                </c:pt>
                <c:pt idx="79">
                  <c:v>5396</c:v>
                </c:pt>
                <c:pt idx="80">
                  <c:v>5680</c:v>
                </c:pt>
                <c:pt idx="81">
                  <c:v>6166</c:v>
                </c:pt>
                <c:pt idx="82">
                  <c:v>7120</c:v>
                </c:pt>
                <c:pt idx="83">
                  <c:v>7717</c:v>
                </c:pt>
                <c:pt idx="84">
                  <c:v>8755</c:v>
                </c:pt>
                <c:pt idx="85">
                  <c:v>9769</c:v>
                </c:pt>
                <c:pt idx="86">
                  <c:v>11207</c:v>
                </c:pt>
                <c:pt idx="87">
                  <c:v>11746</c:v>
                </c:pt>
                <c:pt idx="88">
                  <c:v>12028</c:v>
                </c:pt>
                <c:pt idx="89">
                  <c:v>12858</c:v>
                </c:pt>
                <c:pt idx="90">
                  <c:v>13682</c:v>
                </c:pt>
                <c:pt idx="91">
                  <c:v>14747</c:v>
                </c:pt>
                <c:pt idx="92">
                  <c:v>16819</c:v>
                </c:pt>
                <c:pt idx="93">
                  <c:v>18643</c:v>
                </c:pt>
                <c:pt idx="94">
                  <c:v>19781</c:v>
                </c:pt>
                <c:pt idx="95">
                  <c:v>20590</c:v>
                </c:pt>
                <c:pt idx="96">
                  <c:v>21617</c:v>
                </c:pt>
                <c:pt idx="97">
                  <c:v>23548</c:v>
                </c:pt>
                <c:pt idx="98">
                  <c:v>24753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6B-4D76-9810-309BEA3A4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068078"/>
        <c:axId val="96004435"/>
      </c:lineChart>
      <c:dateAx>
        <c:axId val="29068078"/>
        <c:scaling>
          <c:orientation val="minMax"/>
        </c:scaling>
        <c:delete val="0"/>
        <c:axPos val="b"/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004435"/>
        <c:crosses val="autoZero"/>
        <c:auto val="1"/>
        <c:lblOffset val="100"/>
        <c:baseTimeUnit val="days"/>
      </c:dateAx>
      <c:valAx>
        <c:axId val="96004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People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0680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new cases per day, by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Weekly!$H$4</c:f>
              <c:strCache>
                <c:ptCount val="1"/>
                <c:pt idx="0">
                  <c:v>Avg cases per day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Weekly!$A$5:$A$19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Weekly!$H$5:$H$19</c:f>
              <c:numCache>
                <c:formatCode>#,##0.0</c:formatCode>
                <c:ptCount val="15"/>
                <c:pt idx="0">
                  <c:v>0.8571428571428571</c:v>
                </c:pt>
                <c:pt idx="1">
                  <c:v>1.8571428571428572</c:v>
                </c:pt>
                <c:pt idx="2">
                  <c:v>35.428571428571431</c:v>
                </c:pt>
                <c:pt idx="3">
                  <c:v>100.14285714285714</c:v>
                </c:pt>
                <c:pt idx="4">
                  <c:v>143.14285714285714</c:v>
                </c:pt>
                <c:pt idx="5">
                  <c:v>185.28571428571428</c:v>
                </c:pt>
                <c:pt idx="6">
                  <c:v>388.28571428571428</c:v>
                </c:pt>
                <c:pt idx="7">
                  <c:v>538.28571428571433</c:v>
                </c:pt>
                <c:pt idx="8">
                  <c:v>713.28571428571433</c:v>
                </c:pt>
                <c:pt idx="9">
                  <c:v>1031.8571428571429</c:v>
                </c:pt>
                <c:pt idx="10">
                  <c:v>1692.2857142857142</c:v>
                </c:pt>
                <c:pt idx="11">
                  <c:v>1628.1428571428571</c:v>
                </c:pt>
                <c:pt idx="12">
                  <c:v>1854.5714285714287</c:v>
                </c:pt>
                <c:pt idx="13">
                  <c:v>3016.2857142857142</c:v>
                </c:pt>
                <c:pt idx="14">
                  <c:v>4677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B-46A5-A8E4-FE3AB1EBA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736085"/>
        <c:axId val="18426424"/>
      </c:barChart>
      <c:catAx>
        <c:axId val="94736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Week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426424"/>
        <c:crosses val="autoZero"/>
        <c:auto val="1"/>
        <c:lblAlgn val="ctr"/>
        <c:lblOffset val="100"/>
        <c:noMultiLvlLbl val="0"/>
      </c:catAx>
      <c:valAx>
        <c:axId val="18426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736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Average new cases per day,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Monthly!$F$4</c:f>
              <c:strCache>
                <c:ptCount val="1"/>
                <c:pt idx="0">
                  <c:v>Avg cases per day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Monthly!$A$5:$A$9</c:f>
              <c:numCache>
                <c:formatCode>mmm\ yyyy</c:formatCode>
                <c:ptCount val="5"/>
                <c:pt idx="0">
                  <c:v>43862</c:v>
                </c:pt>
                <c:pt idx="1">
                  <c:v>43891</c:v>
                </c:pt>
                <c:pt idx="2">
                  <c:v>43922</c:v>
                </c:pt>
                <c:pt idx="3">
                  <c:v>43952</c:v>
                </c:pt>
                <c:pt idx="4">
                  <c:v>43983</c:v>
                </c:pt>
              </c:numCache>
            </c:numRef>
          </c:cat>
          <c:val>
            <c:numRef>
              <c:f>Monthly!$F$5:$F$9</c:f>
              <c:numCache>
                <c:formatCode>#,##0.0</c:formatCode>
                <c:ptCount val="5"/>
                <c:pt idx="0">
                  <c:v>1.25</c:v>
                </c:pt>
                <c:pt idx="1">
                  <c:v>63.387096774193552</c:v>
                </c:pt>
                <c:pt idx="2">
                  <c:v>479.63333333333333</c:v>
                </c:pt>
                <c:pt idx="3">
                  <c:v>1768.8709677419354</c:v>
                </c:pt>
                <c:pt idx="4">
                  <c:v>4263.666666666667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5-4E0A-A491-BC785C8BE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13754"/>
        <c:axId val="33464288"/>
      </c:barChart>
      <c:dateAx>
        <c:axId val="49713754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464288"/>
        <c:crosses val="autoZero"/>
        <c:auto val="1"/>
        <c:lblOffset val="100"/>
        <c:baseTimeUnit val="months"/>
      </c:dateAx>
      <c:valAx>
        <c:axId val="33464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7137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cases by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Province!$B$4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Province!$A$5:$A$12</c:f>
              <c:strCache>
                <c:ptCount val="8"/>
                <c:pt idx="0">
                  <c:v>Sindh</c:v>
                </c:pt>
                <c:pt idx="1">
                  <c:v>Punjab</c:v>
                </c:pt>
                <c:pt idx="2">
                  <c:v>Khyber Pakhtunkhwa</c:v>
                </c:pt>
                <c:pt idx="3">
                  <c:v>Baluchistan</c:v>
                </c:pt>
                <c:pt idx="4">
                  <c:v>Islamabad Capital Territory</c:v>
                </c:pt>
                <c:pt idx="5">
                  <c:v>Gilgit-Baltistan</c:v>
                </c:pt>
                <c:pt idx="6">
                  <c:v>Azad Jummu Kashmir</c:v>
                </c:pt>
                <c:pt idx="7">
                  <c:v>Federal Administration Tribal Area</c:v>
                </c:pt>
              </c:strCache>
            </c:strRef>
          </c:cat>
          <c:val>
            <c:numRef>
              <c:f>Province!$B$5:$B$12</c:f>
              <c:numCache>
                <c:formatCode>#,##0</c:formatCode>
                <c:ptCount val="8"/>
                <c:pt idx="0">
                  <c:v>32858</c:v>
                </c:pt>
                <c:pt idx="1">
                  <c:v>31096</c:v>
                </c:pt>
                <c:pt idx="2">
                  <c:v>10259</c:v>
                </c:pt>
                <c:pt idx="3">
                  <c:v>5125</c:v>
                </c:pt>
                <c:pt idx="4">
                  <c:v>3523</c:v>
                </c:pt>
                <c:pt idx="5">
                  <c:v>786</c:v>
                </c:pt>
                <c:pt idx="6">
                  <c:v>285</c:v>
                </c:pt>
                <c:pt idx="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3-4FA8-8A8D-A07BF4269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89605"/>
        <c:axId val="86241039"/>
      </c:barChart>
      <c:catAx>
        <c:axId val="5678960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241039"/>
        <c:crosses val="autoZero"/>
        <c:auto val="1"/>
        <c:lblAlgn val="ctr"/>
        <c:lblOffset val="100"/>
        <c:noMultiLvlLbl val="0"/>
      </c:catAx>
      <c:valAx>
        <c:axId val="86241039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896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Case fatality rate (CFR) by province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Province!$H$4</c:f>
              <c:strCache>
                <c:ptCount val="1"/>
                <c:pt idx="0">
                  <c:v>CFR</c:v>
                </c:pt>
              </c:strCache>
            </c:strRef>
          </c:tx>
          <c:spPr>
            <a:solidFill>
              <a:srgbClr val="C55A11"/>
            </a:solidFill>
            <a:ln w="0">
              <a:solidFill>
                <a:srgbClr val="C55A1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Province!$A$5:$A$12</c:f>
              <c:strCache>
                <c:ptCount val="8"/>
                <c:pt idx="0">
                  <c:v>Sindh</c:v>
                </c:pt>
                <c:pt idx="1">
                  <c:v>Punjab</c:v>
                </c:pt>
                <c:pt idx="2">
                  <c:v>Khyber Pakhtunkhwa</c:v>
                </c:pt>
                <c:pt idx="3">
                  <c:v>Baluchistan</c:v>
                </c:pt>
                <c:pt idx="4">
                  <c:v>Islamabad Capital Territory</c:v>
                </c:pt>
                <c:pt idx="5">
                  <c:v>Gilgit-Baltistan</c:v>
                </c:pt>
                <c:pt idx="6">
                  <c:v>Azad Jummu Kashmir</c:v>
                </c:pt>
                <c:pt idx="7">
                  <c:v>Federal Administration Tribal Area</c:v>
                </c:pt>
              </c:strCache>
            </c:strRef>
          </c:cat>
          <c:val>
            <c:numRef>
              <c:f>Province!$H$5:$H$12</c:f>
              <c:numCache>
                <c:formatCode>0.0%</c:formatCode>
                <c:ptCount val="8"/>
                <c:pt idx="0">
                  <c:v>1.6616957818491693E-2</c:v>
                </c:pt>
                <c:pt idx="1">
                  <c:v>1.9069976845896577E-2</c:v>
                </c:pt>
                <c:pt idx="2">
                  <c:v>4.6105858270786629E-2</c:v>
                </c:pt>
                <c:pt idx="3">
                  <c:v>9.5609756097560974E-3</c:v>
                </c:pt>
                <c:pt idx="4">
                  <c:v>1.0218563724098779E-2</c:v>
                </c:pt>
                <c:pt idx="5">
                  <c:v>3.0534351145038167E-2</c:v>
                </c:pt>
                <c:pt idx="6">
                  <c:v>2.1052631578947368E-2</c:v>
                </c:pt>
                <c:pt idx="7">
                  <c:v>1.8867924528301886E-2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6-4BCB-81ED-358B99B64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02026"/>
        <c:axId val="24233950"/>
      </c:barChart>
      <c:catAx>
        <c:axId val="6260202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33950"/>
        <c:crosses val="autoZero"/>
        <c:auto val="1"/>
        <c:lblAlgn val="ctr"/>
        <c:lblOffset val="100"/>
        <c:noMultiLvlLbl val="0"/>
      </c:catAx>
      <c:valAx>
        <c:axId val="2423395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602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15 cities: cases and cumulative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City!$D$4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City!$B$5:$B$19</c:f>
              <c:strCache>
                <c:ptCount val="15"/>
                <c:pt idx="0">
                  <c:v>Karachi</c:v>
                </c:pt>
                <c:pt idx="1">
                  <c:v>Lahore</c:v>
                </c:pt>
                <c:pt idx="2">
                  <c:v>Quetta</c:v>
                </c:pt>
                <c:pt idx="3">
                  <c:v>Peshawar</c:v>
                </c:pt>
                <c:pt idx="4">
                  <c:v>Islamabad</c:v>
                </c:pt>
                <c:pt idx="5">
                  <c:v>Swat</c:v>
                </c:pt>
                <c:pt idx="6">
                  <c:v>Multan</c:v>
                </c:pt>
                <c:pt idx="7">
                  <c:v>Sukkur</c:v>
                </c:pt>
                <c:pt idx="8">
                  <c:v>Hyderabad</c:v>
                </c:pt>
                <c:pt idx="9">
                  <c:v>Raiwind</c:v>
                </c:pt>
                <c:pt idx="10">
                  <c:v>Malakand</c:v>
                </c:pt>
                <c:pt idx="11">
                  <c:v>Mardan</c:v>
                </c:pt>
                <c:pt idx="12">
                  <c:v>Gilgit</c:v>
                </c:pt>
                <c:pt idx="13">
                  <c:v>Larkana</c:v>
                </c:pt>
                <c:pt idx="14">
                  <c:v>Ghotki</c:v>
                </c:pt>
              </c:strCache>
            </c:strRef>
          </c:cat>
          <c:val>
            <c:numRef>
              <c:f>City!$D$5:$D$19</c:f>
              <c:numCache>
                <c:formatCode>#,##0</c:formatCode>
                <c:ptCount val="15"/>
                <c:pt idx="0">
                  <c:v>29346</c:v>
                </c:pt>
                <c:pt idx="1">
                  <c:v>28015</c:v>
                </c:pt>
                <c:pt idx="2">
                  <c:v>5109</c:v>
                </c:pt>
                <c:pt idx="3">
                  <c:v>4923</c:v>
                </c:pt>
                <c:pt idx="4">
                  <c:v>3523</c:v>
                </c:pt>
                <c:pt idx="5">
                  <c:v>958</c:v>
                </c:pt>
                <c:pt idx="6">
                  <c:v>712</c:v>
                </c:pt>
                <c:pt idx="7">
                  <c:v>681</c:v>
                </c:pt>
                <c:pt idx="8">
                  <c:v>610</c:v>
                </c:pt>
                <c:pt idx="9">
                  <c:v>546</c:v>
                </c:pt>
                <c:pt idx="10">
                  <c:v>486</c:v>
                </c:pt>
                <c:pt idx="11">
                  <c:v>473</c:v>
                </c:pt>
                <c:pt idx="12">
                  <c:v>402</c:v>
                </c:pt>
                <c:pt idx="13">
                  <c:v>398</c:v>
                </c:pt>
                <c:pt idx="14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3-4627-93A7-E0778AB32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65650"/>
        <c:axId val="54008082"/>
      </c:barChart>
      <c:lineChart>
        <c:grouping val="standard"/>
        <c:varyColors val="0"/>
        <c:ser>
          <c:idx val="1"/>
          <c:order val="1"/>
          <c:tx>
            <c:strRef>
              <c:f>City!$H$4</c:f>
              <c:strCache>
                <c:ptCount val="1"/>
                <c:pt idx="0">
                  <c:v>Cumulative share</c:v>
                </c:pt>
              </c:strCache>
            </c:strRef>
          </c:tx>
          <c:spPr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City!$B$5:$B$19</c:f>
              <c:strCache>
                <c:ptCount val="15"/>
                <c:pt idx="0">
                  <c:v>Karachi</c:v>
                </c:pt>
                <c:pt idx="1">
                  <c:v>Lahore</c:v>
                </c:pt>
                <c:pt idx="2">
                  <c:v>Quetta</c:v>
                </c:pt>
                <c:pt idx="3">
                  <c:v>Peshawar</c:v>
                </c:pt>
                <c:pt idx="4">
                  <c:v>Islamabad</c:v>
                </c:pt>
                <c:pt idx="5">
                  <c:v>Swat</c:v>
                </c:pt>
                <c:pt idx="6">
                  <c:v>Multan</c:v>
                </c:pt>
                <c:pt idx="7">
                  <c:v>Sukkur</c:v>
                </c:pt>
                <c:pt idx="8">
                  <c:v>Hyderabad</c:v>
                </c:pt>
                <c:pt idx="9">
                  <c:v>Raiwind</c:v>
                </c:pt>
                <c:pt idx="10">
                  <c:v>Malakand</c:v>
                </c:pt>
                <c:pt idx="11">
                  <c:v>Mardan</c:v>
                </c:pt>
                <c:pt idx="12">
                  <c:v>Gilgit</c:v>
                </c:pt>
                <c:pt idx="13">
                  <c:v>Larkana</c:v>
                </c:pt>
                <c:pt idx="14">
                  <c:v>Ghotki</c:v>
                </c:pt>
              </c:strCache>
            </c:strRef>
          </c:cat>
          <c:val>
            <c:numRef>
              <c:f>City!$H$5:$H$19</c:f>
              <c:numCache>
                <c:formatCode>0.0%</c:formatCode>
                <c:ptCount val="15"/>
                <c:pt idx="0">
                  <c:v>0.34941953920342916</c:v>
                </c:pt>
                <c:pt idx="1">
                  <c:v>0.68299101029945819</c:v>
                </c:pt>
                <c:pt idx="2">
                  <c:v>0.74382330178007972</c:v>
                </c:pt>
                <c:pt idx="3">
                  <c:v>0.80244091206763102</c:v>
                </c:pt>
                <c:pt idx="4">
                  <c:v>0.84438887896648196</c:v>
                </c:pt>
                <c:pt idx="5">
                  <c:v>0.85579567779960697</c:v>
                </c:pt>
                <c:pt idx="6">
                  <c:v>0.86427338215157457</c:v>
                </c:pt>
                <c:pt idx="7">
                  <c:v>0.87238197297136377</c:v>
                </c:pt>
                <c:pt idx="8">
                  <c:v>0.87964517473358317</c:v>
                </c:pt>
                <c:pt idx="9">
                  <c:v>0.88614633565517631</c:v>
                </c:pt>
                <c:pt idx="10">
                  <c:v>0.89193308328868226</c:v>
                </c:pt>
                <c:pt idx="11">
                  <c:v>0.897565041376436</c:v>
                </c:pt>
                <c:pt idx="12">
                  <c:v>0.90235161040661993</c:v>
                </c:pt>
                <c:pt idx="13">
                  <c:v>0.9070905518842648</c:v>
                </c:pt>
                <c:pt idx="14">
                  <c:v>0.9115675418229443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F3-4627-93A7-E0778AB32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041920"/>
        <c:axId val="24738262"/>
      </c:lineChart>
      <c:catAx>
        <c:axId val="879656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008082"/>
        <c:crosses val="autoZero"/>
        <c:auto val="1"/>
        <c:lblAlgn val="ctr"/>
        <c:lblOffset val="100"/>
        <c:noMultiLvlLbl val="0"/>
      </c:catAx>
      <c:valAx>
        <c:axId val="54008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965650"/>
        <c:crosses val="autoZero"/>
        <c:crossBetween val="between"/>
      </c:valAx>
      <c:catAx>
        <c:axId val="504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38262"/>
        <c:crosses val="autoZero"/>
        <c:auto val="1"/>
        <c:lblAlgn val="ctr"/>
        <c:lblOffset val="100"/>
        <c:noMultiLvlLbl val="0"/>
      </c:catAx>
      <c:valAx>
        <c:axId val="24738262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192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Cases by recorded source (top 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Travel!$C$4</c:f>
              <c:strCache>
                <c:ptCount val="1"/>
                <c:pt idx="0">
                  <c:v>Cases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Travel!$A$5:$A$12</c:f>
              <c:strCache>
                <c:ptCount val="8"/>
                <c:pt idx="0">
                  <c:v>Local - Social Contact</c:v>
                </c:pt>
                <c:pt idx="1">
                  <c:v>Unknown</c:v>
                </c:pt>
                <c:pt idx="2">
                  <c:v>Tableeghi Jamaat</c:v>
                </c:pt>
                <c:pt idx="3">
                  <c:v>Iran/Taftan</c:v>
                </c:pt>
                <c:pt idx="4">
                  <c:v>Jail</c:v>
                </c:pt>
                <c:pt idx="5">
                  <c:v>Afghanistan</c:v>
                </c:pt>
                <c:pt idx="6">
                  <c:v>International Passenger</c:v>
                </c:pt>
                <c:pt idx="7">
                  <c:v>Syria</c:v>
                </c:pt>
              </c:strCache>
            </c:strRef>
          </c:cat>
          <c:val>
            <c:numRef>
              <c:f>Travel!$C$5:$C$12</c:f>
              <c:numCache>
                <c:formatCode>#,##0</c:formatCode>
                <c:ptCount val="8"/>
                <c:pt idx="0">
                  <c:v>78118</c:v>
                </c:pt>
                <c:pt idx="1">
                  <c:v>3459</c:v>
                </c:pt>
                <c:pt idx="2">
                  <c:v>1115</c:v>
                </c:pt>
                <c:pt idx="3">
                  <c:v>1053</c:v>
                </c:pt>
                <c:pt idx="4">
                  <c:v>107</c:v>
                </c:pt>
                <c:pt idx="5">
                  <c:v>70</c:v>
                </c:pt>
                <c:pt idx="6">
                  <c:v>38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7-4E32-B42B-9A550E1D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573260"/>
        <c:axId val="67743073"/>
      </c:barChart>
      <c:catAx>
        <c:axId val="635732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743073"/>
        <c:crosses val="autoZero"/>
        <c:auto val="1"/>
        <c:lblAlgn val="ctr"/>
        <c:lblOffset val="100"/>
        <c:noMultiLvlLbl val="0"/>
      </c:catAx>
      <c:valAx>
        <c:axId val="67743073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732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1. Cases vs Day_Num with linear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Daily cases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Regression_Excel!$B$53:$B$151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4B-480A-9F9B-2BC06827B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39573"/>
        <c:axId val="96968729"/>
      </c:scatterChart>
      <c:valAx>
        <c:axId val="9843957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Day_Num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968729"/>
        <c:crosses val="autoZero"/>
        <c:crossBetween val="midCat"/>
      </c:valAx>
      <c:valAx>
        <c:axId val="969687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Daily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43957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2. Cases vs Day_Num with polynomial (order 2) trendline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Daily cases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Regression_Excel!$B$53:$B$151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ED-4E3A-B95F-4745068EF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8688"/>
        <c:axId val="7399852"/>
      </c:scatterChart>
      <c:valAx>
        <c:axId val="377786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Day_Num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99852"/>
        <c:crosses val="autoZero"/>
        <c:crossBetween val="midCat"/>
      </c:valAx>
      <c:valAx>
        <c:axId val="7399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Daily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7868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3. Multiple regression: actual vs fitted cases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 vs fitted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Regression_Excel!$H$53:$H$151</c:f>
              <c:numCache>
                <c:formatCode>#,##0</c:formatCode>
                <c:ptCount val="99"/>
                <c:pt idx="0">
                  <c:v>-139.61926642028166</c:v>
                </c:pt>
                <c:pt idx="1">
                  <c:v>-132.04589976291527</c:v>
                </c:pt>
                <c:pt idx="2">
                  <c:v>-124.47253310554886</c:v>
                </c:pt>
                <c:pt idx="3">
                  <c:v>-116.89916644818247</c:v>
                </c:pt>
                <c:pt idx="4">
                  <c:v>-109.32579979081606</c:v>
                </c:pt>
                <c:pt idx="5">
                  <c:v>-101.75243313344967</c:v>
                </c:pt>
                <c:pt idx="6">
                  <c:v>-94.179066476083278</c:v>
                </c:pt>
                <c:pt idx="7">
                  <c:v>-86.605699818716886</c:v>
                </c:pt>
                <c:pt idx="8">
                  <c:v>-79.032333161350479</c:v>
                </c:pt>
                <c:pt idx="9">
                  <c:v>-71.216400768809777</c:v>
                </c:pt>
                <c:pt idx="10">
                  <c:v>-63.885599846617694</c:v>
                </c:pt>
                <c:pt idx="11">
                  <c:v>-56.312233189251288</c:v>
                </c:pt>
                <c:pt idx="12">
                  <c:v>-48.738866531884895</c:v>
                </c:pt>
                <c:pt idx="13">
                  <c:v>-41.165499874518503</c:v>
                </c:pt>
                <c:pt idx="14">
                  <c:v>-33.349567481977786</c:v>
                </c:pt>
                <c:pt idx="15">
                  <c:v>-26.018766559785703</c:v>
                </c:pt>
                <c:pt idx="16">
                  <c:v>-18.202834167244987</c:v>
                </c:pt>
                <c:pt idx="17">
                  <c:v>-10.872033245052904</c:v>
                </c:pt>
                <c:pt idx="18">
                  <c:v>28.567465401869924</c:v>
                </c:pt>
                <c:pt idx="19">
                  <c:v>4.5172658048541905</c:v>
                </c:pt>
                <c:pt idx="20">
                  <c:v>11.848066727046273</c:v>
                </c:pt>
                <c:pt idx="21">
                  <c:v>83.153697363525524</c:v>
                </c:pt>
                <c:pt idx="22">
                  <c:v>27.237365776953396</c:v>
                </c:pt>
                <c:pt idx="23">
                  <c:v>66.434298688701915</c:v>
                </c:pt>
                <c:pt idx="24">
                  <c:v>42.869230562034829</c:v>
                </c:pt>
                <c:pt idx="25">
                  <c:v>81.5810320034347</c:v>
                </c:pt>
                <c:pt idx="26">
                  <c:v>89.154398660801093</c:v>
                </c:pt>
                <c:pt idx="27">
                  <c:v>101.09394855130527</c:v>
                </c:pt>
                <c:pt idx="28">
                  <c:v>105.27139491623119</c:v>
                </c:pt>
                <c:pt idx="29">
                  <c:v>113.0873273087719</c:v>
                </c:pt>
                <c:pt idx="30">
                  <c:v>152.52682595569473</c:v>
                </c:pt>
                <c:pt idx="31">
                  <c:v>159.12992967236383</c:v>
                </c:pt>
                <c:pt idx="32">
                  <c:v>295.62321869900188</c:v>
                </c:pt>
                <c:pt idx="33">
                  <c:v>245.52846475661346</c:v>
                </c:pt>
                <c:pt idx="34">
                  <c:v>255.52748876572306</c:v>
                </c:pt>
                <c:pt idx="35">
                  <c:v>256.55158057338281</c:v>
                </c:pt>
                <c:pt idx="36">
                  <c:v>295.74851348513124</c:v>
                </c:pt>
                <c:pt idx="37">
                  <c:v>300.16852558523152</c:v>
                </c:pt>
                <c:pt idx="38">
                  <c:v>283.63786377861976</c:v>
                </c:pt>
                <c:pt idx="39">
                  <c:v>262.25588726852158</c:v>
                </c:pt>
                <c:pt idx="40">
                  <c:v>365.09506347766268</c:v>
                </c:pt>
                <c:pt idx="41">
                  <c:v>286.37755278470428</c:v>
                </c:pt>
                <c:pt idx="42">
                  <c:v>428.69241945552608</c:v>
                </c:pt>
                <c:pt idx="43">
                  <c:v>340.90995587939744</c:v>
                </c:pt>
                <c:pt idx="44">
                  <c:v>333.92937842630459</c:v>
                </c:pt>
                <c:pt idx="45">
                  <c:v>688.14914520600257</c:v>
                </c:pt>
                <c:pt idx="46">
                  <c:v>486.39581415968996</c:v>
                </c:pt>
                <c:pt idx="47">
                  <c:v>353.01099237078893</c:v>
                </c:pt>
                <c:pt idx="48">
                  <c:v>588.0134661881882</c:v>
                </c:pt>
                <c:pt idx="49">
                  <c:v>632.69939032722573</c:v>
                </c:pt>
                <c:pt idx="50">
                  <c:v>799.1182854620256</c:v>
                </c:pt>
                <c:pt idx="51">
                  <c:v>377.48288135607078</c:v>
                </c:pt>
                <c:pt idx="52">
                  <c:v>614.18331531969034</c:v>
                </c:pt>
                <c:pt idx="53">
                  <c:v>855.73506398679615</c:v>
                </c:pt>
                <c:pt idx="54">
                  <c:v>857.97198447032747</c:v>
                </c:pt>
                <c:pt idx="55">
                  <c:v>1034.8212062176231</c:v>
                </c:pt>
                <c:pt idx="56">
                  <c:v>715.24345224832405</c:v>
                </c:pt>
                <c:pt idx="57">
                  <c:v>611.51417452242401</c:v>
                </c:pt>
                <c:pt idx="58">
                  <c:v>682.66726010544926</c:v>
                </c:pt>
                <c:pt idx="59">
                  <c:v>761.33988347887839</c:v>
                </c:pt>
                <c:pt idx="60">
                  <c:v>712.21539247718715</c:v>
                </c:pt>
                <c:pt idx="61">
                  <c:v>1070.5587767548486</c:v>
                </c:pt>
                <c:pt idx="62">
                  <c:v>489.26012628421711</c:v>
                </c:pt>
                <c:pt idx="63">
                  <c:v>993.4130137116324</c:v>
                </c:pt>
                <c:pt idx="64">
                  <c:v>823.0681794945142</c:v>
                </c:pt>
                <c:pt idx="65">
                  <c:v>1114.4359245540763</c:v>
                </c:pt>
                <c:pt idx="66">
                  <c:v>1135.4404273277507</c:v>
                </c:pt>
                <c:pt idx="67">
                  <c:v>1323.7802593099598</c:v>
                </c:pt>
                <c:pt idx="68">
                  <c:v>1140.1568340299877</c:v>
                </c:pt>
                <c:pt idx="69">
                  <c:v>1286.1101867284242</c:v>
                </c:pt>
                <c:pt idx="70">
                  <c:v>1982.0350182452473</c:v>
                </c:pt>
                <c:pt idx="71">
                  <c:v>1293.7373822527529</c:v>
                </c:pt>
                <c:pt idx="72">
                  <c:v>1396.6665791436144</c:v>
                </c:pt>
                <c:pt idx="73">
                  <c:v>1023.0591906021752</c:v>
                </c:pt>
                <c:pt idx="74">
                  <c:v>1187.204973438686</c:v>
                </c:pt>
                <c:pt idx="75">
                  <c:v>1679.8047262594541</c:v>
                </c:pt>
                <c:pt idx="76">
                  <c:v>1738.6494837203227</c:v>
                </c:pt>
                <c:pt idx="77">
                  <c:v>1774.0904136127497</c:v>
                </c:pt>
                <c:pt idx="78">
                  <c:v>1593.4052734648558</c:v>
                </c:pt>
                <c:pt idx="79">
                  <c:v>1607.833005078837</c:v>
                </c:pt>
                <c:pt idx="80">
                  <c:v>1777.9178825512383</c:v>
                </c:pt>
                <c:pt idx="81">
                  <c:v>1547.6943398078097</c:v>
                </c:pt>
                <c:pt idx="82">
                  <c:v>2178.6465823596618</c:v>
                </c:pt>
                <c:pt idx="83">
                  <c:v>2099.6239815597951</c:v>
                </c:pt>
                <c:pt idx="84">
                  <c:v>1768.0429895752475</c:v>
                </c:pt>
                <c:pt idx="85">
                  <c:v>2120.3222304735509</c:v>
                </c:pt>
                <c:pt idx="86">
                  <c:v>1943.9482809388217</c:v>
                </c:pt>
                <c:pt idx="87">
                  <c:v>1669.72278769536</c:v>
                </c:pt>
                <c:pt idx="88">
                  <c:v>1678.6890243920386</c:v>
                </c:pt>
                <c:pt idx="89">
                  <c:v>1691.7238859667075</c:v>
                </c:pt>
                <c:pt idx="90">
                  <c:v>1602.2434622443589</c:v>
                </c:pt>
                <c:pt idx="91">
                  <c:v>1955.0703589847449</c:v>
                </c:pt>
                <c:pt idx="92">
                  <c:v>2939.8284567224509</c:v>
                </c:pt>
                <c:pt idx="93">
                  <c:v>3492.7020288581575</c:v>
                </c:pt>
                <c:pt idx="94">
                  <c:v>3652.5366210815037</c:v>
                </c:pt>
                <c:pt idx="95">
                  <c:v>2688.0541651589383</c:v>
                </c:pt>
                <c:pt idx="96">
                  <c:v>3322.0972378963224</c:v>
                </c:pt>
                <c:pt idx="97">
                  <c:v>3262.1548412452676</c:v>
                </c:pt>
                <c:pt idx="98">
                  <c:v>3507.8852000303104</c:v>
                </c:pt>
              </c:numCache>
            </c:numRef>
          </c:xVal>
          <c:yVal>
            <c:numRef>
              <c:f>Regression_Excel!$B$53:$B$151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79-492B-A102-723AB41FE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19597"/>
        <c:axId val="22953576"/>
      </c:scatterChart>
      <c:valAx>
        <c:axId val="177195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Fitted cases (multiple regression)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53576"/>
        <c:crosses val="autoZero"/>
        <c:crossBetween val="midCat"/>
      </c:valAx>
      <c:valAx>
        <c:axId val="22953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Actual daily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1959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4. Actual cases and the three fitted models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A6A6A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Regression_Excel!$B$53:$B$151</c:f>
              <c:numCache>
                <c:formatCode>#,##0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114</c:v>
                </c:pt>
                <c:pt idx="28">
                  <c:v>110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683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677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948</c:v>
                </c:pt>
                <c:pt idx="64">
                  <c:v>665</c:v>
                </c:pt>
                <c:pt idx="65">
                  <c:v>1070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1804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83-4C6D-B40F-61FBFE0E3BA3}"/>
            </c:ext>
          </c:extLst>
        </c:ser>
        <c:ser>
          <c:idx val="1"/>
          <c:order val="1"/>
          <c:tx>
            <c:v>Simple</c:v>
          </c:tx>
          <c:spPr>
            <a:ln w="2412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Regression_Excel!$G$53:$G$151</c:f>
              <c:numCache>
                <c:formatCode>#,##0</c:formatCode>
                <c:ptCount val="99"/>
                <c:pt idx="0">
                  <c:v>-628.27333333333308</c:v>
                </c:pt>
                <c:pt idx="1">
                  <c:v>-598.13850340136037</c:v>
                </c:pt>
                <c:pt idx="2">
                  <c:v>-568.00367346938754</c:v>
                </c:pt>
                <c:pt idx="3">
                  <c:v>-537.86884353741482</c:v>
                </c:pt>
                <c:pt idx="4">
                  <c:v>-507.73401360544199</c:v>
                </c:pt>
                <c:pt idx="5">
                  <c:v>-477.59918367346921</c:v>
                </c:pt>
                <c:pt idx="6">
                  <c:v>-447.46435374149644</c:v>
                </c:pt>
                <c:pt idx="7">
                  <c:v>-417.32952380952361</c:v>
                </c:pt>
                <c:pt idx="8">
                  <c:v>-387.19469387755083</c:v>
                </c:pt>
                <c:pt idx="9">
                  <c:v>-357.05986394557806</c:v>
                </c:pt>
                <c:pt idx="10">
                  <c:v>-326.92503401360528</c:v>
                </c:pt>
                <c:pt idx="11">
                  <c:v>-296.79020408163251</c:v>
                </c:pt>
                <c:pt idx="12">
                  <c:v>-266.65537414965974</c:v>
                </c:pt>
                <c:pt idx="13">
                  <c:v>-236.5205442176869</c:v>
                </c:pt>
                <c:pt idx="14">
                  <c:v>-206.38571428571413</c:v>
                </c:pt>
                <c:pt idx="15">
                  <c:v>-176.25088435374136</c:v>
                </c:pt>
                <c:pt idx="16">
                  <c:v>-146.11605442176858</c:v>
                </c:pt>
                <c:pt idx="17">
                  <c:v>-115.98122448979575</c:v>
                </c:pt>
                <c:pt idx="18">
                  <c:v>-85.846394557823032</c:v>
                </c:pt>
                <c:pt idx="19">
                  <c:v>-55.711564625850201</c:v>
                </c:pt>
                <c:pt idx="20">
                  <c:v>-25.576734693877484</c:v>
                </c:pt>
                <c:pt idx="21">
                  <c:v>4.5580952380953477</c:v>
                </c:pt>
                <c:pt idx="22">
                  <c:v>34.692925170068179</c:v>
                </c:pt>
                <c:pt idx="23">
                  <c:v>64.827755102040896</c:v>
                </c:pt>
                <c:pt idx="24">
                  <c:v>94.962585034013728</c:v>
                </c:pt>
                <c:pt idx="25">
                  <c:v>125.09741496598645</c:v>
                </c:pt>
                <c:pt idx="26">
                  <c:v>155.23224489795928</c:v>
                </c:pt>
                <c:pt idx="27">
                  <c:v>185.36707482993211</c:v>
                </c:pt>
                <c:pt idx="28">
                  <c:v>215.50190476190483</c:v>
                </c:pt>
                <c:pt idx="29">
                  <c:v>245.63673469387766</c:v>
                </c:pt>
                <c:pt idx="30">
                  <c:v>275.77156462585037</c:v>
                </c:pt>
                <c:pt idx="31">
                  <c:v>305.90639455782321</c:v>
                </c:pt>
                <c:pt idx="32">
                  <c:v>336.04122448979604</c:v>
                </c:pt>
                <c:pt idx="33">
                  <c:v>366.17605442176875</c:v>
                </c:pt>
                <c:pt idx="34">
                  <c:v>396.31088435374147</c:v>
                </c:pt>
                <c:pt idx="35">
                  <c:v>426.44571428571442</c:v>
                </c:pt>
                <c:pt idx="36">
                  <c:v>456.58054421768713</c:v>
                </c:pt>
                <c:pt idx="37">
                  <c:v>486.71537414965985</c:v>
                </c:pt>
                <c:pt idx="38">
                  <c:v>516.8502040816328</c:v>
                </c:pt>
                <c:pt idx="39">
                  <c:v>546.98503401360551</c:v>
                </c:pt>
                <c:pt idx="40">
                  <c:v>577.11986394557823</c:v>
                </c:pt>
                <c:pt idx="41">
                  <c:v>607.25469387755095</c:v>
                </c:pt>
                <c:pt idx="42">
                  <c:v>637.38952380952389</c:v>
                </c:pt>
                <c:pt idx="43">
                  <c:v>667.52435374149661</c:v>
                </c:pt>
                <c:pt idx="44">
                  <c:v>697.65918367346933</c:v>
                </c:pt>
                <c:pt idx="45">
                  <c:v>727.79401360544227</c:v>
                </c:pt>
                <c:pt idx="46">
                  <c:v>757.92884353741499</c:v>
                </c:pt>
                <c:pt idx="47">
                  <c:v>788.06367346938771</c:v>
                </c:pt>
                <c:pt idx="48">
                  <c:v>818.19850340136065</c:v>
                </c:pt>
                <c:pt idx="49">
                  <c:v>848.33333333333337</c:v>
                </c:pt>
                <c:pt idx="50">
                  <c:v>878.46816326530609</c:v>
                </c:pt>
                <c:pt idx="51">
                  <c:v>908.60299319727881</c:v>
                </c:pt>
                <c:pt idx="52">
                  <c:v>938.73782312925175</c:v>
                </c:pt>
                <c:pt idx="53">
                  <c:v>968.87265306122447</c:v>
                </c:pt>
                <c:pt idx="54">
                  <c:v>999.00748299319719</c:v>
                </c:pt>
                <c:pt idx="55">
                  <c:v>1029.1423129251702</c:v>
                </c:pt>
                <c:pt idx="56">
                  <c:v>1059.2771428571427</c:v>
                </c:pt>
                <c:pt idx="57">
                  <c:v>1089.4119727891157</c:v>
                </c:pt>
                <c:pt idx="58">
                  <c:v>1119.5468027210886</c:v>
                </c:pt>
                <c:pt idx="59">
                  <c:v>1149.6816326530611</c:v>
                </c:pt>
                <c:pt idx="60">
                  <c:v>1179.8164625850341</c:v>
                </c:pt>
                <c:pt idx="61">
                  <c:v>1209.9512925170066</c:v>
                </c:pt>
                <c:pt idx="62">
                  <c:v>1240.0861224489795</c:v>
                </c:pt>
                <c:pt idx="63">
                  <c:v>1270.2209523809524</c:v>
                </c:pt>
                <c:pt idx="64">
                  <c:v>1300.3557823129249</c:v>
                </c:pt>
                <c:pt idx="65">
                  <c:v>1330.4906122448979</c:v>
                </c:pt>
                <c:pt idx="66">
                  <c:v>1360.6254421768708</c:v>
                </c:pt>
                <c:pt idx="67">
                  <c:v>1390.7602721088433</c:v>
                </c:pt>
                <c:pt idx="68">
                  <c:v>1420.8951020408163</c:v>
                </c:pt>
                <c:pt idx="69">
                  <c:v>1451.0299319727887</c:v>
                </c:pt>
                <c:pt idx="70">
                  <c:v>1481.1647619047617</c:v>
                </c:pt>
                <c:pt idx="71">
                  <c:v>1511.2995918367346</c:v>
                </c:pt>
                <c:pt idx="72">
                  <c:v>1541.4344217687071</c:v>
                </c:pt>
                <c:pt idx="73">
                  <c:v>1571.5692517006801</c:v>
                </c:pt>
                <c:pt idx="74">
                  <c:v>1601.704081632653</c:v>
                </c:pt>
                <c:pt idx="75">
                  <c:v>1631.8389115646255</c:v>
                </c:pt>
                <c:pt idx="76">
                  <c:v>1661.9737414965984</c:v>
                </c:pt>
                <c:pt idx="77">
                  <c:v>1692.1085714285714</c:v>
                </c:pt>
                <c:pt idx="78">
                  <c:v>1722.2434013605439</c:v>
                </c:pt>
                <c:pt idx="79">
                  <c:v>1752.3782312925168</c:v>
                </c:pt>
                <c:pt idx="80">
                  <c:v>1782.5130612244898</c:v>
                </c:pt>
                <c:pt idx="81">
                  <c:v>1812.6478911564623</c:v>
                </c:pt>
                <c:pt idx="82">
                  <c:v>1842.7827210884352</c:v>
                </c:pt>
                <c:pt idx="83">
                  <c:v>1872.9175510204077</c:v>
                </c:pt>
                <c:pt idx="84">
                  <c:v>1903.0523809523806</c:v>
                </c:pt>
                <c:pt idx="85">
                  <c:v>1933.1872108843536</c:v>
                </c:pt>
                <c:pt idx="86">
                  <c:v>1963.3220408163261</c:v>
                </c:pt>
                <c:pt idx="87">
                  <c:v>1993.456870748299</c:v>
                </c:pt>
                <c:pt idx="88">
                  <c:v>2023.591700680272</c:v>
                </c:pt>
                <c:pt idx="89">
                  <c:v>2053.7265306122445</c:v>
                </c:pt>
                <c:pt idx="90">
                  <c:v>2083.8613605442174</c:v>
                </c:pt>
                <c:pt idx="91">
                  <c:v>2113.9961904761903</c:v>
                </c:pt>
                <c:pt idx="92">
                  <c:v>2144.1310204081628</c:v>
                </c:pt>
                <c:pt idx="93">
                  <c:v>2174.2658503401358</c:v>
                </c:pt>
                <c:pt idx="94">
                  <c:v>2204.4006802721087</c:v>
                </c:pt>
                <c:pt idx="95">
                  <c:v>2234.5355102040812</c:v>
                </c:pt>
                <c:pt idx="96">
                  <c:v>2264.6703401360542</c:v>
                </c:pt>
                <c:pt idx="97">
                  <c:v>2294.8051700680271</c:v>
                </c:pt>
                <c:pt idx="98">
                  <c:v>2324.9399999999996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83-4C6D-B40F-61FBFE0E3BA3}"/>
            </c:ext>
          </c:extLst>
        </c:ser>
        <c:ser>
          <c:idx val="2"/>
          <c:order val="2"/>
          <c:tx>
            <c:v>Multiple</c:v>
          </c:tx>
          <c:spPr>
            <a:ln w="2412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Regression_Excel!$H$53:$H$151</c:f>
              <c:numCache>
                <c:formatCode>#,##0</c:formatCode>
                <c:ptCount val="99"/>
                <c:pt idx="0">
                  <c:v>-139.61926642028166</c:v>
                </c:pt>
                <c:pt idx="1">
                  <c:v>-132.04589976291527</c:v>
                </c:pt>
                <c:pt idx="2">
                  <c:v>-124.47253310554886</c:v>
                </c:pt>
                <c:pt idx="3">
                  <c:v>-116.89916644818247</c:v>
                </c:pt>
                <c:pt idx="4">
                  <c:v>-109.32579979081606</c:v>
                </c:pt>
                <c:pt idx="5">
                  <c:v>-101.75243313344967</c:v>
                </c:pt>
                <c:pt idx="6">
                  <c:v>-94.179066476083278</c:v>
                </c:pt>
                <c:pt idx="7">
                  <c:v>-86.605699818716886</c:v>
                </c:pt>
                <c:pt idx="8">
                  <c:v>-79.032333161350479</c:v>
                </c:pt>
                <c:pt idx="9">
                  <c:v>-71.216400768809777</c:v>
                </c:pt>
                <c:pt idx="10">
                  <c:v>-63.885599846617694</c:v>
                </c:pt>
                <c:pt idx="11">
                  <c:v>-56.312233189251288</c:v>
                </c:pt>
                <c:pt idx="12">
                  <c:v>-48.738866531884895</c:v>
                </c:pt>
                <c:pt idx="13">
                  <c:v>-41.165499874518503</c:v>
                </c:pt>
                <c:pt idx="14">
                  <c:v>-33.349567481977786</c:v>
                </c:pt>
                <c:pt idx="15">
                  <c:v>-26.018766559785703</c:v>
                </c:pt>
                <c:pt idx="16">
                  <c:v>-18.202834167244987</c:v>
                </c:pt>
                <c:pt idx="17">
                  <c:v>-10.872033245052904</c:v>
                </c:pt>
                <c:pt idx="18">
                  <c:v>28.567465401869924</c:v>
                </c:pt>
                <c:pt idx="19">
                  <c:v>4.5172658048541905</c:v>
                </c:pt>
                <c:pt idx="20">
                  <c:v>11.848066727046273</c:v>
                </c:pt>
                <c:pt idx="21">
                  <c:v>83.153697363525524</c:v>
                </c:pt>
                <c:pt idx="22">
                  <c:v>27.237365776953396</c:v>
                </c:pt>
                <c:pt idx="23">
                  <c:v>66.434298688701915</c:v>
                </c:pt>
                <c:pt idx="24">
                  <c:v>42.869230562034829</c:v>
                </c:pt>
                <c:pt idx="25">
                  <c:v>81.5810320034347</c:v>
                </c:pt>
                <c:pt idx="26">
                  <c:v>89.154398660801093</c:v>
                </c:pt>
                <c:pt idx="27">
                  <c:v>101.09394855130527</c:v>
                </c:pt>
                <c:pt idx="28">
                  <c:v>105.27139491623119</c:v>
                </c:pt>
                <c:pt idx="29">
                  <c:v>113.0873273087719</c:v>
                </c:pt>
                <c:pt idx="30">
                  <c:v>152.52682595569473</c:v>
                </c:pt>
                <c:pt idx="31">
                  <c:v>159.12992967236383</c:v>
                </c:pt>
                <c:pt idx="32">
                  <c:v>295.62321869900188</c:v>
                </c:pt>
                <c:pt idx="33">
                  <c:v>245.52846475661346</c:v>
                </c:pt>
                <c:pt idx="34">
                  <c:v>255.52748876572306</c:v>
                </c:pt>
                <c:pt idx="35">
                  <c:v>256.55158057338281</c:v>
                </c:pt>
                <c:pt idx="36">
                  <c:v>295.74851348513124</c:v>
                </c:pt>
                <c:pt idx="37">
                  <c:v>300.16852558523152</c:v>
                </c:pt>
                <c:pt idx="38">
                  <c:v>283.63786377861976</c:v>
                </c:pt>
                <c:pt idx="39">
                  <c:v>262.25588726852158</c:v>
                </c:pt>
                <c:pt idx="40">
                  <c:v>365.09506347766268</c:v>
                </c:pt>
                <c:pt idx="41">
                  <c:v>286.37755278470428</c:v>
                </c:pt>
                <c:pt idx="42">
                  <c:v>428.69241945552608</c:v>
                </c:pt>
                <c:pt idx="43">
                  <c:v>340.90995587939744</c:v>
                </c:pt>
                <c:pt idx="44">
                  <c:v>333.92937842630459</c:v>
                </c:pt>
                <c:pt idx="45">
                  <c:v>688.14914520600257</c:v>
                </c:pt>
                <c:pt idx="46">
                  <c:v>486.39581415968996</c:v>
                </c:pt>
                <c:pt idx="47">
                  <c:v>353.01099237078893</c:v>
                </c:pt>
                <c:pt idx="48">
                  <c:v>588.0134661881882</c:v>
                </c:pt>
                <c:pt idx="49">
                  <c:v>632.69939032722573</c:v>
                </c:pt>
                <c:pt idx="50">
                  <c:v>799.1182854620256</c:v>
                </c:pt>
                <c:pt idx="51">
                  <c:v>377.48288135607078</c:v>
                </c:pt>
                <c:pt idx="52">
                  <c:v>614.18331531969034</c:v>
                </c:pt>
                <c:pt idx="53">
                  <c:v>855.73506398679615</c:v>
                </c:pt>
                <c:pt idx="54">
                  <c:v>857.97198447032747</c:v>
                </c:pt>
                <c:pt idx="55">
                  <c:v>1034.8212062176231</c:v>
                </c:pt>
                <c:pt idx="56">
                  <c:v>715.24345224832405</c:v>
                </c:pt>
                <c:pt idx="57">
                  <c:v>611.51417452242401</c:v>
                </c:pt>
                <c:pt idx="58">
                  <c:v>682.66726010544926</c:v>
                </c:pt>
                <c:pt idx="59">
                  <c:v>761.33988347887839</c:v>
                </c:pt>
                <c:pt idx="60">
                  <c:v>712.21539247718715</c:v>
                </c:pt>
                <c:pt idx="61">
                  <c:v>1070.5587767548486</c:v>
                </c:pt>
                <c:pt idx="62">
                  <c:v>489.26012628421711</c:v>
                </c:pt>
                <c:pt idx="63">
                  <c:v>993.4130137116324</c:v>
                </c:pt>
                <c:pt idx="64">
                  <c:v>823.0681794945142</c:v>
                </c:pt>
                <c:pt idx="65">
                  <c:v>1114.4359245540763</c:v>
                </c:pt>
                <c:pt idx="66">
                  <c:v>1135.4404273277507</c:v>
                </c:pt>
                <c:pt idx="67">
                  <c:v>1323.7802593099598</c:v>
                </c:pt>
                <c:pt idx="68">
                  <c:v>1140.1568340299877</c:v>
                </c:pt>
                <c:pt idx="69">
                  <c:v>1286.1101867284242</c:v>
                </c:pt>
                <c:pt idx="70">
                  <c:v>1982.0350182452473</c:v>
                </c:pt>
                <c:pt idx="71">
                  <c:v>1293.7373822527529</c:v>
                </c:pt>
                <c:pt idx="72">
                  <c:v>1396.6665791436144</c:v>
                </c:pt>
                <c:pt idx="73">
                  <c:v>1023.0591906021752</c:v>
                </c:pt>
                <c:pt idx="74">
                  <c:v>1187.204973438686</c:v>
                </c:pt>
                <c:pt idx="75">
                  <c:v>1679.8047262594541</c:v>
                </c:pt>
                <c:pt idx="76">
                  <c:v>1738.6494837203227</c:v>
                </c:pt>
                <c:pt idx="77">
                  <c:v>1774.0904136127497</c:v>
                </c:pt>
                <c:pt idx="78">
                  <c:v>1593.4052734648558</c:v>
                </c:pt>
                <c:pt idx="79">
                  <c:v>1607.833005078837</c:v>
                </c:pt>
                <c:pt idx="80">
                  <c:v>1777.9178825512383</c:v>
                </c:pt>
                <c:pt idx="81">
                  <c:v>1547.6943398078097</c:v>
                </c:pt>
                <c:pt idx="82">
                  <c:v>2178.6465823596618</c:v>
                </c:pt>
                <c:pt idx="83">
                  <c:v>2099.6239815597951</c:v>
                </c:pt>
                <c:pt idx="84">
                  <c:v>1768.0429895752475</c:v>
                </c:pt>
                <c:pt idx="85">
                  <c:v>2120.3222304735509</c:v>
                </c:pt>
                <c:pt idx="86">
                  <c:v>1943.9482809388217</c:v>
                </c:pt>
                <c:pt idx="87">
                  <c:v>1669.72278769536</c:v>
                </c:pt>
                <c:pt idx="88">
                  <c:v>1678.6890243920386</c:v>
                </c:pt>
                <c:pt idx="89">
                  <c:v>1691.7238859667075</c:v>
                </c:pt>
                <c:pt idx="90">
                  <c:v>1602.2434622443589</c:v>
                </c:pt>
                <c:pt idx="91">
                  <c:v>1955.0703589847449</c:v>
                </c:pt>
                <c:pt idx="92">
                  <c:v>2939.8284567224509</c:v>
                </c:pt>
                <c:pt idx="93">
                  <c:v>3492.7020288581575</c:v>
                </c:pt>
                <c:pt idx="94">
                  <c:v>3652.5366210815037</c:v>
                </c:pt>
                <c:pt idx="95">
                  <c:v>2688.0541651589383</c:v>
                </c:pt>
                <c:pt idx="96">
                  <c:v>3322.0972378963224</c:v>
                </c:pt>
                <c:pt idx="97">
                  <c:v>3262.1548412452676</c:v>
                </c:pt>
                <c:pt idx="98">
                  <c:v>3507.8852000303104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83-4C6D-B40F-61FBFE0E3BA3}"/>
            </c:ext>
          </c:extLst>
        </c:ser>
        <c:ser>
          <c:idx val="3"/>
          <c:order val="3"/>
          <c:tx>
            <c:v>Polynomial</c:v>
          </c:tx>
          <c:spPr>
            <a:ln w="2412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Regression_Excel!$E$53:$E$151</c:f>
              <c:numCache>
                <c:formatCode>0</c:formatCode>
                <c:ptCount val="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</c:numCache>
            </c:numRef>
          </c:xVal>
          <c:yVal>
            <c:numRef>
              <c:f>Regression_Excel!$I$53:$I$151</c:f>
              <c:numCache>
                <c:formatCode>#,##0</c:formatCode>
                <c:ptCount val="99"/>
                <c:pt idx="0">
                  <c:v>177.47185118511683</c:v>
                </c:pt>
                <c:pt idx="1">
                  <c:v>158.27534328942937</c:v>
                </c:pt>
                <c:pt idx="2">
                  <c:v>140.09597637987929</c:v>
                </c:pt>
                <c:pt idx="3">
                  <c:v>122.9337504564665</c:v>
                </c:pt>
                <c:pt idx="4">
                  <c:v>106.78866551919103</c:v>
                </c:pt>
                <c:pt idx="5">
                  <c:v>91.660721568052907</c:v>
                </c:pt>
                <c:pt idx="6">
                  <c:v>77.549918603052106</c:v>
                </c:pt>
                <c:pt idx="7">
                  <c:v>64.456256624188597</c:v>
                </c:pt>
                <c:pt idx="8">
                  <c:v>52.379735631462438</c:v>
                </c:pt>
                <c:pt idx="9">
                  <c:v>41.320355624873592</c:v>
                </c:pt>
                <c:pt idx="10">
                  <c:v>31.278116604422095</c:v>
                </c:pt>
                <c:pt idx="11">
                  <c:v>22.253018570107898</c:v>
                </c:pt>
                <c:pt idx="12">
                  <c:v>14.245061521931049</c:v>
                </c:pt>
                <c:pt idx="13">
                  <c:v>7.2542454598915072</c:v>
                </c:pt>
                <c:pt idx="14">
                  <c:v>1.2805703839892857</c:v>
                </c:pt>
                <c:pt idx="15">
                  <c:v>-3.6759637057756152</c:v>
                </c:pt>
                <c:pt idx="16">
                  <c:v>-7.6153568094031812</c:v>
                </c:pt>
                <c:pt idx="17">
                  <c:v>-10.537608926893427</c:v>
                </c:pt>
                <c:pt idx="18">
                  <c:v>-12.44272005824638</c:v>
                </c:pt>
                <c:pt idx="19">
                  <c:v>-13.330690203461955</c:v>
                </c:pt>
                <c:pt idx="20">
                  <c:v>-13.201519362540182</c:v>
                </c:pt>
                <c:pt idx="21">
                  <c:v>-12.055207535481145</c:v>
                </c:pt>
                <c:pt idx="22">
                  <c:v>-9.8917547222847588</c:v>
                </c:pt>
                <c:pt idx="23">
                  <c:v>-6.7111609229510805</c:v>
                </c:pt>
                <c:pt idx="24">
                  <c:v>-2.5134261374800531</c:v>
                </c:pt>
                <c:pt idx="25">
                  <c:v>2.7014496341283234</c:v>
                </c:pt>
                <c:pt idx="26">
                  <c:v>8.9334663918739352</c:v>
                </c:pt>
                <c:pt idx="27">
                  <c:v>16.18262413575701</c:v>
                </c:pt>
                <c:pt idx="28">
                  <c:v>24.448922865777263</c:v>
                </c:pt>
                <c:pt idx="29">
                  <c:v>33.732362581934979</c:v>
                </c:pt>
                <c:pt idx="30">
                  <c:v>44.032943284229873</c:v>
                </c:pt>
                <c:pt idx="31">
                  <c:v>55.35066497266223</c:v>
                </c:pt>
                <c:pt idx="32">
                  <c:v>67.685527647231879</c:v>
                </c:pt>
                <c:pt idx="33">
                  <c:v>81.037531307938821</c:v>
                </c:pt>
                <c:pt idx="34">
                  <c:v>95.406675954783054</c:v>
                </c:pt>
                <c:pt idx="35">
                  <c:v>110.79296158776469</c:v>
                </c:pt>
                <c:pt idx="36">
                  <c:v>127.19638820688363</c:v>
                </c:pt>
                <c:pt idx="37">
                  <c:v>144.61695581213974</c:v>
                </c:pt>
                <c:pt idx="38">
                  <c:v>163.05466440353337</c:v>
                </c:pt>
                <c:pt idx="39">
                  <c:v>182.50951398106429</c:v>
                </c:pt>
                <c:pt idx="40">
                  <c:v>202.9815045447325</c:v>
                </c:pt>
                <c:pt idx="41">
                  <c:v>224.47063609453812</c:v>
                </c:pt>
                <c:pt idx="42">
                  <c:v>246.97690863048092</c:v>
                </c:pt>
                <c:pt idx="43">
                  <c:v>270.50032215256113</c:v>
                </c:pt>
                <c:pt idx="44">
                  <c:v>295.04087666077851</c:v>
                </c:pt>
                <c:pt idx="45">
                  <c:v>320.59857215513352</c:v>
                </c:pt>
                <c:pt idx="46">
                  <c:v>347.17340863562549</c:v>
                </c:pt>
                <c:pt idx="47">
                  <c:v>374.76538610225509</c:v>
                </c:pt>
                <c:pt idx="48">
                  <c:v>403.37450455502199</c:v>
                </c:pt>
                <c:pt idx="49">
                  <c:v>433.00076399392606</c:v>
                </c:pt>
                <c:pt idx="50">
                  <c:v>463.64416441896742</c:v>
                </c:pt>
                <c:pt idx="51">
                  <c:v>495.3047058301463</c:v>
                </c:pt>
                <c:pt idx="52">
                  <c:v>527.98238822746248</c:v>
                </c:pt>
                <c:pt idx="53">
                  <c:v>561.67721161091572</c:v>
                </c:pt>
                <c:pt idx="54">
                  <c:v>596.38917598050648</c:v>
                </c:pt>
                <c:pt idx="55">
                  <c:v>632.11828133623476</c:v>
                </c:pt>
                <c:pt idx="56">
                  <c:v>668.8645276781001</c:v>
                </c:pt>
                <c:pt idx="57">
                  <c:v>706.62791500610274</c:v>
                </c:pt>
                <c:pt idx="58">
                  <c:v>745.4084433202429</c:v>
                </c:pt>
                <c:pt idx="59">
                  <c:v>785.20611262052034</c:v>
                </c:pt>
                <c:pt idx="60">
                  <c:v>826.02092290693486</c:v>
                </c:pt>
                <c:pt idx="61">
                  <c:v>867.85287417948689</c:v>
                </c:pt>
                <c:pt idx="62">
                  <c:v>910.70196643817644</c:v>
                </c:pt>
                <c:pt idx="63">
                  <c:v>954.56819968300306</c:v>
                </c:pt>
                <c:pt idx="64">
                  <c:v>999.45157391396697</c:v>
                </c:pt>
                <c:pt idx="65">
                  <c:v>1045.3520891310684</c:v>
                </c:pt>
                <c:pt idx="66">
                  <c:v>1092.2697453343069</c:v>
                </c:pt>
                <c:pt idx="67">
                  <c:v>1140.2045425236831</c:v>
                </c:pt>
                <c:pt idx="68">
                  <c:v>1189.1564806991962</c:v>
                </c:pt>
                <c:pt idx="69">
                  <c:v>1239.1255598608468</c:v>
                </c:pt>
                <c:pt idx="70">
                  <c:v>1290.1117800086349</c:v>
                </c:pt>
                <c:pt idx="71">
                  <c:v>1342.1151411425603</c:v>
                </c:pt>
                <c:pt idx="72">
                  <c:v>1395.1356432626228</c:v>
                </c:pt>
                <c:pt idx="73">
                  <c:v>1449.1732863688228</c:v>
                </c:pt>
                <c:pt idx="74">
                  <c:v>1504.2280704611601</c:v>
                </c:pt>
                <c:pt idx="75">
                  <c:v>1560.2999955396342</c:v>
                </c:pt>
                <c:pt idx="76">
                  <c:v>1617.3890616042463</c:v>
                </c:pt>
                <c:pt idx="77">
                  <c:v>1675.4952686549955</c:v>
                </c:pt>
                <c:pt idx="78">
                  <c:v>1734.6186166918819</c:v>
                </c:pt>
                <c:pt idx="79">
                  <c:v>1794.7591057149061</c:v>
                </c:pt>
                <c:pt idx="80">
                  <c:v>1855.9167357240674</c:v>
                </c:pt>
                <c:pt idx="81">
                  <c:v>1918.0915067193657</c:v>
                </c:pt>
                <c:pt idx="82">
                  <c:v>1981.2834187008013</c:v>
                </c:pt>
                <c:pt idx="83">
                  <c:v>2045.4924716683749</c:v>
                </c:pt>
                <c:pt idx="84">
                  <c:v>2110.7186656220852</c:v>
                </c:pt>
                <c:pt idx="85">
                  <c:v>2176.9620005619331</c:v>
                </c:pt>
                <c:pt idx="86">
                  <c:v>2244.2224764879179</c:v>
                </c:pt>
                <c:pt idx="87">
                  <c:v>2312.5000934000409</c:v>
                </c:pt>
                <c:pt idx="88">
                  <c:v>2381.7948512983003</c:v>
                </c:pt>
                <c:pt idx="89">
                  <c:v>2452.1067501826974</c:v>
                </c:pt>
                <c:pt idx="90">
                  <c:v>2523.4357900532318</c:v>
                </c:pt>
                <c:pt idx="91">
                  <c:v>2595.781970909904</c:v>
                </c:pt>
                <c:pt idx="92">
                  <c:v>2669.145292752713</c:v>
                </c:pt>
                <c:pt idx="93">
                  <c:v>2743.5257555816588</c:v>
                </c:pt>
                <c:pt idx="94">
                  <c:v>2818.9233593967429</c:v>
                </c:pt>
                <c:pt idx="95">
                  <c:v>2895.3381041979637</c:v>
                </c:pt>
                <c:pt idx="96">
                  <c:v>2972.7699899853224</c:v>
                </c:pt>
                <c:pt idx="97">
                  <c:v>3051.2190167588183</c:v>
                </c:pt>
                <c:pt idx="98">
                  <c:v>3130.685184518451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83-4C6D-B40F-61FBFE0E3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74710"/>
        <c:axId val="76316801"/>
      </c:scatterChart>
      <c:valAx>
        <c:axId val="9307471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Day_Num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316801"/>
        <c:crosses val="autoZero"/>
        <c:crossBetween val="midCat"/>
      </c:valAx>
      <c:valAx>
        <c:axId val="76316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Daily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747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Elbow plot: WCSS by 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Elbow_Silhouette!$C$4</c:f>
              <c:strCache>
                <c:ptCount val="1"/>
                <c:pt idx="0">
                  <c:v>WCSS (inertia)</c:v>
                </c:pt>
              </c:strCache>
            </c:strRef>
          </c:tx>
          <c:spPr>
            <a:ln w="28080">
              <a:solidFill>
                <a:srgbClr val="1F3A5F"/>
              </a:solidFill>
              <a:round/>
            </a:ln>
          </c:spPr>
          <c:marker>
            <c:symbol val="circle"/>
            <c:size val="7"/>
            <c:spPr>
              <a:solidFill>
                <a:srgbClr val="1F3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Elbow_Silhouette!$B$5:$B$9</c:f>
              <c:numCache>
                <c:formatCode>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Elbow_Silhouette!$C$5:$C$9</c:f>
              <c:numCache>
                <c:formatCode>#,##0.00</c:formatCode>
                <c:ptCount val="5"/>
                <c:pt idx="0">
                  <c:v>155.1754671544692</c:v>
                </c:pt>
                <c:pt idx="1">
                  <c:v>95.707536984010261</c:v>
                </c:pt>
                <c:pt idx="2">
                  <c:v>68.964065011176899</c:v>
                </c:pt>
                <c:pt idx="3">
                  <c:v>61.871852918134095</c:v>
                </c:pt>
                <c:pt idx="4">
                  <c:v>45.001905389604893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B-4E49-B88D-B9E0E7F02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9114407"/>
        <c:axId val="40762354"/>
      </c:lineChart>
      <c:catAx>
        <c:axId val="29114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 (number of clusters)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62354"/>
        <c:crosses val="autoZero"/>
        <c:auto val="1"/>
        <c:lblAlgn val="ctr"/>
        <c:lblOffset val="100"/>
        <c:noMultiLvlLbl val="0"/>
      </c:catAx>
      <c:valAx>
        <c:axId val="40762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WCSS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44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Mean silhouette score by 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Elbow_Silhouette!$E$4</c:f>
              <c:strCache>
                <c:ptCount val="1"/>
                <c:pt idx="0">
                  <c:v>Mean silhouette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Elbow_Silhouette!$B$5:$B$9</c:f>
              <c:numCache>
                <c:formatCode>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Elbow_Silhouette!$E$5:$E$9</c:f>
              <c:numCache>
                <c:formatCode>0.000</c:formatCode>
                <c:ptCount val="5"/>
                <c:pt idx="0">
                  <c:v>0.50599725536231421</c:v>
                </c:pt>
                <c:pt idx="1">
                  <c:v>0.47847871495326255</c:v>
                </c:pt>
                <c:pt idx="2">
                  <c:v>0.39244530806704664</c:v>
                </c:pt>
                <c:pt idx="3">
                  <c:v>0.37761332186198227</c:v>
                </c:pt>
                <c:pt idx="4">
                  <c:v>0.40936350902042817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9-4F9A-A837-C0C0513DE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77651"/>
        <c:axId val="84138580"/>
      </c:barChart>
      <c:catAx>
        <c:axId val="930776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 (number of clusters)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38580"/>
        <c:crosses val="autoZero"/>
        <c:auto val="1"/>
        <c:lblAlgn val="ctr"/>
        <c:lblOffset val="100"/>
        <c:noMultiLvlLbl val="0"/>
      </c:catAx>
      <c:valAx>
        <c:axId val="841385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Silhouette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77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Cities: Z_Cases vs Z_Deaths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Chart_Data!$A$5:$A$121</c:f>
              <c:numCache>
                <c:formatCode>0.000</c:formatCode>
                <c:ptCount val="117"/>
                <c:pt idx="0">
                  <c:v>3.2743087782752069</c:v>
                </c:pt>
                <c:pt idx="1">
                  <c:v>3.2501513961754349</c:v>
                </c:pt>
                <c:pt idx="2">
                  <c:v>2.3645319122764876</c:v>
                </c:pt>
                <c:pt idx="3">
                  <c:v>2.3452338230080074</c:v>
                </c:pt>
                <c:pt idx="4">
                  <c:v>2.1711238504828065</c:v>
                </c:pt>
                <c:pt idx="5">
                  <c:v>1.4937524666444724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</c:numCache>
            </c:numRef>
          </c:xVal>
          <c:yVal>
            <c:numRef>
              <c:f>Chart_Data!$B$5:$B$121</c:f>
              <c:numCache>
                <c:formatCode>0.000</c:formatCode>
                <c:ptCount val="117"/>
                <c:pt idx="0">
                  <c:v>4.0388517969113016</c:v>
                </c:pt>
                <c:pt idx="1">
                  <c:v>4.1568410370911772</c:v>
                </c:pt>
                <c:pt idx="2">
                  <c:v>2.2941407285360271</c:v>
                </c:pt>
                <c:pt idx="3">
                  <c:v>3.5617489210507416</c:v>
                </c:pt>
                <c:pt idx="4">
                  <c:v>2.0657893204369486</c:v>
                </c:pt>
                <c:pt idx="5">
                  <c:v>2.2309059700842244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D4-4F2F-82AA-FF4D3F2D98E5}"/>
            </c:ext>
          </c:extLst>
        </c:ser>
        <c:ser>
          <c:idx val="1"/>
          <c:order val="1"/>
          <c:tx>
            <c:v>Cluster 2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Chart_Data!$C$5:$C$121</c:f>
              <c:numCache>
                <c:formatCode>0.000</c:formatCode>
                <c:ptCount val="1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0.64567305864807512</c:v>
                </c:pt>
                <c:pt idx="27">
                  <c:v>#N/A</c:v>
                </c:pt>
                <c:pt idx="28">
                  <c:v>0.57775354876086193</c:v>
                </c:pt>
                <c:pt idx="29">
                  <c:v>#N/A</c:v>
                </c:pt>
                <c:pt idx="30">
                  <c:v>0.57458958754261724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0.26227803642067726</c:v>
                </c:pt>
                <c:pt idx="43">
                  <c:v>#N/A</c:v>
                </c:pt>
                <c:pt idx="44">
                  <c:v>0.23861623378571303</c:v>
                </c:pt>
                <c:pt idx="45">
                  <c:v>#N/A</c:v>
                </c:pt>
                <c:pt idx="46">
                  <c:v>0.20097549778195881</c:v>
                </c:pt>
                <c:pt idx="47">
                  <c:v>#N/A</c:v>
                </c:pt>
                <c:pt idx="48">
                  <c:v>#N/A</c:v>
                </c:pt>
                <c:pt idx="49">
                  <c:v>0.19442861878561798</c:v>
                </c:pt>
                <c:pt idx="50">
                  <c:v>0.18779833781528543</c:v>
                </c:pt>
                <c:pt idx="51">
                  <c:v>0.16738513255089196</c:v>
                </c:pt>
                <c:pt idx="52">
                  <c:v>0.15331751895798426</c:v>
                </c:pt>
                <c:pt idx="53">
                  <c:v>#N/A</c:v>
                </c:pt>
                <c:pt idx="54">
                  <c:v>#N/A</c:v>
                </c:pt>
                <c:pt idx="55">
                  <c:v>8.4835969706560738E-2</c:v>
                </c:pt>
                <c:pt idx="56">
                  <c:v>6.8311724136625313E-2</c:v>
                </c:pt>
                <c:pt idx="57">
                  <c:v>#N/A</c:v>
                </c:pt>
                <c:pt idx="58">
                  <c:v>5.9587915640307559E-3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-6.4893923599903938E-2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-0.21462381690636909</c:v>
                </c:pt>
                <c:pt idx="68">
                  <c:v>-0.21462381690636909</c:v>
                </c:pt>
                <c:pt idx="69">
                  <c:v>-0.25991062981783247</c:v>
                </c:pt>
                <c:pt idx="70">
                  <c:v>-0.27592635554508732</c:v>
                </c:pt>
                <c:pt idx="71">
                  <c:v>-0.27592635554508732</c:v>
                </c:pt>
                <c:pt idx="72">
                  <c:v>-0.30951672077615416</c:v>
                </c:pt>
                <c:pt idx="73">
                  <c:v>-0.3271614619727895</c:v>
                </c:pt>
                <c:pt idx="74">
                  <c:v>-0.3271614619727895</c:v>
                </c:pt>
                <c:pt idx="75">
                  <c:v>-0.34542544181187113</c:v>
                </c:pt>
                <c:pt idx="76">
                  <c:v>-0.34542544181187113</c:v>
                </c:pt>
                <c:pt idx="77">
                  <c:v>-0.38399641938154599</c:v>
                </c:pt>
                <c:pt idx="78">
                  <c:v>-0.40440962464593949</c:v>
                </c:pt>
                <c:pt idx="79">
                  <c:v>-0.40440962464593949</c:v>
                </c:pt>
                <c:pt idx="80">
                  <c:v>-0.47094306176301559</c:v>
                </c:pt>
                <c:pt idx="81">
                  <c:v>-0.47094306176301559</c:v>
                </c:pt>
                <c:pt idx="82">
                  <c:v>-0.5205491527213375</c:v>
                </c:pt>
                <c:pt idx="83">
                  <c:v>-0.54724577455296852</c:v>
                </c:pt>
                <c:pt idx="84">
                  <c:v>-0.60513538281414725</c:v>
                </c:pt>
                <c:pt idx="85">
                  <c:v>-0.63668868079673557</c:v>
                </c:pt>
                <c:pt idx="86">
                  <c:v>-0.63668868079673557</c:v>
                </c:pt>
                <c:pt idx="87">
                  <c:v>#N/A</c:v>
                </c:pt>
                <c:pt idx="88">
                  <c:v>-0.74475874463319425</c:v>
                </c:pt>
                <c:pt idx="89">
                  <c:v>-0.74475874463319425</c:v>
                </c:pt>
                <c:pt idx="90">
                  <c:v>-0.78641857410320049</c:v>
                </c:pt>
                <c:pt idx="91">
                  <c:v>-0.8317053870146639</c:v>
                </c:pt>
                <c:pt idx="92">
                  <c:v>-0.8317053870146639</c:v>
                </c:pt>
                <c:pt idx="93">
                  <c:v>-0.88131147797298559</c:v>
                </c:pt>
                <c:pt idx="94">
                  <c:v>-0.88131147797298559</c:v>
                </c:pt>
                <c:pt idx="95">
                  <c:v>-0.88131147797298559</c:v>
                </c:pt>
                <c:pt idx="96">
                  <c:v>-0.88131147797298559</c:v>
                </c:pt>
                <c:pt idx="97">
                  <c:v>-0.9361484674096654</c:v>
                </c:pt>
                <c:pt idx="98">
                  <c:v>-0.9361484674096654</c:v>
                </c:pt>
                <c:pt idx="99">
                  <c:v>-0.9361484674096654</c:v>
                </c:pt>
                <c:pt idx="100">
                  <c:v>-0.9361484674096654</c:v>
                </c:pt>
                <c:pt idx="101">
                  <c:v>-0.99745100604838388</c:v>
                </c:pt>
                <c:pt idx="102">
                  <c:v>-0.99745100604838388</c:v>
                </c:pt>
                <c:pt idx="103">
                  <c:v>-0.99745100604838388</c:v>
                </c:pt>
                <c:pt idx="104">
                  <c:v>-1.1471808993548489</c:v>
                </c:pt>
                <c:pt idx="105">
                  <c:v>-1.3582133313000322</c:v>
                </c:pt>
                <c:pt idx="106">
                  <c:v>-1.507943224606497</c:v>
                </c:pt>
                <c:pt idx="107">
                  <c:v>-1.507943224606497</c:v>
                </c:pt>
                <c:pt idx="108">
                  <c:v>-1.507943224606497</c:v>
                </c:pt>
                <c:pt idx="109">
                  <c:v>-1.507943224606497</c:v>
                </c:pt>
                <c:pt idx="110">
                  <c:v>-1.7189756565516803</c:v>
                </c:pt>
                <c:pt idx="111">
                  <c:v>-1.7189756565516803</c:v>
                </c:pt>
                <c:pt idx="112">
                  <c:v>-1.7189756565516803</c:v>
                </c:pt>
                <c:pt idx="113">
                  <c:v>-1.7189756565516803</c:v>
                </c:pt>
                <c:pt idx="114">
                  <c:v>-1.7189756565516803</c:v>
                </c:pt>
                <c:pt idx="115">
                  <c:v>-2.0797379818033286</c:v>
                </c:pt>
                <c:pt idx="116">
                  <c:v>-2.0797379818033286</c:v>
                </c:pt>
              </c:numCache>
            </c:numRef>
          </c:xVal>
          <c:yVal>
            <c:numRef>
              <c:f>Chart_Data!$D$5:$D$121</c:f>
              <c:numCache>
                <c:formatCode>0.000</c:formatCode>
                <c:ptCount val="1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-0.14698313392952958</c:v>
                </c:pt>
                <c:pt idx="27">
                  <c:v>#N/A</c:v>
                </c:pt>
                <c:pt idx="28">
                  <c:v>-0.67265054538827607</c:v>
                </c:pt>
                <c:pt idx="29">
                  <c:v>#N/A</c:v>
                </c:pt>
                <c:pt idx="30">
                  <c:v>-0.67265054538827607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-0.14698313392952958</c:v>
                </c:pt>
                <c:pt idx="43">
                  <c:v>#N/A</c:v>
                </c:pt>
                <c:pt idx="44">
                  <c:v>-0.67265054538827607</c:v>
                </c:pt>
                <c:pt idx="45">
                  <c:v>#N/A</c:v>
                </c:pt>
                <c:pt idx="46">
                  <c:v>-0.67265054538827607</c:v>
                </c:pt>
                <c:pt idx="47">
                  <c:v>#N/A</c:v>
                </c:pt>
                <c:pt idx="48">
                  <c:v>#N/A</c:v>
                </c:pt>
                <c:pt idx="49">
                  <c:v>-0.67265054538827607</c:v>
                </c:pt>
                <c:pt idx="50">
                  <c:v>-0.67265054538827607</c:v>
                </c:pt>
                <c:pt idx="51">
                  <c:v>-0.67265054538827607</c:v>
                </c:pt>
                <c:pt idx="52">
                  <c:v>-0.67265054538827607</c:v>
                </c:pt>
                <c:pt idx="53">
                  <c:v>#N/A</c:v>
                </c:pt>
                <c:pt idx="54">
                  <c:v>#N/A</c:v>
                </c:pt>
                <c:pt idx="55">
                  <c:v>-0.67265054538827607</c:v>
                </c:pt>
                <c:pt idx="56">
                  <c:v>-0.67265054538827607</c:v>
                </c:pt>
                <c:pt idx="57">
                  <c:v>#N/A</c:v>
                </c:pt>
                <c:pt idx="58">
                  <c:v>-0.67265054538827607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-0.67265054538827607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-0.67265054538827607</c:v>
                </c:pt>
                <c:pt idx="68">
                  <c:v>-0.67265054538827607</c:v>
                </c:pt>
                <c:pt idx="69">
                  <c:v>-0.67265054538827607</c:v>
                </c:pt>
                <c:pt idx="70">
                  <c:v>-0.67265054538827607</c:v>
                </c:pt>
                <c:pt idx="71">
                  <c:v>-0.67265054538827607</c:v>
                </c:pt>
                <c:pt idx="72">
                  <c:v>-0.67265054538827607</c:v>
                </c:pt>
                <c:pt idx="73">
                  <c:v>-0.67265054538827607</c:v>
                </c:pt>
                <c:pt idx="74">
                  <c:v>-0.67265054538827607</c:v>
                </c:pt>
                <c:pt idx="75">
                  <c:v>-0.67265054538827607</c:v>
                </c:pt>
                <c:pt idx="76">
                  <c:v>-0.67265054538827607</c:v>
                </c:pt>
                <c:pt idx="77">
                  <c:v>-0.67265054538827607</c:v>
                </c:pt>
                <c:pt idx="78">
                  <c:v>-0.67265054538827607</c:v>
                </c:pt>
                <c:pt idx="79">
                  <c:v>-0.14698313392952958</c:v>
                </c:pt>
                <c:pt idx="80">
                  <c:v>-0.14698313392952958</c:v>
                </c:pt>
                <c:pt idx="81">
                  <c:v>-0.67265054538827607</c:v>
                </c:pt>
                <c:pt idx="82">
                  <c:v>-0.67265054538827607</c:v>
                </c:pt>
                <c:pt idx="83">
                  <c:v>-0.67265054538827607</c:v>
                </c:pt>
                <c:pt idx="84">
                  <c:v>-0.67265054538827607</c:v>
                </c:pt>
                <c:pt idx="85">
                  <c:v>-0.67265054538827607</c:v>
                </c:pt>
                <c:pt idx="86">
                  <c:v>-0.67265054538827607</c:v>
                </c:pt>
                <c:pt idx="87">
                  <c:v>#N/A</c:v>
                </c:pt>
                <c:pt idx="88">
                  <c:v>-0.14698313392952958</c:v>
                </c:pt>
                <c:pt idx="89">
                  <c:v>-0.67265054538827607</c:v>
                </c:pt>
                <c:pt idx="90">
                  <c:v>-0.67265054538827607</c:v>
                </c:pt>
                <c:pt idx="91">
                  <c:v>-0.67265054538827607</c:v>
                </c:pt>
                <c:pt idx="92">
                  <c:v>-0.67265054538827607</c:v>
                </c:pt>
                <c:pt idx="93">
                  <c:v>-0.67265054538827607</c:v>
                </c:pt>
                <c:pt idx="94">
                  <c:v>-0.14698313392952958</c:v>
                </c:pt>
                <c:pt idx="95">
                  <c:v>-0.67265054538827607</c:v>
                </c:pt>
                <c:pt idx="96">
                  <c:v>-0.67265054538827607</c:v>
                </c:pt>
                <c:pt idx="97">
                  <c:v>-0.67265054538827607</c:v>
                </c:pt>
                <c:pt idx="98">
                  <c:v>-0.67265054538827607</c:v>
                </c:pt>
                <c:pt idx="99">
                  <c:v>-0.67265054538827607</c:v>
                </c:pt>
                <c:pt idx="100">
                  <c:v>-0.67265054538827607</c:v>
                </c:pt>
                <c:pt idx="101">
                  <c:v>-0.67265054538827607</c:v>
                </c:pt>
                <c:pt idx="102">
                  <c:v>-0.67265054538827607</c:v>
                </c:pt>
                <c:pt idx="103">
                  <c:v>-0.67265054538827607</c:v>
                </c:pt>
                <c:pt idx="104">
                  <c:v>-0.67265054538827607</c:v>
                </c:pt>
                <c:pt idx="105">
                  <c:v>-0.67265054538827607</c:v>
                </c:pt>
                <c:pt idx="106">
                  <c:v>-0.67265054538827607</c:v>
                </c:pt>
                <c:pt idx="107">
                  <c:v>-0.67265054538827607</c:v>
                </c:pt>
                <c:pt idx="108">
                  <c:v>-0.67265054538827607</c:v>
                </c:pt>
                <c:pt idx="109">
                  <c:v>-0.67265054538827607</c:v>
                </c:pt>
                <c:pt idx="110">
                  <c:v>-0.67265054538827607</c:v>
                </c:pt>
                <c:pt idx="111">
                  <c:v>-0.67265054538827607</c:v>
                </c:pt>
                <c:pt idx="112">
                  <c:v>-0.67265054538827607</c:v>
                </c:pt>
                <c:pt idx="113">
                  <c:v>-0.67265054538827607</c:v>
                </c:pt>
                <c:pt idx="114">
                  <c:v>-0.67265054538827607</c:v>
                </c:pt>
                <c:pt idx="115">
                  <c:v>-0.67265054538827607</c:v>
                </c:pt>
                <c:pt idx="116">
                  <c:v>-0.67265054538827607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D4-4F2F-82AA-FF4D3F2D98E5}"/>
            </c:ext>
          </c:extLst>
        </c:ser>
        <c:ser>
          <c:idx val="2"/>
          <c:order val="2"/>
          <c:tx>
            <c:v>Cluster 3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Chart_Data!$E$5:$E$121</c:f>
              <c:numCache>
                <c:formatCode>0.000</c:formatCode>
                <c:ptCount val="1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1.3394801285719993</c:v>
                </c:pt>
                <c:pt idx="7">
                  <c:v>1.3163443189252899</c:v>
                </c:pt>
                <c:pt idx="8">
                  <c:v>1.2591276453149129</c:v>
                </c:pt>
                <c:pt idx="9">
                  <c:v>1.2015385972262329</c:v>
                </c:pt>
                <c:pt idx="10">
                  <c:v>1.1410679551279186</c:v>
                </c:pt>
                <c:pt idx="11">
                  <c:v>1.126985701234098</c:v>
                </c:pt>
                <c:pt idx="12">
                  <c:v>1.0425286360551109</c:v>
                </c:pt>
                <c:pt idx="13">
                  <c:v>1.0373368721320242</c:v>
                </c:pt>
                <c:pt idx="14">
                  <c:v>1.0078177751973447</c:v>
                </c:pt>
                <c:pt idx="15">
                  <c:v>0.97062552695729998</c:v>
                </c:pt>
                <c:pt idx="16">
                  <c:v>0.88016218188859063</c:v>
                </c:pt>
                <c:pt idx="17">
                  <c:v>0.85300106201847159</c:v>
                </c:pt>
                <c:pt idx="18">
                  <c:v>0.85113891327863989</c:v>
                </c:pt>
                <c:pt idx="19">
                  <c:v>0.84172690240795967</c:v>
                </c:pt>
                <c:pt idx="20">
                  <c:v>0.78983637463992185</c:v>
                </c:pt>
                <c:pt idx="21">
                  <c:v>0.78562201948780019</c:v>
                </c:pt>
                <c:pt idx="22">
                  <c:v>0.78350197575168823</c:v>
                </c:pt>
                <c:pt idx="23">
                  <c:v>0.78350197575168823</c:v>
                </c:pt>
                <c:pt idx="24">
                  <c:v>0.76181258672347318</c:v>
                </c:pt>
                <c:pt idx="25">
                  <c:v>0.70820457074466558</c:v>
                </c:pt>
                <c:pt idx="26">
                  <c:v>#N/A</c:v>
                </c:pt>
                <c:pt idx="27">
                  <c:v>0.60239578498043678</c:v>
                </c:pt>
                <c:pt idx="28">
                  <c:v>#N/A</c:v>
                </c:pt>
                <c:pt idx="29">
                  <c:v>0.57775354876086193</c:v>
                </c:pt>
                <c:pt idx="30">
                  <c:v>#N/A</c:v>
                </c:pt>
                <c:pt idx="31">
                  <c:v>0.56820337223564554</c:v>
                </c:pt>
                <c:pt idx="32">
                  <c:v>0.53160574306813768</c:v>
                </c:pt>
                <c:pt idx="33">
                  <c:v>0.48474983033217361</c:v>
                </c:pt>
                <c:pt idx="34">
                  <c:v>0.48474983033217361</c:v>
                </c:pt>
                <c:pt idx="35">
                  <c:v>0.45366775919714841</c:v>
                </c:pt>
                <c:pt idx="36">
                  <c:v>0.43325455393275542</c:v>
                </c:pt>
                <c:pt idx="37">
                  <c:v>0.42907404938827359</c:v>
                </c:pt>
                <c:pt idx="38">
                  <c:v>0.40765250667401376</c:v>
                </c:pt>
                <c:pt idx="39">
                  <c:v>0.38985692646238834</c:v>
                </c:pt>
                <c:pt idx="40">
                  <c:v>0.31711502585735735</c:v>
                </c:pt>
                <c:pt idx="41">
                  <c:v>0.27371739838699027</c:v>
                </c:pt>
                <c:pt idx="42">
                  <c:v>#N/A</c:v>
                </c:pt>
                <c:pt idx="43">
                  <c:v>0.25646266846194293</c:v>
                </c:pt>
                <c:pt idx="44">
                  <c:v>#N/A</c:v>
                </c:pt>
                <c:pt idx="45">
                  <c:v>0.23252879576454735</c:v>
                </c:pt>
                <c:pt idx="46">
                  <c:v>#N/A</c:v>
                </c:pt>
                <c:pt idx="47">
                  <c:v>0.20097549778195881</c:v>
                </c:pt>
                <c:pt idx="48">
                  <c:v>0.19442861878561798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0.13147641151517545</c:v>
                </c:pt>
                <c:pt idx="54">
                  <c:v>0.10085169543381561</c:v>
                </c:pt>
                <c:pt idx="55">
                  <c:v>#N/A</c:v>
                </c:pt>
                <c:pt idx="56">
                  <c:v>#N/A</c:v>
                </c:pt>
                <c:pt idx="57">
                  <c:v>2.4548982643863189E-2</c:v>
                </c:pt>
                <c:pt idx="58">
                  <c:v>#N/A</c:v>
                </c:pt>
                <c:pt idx="59">
                  <c:v>-3.5913849611856918E-3</c:v>
                </c:pt>
                <c:pt idx="60">
                  <c:v>-3.3340625617315857E-2</c:v>
                </c:pt>
                <c:pt idx="61">
                  <c:v>-4.3647299394291184E-2</c:v>
                </c:pt>
                <c:pt idx="62">
                  <c:v>#N/A</c:v>
                </c:pt>
                <c:pt idx="63">
                  <c:v>-9.8484288830971004E-2</c:v>
                </c:pt>
                <c:pt idx="64">
                  <c:v>-0.11018073651136755</c:v>
                </c:pt>
                <c:pt idx="65">
                  <c:v>-0.13439300986668776</c:v>
                </c:pt>
                <c:pt idx="66">
                  <c:v>-0.17296398743636285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-0.70618776706351938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</c:numCache>
            </c:numRef>
          </c:xVal>
          <c:yVal>
            <c:numRef>
              <c:f>Chart_Data!$F$5:$F$121</c:f>
              <c:numCache>
                <c:formatCode>0.000</c:formatCode>
                <c:ptCount val="1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0.16051258962499582</c:v>
                </c:pt>
                <c:pt idx="7">
                  <c:v>0.68618000108374222</c:v>
                </c:pt>
                <c:pt idx="8">
                  <c:v>1.2118474125424887</c:v>
                </c:pt>
                <c:pt idx="9">
                  <c:v>-0.14698313392952958</c:v>
                </c:pt>
                <c:pt idx="10">
                  <c:v>1.4759954658056031</c:v>
                </c:pt>
                <c:pt idx="11">
                  <c:v>1.7684733170772808</c:v>
                </c:pt>
                <c:pt idx="12">
                  <c:v>0.99367572463826759</c:v>
                </c:pt>
                <c:pt idx="13">
                  <c:v>0.37868427752921691</c:v>
                </c:pt>
                <c:pt idx="14">
                  <c:v>-0.14698313392952958</c:v>
                </c:pt>
                <c:pt idx="15">
                  <c:v>0.99367572463826759</c:v>
                </c:pt>
                <c:pt idx="16">
                  <c:v>0.37868427752921691</c:v>
                </c:pt>
                <c:pt idx="17">
                  <c:v>1.3810745208577742</c:v>
                </c:pt>
                <c:pt idx="18">
                  <c:v>1.3810745208577742</c:v>
                </c:pt>
                <c:pt idx="19">
                  <c:v>0.80308444953571578</c:v>
                </c:pt>
                <c:pt idx="20">
                  <c:v>0.80308444953571578</c:v>
                </c:pt>
                <c:pt idx="21">
                  <c:v>0.80308444953571578</c:v>
                </c:pt>
                <c:pt idx="22">
                  <c:v>0.16051258962499582</c:v>
                </c:pt>
                <c:pt idx="23">
                  <c:v>0.54791138584450239</c:v>
                </c:pt>
                <c:pt idx="24">
                  <c:v>1.3810745208577742</c:v>
                </c:pt>
                <c:pt idx="25">
                  <c:v>0.80308444953571578</c:v>
                </c:pt>
                <c:pt idx="26">
                  <c:v>#N/A</c:v>
                </c:pt>
                <c:pt idx="27">
                  <c:v>0.68618000108374222</c:v>
                </c:pt>
                <c:pt idx="28">
                  <c:v>#N/A</c:v>
                </c:pt>
                <c:pt idx="29">
                  <c:v>0.16051258962499582</c:v>
                </c:pt>
                <c:pt idx="30">
                  <c:v>#N/A</c:v>
                </c:pt>
                <c:pt idx="31">
                  <c:v>0.54791138584450239</c:v>
                </c:pt>
                <c:pt idx="32">
                  <c:v>0.37868427752921691</c:v>
                </c:pt>
                <c:pt idx="33">
                  <c:v>-0.14698313392952958</c:v>
                </c:pt>
                <c:pt idx="34">
                  <c:v>1.3810745208577742</c:v>
                </c:pt>
                <c:pt idx="35">
                  <c:v>1.1458599186993335</c:v>
                </c:pt>
                <c:pt idx="36">
                  <c:v>0.37868427752921691</c:v>
                </c:pt>
                <c:pt idx="37">
                  <c:v>0.37868427752921691</c:v>
                </c:pt>
                <c:pt idx="38">
                  <c:v>1.2725500225060853</c:v>
                </c:pt>
                <c:pt idx="39">
                  <c:v>0.16051258962499582</c:v>
                </c:pt>
                <c:pt idx="40">
                  <c:v>-0.67265054538827607</c:v>
                </c:pt>
                <c:pt idx="41">
                  <c:v>-0.14698313392952958</c:v>
                </c:pt>
                <c:pt idx="42">
                  <c:v>#N/A</c:v>
                </c:pt>
                <c:pt idx="43">
                  <c:v>-0.67265054538827607</c:v>
                </c:pt>
                <c:pt idx="44">
                  <c:v>#N/A</c:v>
                </c:pt>
                <c:pt idx="45">
                  <c:v>0.16051258962499582</c:v>
                </c:pt>
                <c:pt idx="46">
                  <c:v>#N/A</c:v>
                </c:pt>
                <c:pt idx="47">
                  <c:v>-0.67265054538827607</c:v>
                </c:pt>
                <c:pt idx="48">
                  <c:v>-0.14698313392952958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1.3810745208577742</c:v>
                </c:pt>
                <c:pt idx="54">
                  <c:v>-0.14698313392952958</c:v>
                </c:pt>
                <c:pt idx="55">
                  <c:v>#N/A</c:v>
                </c:pt>
                <c:pt idx="56">
                  <c:v>#N/A</c:v>
                </c:pt>
                <c:pt idx="57">
                  <c:v>0.54791138584450239</c:v>
                </c:pt>
                <c:pt idx="58">
                  <c:v>#N/A</c:v>
                </c:pt>
                <c:pt idx="59">
                  <c:v>-0.67265054538827607</c:v>
                </c:pt>
                <c:pt idx="60">
                  <c:v>0.54791138584450239</c:v>
                </c:pt>
                <c:pt idx="61">
                  <c:v>0.16051258962499582</c:v>
                </c:pt>
                <c:pt idx="62">
                  <c:v>#N/A</c:v>
                </c:pt>
                <c:pt idx="63">
                  <c:v>0.16051258962499582</c:v>
                </c:pt>
                <c:pt idx="64">
                  <c:v>-0.14698313392952958</c:v>
                </c:pt>
                <c:pt idx="65">
                  <c:v>-0.14698313392952958</c:v>
                </c:pt>
                <c:pt idx="66">
                  <c:v>-0.67265054538827607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-0.14698313392952958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D4-4F2F-82AA-FF4D3F2D9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669024"/>
        <c:axId val="13983426"/>
      </c:scatterChart>
      <c:valAx>
        <c:axId val="8666902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83426"/>
        <c:crosses val="autoZero"/>
        <c:crossBetween val="midCat"/>
      </c:valAx>
      <c:valAx>
        <c:axId val="13983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66902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Provinces: Z_Cases vs Z_Deaths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Chart_Data!$H$5:$H$12</c:f>
              <c:numCache>
                <c:formatCode>0.000</c:formatCode>
                <c:ptCount val="8"/>
                <c:pt idx="0">
                  <c:v>1.1079996031362669</c:v>
                </c:pt>
                <c:pt idx="1">
                  <c:v>1.0838104247566931</c:v>
                </c:pt>
                <c:pt idx="2">
                  <c:v>0.5971424915912471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Chart_Data!$I$5:$I$12</c:f>
              <c:numCache>
                <c:formatCode>0.000</c:formatCode>
                <c:ptCount val="8"/>
                <c:pt idx="0">
                  <c:v>1.070951178441117</c:v>
                </c:pt>
                <c:pt idx="1">
                  <c:v>1.1097505112137804</c:v>
                </c:pt>
                <c:pt idx="2">
                  <c:v>1.0035286499426876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8-471D-9385-3051E17B6FA4}"/>
            </c:ext>
          </c:extLst>
        </c:ser>
        <c:ser>
          <c:idx val="1"/>
          <c:order val="1"/>
          <c:tx>
            <c:v>Cluster 2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Chart_Data!$J$5:$J$12</c:f>
              <c:numCache>
                <c:formatCode>0.000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-0.97409416193813958</c:v>
                </c:pt>
                <c:pt idx="7">
                  <c:v>-1.7057287344212133</c:v>
                </c:pt>
              </c:numCache>
            </c:numRef>
          </c:xVal>
          <c:yVal>
            <c:numRef>
              <c:f>Chart_Data!$K$5:$K$12</c:f>
              <c:numCache>
                <c:formatCode>0.000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-0.98057534220678966</c:v>
                </c:pt>
                <c:pt idx="7">
                  <c:v>-1.5702400574591462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D8-471D-9385-3051E17B6FA4}"/>
            </c:ext>
          </c:extLst>
        </c:ser>
        <c:ser>
          <c:idx val="2"/>
          <c:order val="2"/>
          <c:tx>
            <c:v>Cluster 3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Chart_Data!$L$5:$L$12</c:f>
              <c:numCache>
                <c:formatCode>0.000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0.29258413869903505</c:v>
                </c:pt>
                <c:pt idx="4">
                  <c:v>0.12811901804192732</c:v>
                </c:pt>
                <c:pt idx="5">
                  <c:v>-0.52983277986581823</c:v>
                </c:pt>
                <c:pt idx="6">
                  <c:v>#N/A</c:v>
                </c:pt>
                <c:pt idx="7">
                  <c:v>#N/A</c:v>
                </c:pt>
              </c:numCache>
            </c:numRef>
          </c:xVal>
          <c:yVal>
            <c:numRef>
              <c:f>Chart_Data!$M$5:$M$12</c:f>
              <c:numCache>
                <c:formatCode>0.000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-5.5142992462672652E-2</c:v>
                </c:pt>
                <c:pt idx="4">
                  <c:v>-0.1968705604564116</c:v>
                </c:pt>
                <c:pt idx="5">
                  <c:v>-0.38140138701256326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D8-471D-9385-3051E17B6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92262"/>
        <c:axId val="63251160"/>
      </c:scatterChart>
      <c:valAx>
        <c:axId val="987922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51160"/>
        <c:crosses val="autoZero"/>
        <c:crossBetween val="midCat"/>
      </c:valAx>
      <c:valAx>
        <c:axId val="63251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922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Days: daily cases over time by phase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Chart_Data!$O$5:$O$103</c:f>
              <c:numCache>
                <c:formatCode>0.000</c:formatCode>
                <c:ptCount val="99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#N/A</c:v>
                </c:pt>
                <c:pt idx="28">
                  <c:v>43915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</c:numCache>
            </c:numRef>
          </c:xVal>
          <c:yVal>
            <c:numRef>
              <c:f>Chart_Data!$P$5:$P$103</c:f>
              <c:numCache>
                <c:formatCode>0.000</c:formatCode>
                <c:ptCount val="99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9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9</c:v>
                </c:pt>
                <c:pt idx="17">
                  <c:v>0</c:v>
                </c:pt>
                <c:pt idx="18">
                  <c:v>34</c:v>
                </c:pt>
                <c:pt idx="19">
                  <c:v>151</c:v>
                </c:pt>
                <c:pt idx="20">
                  <c:v>52</c:v>
                </c:pt>
                <c:pt idx="21">
                  <c:v>57</c:v>
                </c:pt>
                <c:pt idx="22">
                  <c:v>154</c:v>
                </c:pt>
                <c:pt idx="23">
                  <c:v>50</c:v>
                </c:pt>
                <c:pt idx="24">
                  <c:v>134</c:v>
                </c:pt>
                <c:pt idx="25">
                  <c:v>110</c:v>
                </c:pt>
                <c:pt idx="26">
                  <c:v>82</c:v>
                </c:pt>
                <c:pt idx="27">
                  <c:v>#N/A</c:v>
                </c:pt>
                <c:pt idx="28">
                  <c:v>110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E8-49F4-A91B-818A5C235755}"/>
            </c:ext>
          </c:extLst>
        </c:ser>
        <c:ser>
          <c:idx val="1"/>
          <c:order val="1"/>
          <c:tx>
            <c:v>Cluster 2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Chart_Data!$Q$5:$Q$103</c:f>
              <c:numCache>
                <c:formatCode>0.000</c:formatCode>
                <c:ptCount val="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43937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43942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43950</c:v>
                </c:pt>
                <c:pt idx="64">
                  <c:v>#N/A</c:v>
                </c:pt>
                <c:pt idx="65">
                  <c:v>43952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43957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</c:numCache>
            </c:numRef>
          </c:xVal>
          <c:yVal>
            <c:numRef>
              <c:f>Chart_Data!$R$5:$R$103</c:f>
              <c:numCache>
                <c:formatCode>0.000</c:formatCode>
                <c:ptCount val="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683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677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948</c:v>
                </c:pt>
                <c:pt idx="64">
                  <c:v>#N/A</c:v>
                </c:pt>
                <c:pt idx="65">
                  <c:v>1070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1804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1463</c:v>
                </c:pt>
                <c:pt idx="75">
                  <c:v>1079</c:v>
                </c:pt>
                <c:pt idx="76">
                  <c:v>2254</c:v>
                </c:pt>
                <c:pt idx="77">
                  <c:v>1431</c:v>
                </c:pt>
                <c:pt idx="78">
                  <c:v>1449</c:v>
                </c:pt>
                <c:pt idx="79">
                  <c:v>1515</c:v>
                </c:pt>
                <c:pt idx="80">
                  <c:v>1372</c:v>
                </c:pt>
                <c:pt idx="81">
                  <c:v>1956</c:v>
                </c:pt>
                <c:pt idx="82">
                  <c:v>1800</c:v>
                </c:pt>
                <c:pt idx="83">
                  <c:v>1874</c:v>
                </c:pt>
                <c:pt idx="84">
                  <c:v>2115</c:v>
                </c:pt>
                <c:pt idx="85">
                  <c:v>2539</c:v>
                </c:pt>
                <c:pt idx="86">
                  <c:v>1728</c:v>
                </c:pt>
                <c:pt idx="87">
                  <c:v>2060</c:v>
                </c:pt>
                <c:pt idx="88">
                  <c:v>1744</c:v>
                </c:pt>
                <c:pt idx="89">
                  <c:v>1356</c:v>
                </c:pt>
                <c:pt idx="90">
                  <c:v>1440</c:v>
                </c:pt>
                <c:pt idx="91">
                  <c:v>2173</c:v>
                </c:pt>
                <c:pt idx="92">
                  <c:v>2562</c:v>
                </c:pt>
                <c:pt idx="93">
                  <c:v>2426</c:v>
                </c:pt>
                <c:pt idx="94">
                  <c:v>2956</c:v>
                </c:pt>
                <c:pt idx="95">
                  <c:v>2883</c:v>
                </c:pt>
                <c:pt idx="96">
                  <c:v>3872</c:v>
                </c:pt>
                <c:pt idx="97">
                  <c:v>4242</c:v>
                </c:pt>
                <c:pt idx="98">
                  <c:v>4677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E8-49F4-A91B-818A5C235755}"/>
            </c:ext>
          </c:extLst>
        </c:ser>
        <c:ser>
          <c:idx val="2"/>
          <c:order val="2"/>
          <c:tx>
            <c:v>Cluster 3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Chart_Data!$S$5:$S$103</c:f>
              <c:numCache>
                <c:formatCode>0.000</c:formatCode>
                <c:ptCount val="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43914</c:v>
                </c:pt>
                <c:pt idx="28">
                  <c:v>#N/A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#N/A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#N/A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#N/A</c:v>
                </c:pt>
                <c:pt idx="64">
                  <c:v>43951</c:v>
                </c:pt>
                <c:pt idx="65">
                  <c:v>#N/A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#N/A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</c:numCache>
            </c:numRef>
          </c:xVal>
          <c:yVal>
            <c:numRef>
              <c:f>Chart_Data!$T$5:$T$103</c:f>
              <c:numCache>
                <c:formatCode>0.000</c:formatCode>
                <c:ptCount val="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114</c:v>
                </c:pt>
                <c:pt idx="28">
                  <c:v>#N/A</c:v>
                </c:pt>
                <c:pt idx="29">
                  <c:v>131</c:v>
                </c:pt>
                <c:pt idx="30">
                  <c:v>122</c:v>
                </c:pt>
                <c:pt idx="31">
                  <c:v>184</c:v>
                </c:pt>
                <c:pt idx="32">
                  <c:v>87</c:v>
                </c:pt>
                <c:pt idx="33">
                  <c:v>145</c:v>
                </c:pt>
                <c:pt idx="34">
                  <c:v>223</c:v>
                </c:pt>
                <c:pt idx="35">
                  <c:v>260</c:v>
                </c:pt>
                <c:pt idx="36">
                  <c:v>183</c:v>
                </c:pt>
                <c:pt idx="37">
                  <c:v>239</c:v>
                </c:pt>
                <c:pt idx="38">
                  <c:v>79</c:v>
                </c:pt>
                <c:pt idx="39">
                  <c:v>180</c:v>
                </c:pt>
                <c:pt idx="40">
                  <c:v>249</c:v>
                </c:pt>
                <c:pt idx="41">
                  <c:v>107</c:v>
                </c:pt>
                <c:pt idx="42">
                  <c:v>337</c:v>
                </c:pt>
                <c:pt idx="43">
                  <c:v>874</c:v>
                </c:pt>
                <c:pt idx="44">
                  <c:v>156</c:v>
                </c:pt>
                <c:pt idx="45">
                  <c:v>297</c:v>
                </c:pt>
                <c:pt idx="46">
                  <c:v>253</c:v>
                </c:pt>
                <c:pt idx="47">
                  <c:v>173</c:v>
                </c:pt>
                <c:pt idx="48">
                  <c:v>628</c:v>
                </c:pt>
                <c:pt idx="49">
                  <c:v>321</c:v>
                </c:pt>
                <c:pt idx="50">
                  <c:v>#N/A</c:v>
                </c:pt>
                <c:pt idx="51">
                  <c:v>512</c:v>
                </c:pt>
                <c:pt idx="52">
                  <c:v>285</c:v>
                </c:pt>
                <c:pt idx="53">
                  <c:v>583</c:v>
                </c:pt>
                <c:pt idx="54">
                  <c:v>707</c:v>
                </c:pt>
                <c:pt idx="55">
                  <c:v>#N/A</c:v>
                </c:pt>
                <c:pt idx="56">
                  <c:v>767</c:v>
                </c:pt>
                <c:pt idx="57">
                  <c:v>641</c:v>
                </c:pt>
                <c:pt idx="58">
                  <c:v>534</c:v>
                </c:pt>
                <c:pt idx="59">
                  <c:v>922</c:v>
                </c:pt>
                <c:pt idx="60">
                  <c:v>660</c:v>
                </c:pt>
                <c:pt idx="61">
                  <c:v>739</c:v>
                </c:pt>
                <c:pt idx="62">
                  <c:v>730</c:v>
                </c:pt>
                <c:pt idx="63">
                  <c:v>#N/A</c:v>
                </c:pt>
                <c:pt idx="64">
                  <c:v>665</c:v>
                </c:pt>
                <c:pt idx="65">
                  <c:v>#N/A</c:v>
                </c:pt>
                <c:pt idx="66">
                  <c:v>1123</c:v>
                </c:pt>
                <c:pt idx="67">
                  <c:v>1342</c:v>
                </c:pt>
                <c:pt idx="68">
                  <c:v>1052</c:v>
                </c:pt>
                <c:pt idx="69">
                  <c:v>1023</c:v>
                </c:pt>
                <c:pt idx="70">
                  <c:v>#N/A</c:v>
                </c:pt>
                <c:pt idx="71">
                  <c:v>863</c:v>
                </c:pt>
                <c:pt idx="72">
                  <c:v>1829</c:v>
                </c:pt>
                <c:pt idx="73">
                  <c:v>2554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4E8-49F4-A91B-818A5C235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72979"/>
        <c:axId val="37718485"/>
      </c:scatterChart>
      <c:valAx>
        <c:axId val="987729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18485"/>
        <c:crosses val="autoZero"/>
        <c:crossBetween val="midCat"/>
      </c:valAx>
      <c:valAx>
        <c:axId val="377184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Daily 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7729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Travel history: Z_Cases vs Z_Deaths by cluster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Cluster 1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Chart_Data!$V$5:$V$19</c:f>
              <c:numCache>
                <c:formatCode>0.000</c:formatCode>
                <c:ptCount val="15"/>
                <c:pt idx="0">
                  <c:v>2.2998275218923658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Chart_Data!$W$5:$W$19</c:f>
              <c:numCache>
                <c:formatCode>0.000</c:formatCode>
                <c:ptCount val="15"/>
                <c:pt idx="0">
                  <c:v>2.9018223562127909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04-4715-B567-01E303F5CBD5}"/>
            </c:ext>
          </c:extLst>
        </c:ser>
        <c:ser>
          <c:idx val="1"/>
          <c:order val="1"/>
          <c:tx>
            <c:v>Cluster 2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Chart_Data!$X$5:$X$19</c:f>
              <c:numCache>
                <c:formatCode>0.000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0.28798977308742602</c:v>
                </c:pt>
                <c:pt idx="5">
                  <c:v>0.1598174853036945</c:v>
                </c:pt>
                <c:pt idx="6">
                  <c:v>-2.3255842017133044E-2</c:v>
                </c:pt>
                <c:pt idx="7">
                  <c:v>-0.50731745696104757</c:v>
                </c:pt>
                <c:pt idx="8">
                  <c:v>-0.54812081611163788</c:v>
                </c:pt>
                <c:pt idx="9">
                  <c:v>-0.59522483733596365</c:v>
                </c:pt>
                <c:pt idx="10">
                  <c:v>-0.80703071157060802</c:v>
                </c:pt>
                <c:pt idx="11">
                  <c:v>-0.80703071157060802</c:v>
                </c:pt>
                <c:pt idx="12">
                  <c:v>-0.93092920543033619</c:v>
                </c:pt>
                <c:pt idx="13">
                  <c:v>-0.93092920543033619</c:v>
                </c:pt>
                <c:pt idx="14">
                  <c:v>-0.93092920543033619</c:v>
                </c:pt>
              </c:numCache>
            </c:numRef>
          </c:xVal>
          <c:yVal>
            <c:numRef>
              <c:f>Chart_Data!$Y$5:$Y$19</c:f>
              <c:numCache>
                <c:formatCode>0.000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-0.51820107720199382</c:v>
                </c:pt>
                <c:pt idx="5">
                  <c:v>-0.51820107720199382</c:v>
                </c:pt>
                <c:pt idx="6">
                  <c:v>-0.51820107720199382</c:v>
                </c:pt>
                <c:pt idx="7">
                  <c:v>-0.51820107720199382</c:v>
                </c:pt>
                <c:pt idx="8">
                  <c:v>-0.19764054641940457</c:v>
                </c:pt>
                <c:pt idx="9">
                  <c:v>-0.51820107720199382</c:v>
                </c:pt>
                <c:pt idx="10">
                  <c:v>-0.51820107720199382</c:v>
                </c:pt>
                <c:pt idx="11">
                  <c:v>-0.51820107720199382</c:v>
                </c:pt>
                <c:pt idx="12">
                  <c:v>-0.51820107720199382</c:v>
                </c:pt>
                <c:pt idx="13">
                  <c:v>-0.51820107720199382</c:v>
                </c:pt>
                <c:pt idx="14">
                  <c:v>-0.51820107720199382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04-4715-B567-01E303F5CBD5}"/>
            </c:ext>
          </c:extLst>
        </c:ser>
        <c:ser>
          <c:idx val="2"/>
          <c:order val="2"/>
          <c:tx>
            <c:v>Cluster 3</c:v>
          </c:tx>
          <c:spPr>
            <a:ln w="47520">
              <a:noFill/>
            </a:ln>
          </c:spPr>
          <c:marker>
            <c:symbol val="circle"/>
            <c:size val="7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Chart_Data!$Z$5:$Z$19</c:f>
              <c:numCache>
                <c:formatCode>0.000</c:formatCode>
                <c:ptCount val="15"/>
                <c:pt idx="0">
                  <c:v>#N/A</c:v>
                </c:pt>
                <c:pt idx="1">
                  <c:v>1.347372610216069</c:v>
                </c:pt>
                <c:pt idx="2">
                  <c:v>1.001613285644595</c:v>
                </c:pt>
                <c:pt idx="3">
                  <c:v>0.98414731571385683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xVal>
          <c:yVal>
            <c:numRef>
              <c:f>Chart_Data!$AA$5:$AA$19</c:f>
              <c:numCache>
                <c:formatCode>0.000</c:formatCode>
                <c:ptCount val="15"/>
                <c:pt idx="0">
                  <c:v>#N/A</c:v>
                </c:pt>
                <c:pt idx="1">
                  <c:v>1.5363966832794247</c:v>
                </c:pt>
                <c:pt idx="2">
                  <c:v>0.31043587408226925</c:v>
                </c:pt>
                <c:pt idx="3">
                  <c:v>0.63099640486485853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04-4715-B567-01E303F5C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96919"/>
        <c:axId val="49144033"/>
      </c:scatterChart>
      <c:valAx>
        <c:axId val="386969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Z_Cases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44033"/>
        <c:crosses val="autoZero"/>
        <c:crossBetween val="midCat"/>
      </c:valAx>
      <c:valAx>
        <c:axId val="49144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Z_Deaths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69691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131040</xdr:rowOff>
    </xdr:from>
    <xdr:to>
      <xdr:col>3</xdr:col>
      <xdr:colOff>1003680</xdr:colOff>
      <xdr:row>44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28</xdr:row>
      <xdr:rowOff>131040</xdr:rowOff>
    </xdr:from>
    <xdr:to>
      <xdr:col>7</xdr:col>
      <xdr:colOff>1004040</xdr:colOff>
      <xdr:row>44</xdr:row>
      <xdr:rowOff>142560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2</xdr:row>
      <xdr:rowOff>131040</xdr:rowOff>
    </xdr:from>
    <xdr:to>
      <xdr:col>31</xdr:col>
      <xdr:colOff>78480</xdr:colOff>
      <xdr:row>17</xdr:row>
      <xdr:rowOff>151200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21</xdr:row>
      <xdr:rowOff>130680</xdr:rowOff>
    </xdr:from>
    <xdr:to>
      <xdr:col>31</xdr:col>
      <xdr:colOff>78480</xdr:colOff>
      <xdr:row>38</xdr:row>
      <xdr:rowOff>131760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40</xdr:row>
      <xdr:rowOff>130680</xdr:rowOff>
    </xdr:from>
    <xdr:to>
      <xdr:col>31</xdr:col>
      <xdr:colOff>78480</xdr:colOff>
      <xdr:row>57</xdr:row>
      <xdr:rowOff>131760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131040</xdr:rowOff>
    </xdr:from>
    <xdr:to>
      <xdr:col>21</xdr:col>
      <xdr:colOff>4680</xdr:colOff>
      <xdr:row>16</xdr:row>
      <xdr:rowOff>133920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130680</xdr:rowOff>
    </xdr:from>
    <xdr:to>
      <xdr:col>6</xdr:col>
      <xdr:colOff>536040</xdr:colOff>
      <xdr:row>26</xdr:row>
      <xdr:rowOff>153000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131040</xdr:rowOff>
    </xdr:from>
    <xdr:to>
      <xdr:col>22</xdr:col>
      <xdr:colOff>4680</xdr:colOff>
      <xdr:row>16</xdr:row>
      <xdr:rowOff>133920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130680</xdr:rowOff>
    </xdr:from>
    <xdr:to>
      <xdr:col>22</xdr:col>
      <xdr:colOff>4680</xdr:colOff>
      <xdr:row>34</xdr:row>
      <xdr:rowOff>133560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130680</xdr:rowOff>
    </xdr:from>
    <xdr:to>
      <xdr:col>8</xdr:col>
      <xdr:colOff>166320</xdr:colOff>
      <xdr:row>40</xdr:row>
      <xdr:rowOff>131760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131040</xdr:rowOff>
    </xdr:from>
    <xdr:to>
      <xdr:col>18</xdr:col>
      <xdr:colOff>4680</xdr:colOff>
      <xdr:row>16</xdr:row>
      <xdr:rowOff>133920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6</xdr:col>
      <xdr:colOff>504720</xdr:colOff>
      <xdr:row>19</xdr:row>
      <xdr:rowOff>132120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16</xdr:col>
      <xdr:colOff>504720</xdr:colOff>
      <xdr:row>19</xdr:row>
      <xdr:rowOff>132120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131040</xdr:rowOff>
    </xdr:from>
    <xdr:to>
      <xdr:col>6</xdr:col>
      <xdr:colOff>504720</xdr:colOff>
      <xdr:row>38</xdr:row>
      <xdr:rowOff>132120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131040</xdr:rowOff>
    </xdr:from>
    <xdr:to>
      <xdr:col>16</xdr:col>
      <xdr:colOff>504720</xdr:colOff>
      <xdr:row>38</xdr:row>
      <xdr:rowOff>132120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130680</xdr:rowOff>
    </xdr:from>
    <xdr:to>
      <xdr:col>4</xdr:col>
      <xdr:colOff>1092240</xdr:colOff>
      <xdr:row>31</xdr:row>
      <xdr:rowOff>153000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130680</xdr:rowOff>
    </xdr:from>
    <xdr:to>
      <xdr:col>4</xdr:col>
      <xdr:colOff>1092240</xdr:colOff>
      <xdr:row>49</xdr:row>
      <xdr:rowOff>153000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131040</xdr:rowOff>
    </xdr:from>
    <xdr:to>
      <xdr:col>6</xdr:col>
      <xdr:colOff>504720</xdr:colOff>
      <xdr:row>19</xdr:row>
      <xdr:rowOff>132120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16</xdr:col>
      <xdr:colOff>504720</xdr:colOff>
      <xdr:row>19</xdr:row>
      <xdr:rowOff>132120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131040</xdr:rowOff>
    </xdr:from>
    <xdr:to>
      <xdr:col>6</xdr:col>
      <xdr:colOff>504720</xdr:colOff>
      <xdr:row>38</xdr:row>
      <xdr:rowOff>132120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131040</xdr:rowOff>
    </xdr:from>
    <xdr:to>
      <xdr:col>16</xdr:col>
      <xdr:colOff>504720</xdr:colOff>
      <xdr:row>38</xdr:row>
      <xdr:rowOff>132120</xdr:rowOff>
    </xdr:to>
    <xdr:graphicFrame macro="">
      <xdr:nvGraphicFramePr>
        <xdr:cNvPr id="20" name="Chart 4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A1:H27"/>
  <sheetViews>
    <sheetView showGridLines="0" zoomScaleNormal="100" workbookViewId="0"/>
  </sheetViews>
  <sheetFormatPr defaultColWidth="8.7109375" defaultRowHeight="15" x14ac:dyDescent="0.25"/>
  <cols>
    <col min="1" max="8" width="15" customWidth="1"/>
  </cols>
  <sheetData>
    <row r="1" spans="1:8" ht="20.25" x14ac:dyDescent="0.3">
      <c r="A1" s="8" t="s">
        <v>0</v>
      </c>
    </row>
    <row r="2" spans="1:8" x14ac:dyDescent="0.25">
      <c r="A2" s="9" t="str">
        <f>"Data period: "&amp;TEXT(Daily!A5,"d mmm yyyy")&amp;" – "&amp;TEXT(Daily!A103,"d mmm yyyy")&amp;" · "&amp;COUNT(Daily!A5:A103)&amp;" calendar days · "&amp;TEXT(COUNTA(Data!$A$2:$A$2797),"#,##0")&amp;" case records · source: PK_COVID_Dashboard.xlsx (Clean sheet)"</f>
        <v>Data period: 26 Feb 2020 – 3 Jun 2020 · 99 calendar days · 2,796 case records · source: PK_COVID_Dashboard.xlsx (Clean sheet)</v>
      </c>
    </row>
    <row r="4" spans="1:8" x14ac:dyDescent="0.25">
      <c r="A4" s="7" t="s">
        <v>1</v>
      </c>
      <c r="B4" s="7"/>
      <c r="C4" s="7" t="s">
        <v>2</v>
      </c>
      <c r="D4" s="7"/>
      <c r="E4" s="7" t="s">
        <v>3</v>
      </c>
      <c r="F4" s="7"/>
      <c r="G4" s="7" t="s">
        <v>4</v>
      </c>
      <c r="H4" s="7"/>
    </row>
    <row r="5" spans="1:8" ht="30" customHeight="1" x14ac:dyDescent="0.4">
      <c r="A5" s="6">
        <f>SUM(Data!$B$2:$B$2797)</f>
        <v>83985</v>
      </c>
      <c r="B5" s="6"/>
      <c r="C5" s="6">
        <f>SUM(Data!$C$2:$C$2797)</f>
        <v>1728</v>
      </c>
      <c r="D5" s="6"/>
      <c r="E5" s="6">
        <f>SUM(Data!$D$2:$D$2797)</f>
        <v>24753</v>
      </c>
      <c r="F5" s="6"/>
      <c r="G5" s="6">
        <f>A5-C5-E5</f>
        <v>57504</v>
      </c>
      <c r="H5" s="6"/>
    </row>
    <row r="6" spans="1:8" x14ac:dyDescent="0.25">
      <c r="A6" s="5" t="s">
        <v>5</v>
      </c>
      <c r="B6" s="5"/>
      <c r="C6" s="5" t="s">
        <v>6</v>
      </c>
      <c r="D6" s="5"/>
      <c r="E6" s="5" t="s">
        <v>7</v>
      </c>
      <c r="F6" s="5"/>
      <c r="G6" s="5" t="s">
        <v>8</v>
      </c>
      <c r="H6" s="5"/>
    </row>
    <row r="8" spans="1:8" x14ac:dyDescent="0.25">
      <c r="A8" s="7" t="s">
        <v>9</v>
      </c>
      <c r="B8" s="7"/>
      <c r="C8" s="7" t="s">
        <v>10</v>
      </c>
      <c r="D8" s="7"/>
      <c r="E8" s="7" t="s">
        <v>11</v>
      </c>
      <c r="F8" s="7"/>
      <c r="G8" s="7" t="s">
        <v>12</v>
      </c>
      <c r="H8" s="7"/>
    </row>
    <row r="9" spans="1:8" ht="30" customHeight="1" x14ac:dyDescent="0.4">
      <c r="A9" s="4">
        <f>C5/A5</f>
        <v>2.0575102696910163E-2</v>
      </c>
      <c r="B9" s="4"/>
      <c r="C9" s="3">
        <f>E5/A5</f>
        <v>0.29473120200035718</v>
      </c>
      <c r="D9" s="3"/>
      <c r="E9" s="6">
        <f>MAX(Daily!$C$5:$C$103)</f>
        <v>4677</v>
      </c>
      <c r="F9" s="6"/>
      <c r="G9" s="6">
        <f>Daily!J103</f>
        <v>3374</v>
      </c>
      <c r="H9" s="6"/>
    </row>
    <row r="10" spans="1:8" x14ac:dyDescent="0.25">
      <c r="A10" s="5" t="s">
        <v>13</v>
      </c>
      <c r="B10" s="5"/>
      <c r="C10" s="5" t="s">
        <v>14</v>
      </c>
      <c r="D10" s="5"/>
      <c r="E10" s="5" t="str">
        <f>TEXT(INDEX(Daily!$A$5:$A$103,MATCH(E9,Daily!$C$5:$C$103,0)),"d mmm yyyy")</f>
        <v>3 Jun 2020</v>
      </c>
      <c r="F10" s="5"/>
      <c r="G10" s="5" t="str">
        <f>TEXT(Daily!A103,"d mmm yyyy")&amp;" · cases per day"</f>
        <v>3 Jun 2020 · cases per day</v>
      </c>
      <c r="H10" s="5"/>
    </row>
    <row r="12" spans="1:8" ht="15.75" x14ac:dyDescent="0.25">
      <c r="A12" s="10" t="s">
        <v>15</v>
      </c>
    </row>
    <row r="13" spans="1:8" ht="33.75" customHeight="1" x14ac:dyDescent="0.25">
      <c r="A13" s="2" t="str">
        <f>"1. Scale — "&amp;TEXT(A5,"#,##0")&amp;" confirmed cases and "&amp;TEXT(C5,"#,##0")&amp;" deaths in "&amp;COUNT(Daily!A5:A103)&amp;" days: a crude fatality rate of "&amp;TEXT(A9,"0.00%")&amp;", averaging "&amp;TEXT(A5/COUNT(Daily!A5:A103),"#,##0")&amp;" new cases a day."</f>
        <v>1. Scale — 83,985 confirmed cases and 1,728 deaths in 99 days: a crude fatality rate of 2.06%, averaging 848 new cases a day.</v>
      </c>
      <c r="B13" s="2"/>
      <c r="C13" s="2"/>
      <c r="D13" s="2"/>
      <c r="E13" s="2"/>
      <c r="F13" s="2"/>
      <c r="G13" s="2"/>
      <c r="H13" s="2"/>
    </row>
    <row r="14" spans="1:8" ht="33.75" customHeight="1" x14ac:dyDescent="0.25">
      <c r="A14" s="2" t="str">
        <f>"2. Momentum — the 7-day average reached "&amp;TEXT(G9,"#,##0")&amp;" cases a day on "&amp;TEXT(Daily!A103,"d mmm")&amp;", "&amp;TEXT(Daily!M103,"+0%;-0%")&amp;" on a week earlier. "&amp;IF(INDEX(Daily!$A$5:$A$103,MATCH(E9,Daily!$C$5:$C$103,0))=Daily!A103,"The highest single day ("&amp;TEXT(E9,"#,##0")&amp;") is the last day in the data, so the outbreak had not peaked.","The highest single day was "&amp;TEXT(E9,"#,##0")&amp;".")</f>
        <v>2. Momentum — the 7-day average reached 3,374 cases a day on 3 Jun, +81% on a week earlier. The highest single day (4,677) is the last day in the data, so the outbreak had not peaked.</v>
      </c>
      <c r="B14" s="2"/>
      <c r="C14" s="2"/>
      <c r="D14" s="2"/>
      <c r="E14" s="2"/>
      <c r="F14" s="2"/>
      <c r="G14" s="2"/>
      <c r="H14" s="2"/>
    </row>
    <row r="15" spans="1:8" ht="33.75" customHeight="1" x14ac:dyDescent="0.25">
      <c r="A15" s="2" t="str">
        <f>"3. Timing — May alone produced "&amp;TEXT(Monthly!I8,"0%")&amp;" of all cases ("&amp;TEXT(Monthly!F8,"#,##0")&amp;" a day vs "&amp;TEXT(Monthly!F7,"#,##0")&amp;" in April). Early-surge cases doubled roughly every "&amp;TEXT(Statistics!G52,"0.0")&amp;" days ("&amp;TEXT(Statistics!B52,"d mmm")&amp;" – "&amp;TEXT(Statistics!C52,"d mmm")&amp;"); the daily growth rate then slowed to "&amp;TEXT(Statistics!F53,"0.0%")&amp;" in the peak phase."</f>
        <v>3. Timing — May alone produced 65% of all cases (1,769 a day vs 480 in April). Early-surge cases doubled roughly every 10.1 days (15 Mar – 30 Apr); the daily growth rate then slowed to 3.1% in the peak phase.</v>
      </c>
      <c r="B15" s="2"/>
      <c r="C15" s="2"/>
      <c r="D15" s="2"/>
      <c r="E15" s="2"/>
      <c r="F15" s="2"/>
      <c r="G15" s="2"/>
      <c r="H15" s="2"/>
    </row>
    <row r="16" spans="1:8" ht="33.75" customHeight="1" x14ac:dyDescent="0.25">
      <c r="A16" s="2" t="str">
        <f>"4. Geography — "&amp;Province!A5&amp;" and "&amp;Province!A6&amp;" together account for "&amp;TEXT(Province!F5+Province!F6,"0%")&amp;" of cases; "&amp;City!B5&amp;" and "&amp;City!B6&amp;" alone make up "&amp;TEXT(City!H6,"0%")&amp;", and the top five cities "&amp;TEXT(City!H9,"0%")&amp;"."</f>
        <v>4. Geography — Sindh and Punjab together account for 76% of cases; Karachi and Lahore alone make up 68%, and the top five cities 84%.</v>
      </c>
      <c r="B16" s="2"/>
      <c r="C16" s="2"/>
      <c r="D16" s="2"/>
      <c r="E16" s="2"/>
      <c r="F16" s="2"/>
      <c r="G16" s="2"/>
      <c r="H16" s="2"/>
    </row>
    <row r="17" spans="1:8" ht="33.75" customHeight="1" x14ac:dyDescent="0.25">
      <c r="A17" s="2" t="str">
        <f>"5. Mortality — "&amp;Province!B15&amp;" has the highest CFR among provinces with "&amp;TEXT(Province!B14,"#,##0")&amp;"+ cases ("&amp;TEXT(Province!C15,"0.0%")&amp;", "&amp;TEXT(Province!C15/Province!H13,"0.0")&amp;"× the national rate): "&amp;TEXT(INDEX(Province!G5:G12,MATCH(Province!B15,Province!A5:A12,0)),"0%")&amp;" of deaths from "&amp;TEXT(INDEX(Province!F5:F12,MATCH(Province!B15,Province!A5:A12,0)),"0%")&amp;" of cases."</f>
        <v>5. Mortality — Khyber Pakhtunkhwa has the highest CFR among provinces with 1,000+ cases (4.6%, 2.2× the national rate): 27% of deaths from 12% of cases.</v>
      </c>
      <c r="B17" s="2"/>
      <c r="C17" s="2"/>
      <c r="D17" s="2"/>
      <c r="E17" s="2"/>
      <c r="F17" s="2"/>
      <c r="G17" s="2"/>
      <c r="H17" s="2"/>
    </row>
    <row r="18" spans="1:8" ht="33.75" customHeight="1" x14ac:dyDescent="0.25">
      <c r="A18" s="2" t="str">
        <f>"6. Source of infection — "&amp;TEXT(Travel!D24,"0.0%")&amp;" of cases are recorded as local transmission, "&amp;TEXT(Travel!D27,"0.0%")&amp;" have no known source, "&amp;TEXT(Travel!D25,"0.0%")&amp;" are tied to clusters (Tableeghi Jamaat, jail) and only "&amp;TEXT(Travel!D26,"0.0%")&amp;" to travel."</f>
        <v>6. Source of infection — 93.0% of cases are recorded as local transmission, 4.1% have no known source, 1.5% are tied to clusters (Tableeghi Jamaat, jail) and only 1.4% to travel.</v>
      </c>
      <c r="B18" s="2"/>
      <c r="C18" s="2"/>
      <c r="D18" s="2"/>
      <c r="E18" s="2"/>
      <c r="F18" s="2"/>
      <c r="G18" s="2"/>
      <c r="H18" s="2"/>
    </row>
    <row r="19" spans="1:8" ht="33.75" customHeight="1" x14ac:dyDescent="0.25">
      <c r="A19" s="2" t="str">
        <f>"7. Cases and deaths move together — daily deaths correlate with daily cases at r = "&amp;TEXT(Statistics!B39,"0.00")&amp;" on the same day and "&amp;TEXT(Statistics!B46,"0.00")&amp;" at a "&amp;Statistics!A46&amp;"-day lag. Both series rise together, so the data cannot isolate the reporting delay; treat as indicative only."</f>
        <v>7. Cases and deaths move together — daily deaths correlate with daily cases at r = 0.93 on the same day and 0.81 at a 14-day lag. Both series rise together, so the data cannot isolate the reporting delay; treat as indicative only.</v>
      </c>
      <c r="B19" s="2"/>
      <c r="C19" s="2"/>
      <c r="D19" s="2"/>
      <c r="E19" s="2"/>
      <c r="F19" s="2"/>
      <c r="G19" s="2"/>
      <c r="H19" s="2"/>
    </row>
    <row r="20" spans="1:8" ht="33.75" customHeight="1" x14ac:dyDescent="0.25">
      <c r="A20" s="2" t="str">
        <f>"8. Data caveat — among provinces with "&amp;TEXT(Province!B14,"#,##0")&amp;"+ cases, reported recovery rates range from "&amp;TEXT(Province!B16,"0%")&amp;" to "&amp;TEXT(Province!C16,"0%")&amp;". That spread reflects uneven reporting, so recoveries and Active Cases ("&amp;TEXT(G5,"#,##0")&amp;") are unreliable; cases and deaths are the dependable measures."</f>
        <v>8. Data caveat — among provinces with 1,000+ cases, reported recovery rates range from 13% to 48%. That spread reflects uneven reporting, so recoveries and Active Cases (57,504) are unreliable; cases and deaths are the dependable measures.</v>
      </c>
      <c r="B20" s="2"/>
      <c r="C20" s="2"/>
      <c r="D20" s="2"/>
      <c r="E20" s="2"/>
      <c r="F20" s="2"/>
      <c r="G20" s="2"/>
      <c r="H20" s="2"/>
    </row>
    <row r="22" spans="1:8" ht="15.75" x14ac:dyDescent="0.25">
      <c r="A22" s="10" t="s">
        <v>16</v>
      </c>
    </row>
    <row r="23" spans="1:8" ht="19.5" customHeight="1" x14ac:dyDescent="0.25">
      <c r="A23" s="2" t="s">
        <v>17</v>
      </c>
      <c r="B23" s="2"/>
      <c r="C23" s="2"/>
      <c r="D23" s="2"/>
      <c r="E23" s="2"/>
      <c r="F23" s="2"/>
      <c r="G23" s="2"/>
      <c r="H23" s="2"/>
    </row>
    <row r="24" spans="1:8" ht="19.5" customHeight="1" x14ac:dyDescent="0.25">
      <c r="A24" s="2" t="s">
        <v>18</v>
      </c>
      <c r="B24" s="2"/>
      <c r="C24" s="2"/>
      <c r="D24" s="2"/>
      <c r="E24" s="2"/>
      <c r="F24" s="2"/>
      <c r="G24" s="2"/>
      <c r="H24" s="2"/>
    </row>
    <row r="25" spans="1:8" ht="19.5" customHeight="1" x14ac:dyDescent="0.25">
      <c r="A25" s="2" t="s">
        <v>19</v>
      </c>
      <c r="B25" s="2"/>
      <c r="C25" s="2"/>
      <c r="D25" s="2"/>
      <c r="E25" s="2"/>
      <c r="F25" s="2"/>
      <c r="G25" s="2"/>
      <c r="H25" s="2"/>
    </row>
    <row r="26" spans="1:8" ht="19.5" customHeight="1" x14ac:dyDescent="0.25">
      <c r="A26" s="2" t="s">
        <v>20</v>
      </c>
      <c r="B26" s="2"/>
      <c r="C26" s="2"/>
      <c r="D26" s="2"/>
      <c r="E26" s="2"/>
      <c r="F26" s="2"/>
      <c r="G26" s="2"/>
      <c r="H26" s="2"/>
    </row>
    <row r="27" spans="1:8" ht="19.5" customHeight="1" x14ac:dyDescent="0.25">
      <c r="A27" s="2" t="s">
        <v>21</v>
      </c>
      <c r="B27" s="2"/>
      <c r="C27" s="2"/>
      <c r="D27" s="2"/>
      <c r="E27" s="2"/>
      <c r="F27" s="2"/>
      <c r="G27" s="2"/>
      <c r="H27" s="2"/>
    </row>
  </sheetData>
  <mergeCells count="37">
    <mergeCell ref="A25:H25"/>
    <mergeCell ref="A26:H26"/>
    <mergeCell ref="A27:H27"/>
    <mergeCell ref="A18:H18"/>
    <mergeCell ref="A19:H19"/>
    <mergeCell ref="A20:H20"/>
    <mergeCell ref="A23:H23"/>
    <mergeCell ref="A24:H24"/>
    <mergeCell ref="A13:H13"/>
    <mergeCell ref="A14:H14"/>
    <mergeCell ref="A15:H15"/>
    <mergeCell ref="A16:H16"/>
    <mergeCell ref="A17:H17"/>
    <mergeCell ref="A9:B9"/>
    <mergeCell ref="C9:D9"/>
    <mergeCell ref="E9:F9"/>
    <mergeCell ref="G9:H9"/>
    <mergeCell ref="A10:B10"/>
    <mergeCell ref="C10:D10"/>
    <mergeCell ref="E10:F10"/>
    <mergeCell ref="G10:H10"/>
    <mergeCell ref="A6:B6"/>
    <mergeCell ref="C6:D6"/>
    <mergeCell ref="E6:F6"/>
    <mergeCell ref="G6:H6"/>
    <mergeCell ref="A8:B8"/>
    <mergeCell ref="C8:D8"/>
    <mergeCell ref="E8:F8"/>
    <mergeCell ref="G8:H8"/>
    <mergeCell ref="A4:B4"/>
    <mergeCell ref="C4:D4"/>
    <mergeCell ref="E4:F4"/>
    <mergeCell ref="G4:H4"/>
    <mergeCell ref="A5:B5"/>
    <mergeCell ref="C5:D5"/>
    <mergeCell ref="E5:F5"/>
    <mergeCell ref="G5:H5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  <pageSetUpPr fitToPage="1"/>
  </sheetPr>
  <dimension ref="A1:P10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2" customWidth="1"/>
    <col min="2" max="2" width="7" customWidth="1"/>
    <col min="3" max="4" width="10" customWidth="1"/>
    <col min="5" max="5" width="11" customWidth="1"/>
    <col min="6" max="7" width="12" customWidth="1"/>
    <col min="8" max="8" width="13" customWidth="1"/>
    <col min="9" max="9" width="11" customWidth="1"/>
    <col min="10" max="11" width="12" customWidth="1"/>
    <col min="12" max="12" width="11" customWidth="1"/>
    <col min="13" max="13" width="13" customWidth="1"/>
    <col min="14" max="14" width="9" customWidth="1"/>
    <col min="15" max="15" width="11" customWidth="1"/>
    <col min="16" max="16" width="9" customWidth="1"/>
  </cols>
  <sheetData>
    <row r="1" spans="1:16" ht="20.25" x14ac:dyDescent="0.3">
      <c r="A1" s="8" t="s">
        <v>22</v>
      </c>
    </row>
    <row r="2" spans="1:16" x14ac:dyDescent="0.25">
      <c r="A2" s="9" t="s">
        <v>23</v>
      </c>
    </row>
    <row r="4" spans="1:16" ht="43.5" customHeight="1" x14ac:dyDescent="0.25">
      <c r="A4" s="11" t="s">
        <v>24</v>
      </c>
      <c r="B4" s="11" t="s">
        <v>25</v>
      </c>
      <c r="C4" s="11" t="s">
        <v>26</v>
      </c>
      <c r="D4" s="11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  <c r="K4" s="11" t="s">
        <v>34</v>
      </c>
      <c r="L4" s="11" t="s">
        <v>35</v>
      </c>
      <c r="M4" s="11" t="s">
        <v>36</v>
      </c>
      <c r="N4" s="11" t="s">
        <v>37</v>
      </c>
      <c r="O4" s="11" t="s">
        <v>38</v>
      </c>
      <c r="P4" s="11" t="s">
        <v>39</v>
      </c>
    </row>
    <row r="5" spans="1:16" x14ac:dyDescent="0.25">
      <c r="A5" s="12">
        <f>MIN(Data!$A$2:$A$2797)</f>
        <v>43887</v>
      </c>
      <c r="B5" s="13" t="str">
        <f t="shared" ref="B5:B36" si="0">CHOOSE(WEEKDAY(A5,2),"Mon","Tue","Wed","Thu","Fri","Sat","Sun")</f>
        <v>Wed</v>
      </c>
      <c r="C5" s="14">
        <f>SUMIFS(Data!$B$2:$B$2797,Data!$A$2:$A$2797,A5)</f>
        <v>3</v>
      </c>
      <c r="D5" s="14">
        <f>SUMIFS(Data!$C$2:$C$2797,Data!$A$2:$A$2797,A5)</f>
        <v>0</v>
      </c>
      <c r="E5" s="14">
        <f>SUMIFS(Data!$D$2:$D$2797,Data!$A$2:$A$2797,A5)</f>
        <v>0</v>
      </c>
      <c r="F5" s="14">
        <f>SUM($C$5:C5)</f>
        <v>3</v>
      </c>
      <c r="G5" s="14">
        <f>SUM($D$5:D5)</f>
        <v>0</v>
      </c>
      <c r="H5" s="14">
        <f>SUM($E$5:E5)</f>
        <v>0</v>
      </c>
      <c r="I5" s="14">
        <f t="shared" ref="I5:I36" si="1">F5-G5-H5</f>
        <v>3</v>
      </c>
      <c r="J5" s="13"/>
      <c r="K5" s="13"/>
      <c r="L5" s="15">
        <f t="shared" ref="L5:L36" si="2">IF(F5&gt;0,G5/F5,0)</f>
        <v>0</v>
      </c>
      <c r="M5" s="13"/>
      <c r="N5" s="16">
        <f t="shared" ref="N5:N36" si="3">A5-$A$5</f>
        <v>0</v>
      </c>
      <c r="O5" s="13"/>
      <c r="P5" s="16">
        <f>COUNTIF(Data!$A$2:$A$2797,A5)</f>
        <v>2</v>
      </c>
    </row>
    <row r="6" spans="1:16" x14ac:dyDescent="0.25">
      <c r="A6" s="12">
        <f t="shared" ref="A6:A37" si="4">A5+1</f>
        <v>43888</v>
      </c>
      <c r="B6" s="13" t="str">
        <f t="shared" si="0"/>
        <v>Thu</v>
      </c>
      <c r="C6" s="14">
        <f>SUMIFS(Data!$B$2:$B$2797,Data!$A$2:$A$2797,A6)</f>
        <v>0</v>
      </c>
      <c r="D6" s="14">
        <f>SUMIFS(Data!$C$2:$C$2797,Data!$A$2:$A$2797,A6)</f>
        <v>0</v>
      </c>
      <c r="E6" s="14">
        <f>SUMIFS(Data!$D$2:$D$2797,Data!$A$2:$A$2797,A6)</f>
        <v>0</v>
      </c>
      <c r="F6" s="14">
        <f>SUM($C$5:C6)</f>
        <v>3</v>
      </c>
      <c r="G6" s="14">
        <f>SUM($D$5:D6)</f>
        <v>0</v>
      </c>
      <c r="H6" s="14">
        <f>SUM($E$5:E6)</f>
        <v>0</v>
      </c>
      <c r="I6" s="14">
        <f t="shared" si="1"/>
        <v>3</v>
      </c>
      <c r="J6" s="13"/>
      <c r="K6" s="13"/>
      <c r="L6" s="15">
        <f t="shared" si="2"/>
        <v>0</v>
      </c>
      <c r="M6" s="13"/>
      <c r="N6" s="16">
        <f t="shared" si="3"/>
        <v>1</v>
      </c>
      <c r="O6" s="13"/>
      <c r="P6" s="16">
        <f>COUNTIF(Data!$A$2:$A$2797,A6)</f>
        <v>0</v>
      </c>
    </row>
    <row r="7" spans="1:16" x14ac:dyDescent="0.25">
      <c r="A7" s="12">
        <f t="shared" si="4"/>
        <v>43889</v>
      </c>
      <c r="B7" s="13" t="str">
        <f t="shared" si="0"/>
        <v>Fri</v>
      </c>
      <c r="C7" s="14">
        <f>SUMIFS(Data!$B$2:$B$2797,Data!$A$2:$A$2797,A7)</f>
        <v>0</v>
      </c>
      <c r="D7" s="14">
        <f>SUMIFS(Data!$C$2:$C$2797,Data!$A$2:$A$2797,A7)</f>
        <v>0</v>
      </c>
      <c r="E7" s="14">
        <f>SUMIFS(Data!$D$2:$D$2797,Data!$A$2:$A$2797,A7)</f>
        <v>0</v>
      </c>
      <c r="F7" s="14">
        <f>SUM($C$5:C7)</f>
        <v>3</v>
      </c>
      <c r="G7" s="14">
        <f>SUM($D$5:D7)</f>
        <v>0</v>
      </c>
      <c r="H7" s="14">
        <f>SUM($E$5:E7)</f>
        <v>0</v>
      </c>
      <c r="I7" s="14">
        <f t="shared" si="1"/>
        <v>3</v>
      </c>
      <c r="J7" s="13"/>
      <c r="K7" s="13"/>
      <c r="L7" s="15">
        <f t="shared" si="2"/>
        <v>0</v>
      </c>
      <c r="M7" s="13"/>
      <c r="N7" s="16">
        <f t="shared" si="3"/>
        <v>2</v>
      </c>
      <c r="O7" s="13"/>
      <c r="P7" s="16">
        <f>COUNTIF(Data!$A$2:$A$2797,A7)</f>
        <v>0</v>
      </c>
    </row>
    <row r="8" spans="1:16" x14ac:dyDescent="0.25">
      <c r="A8" s="12">
        <f t="shared" si="4"/>
        <v>43890</v>
      </c>
      <c r="B8" s="13" t="str">
        <f t="shared" si="0"/>
        <v>Sat</v>
      </c>
      <c r="C8" s="14">
        <f>SUMIFS(Data!$B$2:$B$2797,Data!$A$2:$A$2797,A8)</f>
        <v>2</v>
      </c>
      <c r="D8" s="14">
        <f>SUMIFS(Data!$C$2:$C$2797,Data!$A$2:$A$2797,A8)</f>
        <v>0</v>
      </c>
      <c r="E8" s="14">
        <f>SUMIFS(Data!$D$2:$D$2797,Data!$A$2:$A$2797,A8)</f>
        <v>0</v>
      </c>
      <c r="F8" s="14">
        <f>SUM($C$5:C8)</f>
        <v>5</v>
      </c>
      <c r="G8" s="14">
        <f>SUM($D$5:D8)</f>
        <v>0</v>
      </c>
      <c r="H8" s="14">
        <f>SUM($E$5:E8)</f>
        <v>0</v>
      </c>
      <c r="I8" s="14">
        <f t="shared" si="1"/>
        <v>5</v>
      </c>
      <c r="J8" s="13"/>
      <c r="K8" s="13"/>
      <c r="L8" s="15">
        <f t="shared" si="2"/>
        <v>0</v>
      </c>
      <c r="M8" s="13"/>
      <c r="N8" s="16">
        <f t="shared" si="3"/>
        <v>3</v>
      </c>
      <c r="O8" s="13"/>
      <c r="P8" s="16">
        <f>COUNTIF(Data!$A$2:$A$2797,A8)</f>
        <v>2</v>
      </c>
    </row>
    <row r="9" spans="1:16" x14ac:dyDescent="0.25">
      <c r="A9" s="12">
        <f t="shared" si="4"/>
        <v>43891</v>
      </c>
      <c r="B9" s="13" t="str">
        <f t="shared" si="0"/>
        <v>Sun</v>
      </c>
      <c r="C9" s="14">
        <f>SUMIFS(Data!$B$2:$B$2797,Data!$A$2:$A$2797,A9)</f>
        <v>0</v>
      </c>
      <c r="D9" s="14">
        <f>SUMIFS(Data!$C$2:$C$2797,Data!$A$2:$A$2797,A9)</f>
        <v>0</v>
      </c>
      <c r="E9" s="14">
        <f>SUMIFS(Data!$D$2:$D$2797,Data!$A$2:$A$2797,A9)</f>
        <v>0</v>
      </c>
      <c r="F9" s="14">
        <f>SUM($C$5:C9)</f>
        <v>5</v>
      </c>
      <c r="G9" s="14">
        <f>SUM($D$5:D9)</f>
        <v>0</v>
      </c>
      <c r="H9" s="14">
        <f>SUM($E$5:E9)</f>
        <v>0</v>
      </c>
      <c r="I9" s="14">
        <f t="shared" si="1"/>
        <v>5</v>
      </c>
      <c r="J9" s="13"/>
      <c r="K9" s="13"/>
      <c r="L9" s="15">
        <f t="shared" si="2"/>
        <v>0</v>
      </c>
      <c r="M9" s="13"/>
      <c r="N9" s="16">
        <f t="shared" si="3"/>
        <v>4</v>
      </c>
      <c r="O9" s="13"/>
      <c r="P9" s="16">
        <f>COUNTIF(Data!$A$2:$A$2797,A9)</f>
        <v>0</v>
      </c>
    </row>
    <row r="10" spans="1:16" x14ac:dyDescent="0.25">
      <c r="A10" s="12">
        <f t="shared" si="4"/>
        <v>43892</v>
      </c>
      <c r="B10" s="13" t="str">
        <f t="shared" si="0"/>
        <v>Mon</v>
      </c>
      <c r="C10" s="14">
        <f>SUMIFS(Data!$B$2:$B$2797,Data!$A$2:$A$2797,A10)</f>
        <v>1</v>
      </c>
      <c r="D10" s="14">
        <f>SUMIFS(Data!$C$2:$C$2797,Data!$A$2:$A$2797,A10)</f>
        <v>0</v>
      </c>
      <c r="E10" s="14">
        <f>SUMIFS(Data!$D$2:$D$2797,Data!$A$2:$A$2797,A10)</f>
        <v>0</v>
      </c>
      <c r="F10" s="14">
        <f>SUM($C$5:C10)</f>
        <v>6</v>
      </c>
      <c r="G10" s="14">
        <f>SUM($D$5:D10)</f>
        <v>0</v>
      </c>
      <c r="H10" s="14">
        <f>SUM($E$5:E10)</f>
        <v>0</v>
      </c>
      <c r="I10" s="14">
        <f t="shared" si="1"/>
        <v>6</v>
      </c>
      <c r="J10" s="13"/>
      <c r="K10" s="13"/>
      <c r="L10" s="15">
        <f t="shared" si="2"/>
        <v>0</v>
      </c>
      <c r="M10" s="13"/>
      <c r="N10" s="16">
        <f t="shared" si="3"/>
        <v>5</v>
      </c>
      <c r="O10" s="13"/>
      <c r="P10" s="16">
        <f>COUNTIF(Data!$A$2:$A$2797,A10)</f>
        <v>1</v>
      </c>
    </row>
    <row r="11" spans="1:16" x14ac:dyDescent="0.25">
      <c r="A11" s="12">
        <f t="shared" si="4"/>
        <v>43893</v>
      </c>
      <c r="B11" s="13" t="str">
        <f t="shared" si="0"/>
        <v>Tue</v>
      </c>
      <c r="C11" s="14">
        <f>SUMIFS(Data!$B$2:$B$2797,Data!$A$2:$A$2797,A11)</f>
        <v>0</v>
      </c>
      <c r="D11" s="14">
        <f>SUMIFS(Data!$C$2:$C$2797,Data!$A$2:$A$2797,A11)</f>
        <v>0</v>
      </c>
      <c r="E11" s="14">
        <f>SUMIFS(Data!$D$2:$D$2797,Data!$A$2:$A$2797,A11)</f>
        <v>0</v>
      </c>
      <c r="F11" s="14">
        <f>SUM($C$5:C11)</f>
        <v>6</v>
      </c>
      <c r="G11" s="14">
        <f>SUM($D$5:D11)</f>
        <v>0</v>
      </c>
      <c r="H11" s="14">
        <f>SUM($E$5:E11)</f>
        <v>0</v>
      </c>
      <c r="I11" s="14">
        <f t="shared" si="1"/>
        <v>6</v>
      </c>
      <c r="J11" s="17">
        <f t="shared" ref="J11:J42" si="5">AVERAGE(C5:C11)</f>
        <v>0.8571428571428571</v>
      </c>
      <c r="K11" s="17">
        <f t="shared" ref="K11:K42" si="6">AVERAGE(D5:D11)</f>
        <v>0</v>
      </c>
      <c r="L11" s="15">
        <f t="shared" si="2"/>
        <v>0</v>
      </c>
      <c r="M11" s="13"/>
      <c r="N11" s="16">
        <f t="shared" si="3"/>
        <v>6</v>
      </c>
      <c r="O11" s="18">
        <f t="shared" ref="O11:O42" si="7">IF(J11&gt;0,LN(J11),"")</f>
        <v>-0.15415067982725836</v>
      </c>
      <c r="P11" s="16">
        <f>COUNTIF(Data!$A$2:$A$2797,A11)</f>
        <v>0</v>
      </c>
    </row>
    <row r="12" spans="1:16" x14ac:dyDescent="0.25">
      <c r="A12" s="12">
        <f t="shared" si="4"/>
        <v>43894</v>
      </c>
      <c r="B12" s="13" t="str">
        <f t="shared" si="0"/>
        <v>Wed</v>
      </c>
      <c r="C12" s="14">
        <f>SUMIFS(Data!$B$2:$B$2797,Data!$A$2:$A$2797,A12)</f>
        <v>0</v>
      </c>
      <c r="D12" s="14">
        <f>SUMIFS(Data!$C$2:$C$2797,Data!$A$2:$A$2797,A12)</f>
        <v>0</v>
      </c>
      <c r="E12" s="14">
        <f>SUMIFS(Data!$D$2:$D$2797,Data!$A$2:$A$2797,A12)</f>
        <v>0</v>
      </c>
      <c r="F12" s="14">
        <f>SUM($C$5:C12)</f>
        <v>6</v>
      </c>
      <c r="G12" s="14">
        <f>SUM($D$5:D12)</f>
        <v>0</v>
      </c>
      <c r="H12" s="14">
        <f>SUM($E$5:E12)</f>
        <v>0</v>
      </c>
      <c r="I12" s="14">
        <f t="shared" si="1"/>
        <v>6</v>
      </c>
      <c r="J12" s="17">
        <f t="shared" si="5"/>
        <v>0.42857142857142855</v>
      </c>
      <c r="K12" s="17">
        <f t="shared" si="6"/>
        <v>0</v>
      </c>
      <c r="L12" s="15">
        <f t="shared" si="2"/>
        <v>0</v>
      </c>
      <c r="M12" s="13"/>
      <c r="N12" s="16">
        <f t="shared" si="3"/>
        <v>7</v>
      </c>
      <c r="O12" s="18">
        <f t="shared" si="7"/>
        <v>-0.84729786038720367</v>
      </c>
      <c r="P12" s="16">
        <f>COUNTIF(Data!$A$2:$A$2797,A12)</f>
        <v>0</v>
      </c>
    </row>
    <row r="13" spans="1:16" x14ac:dyDescent="0.25">
      <c r="A13" s="12">
        <f t="shared" si="4"/>
        <v>43895</v>
      </c>
      <c r="B13" s="13" t="str">
        <f t="shared" si="0"/>
        <v>Thu</v>
      </c>
      <c r="C13" s="14">
        <f>SUMIFS(Data!$B$2:$B$2797,Data!$A$2:$A$2797,A13)</f>
        <v>0</v>
      </c>
      <c r="D13" s="14">
        <f>SUMIFS(Data!$C$2:$C$2797,Data!$A$2:$A$2797,A13)</f>
        <v>0</v>
      </c>
      <c r="E13" s="14">
        <f>SUMIFS(Data!$D$2:$D$2797,Data!$A$2:$A$2797,A13)</f>
        <v>0</v>
      </c>
      <c r="F13" s="14">
        <f>SUM($C$5:C13)</f>
        <v>6</v>
      </c>
      <c r="G13" s="14">
        <f>SUM($D$5:D13)</f>
        <v>0</v>
      </c>
      <c r="H13" s="14">
        <f>SUM($E$5:E13)</f>
        <v>0</v>
      </c>
      <c r="I13" s="14">
        <f t="shared" si="1"/>
        <v>6</v>
      </c>
      <c r="J13" s="17">
        <f t="shared" si="5"/>
        <v>0.42857142857142855</v>
      </c>
      <c r="K13" s="17">
        <f t="shared" si="6"/>
        <v>0</v>
      </c>
      <c r="L13" s="15">
        <f t="shared" si="2"/>
        <v>0</v>
      </c>
      <c r="M13" s="13"/>
      <c r="N13" s="16">
        <f t="shared" si="3"/>
        <v>8</v>
      </c>
      <c r="O13" s="18">
        <f t="shared" si="7"/>
        <v>-0.84729786038720367</v>
      </c>
      <c r="P13" s="16">
        <f>COUNTIF(Data!$A$2:$A$2797,A13)</f>
        <v>0</v>
      </c>
    </row>
    <row r="14" spans="1:16" x14ac:dyDescent="0.25">
      <c r="A14" s="12">
        <f t="shared" si="4"/>
        <v>43896</v>
      </c>
      <c r="B14" s="13" t="str">
        <f t="shared" si="0"/>
        <v>Fri</v>
      </c>
      <c r="C14" s="14">
        <f>SUMIFS(Data!$B$2:$B$2797,Data!$A$2:$A$2797,A14)</f>
        <v>0</v>
      </c>
      <c r="D14" s="14">
        <f>SUMIFS(Data!$C$2:$C$2797,Data!$A$2:$A$2797,A14)</f>
        <v>0</v>
      </c>
      <c r="E14" s="14">
        <f>SUMIFS(Data!$D$2:$D$2797,Data!$A$2:$A$2797,A14)</f>
        <v>1</v>
      </c>
      <c r="F14" s="14">
        <f>SUM($C$5:C14)</f>
        <v>6</v>
      </c>
      <c r="G14" s="14">
        <f>SUM($D$5:D14)</f>
        <v>0</v>
      </c>
      <c r="H14" s="14">
        <f>SUM($E$5:E14)</f>
        <v>1</v>
      </c>
      <c r="I14" s="14">
        <f t="shared" si="1"/>
        <v>5</v>
      </c>
      <c r="J14" s="17">
        <f t="shared" si="5"/>
        <v>0.42857142857142855</v>
      </c>
      <c r="K14" s="17">
        <f t="shared" si="6"/>
        <v>0</v>
      </c>
      <c r="L14" s="15">
        <f t="shared" si="2"/>
        <v>0</v>
      </c>
      <c r="M14" s="13"/>
      <c r="N14" s="16">
        <f t="shared" si="3"/>
        <v>9</v>
      </c>
      <c r="O14" s="18">
        <f t="shared" si="7"/>
        <v>-0.84729786038720367</v>
      </c>
      <c r="P14" s="16">
        <f>COUNTIF(Data!$A$2:$A$2797,A14)</f>
        <v>1</v>
      </c>
    </row>
    <row r="15" spans="1:16" x14ac:dyDescent="0.25">
      <c r="A15" s="12">
        <f t="shared" si="4"/>
        <v>43897</v>
      </c>
      <c r="B15" s="13" t="str">
        <f t="shared" si="0"/>
        <v>Sat</v>
      </c>
      <c r="C15" s="14">
        <f>SUMIFS(Data!$B$2:$B$2797,Data!$A$2:$A$2797,A15)</f>
        <v>1</v>
      </c>
      <c r="D15" s="14">
        <f>SUMIFS(Data!$C$2:$C$2797,Data!$A$2:$A$2797,A15)</f>
        <v>0</v>
      </c>
      <c r="E15" s="14">
        <f>SUMIFS(Data!$D$2:$D$2797,Data!$A$2:$A$2797,A15)</f>
        <v>0</v>
      </c>
      <c r="F15" s="14">
        <f>SUM($C$5:C15)</f>
        <v>7</v>
      </c>
      <c r="G15" s="14">
        <f>SUM($D$5:D15)</f>
        <v>0</v>
      </c>
      <c r="H15" s="14">
        <f>SUM($E$5:E15)</f>
        <v>1</v>
      </c>
      <c r="I15" s="14">
        <f t="shared" si="1"/>
        <v>6</v>
      </c>
      <c r="J15" s="17">
        <f t="shared" si="5"/>
        <v>0.2857142857142857</v>
      </c>
      <c r="K15" s="17">
        <f t="shared" si="6"/>
        <v>0</v>
      </c>
      <c r="L15" s="15">
        <f t="shared" si="2"/>
        <v>0</v>
      </c>
      <c r="M15" s="13"/>
      <c r="N15" s="16">
        <f t="shared" si="3"/>
        <v>10</v>
      </c>
      <c r="O15" s="18">
        <f t="shared" si="7"/>
        <v>-1.2527629684953681</v>
      </c>
      <c r="P15" s="16">
        <f>COUNTIF(Data!$A$2:$A$2797,A15)</f>
        <v>1</v>
      </c>
    </row>
    <row r="16" spans="1:16" x14ac:dyDescent="0.25">
      <c r="A16" s="12">
        <f t="shared" si="4"/>
        <v>43898</v>
      </c>
      <c r="B16" s="13" t="str">
        <f t="shared" si="0"/>
        <v>Sun</v>
      </c>
      <c r="C16" s="14">
        <f>SUMIFS(Data!$B$2:$B$2797,Data!$A$2:$A$2797,A16)</f>
        <v>0</v>
      </c>
      <c r="D16" s="14">
        <f>SUMIFS(Data!$C$2:$C$2797,Data!$A$2:$A$2797,A16)</f>
        <v>0</v>
      </c>
      <c r="E16" s="14">
        <f>SUMIFS(Data!$D$2:$D$2797,Data!$A$2:$A$2797,A16)</f>
        <v>0</v>
      </c>
      <c r="F16" s="14">
        <f>SUM($C$5:C16)</f>
        <v>7</v>
      </c>
      <c r="G16" s="14">
        <f>SUM($D$5:D16)</f>
        <v>0</v>
      </c>
      <c r="H16" s="14">
        <f>SUM($E$5:E16)</f>
        <v>1</v>
      </c>
      <c r="I16" s="14">
        <f t="shared" si="1"/>
        <v>6</v>
      </c>
      <c r="J16" s="17">
        <f t="shared" si="5"/>
        <v>0.2857142857142857</v>
      </c>
      <c r="K16" s="17">
        <f t="shared" si="6"/>
        <v>0</v>
      </c>
      <c r="L16" s="15">
        <f t="shared" si="2"/>
        <v>0</v>
      </c>
      <c r="M16" s="13"/>
      <c r="N16" s="16">
        <f t="shared" si="3"/>
        <v>11</v>
      </c>
      <c r="O16" s="18">
        <f t="shared" si="7"/>
        <v>-1.2527629684953681</v>
      </c>
      <c r="P16" s="16">
        <f>COUNTIF(Data!$A$2:$A$2797,A16)</f>
        <v>0</v>
      </c>
    </row>
    <row r="17" spans="1:16" x14ac:dyDescent="0.25">
      <c r="A17" s="12">
        <f t="shared" si="4"/>
        <v>43899</v>
      </c>
      <c r="B17" s="13" t="str">
        <f t="shared" si="0"/>
        <v>Mon</v>
      </c>
      <c r="C17" s="14">
        <f>SUMIFS(Data!$B$2:$B$2797,Data!$A$2:$A$2797,A17)</f>
        <v>9</v>
      </c>
      <c r="D17" s="14">
        <f>SUMIFS(Data!$C$2:$C$2797,Data!$A$2:$A$2797,A17)</f>
        <v>0</v>
      </c>
      <c r="E17" s="14">
        <f>SUMIFS(Data!$D$2:$D$2797,Data!$A$2:$A$2797,A17)</f>
        <v>0</v>
      </c>
      <c r="F17" s="14">
        <f>SUM($C$5:C17)</f>
        <v>16</v>
      </c>
      <c r="G17" s="14">
        <f>SUM($D$5:D17)</f>
        <v>0</v>
      </c>
      <c r="H17" s="14">
        <f>SUM($E$5:E17)</f>
        <v>1</v>
      </c>
      <c r="I17" s="14">
        <f t="shared" si="1"/>
        <v>15</v>
      </c>
      <c r="J17" s="17">
        <f t="shared" si="5"/>
        <v>1.4285714285714286</v>
      </c>
      <c r="K17" s="17">
        <f t="shared" si="6"/>
        <v>0</v>
      </c>
      <c r="L17" s="15">
        <f t="shared" si="2"/>
        <v>0</v>
      </c>
      <c r="M17" s="13"/>
      <c r="N17" s="16">
        <f t="shared" si="3"/>
        <v>12</v>
      </c>
      <c r="O17" s="18">
        <f t="shared" si="7"/>
        <v>0.35667494393873239</v>
      </c>
      <c r="P17" s="16">
        <f>COUNTIF(Data!$A$2:$A$2797,A17)</f>
        <v>2</v>
      </c>
    </row>
    <row r="18" spans="1:16" x14ac:dyDescent="0.25">
      <c r="A18" s="12">
        <f t="shared" si="4"/>
        <v>43900</v>
      </c>
      <c r="B18" s="13" t="str">
        <f t="shared" si="0"/>
        <v>Tue</v>
      </c>
      <c r="C18" s="14">
        <f>SUMIFS(Data!$B$2:$B$2797,Data!$A$2:$A$2797,A18)</f>
        <v>3</v>
      </c>
      <c r="D18" s="14">
        <f>SUMIFS(Data!$C$2:$C$2797,Data!$A$2:$A$2797,A18)</f>
        <v>0</v>
      </c>
      <c r="E18" s="14">
        <f>SUMIFS(Data!$D$2:$D$2797,Data!$A$2:$A$2797,A18)</f>
        <v>0</v>
      </c>
      <c r="F18" s="14">
        <f>SUM($C$5:C18)</f>
        <v>19</v>
      </c>
      <c r="G18" s="14">
        <f>SUM($D$5:D18)</f>
        <v>0</v>
      </c>
      <c r="H18" s="14">
        <f>SUM($E$5:E18)</f>
        <v>1</v>
      </c>
      <c r="I18" s="14">
        <f t="shared" si="1"/>
        <v>18</v>
      </c>
      <c r="J18" s="17">
        <f t="shared" si="5"/>
        <v>1.8571428571428572</v>
      </c>
      <c r="K18" s="17">
        <f t="shared" si="6"/>
        <v>0</v>
      </c>
      <c r="L18" s="15">
        <f t="shared" si="2"/>
        <v>0</v>
      </c>
      <c r="M18" s="19">
        <f t="shared" ref="M18:M49" si="8">IF(J11&gt;0,J18/J11-1,"")</f>
        <v>1.166666666666667</v>
      </c>
      <c r="N18" s="16">
        <f t="shared" si="3"/>
        <v>13</v>
      </c>
      <c r="O18" s="18">
        <f t="shared" si="7"/>
        <v>0.61903920840622351</v>
      </c>
      <c r="P18" s="16">
        <f>COUNTIF(Data!$A$2:$A$2797,A18)</f>
        <v>3</v>
      </c>
    </row>
    <row r="19" spans="1:16" x14ac:dyDescent="0.25">
      <c r="A19" s="12">
        <f t="shared" si="4"/>
        <v>43901</v>
      </c>
      <c r="B19" s="13" t="str">
        <f t="shared" si="0"/>
        <v>Wed</v>
      </c>
      <c r="C19" s="14">
        <f>SUMIFS(Data!$B$2:$B$2797,Data!$A$2:$A$2797,A19)</f>
        <v>1</v>
      </c>
      <c r="D19" s="14">
        <f>SUMIFS(Data!$C$2:$C$2797,Data!$A$2:$A$2797,A19)</f>
        <v>0</v>
      </c>
      <c r="E19" s="14">
        <f>SUMIFS(Data!$D$2:$D$2797,Data!$A$2:$A$2797,A19)</f>
        <v>1</v>
      </c>
      <c r="F19" s="14">
        <f>SUM($C$5:C19)</f>
        <v>20</v>
      </c>
      <c r="G19" s="14">
        <f>SUM($D$5:D19)</f>
        <v>0</v>
      </c>
      <c r="H19" s="14">
        <f>SUM($E$5:E19)</f>
        <v>2</v>
      </c>
      <c r="I19" s="14">
        <f t="shared" si="1"/>
        <v>18</v>
      </c>
      <c r="J19" s="17">
        <f t="shared" si="5"/>
        <v>2</v>
      </c>
      <c r="K19" s="17">
        <f t="shared" si="6"/>
        <v>0</v>
      </c>
      <c r="L19" s="15">
        <f t="shared" si="2"/>
        <v>0</v>
      </c>
      <c r="M19" s="19">
        <f t="shared" si="8"/>
        <v>3.666666666666667</v>
      </c>
      <c r="N19" s="16">
        <f t="shared" si="3"/>
        <v>14</v>
      </c>
      <c r="O19" s="18">
        <f t="shared" si="7"/>
        <v>0.69314718055994529</v>
      </c>
      <c r="P19" s="16">
        <f>COUNTIF(Data!$A$2:$A$2797,A19)</f>
        <v>2</v>
      </c>
    </row>
    <row r="20" spans="1:16" x14ac:dyDescent="0.25">
      <c r="A20" s="12">
        <f t="shared" si="4"/>
        <v>43902</v>
      </c>
      <c r="B20" s="13" t="str">
        <f t="shared" si="0"/>
        <v>Thu</v>
      </c>
      <c r="C20" s="14">
        <f>SUMIFS(Data!$B$2:$B$2797,Data!$A$2:$A$2797,A20)</f>
        <v>1</v>
      </c>
      <c r="D20" s="14">
        <f>SUMIFS(Data!$C$2:$C$2797,Data!$A$2:$A$2797,A20)</f>
        <v>0</v>
      </c>
      <c r="E20" s="14">
        <f>SUMIFS(Data!$D$2:$D$2797,Data!$A$2:$A$2797,A20)</f>
        <v>0</v>
      </c>
      <c r="F20" s="14">
        <f>SUM($C$5:C20)</f>
        <v>21</v>
      </c>
      <c r="G20" s="14">
        <f>SUM($D$5:D20)</f>
        <v>0</v>
      </c>
      <c r="H20" s="14">
        <f>SUM($E$5:E20)</f>
        <v>2</v>
      </c>
      <c r="I20" s="14">
        <f t="shared" si="1"/>
        <v>19</v>
      </c>
      <c r="J20" s="17">
        <f t="shared" si="5"/>
        <v>2.1428571428571428</v>
      </c>
      <c r="K20" s="17">
        <f t="shared" si="6"/>
        <v>0</v>
      </c>
      <c r="L20" s="15">
        <f t="shared" si="2"/>
        <v>0</v>
      </c>
      <c r="M20" s="19">
        <f t="shared" si="8"/>
        <v>4</v>
      </c>
      <c r="N20" s="16">
        <f t="shared" si="3"/>
        <v>15</v>
      </c>
      <c r="O20" s="18">
        <f t="shared" si="7"/>
        <v>0.76214005204689672</v>
      </c>
      <c r="P20" s="16">
        <f>COUNTIF(Data!$A$2:$A$2797,A20)</f>
        <v>1</v>
      </c>
    </row>
    <row r="21" spans="1:16" x14ac:dyDescent="0.25">
      <c r="A21" s="12">
        <f t="shared" si="4"/>
        <v>43903</v>
      </c>
      <c r="B21" s="13" t="str">
        <f t="shared" si="0"/>
        <v>Fri</v>
      </c>
      <c r="C21" s="14">
        <f>SUMIFS(Data!$B$2:$B$2797,Data!$A$2:$A$2797,A21)</f>
        <v>9</v>
      </c>
      <c r="D21" s="14">
        <f>SUMIFS(Data!$C$2:$C$2797,Data!$A$2:$A$2797,A21)</f>
        <v>0</v>
      </c>
      <c r="E21" s="14">
        <f>SUMIFS(Data!$D$2:$D$2797,Data!$A$2:$A$2797,A21)</f>
        <v>1</v>
      </c>
      <c r="F21" s="14">
        <f>SUM($C$5:C21)</f>
        <v>30</v>
      </c>
      <c r="G21" s="14">
        <f>SUM($D$5:D21)</f>
        <v>0</v>
      </c>
      <c r="H21" s="14">
        <f>SUM($E$5:E21)</f>
        <v>3</v>
      </c>
      <c r="I21" s="14">
        <f t="shared" si="1"/>
        <v>27</v>
      </c>
      <c r="J21" s="17">
        <f t="shared" si="5"/>
        <v>3.4285714285714284</v>
      </c>
      <c r="K21" s="17">
        <f t="shared" si="6"/>
        <v>0</v>
      </c>
      <c r="L21" s="15">
        <f t="shared" si="2"/>
        <v>0</v>
      </c>
      <c r="M21" s="19">
        <f t="shared" si="8"/>
        <v>7</v>
      </c>
      <c r="N21" s="16">
        <f t="shared" si="3"/>
        <v>16</v>
      </c>
      <c r="O21" s="18">
        <f t="shared" si="7"/>
        <v>1.2321436812926323</v>
      </c>
      <c r="P21" s="16">
        <f>COUNTIF(Data!$A$2:$A$2797,A21)</f>
        <v>3</v>
      </c>
    </row>
    <row r="22" spans="1:16" x14ac:dyDescent="0.25">
      <c r="A22" s="12">
        <f t="shared" si="4"/>
        <v>43904</v>
      </c>
      <c r="B22" s="13" t="str">
        <f t="shared" si="0"/>
        <v>Sat</v>
      </c>
      <c r="C22" s="14">
        <f>SUMIFS(Data!$B$2:$B$2797,Data!$A$2:$A$2797,A22)</f>
        <v>0</v>
      </c>
      <c r="D22" s="14">
        <f>SUMIFS(Data!$C$2:$C$2797,Data!$A$2:$A$2797,A22)</f>
        <v>0</v>
      </c>
      <c r="E22" s="14">
        <f>SUMIFS(Data!$D$2:$D$2797,Data!$A$2:$A$2797,A22)</f>
        <v>0</v>
      </c>
      <c r="F22" s="14">
        <f>SUM($C$5:C22)</f>
        <v>30</v>
      </c>
      <c r="G22" s="14">
        <f>SUM($D$5:D22)</f>
        <v>0</v>
      </c>
      <c r="H22" s="14">
        <f>SUM($E$5:E22)</f>
        <v>3</v>
      </c>
      <c r="I22" s="14">
        <f t="shared" si="1"/>
        <v>27</v>
      </c>
      <c r="J22" s="17">
        <f t="shared" si="5"/>
        <v>3.2857142857142856</v>
      </c>
      <c r="K22" s="17">
        <f t="shared" si="6"/>
        <v>0</v>
      </c>
      <c r="L22" s="15">
        <f t="shared" si="2"/>
        <v>0</v>
      </c>
      <c r="M22" s="19">
        <f t="shared" si="8"/>
        <v>10.5</v>
      </c>
      <c r="N22" s="16">
        <f t="shared" si="3"/>
        <v>17</v>
      </c>
      <c r="O22" s="18">
        <f t="shared" si="7"/>
        <v>1.1895840668738364</v>
      </c>
      <c r="P22" s="16">
        <f>COUNTIF(Data!$A$2:$A$2797,A22)</f>
        <v>0</v>
      </c>
    </row>
    <row r="23" spans="1:16" x14ac:dyDescent="0.25">
      <c r="A23" s="12">
        <f t="shared" si="4"/>
        <v>43905</v>
      </c>
      <c r="B23" s="13" t="str">
        <f t="shared" si="0"/>
        <v>Sun</v>
      </c>
      <c r="C23" s="14">
        <f>SUMIFS(Data!$B$2:$B$2797,Data!$A$2:$A$2797,A23)</f>
        <v>34</v>
      </c>
      <c r="D23" s="14">
        <f>SUMIFS(Data!$C$2:$C$2797,Data!$A$2:$A$2797,A23)</f>
        <v>1</v>
      </c>
      <c r="E23" s="14">
        <f>SUMIFS(Data!$D$2:$D$2797,Data!$A$2:$A$2797,A23)</f>
        <v>0</v>
      </c>
      <c r="F23" s="14">
        <f>SUM($C$5:C23)</f>
        <v>64</v>
      </c>
      <c r="G23" s="14">
        <f>SUM($D$5:D23)</f>
        <v>1</v>
      </c>
      <c r="H23" s="14">
        <f>SUM($E$5:E23)</f>
        <v>3</v>
      </c>
      <c r="I23" s="14">
        <f t="shared" si="1"/>
        <v>60</v>
      </c>
      <c r="J23" s="17">
        <f t="shared" si="5"/>
        <v>8.1428571428571423</v>
      </c>
      <c r="K23" s="17">
        <f t="shared" si="6"/>
        <v>0.14285714285714285</v>
      </c>
      <c r="L23" s="15">
        <f t="shared" si="2"/>
        <v>1.5625E-2</v>
      </c>
      <c r="M23" s="19">
        <f t="shared" si="8"/>
        <v>27.5</v>
      </c>
      <c r="N23" s="16">
        <f t="shared" si="3"/>
        <v>18</v>
      </c>
      <c r="O23" s="18">
        <f t="shared" si="7"/>
        <v>2.0971411187792368</v>
      </c>
      <c r="P23" s="16">
        <f>COUNTIF(Data!$A$2:$A$2797,A23)</f>
        <v>5</v>
      </c>
    </row>
    <row r="24" spans="1:16" x14ac:dyDescent="0.25">
      <c r="A24" s="12">
        <f t="shared" si="4"/>
        <v>43906</v>
      </c>
      <c r="B24" s="13" t="str">
        <f t="shared" si="0"/>
        <v>Mon</v>
      </c>
      <c r="C24" s="14">
        <f>SUMIFS(Data!$B$2:$B$2797,Data!$A$2:$A$2797,A24)</f>
        <v>151</v>
      </c>
      <c r="D24" s="14">
        <f>SUMIFS(Data!$C$2:$C$2797,Data!$A$2:$A$2797,A24)</f>
        <v>0</v>
      </c>
      <c r="E24" s="14">
        <f>SUMIFS(Data!$D$2:$D$2797,Data!$A$2:$A$2797,A24)</f>
        <v>1</v>
      </c>
      <c r="F24" s="14">
        <f>SUM($C$5:C24)</f>
        <v>215</v>
      </c>
      <c r="G24" s="14">
        <f>SUM($D$5:D24)</f>
        <v>1</v>
      </c>
      <c r="H24" s="14">
        <f>SUM($E$5:E24)</f>
        <v>4</v>
      </c>
      <c r="I24" s="14">
        <f t="shared" si="1"/>
        <v>210</v>
      </c>
      <c r="J24" s="17">
        <f t="shared" si="5"/>
        <v>28.428571428571427</v>
      </c>
      <c r="K24" s="17">
        <f t="shared" si="6"/>
        <v>0.14285714285714285</v>
      </c>
      <c r="L24" s="15">
        <f t="shared" si="2"/>
        <v>4.6511627906976744E-3</v>
      </c>
      <c r="M24" s="19">
        <f t="shared" si="8"/>
        <v>18.899999999999999</v>
      </c>
      <c r="N24" s="16">
        <f t="shared" si="3"/>
        <v>19</v>
      </c>
      <c r="O24" s="18">
        <f t="shared" si="7"/>
        <v>3.3473946756691793</v>
      </c>
      <c r="P24" s="16">
        <f>COUNTIF(Data!$A$2:$A$2797,A24)</f>
        <v>7</v>
      </c>
    </row>
    <row r="25" spans="1:16" x14ac:dyDescent="0.25">
      <c r="A25" s="12">
        <f t="shared" si="4"/>
        <v>43907</v>
      </c>
      <c r="B25" s="13" t="str">
        <f t="shared" si="0"/>
        <v>Tue</v>
      </c>
      <c r="C25" s="14">
        <f>SUMIFS(Data!$B$2:$B$2797,Data!$A$2:$A$2797,A25)</f>
        <v>52</v>
      </c>
      <c r="D25" s="14">
        <f>SUMIFS(Data!$C$2:$C$2797,Data!$A$2:$A$2797,A25)</f>
        <v>0</v>
      </c>
      <c r="E25" s="14">
        <f>SUMIFS(Data!$D$2:$D$2797,Data!$A$2:$A$2797,A25)</f>
        <v>0</v>
      </c>
      <c r="F25" s="14">
        <f>SUM($C$5:C25)</f>
        <v>267</v>
      </c>
      <c r="G25" s="14">
        <f>SUM($D$5:D25)</f>
        <v>1</v>
      </c>
      <c r="H25" s="14">
        <f>SUM($E$5:E25)</f>
        <v>4</v>
      </c>
      <c r="I25" s="14">
        <f t="shared" si="1"/>
        <v>262</v>
      </c>
      <c r="J25" s="17">
        <f t="shared" si="5"/>
        <v>35.428571428571431</v>
      </c>
      <c r="K25" s="17">
        <f t="shared" si="6"/>
        <v>0.14285714285714285</v>
      </c>
      <c r="L25" s="15">
        <f t="shared" si="2"/>
        <v>3.7453183520599251E-3</v>
      </c>
      <c r="M25" s="19">
        <f t="shared" si="8"/>
        <v>18.076923076923077</v>
      </c>
      <c r="N25" s="16">
        <f t="shared" si="3"/>
        <v>20</v>
      </c>
      <c r="O25" s="18">
        <f t="shared" si="7"/>
        <v>3.567518597109669</v>
      </c>
      <c r="P25" s="16">
        <f>COUNTIF(Data!$A$2:$A$2797,A25)</f>
        <v>8</v>
      </c>
    </row>
    <row r="26" spans="1:16" x14ac:dyDescent="0.25">
      <c r="A26" s="12">
        <f t="shared" si="4"/>
        <v>43908</v>
      </c>
      <c r="B26" s="13" t="str">
        <f t="shared" si="0"/>
        <v>Wed</v>
      </c>
      <c r="C26" s="14">
        <f>SUMIFS(Data!$B$2:$B$2797,Data!$A$2:$A$2797,A26)</f>
        <v>57</v>
      </c>
      <c r="D26" s="14">
        <f>SUMIFS(Data!$C$2:$C$2797,Data!$A$2:$A$2797,A26)</f>
        <v>2</v>
      </c>
      <c r="E26" s="14">
        <f>SUMIFS(Data!$D$2:$D$2797,Data!$A$2:$A$2797,A26)</f>
        <v>0</v>
      </c>
      <c r="F26" s="14">
        <f>SUM($C$5:C26)</f>
        <v>324</v>
      </c>
      <c r="G26" s="14">
        <f>SUM($D$5:D26)</f>
        <v>3</v>
      </c>
      <c r="H26" s="14">
        <f>SUM($E$5:E26)</f>
        <v>4</v>
      </c>
      <c r="I26" s="14">
        <f t="shared" si="1"/>
        <v>317</v>
      </c>
      <c r="J26" s="17">
        <f t="shared" si="5"/>
        <v>43.428571428571431</v>
      </c>
      <c r="K26" s="17">
        <f t="shared" si="6"/>
        <v>0.42857142857142855</v>
      </c>
      <c r="L26" s="15">
        <f t="shared" si="2"/>
        <v>9.2592592592592587E-3</v>
      </c>
      <c r="M26" s="19">
        <f t="shared" si="8"/>
        <v>20.714285714285715</v>
      </c>
      <c r="N26" s="16">
        <f t="shared" si="3"/>
        <v>21</v>
      </c>
      <c r="O26" s="18">
        <f t="shared" si="7"/>
        <v>3.7711175523509084</v>
      </c>
      <c r="P26" s="16">
        <f>COUNTIF(Data!$A$2:$A$2797,A26)</f>
        <v>9</v>
      </c>
    </row>
    <row r="27" spans="1:16" x14ac:dyDescent="0.25">
      <c r="A27" s="12">
        <f t="shared" si="4"/>
        <v>43909</v>
      </c>
      <c r="B27" s="13" t="str">
        <f t="shared" si="0"/>
        <v>Thu</v>
      </c>
      <c r="C27" s="14">
        <f>SUMIFS(Data!$B$2:$B$2797,Data!$A$2:$A$2797,A27)</f>
        <v>154</v>
      </c>
      <c r="D27" s="14">
        <f>SUMIFS(Data!$C$2:$C$2797,Data!$A$2:$A$2797,A27)</f>
        <v>0</v>
      </c>
      <c r="E27" s="14">
        <f>SUMIFS(Data!$D$2:$D$2797,Data!$A$2:$A$2797,A27)</f>
        <v>1</v>
      </c>
      <c r="F27" s="14">
        <f>SUM($C$5:C27)</f>
        <v>478</v>
      </c>
      <c r="G27" s="14">
        <f>SUM($D$5:D27)</f>
        <v>3</v>
      </c>
      <c r="H27" s="14">
        <f>SUM($E$5:E27)</f>
        <v>5</v>
      </c>
      <c r="I27" s="14">
        <f t="shared" si="1"/>
        <v>470</v>
      </c>
      <c r="J27" s="17">
        <f t="shared" si="5"/>
        <v>65.285714285714292</v>
      </c>
      <c r="K27" s="17">
        <f t="shared" si="6"/>
        <v>0.42857142857142855</v>
      </c>
      <c r="L27" s="15">
        <f t="shared" si="2"/>
        <v>6.2761506276150627E-3</v>
      </c>
      <c r="M27" s="19">
        <f t="shared" si="8"/>
        <v>29.466666666666672</v>
      </c>
      <c r="N27" s="16">
        <f t="shared" si="3"/>
        <v>22</v>
      </c>
      <c r="O27" s="18">
        <f t="shared" si="7"/>
        <v>4.1787732418388916</v>
      </c>
      <c r="P27" s="16">
        <f>COUNTIF(Data!$A$2:$A$2797,A27)</f>
        <v>9</v>
      </c>
    </row>
    <row r="28" spans="1:16" x14ac:dyDescent="0.25">
      <c r="A28" s="12">
        <f t="shared" si="4"/>
        <v>43910</v>
      </c>
      <c r="B28" s="13" t="str">
        <f t="shared" si="0"/>
        <v>Fri</v>
      </c>
      <c r="C28" s="14">
        <f>SUMIFS(Data!$B$2:$B$2797,Data!$A$2:$A$2797,A28)</f>
        <v>50</v>
      </c>
      <c r="D28" s="14">
        <f>SUMIFS(Data!$C$2:$C$2797,Data!$A$2:$A$2797,A28)</f>
        <v>1</v>
      </c>
      <c r="E28" s="14">
        <f>SUMIFS(Data!$D$2:$D$2797,Data!$A$2:$A$2797,A28)</f>
        <v>0</v>
      </c>
      <c r="F28" s="14">
        <f>SUM($C$5:C28)</f>
        <v>528</v>
      </c>
      <c r="G28" s="14">
        <f>SUM($D$5:D28)</f>
        <v>4</v>
      </c>
      <c r="H28" s="14">
        <f>SUM($E$5:E28)</f>
        <v>5</v>
      </c>
      <c r="I28" s="14">
        <f t="shared" si="1"/>
        <v>519</v>
      </c>
      <c r="J28" s="17">
        <f t="shared" si="5"/>
        <v>71.142857142857139</v>
      </c>
      <c r="K28" s="17">
        <f t="shared" si="6"/>
        <v>0.5714285714285714</v>
      </c>
      <c r="L28" s="15">
        <f t="shared" si="2"/>
        <v>7.575757575757576E-3</v>
      </c>
      <c r="M28" s="19">
        <f t="shared" si="8"/>
        <v>19.75</v>
      </c>
      <c r="N28" s="16">
        <f t="shared" si="3"/>
        <v>23</v>
      </c>
      <c r="O28" s="18">
        <f t="shared" si="7"/>
        <v>4.2646899279693393</v>
      </c>
      <c r="P28" s="16">
        <f>COUNTIF(Data!$A$2:$A$2797,A28)</f>
        <v>12</v>
      </c>
    </row>
    <row r="29" spans="1:16" x14ac:dyDescent="0.25">
      <c r="A29" s="12">
        <f t="shared" si="4"/>
        <v>43911</v>
      </c>
      <c r="B29" s="13" t="str">
        <f t="shared" si="0"/>
        <v>Sat</v>
      </c>
      <c r="C29" s="14">
        <f>SUMIFS(Data!$B$2:$B$2797,Data!$A$2:$A$2797,A29)</f>
        <v>134</v>
      </c>
      <c r="D29" s="14">
        <f>SUMIFS(Data!$C$2:$C$2797,Data!$A$2:$A$2797,A29)</f>
        <v>0</v>
      </c>
      <c r="E29" s="14">
        <f>SUMIFS(Data!$D$2:$D$2797,Data!$A$2:$A$2797,A29)</f>
        <v>3</v>
      </c>
      <c r="F29" s="14">
        <f>SUM($C$5:C29)</f>
        <v>662</v>
      </c>
      <c r="G29" s="14">
        <f>SUM($D$5:D29)</f>
        <v>4</v>
      </c>
      <c r="H29" s="14">
        <f>SUM($E$5:E29)</f>
        <v>8</v>
      </c>
      <c r="I29" s="14">
        <f t="shared" si="1"/>
        <v>650</v>
      </c>
      <c r="J29" s="17">
        <f t="shared" si="5"/>
        <v>90.285714285714292</v>
      </c>
      <c r="K29" s="17">
        <f t="shared" si="6"/>
        <v>0.5714285714285714</v>
      </c>
      <c r="L29" s="15">
        <f t="shared" si="2"/>
        <v>6.0422960725075529E-3</v>
      </c>
      <c r="M29" s="19">
        <f t="shared" si="8"/>
        <v>26.478260869565219</v>
      </c>
      <c r="N29" s="16">
        <f t="shared" si="3"/>
        <v>24</v>
      </c>
      <c r="O29" s="18">
        <f t="shared" si="7"/>
        <v>4.5029792450915442</v>
      </c>
      <c r="P29" s="16">
        <f>COUNTIF(Data!$A$2:$A$2797,A29)</f>
        <v>14</v>
      </c>
    </row>
    <row r="30" spans="1:16" x14ac:dyDescent="0.25">
      <c r="A30" s="12">
        <f t="shared" si="4"/>
        <v>43912</v>
      </c>
      <c r="B30" s="13" t="str">
        <f t="shared" si="0"/>
        <v>Sun</v>
      </c>
      <c r="C30" s="14">
        <f>SUMIFS(Data!$B$2:$B$2797,Data!$A$2:$A$2797,A30)</f>
        <v>110</v>
      </c>
      <c r="D30" s="14">
        <f>SUMIFS(Data!$C$2:$C$2797,Data!$A$2:$A$2797,A30)</f>
        <v>1</v>
      </c>
      <c r="E30" s="14">
        <f>SUMIFS(Data!$D$2:$D$2797,Data!$A$2:$A$2797,A30)</f>
        <v>0</v>
      </c>
      <c r="F30" s="14">
        <f>SUM($C$5:C30)</f>
        <v>772</v>
      </c>
      <c r="G30" s="14">
        <f>SUM($D$5:D30)</f>
        <v>5</v>
      </c>
      <c r="H30" s="14">
        <f>SUM($E$5:E30)</f>
        <v>8</v>
      </c>
      <c r="I30" s="14">
        <f t="shared" si="1"/>
        <v>759</v>
      </c>
      <c r="J30" s="17">
        <f t="shared" si="5"/>
        <v>101.14285714285714</v>
      </c>
      <c r="K30" s="17">
        <f t="shared" si="6"/>
        <v>0.5714285714285714</v>
      </c>
      <c r="L30" s="15">
        <f t="shared" si="2"/>
        <v>6.4766839378238338E-3</v>
      </c>
      <c r="M30" s="19">
        <f t="shared" si="8"/>
        <v>11.421052631578947</v>
      </c>
      <c r="N30" s="16">
        <f t="shared" si="3"/>
        <v>25</v>
      </c>
      <c r="O30" s="18">
        <f t="shared" si="7"/>
        <v>4.6165339446384062</v>
      </c>
      <c r="P30" s="16">
        <f>COUNTIF(Data!$A$2:$A$2797,A30)</f>
        <v>9</v>
      </c>
    </row>
    <row r="31" spans="1:16" x14ac:dyDescent="0.25">
      <c r="A31" s="12">
        <f t="shared" si="4"/>
        <v>43913</v>
      </c>
      <c r="B31" s="13" t="str">
        <f t="shared" si="0"/>
        <v>Mon</v>
      </c>
      <c r="C31" s="14">
        <f>SUMIFS(Data!$B$2:$B$2797,Data!$A$2:$A$2797,A31)</f>
        <v>82</v>
      </c>
      <c r="D31" s="14">
        <f>SUMIFS(Data!$C$2:$C$2797,Data!$A$2:$A$2797,A31)</f>
        <v>1</v>
      </c>
      <c r="E31" s="14">
        <f>SUMIFS(Data!$D$2:$D$2797,Data!$A$2:$A$2797,A31)</f>
        <v>0</v>
      </c>
      <c r="F31" s="14">
        <f>SUM($C$5:C31)</f>
        <v>854</v>
      </c>
      <c r="G31" s="14">
        <f>SUM($D$5:D31)</f>
        <v>6</v>
      </c>
      <c r="H31" s="14">
        <f>SUM($E$5:E31)</f>
        <v>8</v>
      </c>
      <c r="I31" s="14">
        <f t="shared" si="1"/>
        <v>840</v>
      </c>
      <c r="J31" s="17">
        <f t="shared" si="5"/>
        <v>91.285714285714292</v>
      </c>
      <c r="K31" s="17">
        <f t="shared" si="6"/>
        <v>0.7142857142857143</v>
      </c>
      <c r="L31" s="15">
        <f t="shared" si="2"/>
        <v>7.0257611241217799E-3</v>
      </c>
      <c r="M31" s="19">
        <f t="shared" si="8"/>
        <v>2.2110552763819098</v>
      </c>
      <c r="N31" s="16">
        <f t="shared" si="3"/>
        <v>26</v>
      </c>
      <c r="O31" s="18">
        <f t="shared" si="7"/>
        <v>4.5139943053222211</v>
      </c>
      <c r="P31" s="16">
        <f>COUNTIF(Data!$A$2:$A$2797,A31)</f>
        <v>8</v>
      </c>
    </row>
    <row r="32" spans="1:16" x14ac:dyDescent="0.25">
      <c r="A32" s="12">
        <f t="shared" si="4"/>
        <v>43914</v>
      </c>
      <c r="B32" s="13" t="str">
        <f t="shared" si="0"/>
        <v>Tue</v>
      </c>
      <c r="C32" s="14">
        <f>SUMIFS(Data!$B$2:$B$2797,Data!$A$2:$A$2797,A32)</f>
        <v>114</v>
      </c>
      <c r="D32" s="14">
        <f>SUMIFS(Data!$C$2:$C$2797,Data!$A$2:$A$2797,A32)</f>
        <v>1</v>
      </c>
      <c r="E32" s="14">
        <f>SUMIFS(Data!$D$2:$D$2797,Data!$A$2:$A$2797,A32)</f>
        <v>18</v>
      </c>
      <c r="F32" s="14">
        <f>SUM($C$5:C32)</f>
        <v>968</v>
      </c>
      <c r="G32" s="14">
        <f>SUM($D$5:D32)</f>
        <v>7</v>
      </c>
      <c r="H32" s="14">
        <f>SUM($E$5:E32)</f>
        <v>26</v>
      </c>
      <c r="I32" s="14">
        <f t="shared" si="1"/>
        <v>935</v>
      </c>
      <c r="J32" s="17">
        <f t="shared" si="5"/>
        <v>100.14285714285714</v>
      </c>
      <c r="K32" s="17">
        <f t="shared" si="6"/>
        <v>0.8571428571428571</v>
      </c>
      <c r="L32" s="15">
        <f t="shared" si="2"/>
        <v>7.2314049586776862E-3</v>
      </c>
      <c r="M32" s="19">
        <f t="shared" si="8"/>
        <v>1.8266129032258061</v>
      </c>
      <c r="N32" s="16">
        <f t="shared" si="3"/>
        <v>27</v>
      </c>
      <c r="O32" s="18">
        <f t="shared" si="7"/>
        <v>4.6065977379792766</v>
      </c>
      <c r="P32" s="16">
        <f>COUNTIF(Data!$A$2:$A$2797,A32)</f>
        <v>18</v>
      </c>
    </row>
    <row r="33" spans="1:16" x14ac:dyDescent="0.25">
      <c r="A33" s="12">
        <f t="shared" si="4"/>
        <v>43915</v>
      </c>
      <c r="B33" s="13" t="str">
        <f t="shared" si="0"/>
        <v>Wed</v>
      </c>
      <c r="C33" s="14">
        <f>SUMIFS(Data!$B$2:$B$2797,Data!$A$2:$A$2797,A33)</f>
        <v>110</v>
      </c>
      <c r="D33" s="14">
        <f>SUMIFS(Data!$C$2:$C$2797,Data!$A$2:$A$2797,A33)</f>
        <v>1</v>
      </c>
      <c r="E33" s="14">
        <f>SUMIFS(Data!$D$2:$D$2797,Data!$A$2:$A$2797,A33)</f>
        <v>4</v>
      </c>
      <c r="F33" s="14">
        <f>SUM($C$5:C33)</f>
        <v>1078</v>
      </c>
      <c r="G33" s="14">
        <f>SUM($D$5:D33)</f>
        <v>8</v>
      </c>
      <c r="H33" s="14">
        <f>SUM($E$5:E33)</f>
        <v>30</v>
      </c>
      <c r="I33" s="14">
        <f t="shared" si="1"/>
        <v>1040</v>
      </c>
      <c r="J33" s="17">
        <f t="shared" si="5"/>
        <v>107.71428571428571</v>
      </c>
      <c r="K33" s="17">
        <f t="shared" si="6"/>
        <v>0.7142857142857143</v>
      </c>
      <c r="L33" s="15">
        <f t="shared" si="2"/>
        <v>7.4211502782931356E-3</v>
      </c>
      <c r="M33" s="19">
        <f t="shared" si="8"/>
        <v>1.4802631578947367</v>
      </c>
      <c r="N33" s="16">
        <f t="shared" si="3"/>
        <v>28</v>
      </c>
      <c r="O33" s="18">
        <f t="shared" si="7"/>
        <v>4.6794822189526428</v>
      </c>
      <c r="P33" s="16">
        <f>COUNTIF(Data!$A$2:$A$2797,A33)</f>
        <v>16</v>
      </c>
    </row>
    <row r="34" spans="1:16" x14ac:dyDescent="0.25">
      <c r="A34" s="12">
        <f t="shared" si="4"/>
        <v>43916</v>
      </c>
      <c r="B34" s="13" t="str">
        <f t="shared" si="0"/>
        <v>Thu</v>
      </c>
      <c r="C34" s="14">
        <f>SUMIFS(Data!$B$2:$B$2797,Data!$A$2:$A$2797,A34)</f>
        <v>131</v>
      </c>
      <c r="D34" s="14">
        <f>SUMIFS(Data!$C$2:$C$2797,Data!$A$2:$A$2797,A34)</f>
        <v>1</v>
      </c>
      <c r="E34" s="14">
        <f>SUMIFS(Data!$D$2:$D$2797,Data!$A$2:$A$2797,A34)</f>
        <v>5</v>
      </c>
      <c r="F34" s="14">
        <f>SUM($C$5:C34)</f>
        <v>1209</v>
      </c>
      <c r="G34" s="14">
        <f>SUM($D$5:D34)</f>
        <v>9</v>
      </c>
      <c r="H34" s="14">
        <f>SUM($E$5:E34)</f>
        <v>35</v>
      </c>
      <c r="I34" s="14">
        <f t="shared" si="1"/>
        <v>1165</v>
      </c>
      <c r="J34" s="17">
        <f t="shared" si="5"/>
        <v>104.42857142857143</v>
      </c>
      <c r="K34" s="17">
        <f t="shared" si="6"/>
        <v>0.8571428571428571</v>
      </c>
      <c r="L34" s="15">
        <f t="shared" si="2"/>
        <v>7.4441687344913151E-3</v>
      </c>
      <c r="M34" s="19">
        <f t="shared" si="8"/>
        <v>0.59956236323851186</v>
      </c>
      <c r="N34" s="16">
        <f t="shared" si="3"/>
        <v>29</v>
      </c>
      <c r="O34" s="18">
        <f t="shared" si="7"/>
        <v>4.6485033106944655</v>
      </c>
      <c r="P34" s="16">
        <f>COUNTIF(Data!$A$2:$A$2797,A34)</f>
        <v>21</v>
      </c>
    </row>
    <row r="35" spans="1:16" x14ac:dyDescent="0.25">
      <c r="A35" s="12">
        <f t="shared" si="4"/>
        <v>43917</v>
      </c>
      <c r="B35" s="13" t="str">
        <f t="shared" si="0"/>
        <v>Fri</v>
      </c>
      <c r="C35" s="14">
        <f>SUMIFS(Data!$B$2:$B$2797,Data!$A$2:$A$2797,A35)</f>
        <v>122</v>
      </c>
      <c r="D35" s="14">
        <f>SUMIFS(Data!$C$2:$C$2797,Data!$A$2:$A$2797,A35)</f>
        <v>2</v>
      </c>
      <c r="E35" s="14">
        <f>SUMIFS(Data!$D$2:$D$2797,Data!$A$2:$A$2797,A35)</f>
        <v>5</v>
      </c>
      <c r="F35" s="14">
        <f>SUM($C$5:C35)</f>
        <v>1331</v>
      </c>
      <c r="G35" s="14">
        <f>SUM($D$5:D35)</f>
        <v>11</v>
      </c>
      <c r="H35" s="14">
        <f>SUM($E$5:E35)</f>
        <v>40</v>
      </c>
      <c r="I35" s="14">
        <f t="shared" si="1"/>
        <v>1280</v>
      </c>
      <c r="J35" s="17">
        <f t="shared" si="5"/>
        <v>114.71428571428571</v>
      </c>
      <c r="K35" s="17">
        <f t="shared" si="6"/>
        <v>1</v>
      </c>
      <c r="L35" s="15">
        <f t="shared" si="2"/>
        <v>8.2644628099173556E-3</v>
      </c>
      <c r="M35" s="19">
        <f t="shared" si="8"/>
        <v>0.61244979919678721</v>
      </c>
      <c r="N35" s="16">
        <f t="shared" si="3"/>
        <v>30</v>
      </c>
      <c r="O35" s="18">
        <f t="shared" si="7"/>
        <v>4.7424445648914482</v>
      </c>
      <c r="P35" s="16">
        <f>COUNTIF(Data!$A$2:$A$2797,A35)</f>
        <v>19</v>
      </c>
    </row>
    <row r="36" spans="1:16" x14ac:dyDescent="0.25">
      <c r="A36" s="12">
        <f t="shared" si="4"/>
        <v>43918</v>
      </c>
      <c r="B36" s="13" t="str">
        <f t="shared" si="0"/>
        <v>Sat</v>
      </c>
      <c r="C36" s="14">
        <f>SUMIFS(Data!$B$2:$B$2797,Data!$A$2:$A$2797,A36)</f>
        <v>184</v>
      </c>
      <c r="D36" s="14">
        <f>SUMIFS(Data!$C$2:$C$2797,Data!$A$2:$A$2797,A36)</f>
        <v>2</v>
      </c>
      <c r="E36" s="14">
        <f>SUMIFS(Data!$D$2:$D$2797,Data!$A$2:$A$2797,A36)</f>
        <v>1</v>
      </c>
      <c r="F36" s="14">
        <f>SUM($C$5:C36)</f>
        <v>1515</v>
      </c>
      <c r="G36" s="14">
        <f>SUM($D$5:D36)</f>
        <v>13</v>
      </c>
      <c r="H36" s="14">
        <f>SUM($E$5:E36)</f>
        <v>41</v>
      </c>
      <c r="I36" s="14">
        <f t="shared" si="1"/>
        <v>1461</v>
      </c>
      <c r="J36" s="17">
        <f t="shared" si="5"/>
        <v>121.85714285714286</v>
      </c>
      <c r="K36" s="17">
        <f t="shared" si="6"/>
        <v>1.2857142857142858</v>
      </c>
      <c r="L36" s="15">
        <f t="shared" si="2"/>
        <v>8.580858085808581E-3</v>
      </c>
      <c r="M36" s="19">
        <f t="shared" si="8"/>
        <v>0.34968354430379733</v>
      </c>
      <c r="N36" s="16">
        <f t="shared" si="3"/>
        <v>31</v>
      </c>
      <c r="O36" s="18">
        <f t="shared" si="7"/>
        <v>4.8028493984363658</v>
      </c>
      <c r="P36" s="16">
        <f>COUNTIF(Data!$A$2:$A$2797,A36)</f>
        <v>24</v>
      </c>
    </row>
    <row r="37" spans="1:16" x14ac:dyDescent="0.25">
      <c r="A37" s="12">
        <f t="shared" si="4"/>
        <v>43919</v>
      </c>
      <c r="B37" s="13" t="str">
        <f t="shared" ref="B37:B68" si="9">CHOOSE(WEEKDAY(A37,2),"Mon","Tue","Wed","Thu","Fri","Sat","Sun")</f>
        <v>Sun</v>
      </c>
      <c r="C37" s="14">
        <f>SUMIFS(Data!$B$2:$B$2797,Data!$A$2:$A$2797,A37)</f>
        <v>87</v>
      </c>
      <c r="D37" s="14">
        <f>SUMIFS(Data!$C$2:$C$2797,Data!$A$2:$A$2797,A37)</f>
        <v>6</v>
      </c>
      <c r="E37" s="14">
        <f>SUMIFS(Data!$D$2:$D$2797,Data!$A$2:$A$2797,A37)</f>
        <v>7</v>
      </c>
      <c r="F37" s="14">
        <f>SUM($C$5:C37)</f>
        <v>1602</v>
      </c>
      <c r="G37" s="14">
        <f>SUM($D$5:D37)</f>
        <v>19</v>
      </c>
      <c r="H37" s="14">
        <f>SUM($E$5:E37)</f>
        <v>48</v>
      </c>
      <c r="I37" s="14">
        <f t="shared" ref="I37:I68" si="10">F37-G37-H37</f>
        <v>1535</v>
      </c>
      <c r="J37" s="17">
        <f t="shared" si="5"/>
        <v>118.57142857142857</v>
      </c>
      <c r="K37" s="17">
        <f t="shared" si="6"/>
        <v>2</v>
      </c>
      <c r="L37" s="15">
        <f t="shared" ref="L37:L68" si="11">IF(F37&gt;0,G37/F37,0)</f>
        <v>1.1860174781523096E-2</v>
      </c>
      <c r="M37" s="19">
        <f t="shared" si="8"/>
        <v>0.17231638418079109</v>
      </c>
      <c r="N37" s="16">
        <f t="shared" ref="N37:N68" si="12">A37-$A$5</f>
        <v>32</v>
      </c>
      <c r="O37" s="18">
        <f t="shared" si="7"/>
        <v>4.7755155517353307</v>
      </c>
      <c r="P37" s="16">
        <f>COUNTIF(Data!$A$2:$A$2797,A37)</f>
        <v>20</v>
      </c>
    </row>
    <row r="38" spans="1:16" x14ac:dyDescent="0.25">
      <c r="A38" s="12">
        <f t="shared" ref="A38:A69" si="13">A37+1</f>
        <v>43920</v>
      </c>
      <c r="B38" s="13" t="str">
        <f t="shared" si="9"/>
        <v>Mon</v>
      </c>
      <c r="C38" s="14">
        <f>SUMIFS(Data!$B$2:$B$2797,Data!$A$2:$A$2797,A38)</f>
        <v>145</v>
      </c>
      <c r="D38" s="14">
        <f>SUMIFS(Data!$C$2:$C$2797,Data!$A$2:$A$2797,A38)</f>
        <v>4</v>
      </c>
      <c r="E38" s="14">
        <f>SUMIFS(Data!$D$2:$D$2797,Data!$A$2:$A$2797,A38)</f>
        <v>32</v>
      </c>
      <c r="F38" s="14">
        <f>SUM($C$5:C38)</f>
        <v>1747</v>
      </c>
      <c r="G38" s="14">
        <f>SUM($D$5:D38)</f>
        <v>23</v>
      </c>
      <c r="H38" s="14">
        <f>SUM($E$5:E38)</f>
        <v>80</v>
      </c>
      <c r="I38" s="14">
        <f t="shared" si="10"/>
        <v>1644</v>
      </c>
      <c r="J38" s="17">
        <f t="shared" si="5"/>
        <v>127.57142857142857</v>
      </c>
      <c r="K38" s="17">
        <f t="shared" si="6"/>
        <v>2.4285714285714284</v>
      </c>
      <c r="L38" s="15">
        <f t="shared" si="11"/>
        <v>1.316542644533486E-2</v>
      </c>
      <c r="M38" s="19">
        <f t="shared" si="8"/>
        <v>0.39749608763693267</v>
      </c>
      <c r="N38" s="16">
        <f t="shared" si="12"/>
        <v>33</v>
      </c>
      <c r="O38" s="18">
        <f t="shared" si="7"/>
        <v>4.8486764318211861</v>
      </c>
      <c r="P38" s="16">
        <f>COUNTIF(Data!$A$2:$A$2797,A38)</f>
        <v>17</v>
      </c>
    </row>
    <row r="39" spans="1:16" x14ac:dyDescent="0.25">
      <c r="A39" s="12">
        <f t="shared" si="13"/>
        <v>43921</v>
      </c>
      <c r="B39" s="13" t="str">
        <f t="shared" si="9"/>
        <v>Tue</v>
      </c>
      <c r="C39" s="14">
        <f>SUMIFS(Data!$B$2:$B$2797,Data!$A$2:$A$2797,A39)</f>
        <v>223</v>
      </c>
      <c r="D39" s="14">
        <f>SUMIFS(Data!$C$2:$C$2797,Data!$A$2:$A$2797,A39)</f>
        <v>4</v>
      </c>
      <c r="E39" s="14">
        <f>SUMIFS(Data!$D$2:$D$2797,Data!$A$2:$A$2797,A39)</f>
        <v>42</v>
      </c>
      <c r="F39" s="14">
        <f>SUM($C$5:C39)</f>
        <v>1970</v>
      </c>
      <c r="G39" s="14">
        <f>SUM($D$5:D39)</f>
        <v>27</v>
      </c>
      <c r="H39" s="14">
        <f>SUM($E$5:E39)</f>
        <v>122</v>
      </c>
      <c r="I39" s="14">
        <f t="shared" si="10"/>
        <v>1821</v>
      </c>
      <c r="J39" s="17">
        <f t="shared" si="5"/>
        <v>143.14285714285714</v>
      </c>
      <c r="K39" s="17">
        <f t="shared" si="6"/>
        <v>2.8571428571428572</v>
      </c>
      <c r="L39" s="15">
        <f t="shared" si="11"/>
        <v>1.3705583756345178E-2</v>
      </c>
      <c r="M39" s="19">
        <f t="shared" si="8"/>
        <v>0.42938659058487882</v>
      </c>
      <c r="N39" s="16">
        <f t="shared" si="12"/>
        <v>34</v>
      </c>
      <c r="O39" s="18">
        <f t="shared" si="7"/>
        <v>4.9638431325894965</v>
      </c>
      <c r="P39" s="16">
        <f>COUNTIF(Data!$A$2:$A$2797,A39)</f>
        <v>23</v>
      </c>
    </row>
    <row r="40" spans="1:16" x14ac:dyDescent="0.25">
      <c r="A40" s="12">
        <f t="shared" si="13"/>
        <v>43922</v>
      </c>
      <c r="B40" s="13" t="str">
        <f t="shared" si="9"/>
        <v>Wed</v>
      </c>
      <c r="C40" s="14">
        <f>SUMIFS(Data!$B$2:$B$2797,Data!$A$2:$A$2797,A40)</f>
        <v>260</v>
      </c>
      <c r="D40" s="14">
        <f>SUMIFS(Data!$C$2:$C$2797,Data!$A$2:$A$2797,A40)</f>
        <v>4</v>
      </c>
      <c r="E40" s="14">
        <f>SUMIFS(Data!$D$2:$D$2797,Data!$A$2:$A$2797,A40)</f>
        <v>15</v>
      </c>
      <c r="F40" s="14">
        <f>SUM($C$5:C40)</f>
        <v>2230</v>
      </c>
      <c r="G40" s="14">
        <f>SUM($D$5:D40)</f>
        <v>31</v>
      </c>
      <c r="H40" s="14">
        <f>SUM($E$5:E40)</f>
        <v>137</v>
      </c>
      <c r="I40" s="14">
        <f t="shared" si="10"/>
        <v>2062</v>
      </c>
      <c r="J40" s="17">
        <f t="shared" si="5"/>
        <v>164.57142857142858</v>
      </c>
      <c r="K40" s="17">
        <f t="shared" si="6"/>
        <v>3.2857142857142856</v>
      </c>
      <c r="L40" s="15">
        <f t="shared" si="11"/>
        <v>1.390134529147982E-2</v>
      </c>
      <c r="M40" s="19">
        <f t="shared" si="8"/>
        <v>0.52785145888594176</v>
      </c>
      <c r="N40" s="16">
        <f t="shared" si="12"/>
        <v>35</v>
      </c>
      <c r="O40" s="18">
        <f t="shared" si="7"/>
        <v>5.1033446922005234</v>
      </c>
      <c r="P40" s="16">
        <f>COUNTIF(Data!$A$2:$A$2797,A40)</f>
        <v>31</v>
      </c>
    </row>
    <row r="41" spans="1:16" x14ac:dyDescent="0.25">
      <c r="A41" s="12">
        <f t="shared" si="13"/>
        <v>43923</v>
      </c>
      <c r="B41" s="13" t="str">
        <f t="shared" si="9"/>
        <v>Thu</v>
      </c>
      <c r="C41" s="14">
        <f>SUMIFS(Data!$B$2:$B$2797,Data!$A$2:$A$2797,A41)</f>
        <v>183</v>
      </c>
      <c r="D41" s="14">
        <f>SUMIFS(Data!$C$2:$C$2797,Data!$A$2:$A$2797,A41)</f>
        <v>5</v>
      </c>
      <c r="E41" s="14">
        <f>SUMIFS(Data!$D$2:$D$2797,Data!$A$2:$A$2797,A41)</f>
        <v>14</v>
      </c>
      <c r="F41" s="14">
        <f>SUM($C$5:C41)</f>
        <v>2413</v>
      </c>
      <c r="G41" s="14">
        <f>SUM($D$5:D41)</f>
        <v>36</v>
      </c>
      <c r="H41" s="14">
        <f>SUM($E$5:E41)</f>
        <v>151</v>
      </c>
      <c r="I41" s="14">
        <f t="shared" si="10"/>
        <v>2226</v>
      </c>
      <c r="J41" s="17">
        <f t="shared" si="5"/>
        <v>172</v>
      </c>
      <c r="K41" s="17">
        <f t="shared" si="6"/>
        <v>3.8571428571428572</v>
      </c>
      <c r="L41" s="15">
        <f t="shared" si="11"/>
        <v>1.4919187733112309E-2</v>
      </c>
      <c r="M41" s="19">
        <f t="shared" si="8"/>
        <v>0.64705882352941169</v>
      </c>
      <c r="N41" s="16">
        <f t="shared" si="12"/>
        <v>36</v>
      </c>
      <c r="O41" s="18">
        <f t="shared" si="7"/>
        <v>5.1474944768134527</v>
      </c>
      <c r="P41" s="16">
        <f>COUNTIF(Data!$A$2:$A$2797,A41)</f>
        <v>26</v>
      </c>
    </row>
    <row r="42" spans="1:16" x14ac:dyDescent="0.25">
      <c r="A42" s="12">
        <f t="shared" si="13"/>
        <v>43924</v>
      </c>
      <c r="B42" s="13" t="str">
        <f t="shared" si="9"/>
        <v>Fri</v>
      </c>
      <c r="C42" s="14">
        <f>SUMIFS(Data!$B$2:$B$2797,Data!$A$2:$A$2797,A42)</f>
        <v>239</v>
      </c>
      <c r="D42" s="14">
        <f>SUMIFS(Data!$C$2:$C$2797,Data!$A$2:$A$2797,A42)</f>
        <v>5</v>
      </c>
      <c r="E42" s="14">
        <f>SUMIFS(Data!$D$2:$D$2797,Data!$A$2:$A$2797,A42)</f>
        <v>1</v>
      </c>
      <c r="F42" s="14">
        <f>SUM($C$5:C42)</f>
        <v>2652</v>
      </c>
      <c r="G42" s="14">
        <f>SUM($D$5:D42)</f>
        <v>41</v>
      </c>
      <c r="H42" s="14">
        <f>SUM($E$5:E42)</f>
        <v>152</v>
      </c>
      <c r="I42" s="14">
        <f t="shared" si="10"/>
        <v>2459</v>
      </c>
      <c r="J42" s="17">
        <f t="shared" si="5"/>
        <v>188.71428571428572</v>
      </c>
      <c r="K42" s="17">
        <f t="shared" si="6"/>
        <v>4.2857142857142856</v>
      </c>
      <c r="L42" s="15">
        <f t="shared" si="11"/>
        <v>1.5460030165912519E-2</v>
      </c>
      <c r="M42" s="19">
        <f t="shared" si="8"/>
        <v>0.6450809464508096</v>
      </c>
      <c r="N42" s="16">
        <f t="shared" si="12"/>
        <v>37</v>
      </c>
      <c r="O42" s="18">
        <f t="shared" si="7"/>
        <v>5.2402341554670118</v>
      </c>
      <c r="P42" s="16">
        <f>COUNTIF(Data!$A$2:$A$2797,A42)</f>
        <v>27</v>
      </c>
    </row>
    <row r="43" spans="1:16" x14ac:dyDescent="0.25">
      <c r="A43" s="12">
        <f t="shared" si="13"/>
        <v>43925</v>
      </c>
      <c r="B43" s="13" t="str">
        <f t="shared" si="9"/>
        <v>Sat</v>
      </c>
      <c r="C43" s="14">
        <f>SUMIFS(Data!$B$2:$B$2797,Data!$A$2:$A$2797,A43)</f>
        <v>79</v>
      </c>
      <c r="D43" s="14">
        <f>SUMIFS(Data!$C$2:$C$2797,Data!$A$2:$A$2797,A43)</f>
        <v>4</v>
      </c>
      <c r="E43" s="14">
        <f>SUMIFS(Data!$D$2:$D$2797,Data!$A$2:$A$2797,A43)</f>
        <v>33</v>
      </c>
      <c r="F43" s="14">
        <f>SUM($C$5:C43)</f>
        <v>2731</v>
      </c>
      <c r="G43" s="14">
        <f>SUM($D$5:D43)</f>
        <v>45</v>
      </c>
      <c r="H43" s="14">
        <f>SUM($E$5:E43)</f>
        <v>185</v>
      </c>
      <c r="I43" s="14">
        <f t="shared" si="10"/>
        <v>2501</v>
      </c>
      <c r="J43" s="17">
        <f t="shared" ref="J43:J74" si="14">AVERAGE(C37:C43)</f>
        <v>173.71428571428572</v>
      </c>
      <c r="K43" s="17">
        <f t="shared" ref="K43:K74" si="15">AVERAGE(D37:D43)</f>
        <v>4.5714285714285712</v>
      </c>
      <c r="L43" s="15">
        <f t="shared" si="11"/>
        <v>1.6477480776272427E-2</v>
      </c>
      <c r="M43" s="19">
        <f t="shared" si="8"/>
        <v>0.42555685814771405</v>
      </c>
      <c r="N43" s="16">
        <f t="shared" si="12"/>
        <v>38</v>
      </c>
      <c r="O43" s="18">
        <f t="shared" ref="O43:O74" si="16">IF(J43&gt;0,LN(J43),"")</f>
        <v>5.1574119134707992</v>
      </c>
      <c r="P43" s="16">
        <f>COUNTIF(Data!$A$2:$A$2797,A43)</f>
        <v>19</v>
      </c>
    </row>
    <row r="44" spans="1:16" x14ac:dyDescent="0.25">
      <c r="A44" s="12">
        <f t="shared" si="13"/>
        <v>43926</v>
      </c>
      <c r="B44" s="13" t="str">
        <f t="shared" si="9"/>
        <v>Sun</v>
      </c>
      <c r="C44" s="14">
        <f>SUMIFS(Data!$B$2:$B$2797,Data!$A$2:$A$2797,A44)</f>
        <v>180</v>
      </c>
      <c r="D44" s="14">
        <f>SUMIFS(Data!$C$2:$C$2797,Data!$A$2:$A$2797,A44)</f>
        <v>3</v>
      </c>
      <c r="E44" s="14">
        <f>SUMIFS(Data!$D$2:$D$2797,Data!$A$2:$A$2797,A44)</f>
        <v>45</v>
      </c>
      <c r="F44" s="14">
        <f>SUM($C$5:C44)</f>
        <v>2911</v>
      </c>
      <c r="G44" s="14">
        <f>SUM($D$5:D44)</f>
        <v>48</v>
      </c>
      <c r="H44" s="14">
        <f>SUM($E$5:E44)</f>
        <v>230</v>
      </c>
      <c r="I44" s="14">
        <f t="shared" si="10"/>
        <v>2633</v>
      </c>
      <c r="J44" s="17">
        <f t="shared" si="14"/>
        <v>187</v>
      </c>
      <c r="K44" s="17">
        <f t="shared" si="15"/>
        <v>4.1428571428571432</v>
      </c>
      <c r="L44" s="15">
        <f t="shared" si="11"/>
        <v>1.6489178976296804E-2</v>
      </c>
      <c r="M44" s="19">
        <f t="shared" si="8"/>
        <v>0.5771084337349397</v>
      </c>
      <c r="N44" s="16">
        <f t="shared" si="12"/>
        <v>39</v>
      </c>
      <c r="O44" s="18">
        <f t="shared" si="16"/>
        <v>5.2311086168545868</v>
      </c>
      <c r="P44" s="16">
        <f>COUNTIF(Data!$A$2:$A$2797,A44)</f>
        <v>28</v>
      </c>
    </row>
    <row r="45" spans="1:16" x14ac:dyDescent="0.25">
      <c r="A45" s="12">
        <f t="shared" si="13"/>
        <v>43927</v>
      </c>
      <c r="B45" s="13" t="str">
        <f t="shared" si="9"/>
        <v>Mon</v>
      </c>
      <c r="C45" s="14">
        <f>SUMIFS(Data!$B$2:$B$2797,Data!$A$2:$A$2797,A45)</f>
        <v>249</v>
      </c>
      <c r="D45" s="14">
        <f>SUMIFS(Data!$C$2:$C$2797,Data!$A$2:$A$2797,A45)</f>
        <v>5</v>
      </c>
      <c r="E45" s="14">
        <f>SUMIFS(Data!$D$2:$D$2797,Data!$A$2:$A$2797,A45)</f>
        <v>175</v>
      </c>
      <c r="F45" s="14">
        <f>SUM($C$5:C45)</f>
        <v>3160</v>
      </c>
      <c r="G45" s="14">
        <f>SUM($D$5:D45)</f>
        <v>53</v>
      </c>
      <c r="H45" s="14">
        <f>SUM($E$5:E45)</f>
        <v>405</v>
      </c>
      <c r="I45" s="14">
        <f t="shared" si="10"/>
        <v>2702</v>
      </c>
      <c r="J45" s="17">
        <f t="shared" si="14"/>
        <v>201.85714285714286</v>
      </c>
      <c r="K45" s="17">
        <f t="shared" si="15"/>
        <v>4.2857142857142856</v>
      </c>
      <c r="L45" s="15">
        <f t="shared" si="11"/>
        <v>1.6772151898734176E-2</v>
      </c>
      <c r="M45" s="19">
        <f t="shared" si="8"/>
        <v>0.58230683090705493</v>
      </c>
      <c r="N45" s="16">
        <f t="shared" si="12"/>
        <v>40</v>
      </c>
      <c r="O45" s="18">
        <f t="shared" si="16"/>
        <v>5.3075602336292143</v>
      </c>
      <c r="P45" s="16">
        <f>COUNTIF(Data!$A$2:$A$2797,A45)</f>
        <v>26</v>
      </c>
    </row>
    <row r="46" spans="1:16" x14ac:dyDescent="0.25">
      <c r="A46" s="12">
        <f t="shared" si="13"/>
        <v>43928</v>
      </c>
      <c r="B46" s="13" t="str">
        <f t="shared" si="9"/>
        <v>Tue</v>
      </c>
      <c r="C46" s="14">
        <f>SUMIFS(Data!$B$2:$B$2797,Data!$A$2:$A$2797,A46)</f>
        <v>107</v>
      </c>
      <c r="D46" s="14">
        <f>SUMIFS(Data!$C$2:$C$2797,Data!$A$2:$A$2797,A46)</f>
        <v>3</v>
      </c>
      <c r="E46" s="14">
        <f>SUMIFS(Data!$D$2:$D$2797,Data!$A$2:$A$2797,A46)</f>
        <v>82</v>
      </c>
      <c r="F46" s="14">
        <f>SUM($C$5:C46)</f>
        <v>3267</v>
      </c>
      <c r="G46" s="14">
        <f>SUM($D$5:D46)</f>
        <v>56</v>
      </c>
      <c r="H46" s="14">
        <f>SUM($E$5:E46)</f>
        <v>487</v>
      </c>
      <c r="I46" s="14">
        <f t="shared" si="10"/>
        <v>2724</v>
      </c>
      <c r="J46" s="17">
        <f t="shared" si="14"/>
        <v>185.28571428571428</v>
      </c>
      <c r="K46" s="17">
        <f t="shared" si="15"/>
        <v>4.1428571428571432</v>
      </c>
      <c r="L46" s="15">
        <f t="shared" si="11"/>
        <v>1.7141108050198958E-2</v>
      </c>
      <c r="M46" s="19">
        <f t="shared" si="8"/>
        <v>0.29441117764471048</v>
      </c>
      <c r="N46" s="16">
        <f t="shared" si="12"/>
        <v>41</v>
      </c>
      <c r="O46" s="18">
        <f t="shared" si="16"/>
        <v>5.2218990352611305</v>
      </c>
      <c r="P46" s="16">
        <f>COUNTIF(Data!$A$2:$A$2797,A46)</f>
        <v>21</v>
      </c>
    </row>
    <row r="47" spans="1:16" x14ac:dyDescent="0.25">
      <c r="A47" s="12">
        <f t="shared" si="13"/>
        <v>43929</v>
      </c>
      <c r="B47" s="13" t="str">
        <f t="shared" si="9"/>
        <v>Wed</v>
      </c>
      <c r="C47" s="14">
        <f>SUMIFS(Data!$B$2:$B$2797,Data!$A$2:$A$2797,A47)</f>
        <v>337</v>
      </c>
      <c r="D47" s="14">
        <f>SUMIFS(Data!$C$2:$C$2797,Data!$A$2:$A$2797,A47)</f>
        <v>7</v>
      </c>
      <c r="E47" s="14">
        <f>SUMIFS(Data!$D$2:$D$2797,Data!$A$2:$A$2797,A47)</f>
        <v>112</v>
      </c>
      <c r="F47" s="14">
        <f>SUM($C$5:C47)</f>
        <v>3604</v>
      </c>
      <c r="G47" s="14">
        <f>SUM($D$5:D47)</f>
        <v>63</v>
      </c>
      <c r="H47" s="14">
        <f>SUM($E$5:E47)</f>
        <v>599</v>
      </c>
      <c r="I47" s="14">
        <f t="shared" si="10"/>
        <v>2942</v>
      </c>
      <c r="J47" s="17">
        <f t="shared" si="14"/>
        <v>196.28571428571428</v>
      </c>
      <c r="K47" s="17">
        <f t="shared" si="15"/>
        <v>4.5714285714285712</v>
      </c>
      <c r="L47" s="15">
        <f t="shared" si="11"/>
        <v>1.7480577136514984E-2</v>
      </c>
      <c r="M47" s="19">
        <f t="shared" si="8"/>
        <v>0.19270833333333326</v>
      </c>
      <c r="N47" s="16">
        <f t="shared" si="12"/>
        <v>42</v>
      </c>
      <c r="O47" s="18">
        <f t="shared" si="16"/>
        <v>5.279571323726981</v>
      </c>
      <c r="P47" s="16">
        <f>COUNTIF(Data!$A$2:$A$2797,A47)</f>
        <v>50</v>
      </c>
    </row>
    <row r="48" spans="1:16" x14ac:dyDescent="0.25">
      <c r="A48" s="12">
        <f t="shared" si="13"/>
        <v>43930</v>
      </c>
      <c r="B48" s="13" t="str">
        <f t="shared" si="9"/>
        <v>Thu</v>
      </c>
      <c r="C48" s="14">
        <f>SUMIFS(Data!$B$2:$B$2797,Data!$A$2:$A$2797,A48)</f>
        <v>874</v>
      </c>
      <c r="D48" s="14">
        <f>SUMIFS(Data!$C$2:$C$2797,Data!$A$2:$A$2797,A48)</f>
        <v>4</v>
      </c>
      <c r="E48" s="14">
        <f>SUMIFS(Data!$D$2:$D$2797,Data!$A$2:$A$2797,A48)</f>
        <v>113</v>
      </c>
      <c r="F48" s="14">
        <f>SUM($C$5:C48)</f>
        <v>4478</v>
      </c>
      <c r="G48" s="14">
        <f>SUM($D$5:D48)</f>
        <v>67</v>
      </c>
      <c r="H48" s="14">
        <f>SUM($E$5:E48)</f>
        <v>712</v>
      </c>
      <c r="I48" s="14">
        <f t="shared" si="10"/>
        <v>3699</v>
      </c>
      <c r="J48" s="17">
        <f t="shared" si="14"/>
        <v>295</v>
      </c>
      <c r="K48" s="17">
        <f t="shared" si="15"/>
        <v>4.4285714285714288</v>
      </c>
      <c r="L48" s="15">
        <f t="shared" si="11"/>
        <v>1.4962036623492631E-2</v>
      </c>
      <c r="M48" s="19">
        <f t="shared" si="8"/>
        <v>0.71511627906976738</v>
      </c>
      <c r="N48" s="16">
        <f t="shared" si="12"/>
        <v>43</v>
      </c>
      <c r="O48" s="18">
        <f t="shared" si="16"/>
        <v>5.6869753563398202</v>
      </c>
      <c r="P48" s="16">
        <f>COUNTIF(Data!$A$2:$A$2797,A48)</f>
        <v>44</v>
      </c>
    </row>
    <row r="49" spans="1:16" x14ac:dyDescent="0.25">
      <c r="A49" s="12">
        <f t="shared" si="13"/>
        <v>43931</v>
      </c>
      <c r="B49" s="13" t="str">
        <f t="shared" si="9"/>
        <v>Fri</v>
      </c>
      <c r="C49" s="14">
        <f>SUMIFS(Data!$B$2:$B$2797,Data!$A$2:$A$2797,A49)</f>
        <v>156</v>
      </c>
      <c r="D49" s="14">
        <f>SUMIFS(Data!$C$2:$C$2797,Data!$A$2:$A$2797,A49)</f>
        <v>4</v>
      </c>
      <c r="E49" s="14">
        <f>SUMIFS(Data!$D$2:$D$2797,Data!$A$2:$A$2797,A49)</f>
        <v>53</v>
      </c>
      <c r="F49" s="14">
        <f>SUM($C$5:C49)</f>
        <v>4634</v>
      </c>
      <c r="G49" s="14">
        <f>SUM($D$5:D49)</f>
        <v>71</v>
      </c>
      <c r="H49" s="14">
        <f>SUM($E$5:E49)</f>
        <v>765</v>
      </c>
      <c r="I49" s="14">
        <f t="shared" si="10"/>
        <v>3798</v>
      </c>
      <c r="J49" s="17">
        <f t="shared" si="14"/>
        <v>283.14285714285717</v>
      </c>
      <c r="K49" s="17">
        <f t="shared" si="15"/>
        <v>4.2857142857142856</v>
      </c>
      <c r="L49" s="15">
        <f t="shared" si="11"/>
        <v>1.5321536469572723E-2</v>
      </c>
      <c r="M49" s="19">
        <f t="shared" si="8"/>
        <v>0.50037850113550353</v>
      </c>
      <c r="N49" s="16">
        <f t="shared" si="12"/>
        <v>44</v>
      </c>
      <c r="O49" s="18">
        <f t="shared" si="16"/>
        <v>5.6459515658346202</v>
      </c>
      <c r="P49" s="16">
        <f>COUNTIF(Data!$A$2:$A$2797,A49)</f>
        <v>29</v>
      </c>
    </row>
    <row r="50" spans="1:16" x14ac:dyDescent="0.25">
      <c r="A50" s="12">
        <f t="shared" si="13"/>
        <v>43932</v>
      </c>
      <c r="B50" s="13" t="str">
        <f t="shared" si="9"/>
        <v>Sat</v>
      </c>
      <c r="C50" s="14">
        <f>SUMIFS(Data!$B$2:$B$2797,Data!$A$2:$A$2797,A50)</f>
        <v>297</v>
      </c>
      <c r="D50" s="14">
        <f>SUMIFS(Data!$C$2:$C$2797,Data!$A$2:$A$2797,A50)</f>
        <v>15</v>
      </c>
      <c r="E50" s="14">
        <f>SUMIFS(Data!$D$2:$D$2797,Data!$A$2:$A$2797,A50)</f>
        <v>37</v>
      </c>
      <c r="F50" s="14">
        <f>SUM($C$5:C50)</f>
        <v>4931</v>
      </c>
      <c r="G50" s="14">
        <f>SUM($D$5:D50)</f>
        <v>86</v>
      </c>
      <c r="H50" s="14">
        <f>SUM($E$5:E50)</f>
        <v>802</v>
      </c>
      <c r="I50" s="14">
        <f t="shared" si="10"/>
        <v>4043</v>
      </c>
      <c r="J50" s="17">
        <f t="shared" si="14"/>
        <v>314.28571428571428</v>
      </c>
      <c r="K50" s="17">
        <f t="shared" si="15"/>
        <v>5.8571428571428568</v>
      </c>
      <c r="L50" s="15">
        <f t="shared" si="11"/>
        <v>1.7440681403366458E-2</v>
      </c>
      <c r="M50" s="19">
        <f t="shared" ref="M50:M81" si="17">IF(J43&gt;0,J50/J43-1,"")</f>
        <v>0.80921052631578938</v>
      </c>
      <c r="N50" s="16">
        <f t="shared" si="12"/>
        <v>45</v>
      </c>
      <c r="O50" s="18">
        <f t="shared" si="16"/>
        <v>5.7503024902910935</v>
      </c>
      <c r="P50" s="16">
        <f>COUNTIF(Data!$A$2:$A$2797,A50)</f>
        <v>28</v>
      </c>
    </row>
    <row r="51" spans="1:16" x14ac:dyDescent="0.25">
      <c r="A51" s="12">
        <f t="shared" si="13"/>
        <v>43933</v>
      </c>
      <c r="B51" s="13" t="str">
        <f t="shared" si="9"/>
        <v>Sun</v>
      </c>
      <c r="C51" s="14">
        <f>SUMIFS(Data!$B$2:$B$2797,Data!$A$2:$A$2797,A51)</f>
        <v>253</v>
      </c>
      <c r="D51" s="14">
        <f>SUMIFS(Data!$C$2:$C$2797,Data!$A$2:$A$2797,A51)</f>
        <v>7</v>
      </c>
      <c r="E51" s="14">
        <f>SUMIFS(Data!$D$2:$D$2797,Data!$A$2:$A$2797,A51)</f>
        <v>225</v>
      </c>
      <c r="F51" s="14">
        <f>SUM($C$5:C51)</f>
        <v>5184</v>
      </c>
      <c r="G51" s="14">
        <f>SUM($D$5:D51)</f>
        <v>93</v>
      </c>
      <c r="H51" s="14">
        <f>SUM($E$5:E51)</f>
        <v>1027</v>
      </c>
      <c r="I51" s="14">
        <f t="shared" si="10"/>
        <v>4064</v>
      </c>
      <c r="J51" s="17">
        <f t="shared" si="14"/>
        <v>324.71428571428572</v>
      </c>
      <c r="K51" s="17">
        <f t="shared" si="15"/>
        <v>6.4285714285714288</v>
      </c>
      <c r="L51" s="15">
        <f t="shared" si="11"/>
        <v>1.7939814814814815E-2</v>
      </c>
      <c r="M51" s="19">
        <f t="shared" si="17"/>
        <v>0.73644003055767771</v>
      </c>
      <c r="N51" s="16">
        <f t="shared" si="12"/>
        <v>46</v>
      </c>
      <c r="O51" s="18">
        <f t="shared" si="16"/>
        <v>5.7829456747972303</v>
      </c>
      <c r="P51" s="16">
        <f>COUNTIF(Data!$A$2:$A$2797,A51)</f>
        <v>31</v>
      </c>
    </row>
    <row r="52" spans="1:16" x14ac:dyDescent="0.25">
      <c r="A52" s="12">
        <f t="shared" si="13"/>
        <v>43934</v>
      </c>
      <c r="B52" s="13" t="str">
        <f t="shared" si="9"/>
        <v>Mon</v>
      </c>
      <c r="C52" s="14">
        <f>SUMIFS(Data!$B$2:$B$2797,Data!$A$2:$A$2797,A52)</f>
        <v>173</v>
      </c>
      <c r="D52" s="14">
        <f>SUMIFS(Data!$C$2:$C$2797,Data!$A$2:$A$2797,A52)</f>
        <v>4</v>
      </c>
      <c r="E52" s="14">
        <f>SUMIFS(Data!$D$2:$D$2797,Data!$A$2:$A$2797,A52)</f>
        <v>38</v>
      </c>
      <c r="F52" s="14">
        <f>SUM($C$5:C52)</f>
        <v>5357</v>
      </c>
      <c r="G52" s="14">
        <f>SUM($D$5:D52)</f>
        <v>97</v>
      </c>
      <c r="H52" s="14">
        <f>SUM($E$5:E52)</f>
        <v>1065</v>
      </c>
      <c r="I52" s="14">
        <f t="shared" si="10"/>
        <v>4195</v>
      </c>
      <c r="J52" s="17">
        <f t="shared" si="14"/>
        <v>313.85714285714283</v>
      </c>
      <c r="K52" s="17">
        <f t="shared" si="15"/>
        <v>6.2857142857142856</v>
      </c>
      <c r="L52" s="15">
        <f t="shared" si="11"/>
        <v>1.8107149523987308E-2</v>
      </c>
      <c r="M52" s="19">
        <f t="shared" si="17"/>
        <v>0.55484784147204524</v>
      </c>
      <c r="N52" s="16">
        <f t="shared" si="12"/>
        <v>47</v>
      </c>
      <c r="O52" s="18">
        <f t="shared" si="16"/>
        <v>5.7489379233292972</v>
      </c>
      <c r="P52" s="16">
        <f>COUNTIF(Data!$A$2:$A$2797,A52)</f>
        <v>24</v>
      </c>
    </row>
    <row r="53" spans="1:16" x14ac:dyDescent="0.25">
      <c r="A53" s="12">
        <f t="shared" si="13"/>
        <v>43935</v>
      </c>
      <c r="B53" s="13" t="str">
        <f t="shared" si="9"/>
        <v>Tue</v>
      </c>
      <c r="C53" s="14">
        <f>SUMIFS(Data!$B$2:$B$2797,Data!$A$2:$A$2797,A53)</f>
        <v>628</v>
      </c>
      <c r="D53" s="14">
        <f>SUMIFS(Data!$C$2:$C$2797,Data!$A$2:$A$2797,A53)</f>
        <v>11</v>
      </c>
      <c r="E53" s="14">
        <f>SUMIFS(Data!$D$2:$D$2797,Data!$A$2:$A$2797,A53)</f>
        <v>56</v>
      </c>
      <c r="F53" s="14">
        <f>SUM($C$5:C53)</f>
        <v>5985</v>
      </c>
      <c r="G53" s="14">
        <f>SUM($D$5:D53)</f>
        <v>108</v>
      </c>
      <c r="H53" s="14">
        <f>SUM($E$5:E53)</f>
        <v>1121</v>
      </c>
      <c r="I53" s="14">
        <f t="shared" si="10"/>
        <v>4756</v>
      </c>
      <c r="J53" s="17">
        <f t="shared" si="14"/>
        <v>388.28571428571428</v>
      </c>
      <c r="K53" s="17">
        <f t="shared" si="15"/>
        <v>7.4285714285714288</v>
      </c>
      <c r="L53" s="15">
        <f t="shared" si="11"/>
        <v>1.8045112781954888E-2</v>
      </c>
      <c r="M53" s="19">
        <f t="shared" si="17"/>
        <v>1.0956052428681575</v>
      </c>
      <c r="N53" s="16">
        <f t="shared" si="12"/>
        <v>48</v>
      </c>
      <c r="O53" s="18">
        <f t="shared" si="16"/>
        <v>5.9617414456557754</v>
      </c>
      <c r="P53" s="16">
        <f>COUNTIF(Data!$A$2:$A$2797,A53)</f>
        <v>51</v>
      </c>
    </row>
    <row r="54" spans="1:16" x14ac:dyDescent="0.25">
      <c r="A54" s="12">
        <f t="shared" si="13"/>
        <v>43936</v>
      </c>
      <c r="B54" s="13" t="str">
        <f t="shared" si="9"/>
        <v>Wed</v>
      </c>
      <c r="C54" s="14">
        <f>SUMIFS(Data!$B$2:$B$2797,Data!$A$2:$A$2797,A54)</f>
        <v>321</v>
      </c>
      <c r="D54" s="14">
        <f>SUMIFS(Data!$C$2:$C$2797,Data!$A$2:$A$2797,A54)</f>
        <v>11</v>
      </c>
      <c r="E54" s="14">
        <f>SUMIFS(Data!$D$2:$D$2797,Data!$A$2:$A$2797,A54)</f>
        <v>209</v>
      </c>
      <c r="F54" s="14">
        <f>SUM($C$5:C54)</f>
        <v>6306</v>
      </c>
      <c r="G54" s="14">
        <f>SUM($D$5:D54)</f>
        <v>119</v>
      </c>
      <c r="H54" s="14">
        <f>SUM($E$5:E54)</f>
        <v>1330</v>
      </c>
      <c r="I54" s="14">
        <f t="shared" si="10"/>
        <v>4857</v>
      </c>
      <c r="J54" s="17">
        <f t="shared" si="14"/>
        <v>386</v>
      </c>
      <c r="K54" s="17">
        <f t="shared" si="15"/>
        <v>8</v>
      </c>
      <c r="L54" s="15">
        <f t="shared" si="11"/>
        <v>1.88709165873771E-2</v>
      </c>
      <c r="M54" s="19">
        <f t="shared" si="17"/>
        <v>0.96652110625909771</v>
      </c>
      <c r="N54" s="16">
        <f t="shared" si="12"/>
        <v>49</v>
      </c>
      <c r="O54" s="18">
        <f t="shared" si="16"/>
        <v>5.955837369464831</v>
      </c>
      <c r="P54" s="16">
        <f>COUNTIF(Data!$A$2:$A$2797,A54)</f>
        <v>34</v>
      </c>
    </row>
    <row r="55" spans="1:16" x14ac:dyDescent="0.25">
      <c r="A55" s="12">
        <f t="shared" si="13"/>
        <v>43937</v>
      </c>
      <c r="B55" s="13" t="str">
        <f t="shared" si="9"/>
        <v>Thu</v>
      </c>
      <c r="C55" s="14">
        <f>SUMIFS(Data!$B$2:$B$2797,Data!$A$2:$A$2797,A55)</f>
        <v>683</v>
      </c>
      <c r="D55" s="14">
        <f>SUMIFS(Data!$C$2:$C$2797,Data!$A$2:$A$2797,A55)</f>
        <v>16</v>
      </c>
      <c r="E55" s="14">
        <f>SUMIFS(Data!$D$2:$D$2797,Data!$A$2:$A$2797,A55)</f>
        <v>207</v>
      </c>
      <c r="F55" s="14">
        <f>SUM($C$5:C55)</f>
        <v>6989</v>
      </c>
      <c r="G55" s="14">
        <f>SUM($D$5:D55)</f>
        <v>135</v>
      </c>
      <c r="H55" s="14">
        <f>SUM($E$5:E55)</f>
        <v>1537</v>
      </c>
      <c r="I55" s="14">
        <f t="shared" si="10"/>
        <v>5317</v>
      </c>
      <c r="J55" s="17">
        <f t="shared" si="14"/>
        <v>358.71428571428572</v>
      </c>
      <c r="K55" s="17">
        <f t="shared" si="15"/>
        <v>9.7142857142857135</v>
      </c>
      <c r="L55" s="15">
        <f t="shared" si="11"/>
        <v>1.9316068107025325E-2</v>
      </c>
      <c r="M55" s="19">
        <f t="shared" si="17"/>
        <v>0.21598062953995156</v>
      </c>
      <c r="N55" s="16">
        <f t="shared" si="12"/>
        <v>50</v>
      </c>
      <c r="O55" s="18">
        <f t="shared" si="16"/>
        <v>5.8825262101022719</v>
      </c>
      <c r="P55" s="16">
        <f>COUNTIF(Data!$A$2:$A$2797,A55)</f>
        <v>51</v>
      </c>
    </row>
    <row r="56" spans="1:16" x14ac:dyDescent="0.25">
      <c r="A56" s="12">
        <f t="shared" si="13"/>
        <v>43938</v>
      </c>
      <c r="B56" s="13" t="str">
        <f t="shared" si="9"/>
        <v>Fri</v>
      </c>
      <c r="C56" s="14">
        <f>SUMIFS(Data!$B$2:$B$2797,Data!$A$2:$A$2797,A56)</f>
        <v>512</v>
      </c>
      <c r="D56" s="14">
        <f>SUMIFS(Data!$C$2:$C$2797,Data!$A$2:$A$2797,A56)</f>
        <v>4</v>
      </c>
      <c r="E56" s="14">
        <f>SUMIFS(Data!$D$2:$D$2797,Data!$A$2:$A$2797,A56)</f>
        <v>14</v>
      </c>
      <c r="F56" s="14">
        <f>SUM($C$5:C56)</f>
        <v>7501</v>
      </c>
      <c r="G56" s="14">
        <f>SUM($D$5:D56)</f>
        <v>139</v>
      </c>
      <c r="H56" s="14">
        <f>SUM($E$5:E56)</f>
        <v>1551</v>
      </c>
      <c r="I56" s="14">
        <f t="shared" si="10"/>
        <v>5811</v>
      </c>
      <c r="J56" s="17">
        <f t="shared" si="14"/>
        <v>409.57142857142856</v>
      </c>
      <c r="K56" s="17">
        <f t="shared" si="15"/>
        <v>9.7142857142857135</v>
      </c>
      <c r="L56" s="15">
        <f t="shared" si="11"/>
        <v>1.8530862551659779E-2</v>
      </c>
      <c r="M56" s="19">
        <f t="shared" si="17"/>
        <v>0.44651866801210871</v>
      </c>
      <c r="N56" s="16">
        <f t="shared" si="12"/>
        <v>51</v>
      </c>
      <c r="O56" s="18">
        <f t="shared" si="16"/>
        <v>6.0151113168280563</v>
      </c>
      <c r="P56" s="16">
        <f>COUNTIF(Data!$A$2:$A$2797,A56)</f>
        <v>29</v>
      </c>
    </row>
    <row r="57" spans="1:16" x14ac:dyDescent="0.25">
      <c r="A57" s="12">
        <f t="shared" si="13"/>
        <v>43939</v>
      </c>
      <c r="B57" s="13" t="str">
        <f t="shared" si="9"/>
        <v>Sat</v>
      </c>
      <c r="C57" s="14">
        <f>SUMIFS(Data!$B$2:$B$2797,Data!$A$2:$A$2797,A57)</f>
        <v>285</v>
      </c>
      <c r="D57" s="14">
        <f>SUMIFS(Data!$C$2:$C$2797,Data!$A$2:$A$2797,A57)</f>
        <v>11</v>
      </c>
      <c r="E57" s="14">
        <f>SUMIFS(Data!$D$2:$D$2797,Data!$A$2:$A$2797,A57)</f>
        <v>39</v>
      </c>
      <c r="F57" s="14">
        <f>SUM($C$5:C57)</f>
        <v>7786</v>
      </c>
      <c r="G57" s="14">
        <f>SUM($D$5:D57)</f>
        <v>150</v>
      </c>
      <c r="H57" s="14">
        <f>SUM($E$5:E57)</f>
        <v>1590</v>
      </c>
      <c r="I57" s="14">
        <f t="shared" si="10"/>
        <v>6046</v>
      </c>
      <c r="J57" s="17">
        <f t="shared" si="14"/>
        <v>407.85714285714283</v>
      </c>
      <c r="K57" s="17">
        <f t="shared" si="15"/>
        <v>9.1428571428571423</v>
      </c>
      <c r="L57" s="15">
        <f t="shared" si="11"/>
        <v>1.9265348060621627E-2</v>
      </c>
      <c r="M57" s="19">
        <f t="shared" si="17"/>
        <v>0.29772727272727262</v>
      </c>
      <c r="N57" s="16">
        <f t="shared" si="12"/>
        <v>52</v>
      </c>
      <c r="O57" s="18">
        <f t="shared" si="16"/>
        <v>6.0109169730347976</v>
      </c>
      <c r="P57" s="16">
        <f>COUNTIF(Data!$A$2:$A$2797,A57)</f>
        <v>18</v>
      </c>
    </row>
    <row r="58" spans="1:16" x14ac:dyDescent="0.25">
      <c r="A58" s="12">
        <f t="shared" si="13"/>
        <v>43940</v>
      </c>
      <c r="B58" s="13" t="str">
        <f t="shared" si="9"/>
        <v>Sun</v>
      </c>
      <c r="C58" s="14">
        <f>SUMIFS(Data!$B$2:$B$2797,Data!$A$2:$A$2797,A58)</f>
        <v>583</v>
      </c>
      <c r="D58" s="14">
        <f>SUMIFS(Data!$C$2:$C$2797,Data!$A$2:$A$2797,A58)</f>
        <v>18</v>
      </c>
      <c r="E58" s="14">
        <f>SUMIFS(Data!$D$2:$D$2797,Data!$A$2:$A$2797,A58)</f>
        <v>84</v>
      </c>
      <c r="F58" s="14">
        <f>SUM($C$5:C58)</f>
        <v>8369</v>
      </c>
      <c r="G58" s="14">
        <f>SUM($D$5:D58)</f>
        <v>168</v>
      </c>
      <c r="H58" s="14">
        <f>SUM($E$5:E58)</f>
        <v>1674</v>
      </c>
      <c r="I58" s="14">
        <f t="shared" si="10"/>
        <v>6527</v>
      </c>
      <c r="J58" s="17">
        <f t="shared" si="14"/>
        <v>455</v>
      </c>
      <c r="K58" s="17">
        <f t="shared" si="15"/>
        <v>10.714285714285714</v>
      </c>
      <c r="L58" s="15">
        <f t="shared" si="11"/>
        <v>2.0074082925080654E-2</v>
      </c>
      <c r="M58" s="19">
        <f t="shared" si="17"/>
        <v>0.40123185217773871</v>
      </c>
      <c r="N58" s="16">
        <f t="shared" si="12"/>
        <v>53</v>
      </c>
      <c r="O58" s="18">
        <f t="shared" si="16"/>
        <v>6.1202974189509503</v>
      </c>
      <c r="P58" s="16">
        <f>COUNTIF(Data!$A$2:$A$2797,A58)</f>
        <v>44</v>
      </c>
    </row>
    <row r="59" spans="1:16" x14ac:dyDescent="0.25">
      <c r="A59" s="12">
        <f t="shared" si="13"/>
        <v>43941</v>
      </c>
      <c r="B59" s="13" t="str">
        <f t="shared" si="9"/>
        <v>Mon</v>
      </c>
      <c r="C59" s="14">
        <f>SUMIFS(Data!$B$2:$B$2797,Data!$A$2:$A$2797,A59)</f>
        <v>707</v>
      </c>
      <c r="D59" s="14">
        <f>SUMIFS(Data!$C$2:$C$2797,Data!$A$2:$A$2797,A59)</f>
        <v>18</v>
      </c>
      <c r="E59" s="14">
        <f>SUMIFS(Data!$D$2:$D$2797,Data!$A$2:$A$2797,A59)</f>
        <v>62</v>
      </c>
      <c r="F59" s="14">
        <f>SUM($C$5:C59)</f>
        <v>9076</v>
      </c>
      <c r="G59" s="14">
        <f>SUM($D$5:D59)</f>
        <v>186</v>
      </c>
      <c r="H59" s="14">
        <f>SUM($E$5:E59)</f>
        <v>1736</v>
      </c>
      <c r="I59" s="14">
        <f t="shared" si="10"/>
        <v>7154</v>
      </c>
      <c r="J59" s="17">
        <f t="shared" si="14"/>
        <v>531.28571428571433</v>
      </c>
      <c r="K59" s="17">
        <f t="shared" si="15"/>
        <v>12.714285714285714</v>
      </c>
      <c r="L59" s="15">
        <f t="shared" si="11"/>
        <v>2.0493609519612165E-2</v>
      </c>
      <c r="M59" s="19">
        <f t="shared" si="17"/>
        <v>0.69276285844333207</v>
      </c>
      <c r="N59" s="16">
        <f t="shared" si="12"/>
        <v>54</v>
      </c>
      <c r="O59" s="18">
        <f t="shared" si="16"/>
        <v>6.2752999448697571</v>
      </c>
      <c r="P59" s="16">
        <f>COUNTIF(Data!$A$2:$A$2797,A59)</f>
        <v>16</v>
      </c>
    </row>
    <row r="60" spans="1:16" x14ac:dyDescent="0.25">
      <c r="A60" s="12">
        <f t="shared" si="13"/>
        <v>43942</v>
      </c>
      <c r="B60" s="13" t="str">
        <f t="shared" si="9"/>
        <v>Tue</v>
      </c>
      <c r="C60" s="14">
        <f>SUMIFS(Data!$B$2:$B$2797,Data!$A$2:$A$2797,A60)</f>
        <v>677</v>
      </c>
      <c r="D60" s="14">
        <f>SUMIFS(Data!$C$2:$C$2797,Data!$A$2:$A$2797,A60)</f>
        <v>23</v>
      </c>
      <c r="E60" s="14">
        <f>SUMIFS(Data!$D$2:$D$2797,Data!$A$2:$A$2797,A60)</f>
        <v>103</v>
      </c>
      <c r="F60" s="14">
        <f>SUM($C$5:C60)</f>
        <v>9753</v>
      </c>
      <c r="G60" s="14">
        <f>SUM($D$5:D60)</f>
        <v>209</v>
      </c>
      <c r="H60" s="14">
        <f>SUM($E$5:E60)</f>
        <v>1839</v>
      </c>
      <c r="I60" s="14">
        <f t="shared" si="10"/>
        <v>7705</v>
      </c>
      <c r="J60" s="17">
        <f t="shared" si="14"/>
        <v>538.28571428571433</v>
      </c>
      <c r="K60" s="17">
        <f t="shared" si="15"/>
        <v>14.428571428571429</v>
      </c>
      <c r="L60" s="15">
        <f t="shared" si="11"/>
        <v>2.1429303803957758E-2</v>
      </c>
      <c r="M60" s="19">
        <f t="shared" si="17"/>
        <v>0.38631346578366466</v>
      </c>
      <c r="N60" s="16">
        <f t="shared" si="12"/>
        <v>55</v>
      </c>
      <c r="O60" s="18">
        <f t="shared" si="16"/>
        <v>6.2883894866409404</v>
      </c>
      <c r="P60" s="16">
        <f>COUNTIF(Data!$A$2:$A$2797,A60)</f>
        <v>26</v>
      </c>
    </row>
    <row r="61" spans="1:16" x14ac:dyDescent="0.25">
      <c r="A61" s="12">
        <f t="shared" si="13"/>
        <v>43943</v>
      </c>
      <c r="B61" s="13" t="str">
        <f t="shared" si="9"/>
        <v>Wed</v>
      </c>
      <c r="C61" s="14">
        <f>SUMIFS(Data!$B$2:$B$2797,Data!$A$2:$A$2797,A61)</f>
        <v>767</v>
      </c>
      <c r="D61" s="14">
        <f>SUMIFS(Data!$C$2:$C$2797,Data!$A$2:$A$2797,A61)</f>
        <v>13</v>
      </c>
      <c r="E61" s="14">
        <f>SUMIFS(Data!$D$2:$D$2797,Data!$A$2:$A$2797,A61)</f>
        <v>68</v>
      </c>
      <c r="F61" s="14">
        <f>SUM($C$5:C61)</f>
        <v>10520</v>
      </c>
      <c r="G61" s="14">
        <f>SUM($D$5:D61)</f>
        <v>222</v>
      </c>
      <c r="H61" s="14">
        <f>SUM($E$5:E61)</f>
        <v>1907</v>
      </c>
      <c r="I61" s="14">
        <f t="shared" si="10"/>
        <v>8391</v>
      </c>
      <c r="J61" s="17">
        <f t="shared" si="14"/>
        <v>602</v>
      </c>
      <c r="K61" s="17">
        <f t="shared" si="15"/>
        <v>14.714285714285714</v>
      </c>
      <c r="L61" s="15">
        <f t="shared" si="11"/>
        <v>2.1102661596958176E-2</v>
      </c>
      <c r="M61" s="19">
        <f t="shared" si="17"/>
        <v>0.55958549222797926</v>
      </c>
      <c r="N61" s="16">
        <f t="shared" si="12"/>
        <v>56</v>
      </c>
      <c r="O61" s="18">
        <f t="shared" si="16"/>
        <v>6.4002574453088208</v>
      </c>
      <c r="P61" s="16">
        <f>COUNTIF(Data!$A$2:$A$2797,A61)</f>
        <v>33</v>
      </c>
    </row>
    <row r="62" spans="1:16" x14ac:dyDescent="0.25">
      <c r="A62" s="12">
        <f t="shared" si="13"/>
        <v>43944</v>
      </c>
      <c r="B62" s="13" t="str">
        <f t="shared" si="9"/>
        <v>Thu</v>
      </c>
      <c r="C62" s="14">
        <f>SUMIFS(Data!$B$2:$B$2797,Data!$A$2:$A$2797,A62)</f>
        <v>641</v>
      </c>
      <c r="D62" s="14">
        <f>SUMIFS(Data!$C$2:$C$2797,Data!$A$2:$A$2797,A62)</f>
        <v>8</v>
      </c>
      <c r="E62" s="14">
        <f>SUMIFS(Data!$D$2:$D$2797,Data!$A$2:$A$2797,A62)</f>
        <v>266</v>
      </c>
      <c r="F62" s="14">
        <f>SUM($C$5:C62)</f>
        <v>11161</v>
      </c>
      <c r="G62" s="14">
        <f>SUM($D$5:D62)</f>
        <v>230</v>
      </c>
      <c r="H62" s="14">
        <f>SUM($E$5:E62)</f>
        <v>2173</v>
      </c>
      <c r="I62" s="14">
        <f t="shared" si="10"/>
        <v>8758</v>
      </c>
      <c r="J62" s="17">
        <f t="shared" si="14"/>
        <v>596</v>
      </c>
      <c r="K62" s="17">
        <f t="shared" si="15"/>
        <v>13.571428571428571</v>
      </c>
      <c r="L62" s="15">
        <f t="shared" si="11"/>
        <v>2.0607472448705314E-2</v>
      </c>
      <c r="M62" s="19">
        <f t="shared" si="17"/>
        <v>0.66148944643568286</v>
      </c>
      <c r="N62" s="16">
        <f t="shared" si="12"/>
        <v>57</v>
      </c>
      <c r="O62" s="18">
        <f t="shared" si="16"/>
        <v>6.39024066706535</v>
      </c>
      <c r="P62" s="16">
        <f>COUNTIF(Data!$A$2:$A$2797,A62)</f>
        <v>54</v>
      </c>
    </row>
    <row r="63" spans="1:16" x14ac:dyDescent="0.25">
      <c r="A63" s="12">
        <f t="shared" si="13"/>
        <v>43945</v>
      </c>
      <c r="B63" s="13" t="str">
        <f t="shared" si="9"/>
        <v>Fri</v>
      </c>
      <c r="C63" s="14">
        <f>SUMIFS(Data!$B$2:$B$2797,Data!$A$2:$A$2797,A63)</f>
        <v>534</v>
      </c>
      <c r="D63" s="14">
        <f>SUMIFS(Data!$C$2:$C$2797,Data!$A$2:$A$2797,A63)</f>
        <v>11</v>
      </c>
      <c r="E63" s="14">
        <f>SUMIFS(Data!$D$2:$D$2797,Data!$A$2:$A$2797,A63)</f>
        <v>134</v>
      </c>
      <c r="F63" s="14">
        <f>SUM($C$5:C63)</f>
        <v>11695</v>
      </c>
      <c r="G63" s="14">
        <f>SUM($D$5:D63)</f>
        <v>241</v>
      </c>
      <c r="H63" s="14">
        <f>SUM($E$5:E63)</f>
        <v>2307</v>
      </c>
      <c r="I63" s="14">
        <f t="shared" si="10"/>
        <v>9147</v>
      </c>
      <c r="J63" s="17">
        <f t="shared" si="14"/>
        <v>599.14285714285711</v>
      </c>
      <c r="K63" s="17">
        <f t="shared" si="15"/>
        <v>14.571428571428571</v>
      </c>
      <c r="L63" s="15">
        <f t="shared" si="11"/>
        <v>2.0607097050021377E-2</v>
      </c>
      <c r="M63" s="19">
        <f t="shared" si="17"/>
        <v>0.4628531566096965</v>
      </c>
      <c r="N63" s="16">
        <f t="shared" si="12"/>
        <v>58</v>
      </c>
      <c r="O63" s="18">
        <f t="shared" si="16"/>
        <v>6.3955000624065521</v>
      </c>
      <c r="P63" s="16">
        <f>COUNTIF(Data!$A$2:$A$2797,A63)</f>
        <v>31</v>
      </c>
    </row>
    <row r="64" spans="1:16" x14ac:dyDescent="0.25">
      <c r="A64" s="12">
        <f t="shared" si="13"/>
        <v>43946</v>
      </c>
      <c r="B64" s="13" t="str">
        <f t="shared" si="9"/>
        <v>Sat</v>
      </c>
      <c r="C64" s="14">
        <f>SUMIFS(Data!$B$2:$B$2797,Data!$A$2:$A$2797,A64)</f>
        <v>922</v>
      </c>
      <c r="D64" s="14">
        <f>SUMIFS(Data!$C$2:$C$2797,Data!$A$2:$A$2797,A64)</f>
        <v>14</v>
      </c>
      <c r="E64" s="14">
        <f>SUMIFS(Data!$D$2:$D$2797,Data!$A$2:$A$2797,A64)</f>
        <v>33</v>
      </c>
      <c r="F64" s="14">
        <f>SUM($C$5:C64)</f>
        <v>12617</v>
      </c>
      <c r="G64" s="14">
        <f>SUM($D$5:D64)</f>
        <v>255</v>
      </c>
      <c r="H64" s="14">
        <f>SUM($E$5:E64)</f>
        <v>2340</v>
      </c>
      <c r="I64" s="14">
        <f t="shared" si="10"/>
        <v>10022</v>
      </c>
      <c r="J64" s="17">
        <f t="shared" si="14"/>
        <v>690.14285714285711</v>
      </c>
      <c r="K64" s="17">
        <f t="shared" si="15"/>
        <v>15</v>
      </c>
      <c r="L64" s="15">
        <f t="shared" si="11"/>
        <v>2.0210826662439566E-2</v>
      </c>
      <c r="M64" s="19">
        <f t="shared" si="17"/>
        <v>0.69211908931698773</v>
      </c>
      <c r="N64" s="16">
        <f t="shared" si="12"/>
        <v>59</v>
      </c>
      <c r="O64" s="18">
        <f t="shared" si="16"/>
        <v>6.5368986154990933</v>
      </c>
      <c r="P64" s="16">
        <f>COUNTIF(Data!$A$2:$A$2797,A64)</f>
        <v>34</v>
      </c>
    </row>
    <row r="65" spans="1:16" x14ac:dyDescent="0.25">
      <c r="A65" s="12">
        <f t="shared" si="13"/>
        <v>43947</v>
      </c>
      <c r="B65" s="13" t="str">
        <f t="shared" si="9"/>
        <v>Sun</v>
      </c>
      <c r="C65" s="14">
        <f>SUMIFS(Data!$B$2:$B$2797,Data!$A$2:$A$2797,A65)</f>
        <v>660</v>
      </c>
      <c r="D65" s="14">
        <f>SUMIFS(Data!$C$2:$C$2797,Data!$A$2:$A$2797,A65)</f>
        <v>12</v>
      </c>
      <c r="E65" s="14">
        <f>SUMIFS(Data!$D$2:$D$2797,Data!$A$2:$A$2797,A65)</f>
        <v>62</v>
      </c>
      <c r="F65" s="14">
        <f>SUM($C$5:C65)</f>
        <v>13277</v>
      </c>
      <c r="G65" s="14">
        <f>SUM($D$5:D65)</f>
        <v>267</v>
      </c>
      <c r="H65" s="14">
        <f>SUM($E$5:E65)</f>
        <v>2402</v>
      </c>
      <c r="I65" s="14">
        <f t="shared" si="10"/>
        <v>10608</v>
      </c>
      <c r="J65" s="17">
        <f t="shared" si="14"/>
        <v>701.14285714285711</v>
      </c>
      <c r="K65" s="17">
        <f t="shared" si="15"/>
        <v>14.142857142857142</v>
      </c>
      <c r="L65" s="15">
        <f t="shared" si="11"/>
        <v>2.0109964600436847E-2</v>
      </c>
      <c r="M65" s="19">
        <f t="shared" si="17"/>
        <v>0.54097331240188384</v>
      </c>
      <c r="N65" s="16">
        <f t="shared" si="12"/>
        <v>60</v>
      </c>
      <c r="O65" s="18">
        <f t="shared" si="16"/>
        <v>6.5527116567754886</v>
      </c>
      <c r="P65" s="16">
        <f>COUNTIF(Data!$A$2:$A$2797,A65)</f>
        <v>20</v>
      </c>
    </row>
    <row r="66" spans="1:16" x14ac:dyDescent="0.25">
      <c r="A66" s="12">
        <f t="shared" si="13"/>
        <v>43948</v>
      </c>
      <c r="B66" s="13" t="str">
        <f t="shared" si="9"/>
        <v>Mon</v>
      </c>
      <c r="C66" s="14">
        <f>SUMIFS(Data!$B$2:$B$2797,Data!$A$2:$A$2797,A66)</f>
        <v>739</v>
      </c>
      <c r="D66" s="14">
        <f>SUMIFS(Data!$C$2:$C$2797,Data!$A$2:$A$2797,A66)</f>
        <v>23</v>
      </c>
      <c r="E66" s="14">
        <f>SUMIFS(Data!$D$2:$D$2797,Data!$A$2:$A$2797,A66)</f>
        <v>63</v>
      </c>
      <c r="F66" s="14">
        <f>SUM($C$5:C66)</f>
        <v>14016</v>
      </c>
      <c r="G66" s="14">
        <f>SUM($D$5:D66)</f>
        <v>290</v>
      </c>
      <c r="H66" s="14">
        <f>SUM($E$5:E66)</f>
        <v>2465</v>
      </c>
      <c r="I66" s="14">
        <f t="shared" si="10"/>
        <v>11261</v>
      </c>
      <c r="J66" s="17">
        <f t="shared" si="14"/>
        <v>705.71428571428567</v>
      </c>
      <c r="K66" s="17">
        <f t="shared" si="15"/>
        <v>14.857142857142858</v>
      </c>
      <c r="L66" s="15">
        <f t="shared" si="11"/>
        <v>2.0690639269406393E-2</v>
      </c>
      <c r="M66" s="19">
        <f t="shared" si="17"/>
        <v>0.32831406292013954</v>
      </c>
      <c r="N66" s="16">
        <f t="shared" si="12"/>
        <v>61</v>
      </c>
      <c r="O66" s="18">
        <f t="shared" si="16"/>
        <v>6.5592104611266544</v>
      </c>
      <c r="P66" s="16">
        <f>COUNTIF(Data!$A$2:$A$2797,A66)</f>
        <v>38</v>
      </c>
    </row>
    <row r="67" spans="1:16" x14ac:dyDescent="0.25">
      <c r="A67" s="12">
        <f t="shared" si="13"/>
        <v>43949</v>
      </c>
      <c r="B67" s="13" t="str">
        <f t="shared" si="9"/>
        <v>Tue</v>
      </c>
      <c r="C67" s="14">
        <f>SUMIFS(Data!$B$2:$B$2797,Data!$A$2:$A$2797,A67)</f>
        <v>730</v>
      </c>
      <c r="D67" s="14">
        <f>SUMIFS(Data!$C$2:$C$2797,Data!$A$2:$A$2797,A67)</f>
        <v>5</v>
      </c>
      <c r="E67" s="14">
        <f>SUMIFS(Data!$D$2:$D$2797,Data!$A$2:$A$2797,A67)</f>
        <v>0</v>
      </c>
      <c r="F67" s="14">
        <f>SUM($C$5:C67)</f>
        <v>14746</v>
      </c>
      <c r="G67" s="14">
        <f>SUM($D$5:D67)</f>
        <v>295</v>
      </c>
      <c r="H67" s="14">
        <f>SUM($E$5:E67)</f>
        <v>2465</v>
      </c>
      <c r="I67" s="14">
        <f t="shared" si="10"/>
        <v>11986</v>
      </c>
      <c r="J67" s="17">
        <f t="shared" si="14"/>
        <v>713.28571428571433</v>
      </c>
      <c r="K67" s="17">
        <f t="shared" si="15"/>
        <v>12.285714285714286</v>
      </c>
      <c r="L67" s="15">
        <f t="shared" si="11"/>
        <v>2.0005425200054251E-2</v>
      </c>
      <c r="M67" s="19">
        <f t="shared" si="17"/>
        <v>0.32510615711252644</v>
      </c>
      <c r="N67" s="16">
        <f t="shared" si="12"/>
        <v>62</v>
      </c>
      <c r="O67" s="18">
        <f t="shared" si="16"/>
        <v>6.5698820614452957</v>
      </c>
      <c r="P67" s="16">
        <f>COUNTIF(Data!$A$2:$A$2797,A67)</f>
        <v>6</v>
      </c>
    </row>
    <row r="68" spans="1:16" x14ac:dyDescent="0.25">
      <c r="A68" s="12">
        <f t="shared" si="13"/>
        <v>43950</v>
      </c>
      <c r="B68" s="13" t="str">
        <f t="shared" si="9"/>
        <v>Wed</v>
      </c>
      <c r="C68" s="14">
        <f>SUMIFS(Data!$B$2:$B$2797,Data!$A$2:$A$2797,A68)</f>
        <v>948</v>
      </c>
      <c r="D68" s="14">
        <f>SUMIFS(Data!$C$2:$C$2797,Data!$A$2:$A$2797,A68)</f>
        <v>19</v>
      </c>
      <c r="E68" s="14">
        <f>SUMIFS(Data!$D$2:$D$2797,Data!$A$2:$A$2797,A68)</f>
        <v>208</v>
      </c>
      <c r="F68" s="14">
        <f>SUM($C$5:C68)</f>
        <v>15694</v>
      </c>
      <c r="G68" s="14">
        <f>SUM($D$5:D68)</f>
        <v>314</v>
      </c>
      <c r="H68" s="14">
        <f>SUM($E$5:E68)</f>
        <v>2673</v>
      </c>
      <c r="I68" s="14">
        <f t="shared" si="10"/>
        <v>12707</v>
      </c>
      <c r="J68" s="17">
        <f t="shared" si="14"/>
        <v>739.14285714285711</v>
      </c>
      <c r="K68" s="17">
        <f t="shared" si="15"/>
        <v>13.142857142857142</v>
      </c>
      <c r="L68" s="15">
        <f t="shared" si="11"/>
        <v>2.0007646234229643E-2</v>
      </c>
      <c r="M68" s="19">
        <f t="shared" si="17"/>
        <v>0.22781205505457991</v>
      </c>
      <c r="N68" s="16">
        <f t="shared" si="12"/>
        <v>63</v>
      </c>
      <c r="O68" s="18">
        <f t="shared" si="16"/>
        <v>6.6054912136906614</v>
      </c>
      <c r="P68" s="16">
        <f>COUNTIF(Data!$A$2:$A$2797,A68)</f>
        <v>13</v>
      </c>
    </row>
    <row r="69" spans="1:16" x14ac:dyDescent="0.25">
      <c r="A69" s="12">
        <f t="shared" si="13"/>
        <v>43951</v>
      </c>
      <c r="B69" s="13" t="str">
        <f t="shared" ref="B69:B100" si="18">CHOOSE(WEEKDAY(A69,2),"Mon","Tue","Wed","Thu","Fri","Sat","Sun")</f>
        <v>Thu</v>
      </c>
      <c r="C69" s="14">
        <f>SUMIFS(Data!$B$2:$B$2797,Data!$A$2:$A$2797,A69)</f>
        <v>665</v>
      </c>
      <c r="D69" s="14">
        <f>SUMIFS(Data!$C$2:$C$2797,Data!$A$2:$A$2797,A69)</f>
        <v>15</v>
      </c>
      <c r="E69" s="14">
        <f>SUMIFS(Data!$D$2:$D$2797,Data!$A$2:$A$2797,A69)</f>
        <v>0</v>
      </c>
      <c r="F69" s="14">
        <f>SUM($C$5:C69)</f>
        <v>16359</v>
      </c>
      <c r="G69" s="14">
        <f>SUM($D$5:D69)</f>
        <v>329</v>
      </c>
      <c r="H69" s="14">
        <f>SUM($E$5:E69)</f>
        <v>2673</v>
      </c>
      <c r="I69" s="14">
        <f t="shared" ref="I69:I100" si="19">F69-G69-H69</f>
        <v>13357</v>
      </c>
      <c r="J69" s="17">
        <f t="shared" si="14"/>
        <v>742.57142857142856</v>
      </c>
      <c r="K69" s="17">
        <f t="shared" si="15"/>
        <v>14.142857142857142</v>
      </c>
      <c r="L69" s="15">
        <f t="shared" ref="L69:L103" si="20">IF(F69&gt;0,G69/F69,0)</f>
        <v>2.0111253744116389E-2</v>
      </c>
      <c r="M69" s="19">
        <f t="shared" si="17"/>
        <v>0.24592521572387338</v>
      </c>
      <c r="N69" s="16">
        <f t="shared" ref="N69:N103" si="21">A69-$A$5</f>
        <v>64</v>
      </c>
      <c r="O69" s="18">
        <f t="shared" si="16"/>
        <v>6.6101190661461224</v>
      </c>
      <c r="P69" s="16">
        <f>COUNTIF(Data!$A$2:$A$2797,A69)</f>
        <v>17</v>
      </c>
    </row>
    <row r="70" spans="1:16" x14ac:dyDescent="0.25">
      <c r="A70" s="12">
        <f t="shared" ref="A70:A103" si="22">A69+1</f>
        <v>43952</v>
      </c>
      <c r="B70" s="13" t="str">
        <f t="shared" si="18"/>
        <v>Fri</v>
      </c>
      <c r="C70" s="14">
        <f>SUMIFS(Data!$B$2:$B$2797,Data!$A$2:$A$2797,A70)</f>
        <v>1070</v>
      </c>
      <c r="D70" s="14">
        <f>SUMIFS(Data!$C$2:$C$2797,Data!$A$2:$A$2797,A70)</f>
        <v>23</v>
      </c>
      <c r="E70" s="14">
        <f>SUMIFS(Data!$D$2:$D$2797,Data!$A$2:$A$2797,A70)</f>
        <v>119</v>
      </c>
      <c r="F70" s="14">
        <f>SUM($C$5:C70)</f>
        <v>17429</v>
      </c>
      <c r="G70" s="14">
        <f>SUM($D$5:D70)</f>
        <v>352</v>
      </c>
      <c r="H70" s="14">
        <f>SUM($E$5:E70)</f>
        <v>2792</v>
      </c>
      <c r="I70" s="14">
        <f t="shared" si="19"/>
        <v>14285</v>
      </c>
      <c r="J70" s="17">
        <f t="shared" si="14"/>
        <v>819.14285714285711</v>
      </c>
      <c r="K70" s="17">
        <f t="shared" si="15"/>
        <v>15.857142857142858</v>
      </c>
      <c r="L70" s="15">
        <f t="shared" si="20"/>
        <v>2.01962246829996E-2</v>
      </c>
      <c r="M70" s="19">
        <f t="shared" si="17"/>
        <v>0.36719122556032424</v>
      </c>
      <c r="N70" s="16">
        <f t="shared" si="21"/>
        <v>65</v>
      </c>
      <c r="O70" s="18">
        <f t="shared" si="16"/>
        <v>6.7082584973880017</v>
      </c>
      <c r="P70" s="16">
        <f>COUNTIF(Data!$A$2:$A$2797,A70)</f>
        <v>42</v>
      </c>
    </row>
    <row r="71" spans="1:16" x14ac:dyDescent="0.25">
      <c r="A71" s="12">
        <f t="shared" si="22"/>
        <v>43953</v>
      </c>
      <c r="B71" s="13" t="str">
        <f t="shared" si="18"/>
        <v>Sat</v>
      </c>
      <c r="C71" s="14">
        <f>SUMIFS(Data!$B$2:$B$2797,Data!$A$2:$A$2797,A71)</f>
        <v>1123</v>
      </c>
      <c r="D71" s="14">
        <f>SUMIFS(Data!$C$2:$C$2797,Data!$A$2:$A$2797,A71)</f>
        <v>24</v>
      </c>
      <c r="E71" s="14">
        <f>SUMIFS(Data!$D$2:$D$2797,Data!$A$2:$A$2797,A71)</f>
        <v>43</v>
      </c>
      <c r="F71" s="14">
        <f>SUM($C$5:C71)</f>
        <v>18552</v>
      </c>
      <c r="G71" s="14">
        <f>SUM($D$5:D71)</f>
        <v>376</v>
      </c>
      <c r="H71" s="14">
        <f>SUM($E$5:E71)</f>
        <v>2835</v>
      </c>
      <c r="I71" s="14">
        <f t="shared" si="19"/>
        <v>15341</v>
      </c>
      <c r="J71" s="17">
        <f t="shared" si="14"/>
        <v>847.85714285714289</v>
      </c>
      <c r="K71" s="17">
        <f t="shared" si="15"/>
        <v>17.285714285714285</v>
      </c>
      <c r="L71" s="15">
        <f t="shared" si="20"/>
        <v>2.0267356619232429E-2</v>
      </c>
      <c r="M71" s="19">
        <f t="shared" si="17"/>
        <v>0.22852411509004367</v>
      </c>
      <c r="N71" s="16">
        <f t="shared" si="21"/>
        <v>66</v>
      </c>
      <c r="O71" s="18">
        <f t="shared" si="16"/>
        <v>6.7427121579884552</v>
      </c>
      <c r="P71" s="16">
        <f>COUNTIF(Data!$A$2:$A$2797,A71)</f>
        <v>41</v>
      </c>
    </row>
    <row r="72" spans="1:16" x14ac:dyDescent="0.25">
      <c r="A72" s="12">
        <f t="shared" si="22"/>
        <v>43954</v>
      </c>
      <c r="B72" s="13" t="str">
        <f t="shared" si="18"/>
        <v>Sun</v>
      </c>
      <c r="C72" s="14">
        <f>SUMIFS(Data!$B$2:$B$2797,Data!$A$2:$A$2797,A72)</f>
        <v>1342</v>
      </c>
      <c r="D72" s="14">
        <f>SUMIFS(Data!$C$2:$C$2797,Data!$A$2:$A$2797,A72)</f>
        <v>30</v>
      </c>
      <c r="E72" s="14">
        <f>SUMIFS(Data!$D$2:$D$2797,Data!$A$2:$A$2797,A72)</f>
        <v>0</v>
      </c>
      <c r="F72" s="14">
        <f>SUM($C$5:C72)</f>
        <v>19894</v>
      </c>
      <c r="G72" s="14">
        <f>SUM($D$5:D72)</f>
        <v>406</v>
      </c>
      <c r="H72" s="14">
        <f>SUM($E$5:E72)</f>
        <v>2835</v>
      </c>
      <c r="I72" s="14">
        <f t="shared" si="19"/>
        <v>16653</v>
      </c>
      <c r="J72" s="17">
        <f t="shared" si="14"/>
        <v>945.28571428571433</v>
      </c>
      <c r="K72" s="17">
        <f t="shared" si="15"/>
        <v>19.857142857142858</v>
      </c>
      <c r="L72" s="15">
        <f t="shared" si="20"/>
        <v>2.0408163265306121E-2</v>
      </c>
      <c r="M72" s="19">
        <f t="shared" si="17"/>
        <v>0.34820700896495538</v>
      </c>
      <c r="N72" s="16">
        <f t="shared" si="21"/>
        <v>67</v>
      </c>
      <c r="O72" s="18">
        <f t="shared" si="16"/>
        <v>6.8514872249567462</v>
      </c>
      <c r="P72" s="16">
        <f>COUNTIF(Data!$A$2:$A$2797,A72)</f>
        <v>8</v>
      </c>
    </row>
    <row r="73" spans="1:16" x14ac:dyDescent="0.25">
      <c r="A73" s="12">
        <f t="shared" si="22"/>
        <v>43955</v>
      </c>
      <c r="B73" s="13" t="str">
        <f t="shared" si="18"/>
        <v>Mon</v>
      </c>
      <c r="C73" s="14">
        <f>SUMIFS(Data!$B$2:$B$2797,Data!$A$2:$A$2797,A73)</f>
        <v>1052</v>
      </c>
      <c r="D73" s="14">
        <f>SUMIFS(Data!$C$2:$C$2797,Data!$A$2:$A$2797,A73)</f>
        <v>24</v>
      </c>
      <c r="E73" s="14">
        <f>SUMIFS(Data!$D$2:$D$2797,Data!$A$2:$A$2797,A73)</f>
        <v>0</v>
      </c>
      <c r="F73" s="14">
        <f>SUM($C$5:C73)</f>
        <v>20946</v>
      </c>
      <c r="G73" s="14">
        <f>SUM($D$5:D73)</f>
        <v>430</v>
      </c>
      <c r="H73" s="14">
        <f>SUM($E$5:E73)</f>
        <v>2835</v>
      </c>
      <c r="I73" s="14">
        <f t="shared" si="19"/>
        <v>17681</v>
      </c>
      <c r="J73" s="17">
        <f t="shared" si="14"/>
        <v>990</v>
      </c>
      <c r="K73" s="17">
        <f t="shared" si="15"/>
        <v>20</v>
      </c>
      <c r="L73" s="15">
        <f t="shared" si="20"/>
        <v>2.0528979280053469E-2</v>
      </c>
      <c r="M73" s="19">
        <f t="shared" si="17"/>
        <v>0.40283400809716619</v>
      </c>
      <c r="N73" s="16">
        <f t="shared" si="21"/>
        <v>68</v>
      </c>
      <c r="O73" s="18">
        <f t="shared" si="16"/>
        <v>6.8977049431286357</v>
      </c>
      <c r="P73" s="16">
        <f>COUNTIF(Data!$A$2:$A$2797,A73)</f>
        <v>40</v>
      </c>
    </row>
    <row r="74" spans="1:16" x14ac:dyDescent="0.25">
      <c r="A74" s="12">
        <f t="shared" si="22"/>
        <v>43956</v>
      </c>
      <c r="B74" s="13" t="str">
        <f t="shared" si="18"/>
        <v>Tue</v>
      </c>
      <c r="C74" s="14">
        <f>SUMIFS(Data!$B$2:$B$2797,Data!$A$2:$A$2797,A74)</f>
        <v>1023</v>
      </c>
      <c r="D74" s="14">
        <f>SUMIFS(Data!$C$2:$C$2797,Data!$A$2:$A$2797,A74)</f>
        <v>28</v>
      </c>
      <c r="E74" s="14">
        <f>SUMIFS(Data!$D$2:$D$2797,Data!$A$2:$A$2797,A74)</f>
        <v>45</v>
      </c>
      <c r="F74" s="14">
        <f>SUM($C$5:C74)</f>
        <v>21969</v>
      </c>
      <c r="G74" s="14">
        <f>SUM($D$5:D74)</f>
        <v>458</v>
      </c>
      <c r="H74" s="14">
        <f>SUM($E$5:E74)</f>
        <v>2880</v>
      </c>
      <c r="I74" s="14">
        <f t="shared" si="19"/>
        <v>18631</v>
      </c>
      <c r="J74" s="17">
        <f t="shared" si="14"/>
        <v>1031.8571428571429</v>
      </c>
      <c r="K74" s="17">
        <f t="shared" si="15"/>
        <v>23.285714285714285</v>
      </c>
      <c r="L74" s="15">
        <f t="shared" si="20"/>
        <v>2.0847557922527196E-2</v>
      </c>
      <c r="M74" s="19">
        <f t="shared" si="17"/>
        <v>0.44662527538553976</v>
      </c>
      <c r="N74" s="16">
        <f t="shared" si="21"/>
        <v>69</v>
      </c>
      <c r="O74" s="18">
        <f t="shared" si="16"/>
        <v>6.9391155089955339</v>
      </c>
      <c r="P74" s="16">
        <f>COUNTIF(Data!$A$2:$A$2797,A74)</f>
        <v>8</v>
      </c>
    </row>
    <row r="75" spans="1:16" x14ac:dyDescent="0.25">
      <c r="A75" s="12">
        <f t="shared" si="22"/>
        <v>43957</v>
      </c>
      <c r="B75" s="13" t="str">
        <f t="shared" si="18"/>
        <v>Wed</v>
      </c>
      <c r="C75" s="14">
        <f>SUMIFS(Data!$B$2:$B$2797,Data!$A$2:$A$2797,A75)</f>
        <v>1804</v>
      </c>
      <c r="D75" s="14">
        <f>SUMIFS(Data!$C$2:$C$2797,Data!$A$2:$A$2797,A75)</f>
        <v>49</v>
      </c>
      <c r="E75" s="14">
        <f>SUMIFS(Data!$D$2:$D$2797,Data!$A$2:$A$2797,A75)</f>
        <v>124</v>
      </c>
      <c r="F75" s="14">
        <f>SUM($C$5:C75)</f>
        <v>23773</v>
      </c>
      <c r="G75" s="14">
        <f>SUM($D$5:D75)</f>
        <v>507</v>
      </c>
      <c r="H75" s="14">
        <f>SUM($E$5:E75)</f>
        <v>3004</v>
      </c>
      <c r="I75" s="14">
        <f t="shared" si="19"/>
        <v>20262</v>
      </c>
      <c r="J75" s="17">
        <f t="shared" ref="J75:J106" si="23">AVERAGE(C69:C75)</f>
        <v>1154.1428571428571</v>
      </c>
      <c r="K75" s="17">
        <f t="shared" ref="K75:K106" si="24">AVERAGE(D69:D75)</f>
        <v>27.571428571428573</v>
      </c>
      <c r="L75" s="15">
        <f t="shared" si="20"/>
        <v>2.132671518108779E-2</v>
      </c>
      <c r="M75" s="19">
        <f t="shared" si="17"/>
        <v>0.56146115191341317</v>
      </c>
      <c r="N75" s="16">
        <f t="shared" si="21"/>
        <v>70</v>
      </c>
      <c r="O75" s="18">
        <f t="shared" ref="O75:O103" si="25">IF(J75&gt;0,LN(J75),"")</f>
        <v>7.0511132324243952</v>
      </c>
      <c r="P75" s="16">
        <f>COUNTIF(Data!$A$2:$A$2797,A75)</f>
        <v>8</v>
      </c>
    </row>
    <row r="76" spans="1:16" x14ac:dyDescent="0.25">
      <c r="A76" s="12">
        <f t="shared" si="22"/>
        <v>43958</v>
      </c>
      <c r="B76" s="13" t="str">
        <f t="shared" si="18"/>
        <v>Thu</v>
      </c>
      <c r="C76" s="14">
        <f>SUMIFS(Data!$B$2:$B$2797,Data!$A$2:$A$2797,A76)</f>
        <v>863</v>
      </c>
      <c r="D76" s="14">
        <f>SUMIFS(Data!$C$2:$C$2797,Data!$A$2:$A$2797,A76)</f>
        <v>28</v>
      </c>
      <c r="E76" s="14">
        <f>SUMIFS(Data!$D$2:$D$2797,Data!$A$2:$A$2797,A76)</f>
        <v>14</v>
      </c>
      <c r="F76" s="14">
        <f>SUM($C$5:C76)</f>
        <v>24636</v>
      </c>
      <c r="G76" s="14">
        <f>SUM($D$5:D76)</f>
        <v>535</v>
      </c>
      <c r="H76" s="14">
        <f>SUM($E$5:E76)</f>
        <v>3018</v>
      </c>
      <c r="I76" s="14">
        <f t="shared" si="19"/>
        <v>21083</v>
      </c>
      <c r="J76" s="17">
        <f t="shared" si="23"/>
        <v>1182.4285714285713</v>
      </c>
      <c r="K76" s="17">
        <f t="shared" si="24"/>
        <v>29.428571428571427</v>
      </c>
      <c r="L76" s="15">
        <f t="shared" si="20"/>
        <v>2.1716187692807275E-2</v>
      </c>
      <c r="M76" s="19">
        <f t="shared" si="17"/>
        <v>0.59234320892651016</v>
      </c>
      <c r="N76" s="16">
        <f t="shared" si="21"/>
        <v>71</v>
      </c>
      <c r="O76" s="18">
        <f t="shared" si="25"/>
        <v>7.0753257138300825</v>
      </c>
      <c r="P76" s="16">
        <f>COUNTIF(Data!$A$2:$A$2797,A76)</f>
        <v>41</v>
      </c>
    </row>
    <row r="77" spans="1:16" x14ac:dyDescent="0.25">
      <c r="A77" s="12">
        <f t="shared" si="22"/>
        <v>43959</v>
      </c>
      <c r="B77" s="13" t="str">
        <f t="shared" si="18"/>
        <v>Fri</v>
      </c>
      <c r="C77" s="14">
        <f>SUMIFS(Data!$B$2:$B$2797,Data!$A$2:$A$2797,A77)</f>
        <v>1829</v>
      </c>
      <c r="D77" s="14">
        <f>SUMIFS(Data!$C$2:$C$2797,Data!$A$2:$A$2797,A77)</f>
        <v>31</v>
      </c>
      <c r="E77" s="14">
        <f>SUMIFS(Data!$D$2:$D$2797,Data!$A$2:$A$2797,A77)</f>
        <v>13</v>
      </c>
      <c r="F77" s="14">
        <f>SUM($C$5:C77)</f>
        <v>26465</v>
      </c>
      <c r="G77" s="14">
        <f>SUM($D$5:D77)</f>
        <v>566</v>
      </c>
      <c r="H77" s="14">
        <f>SUM($E$5:E77)</f>
        <v>3031</v>
      </c>
      <c r="I77" s="14">
        <f t="shared" si="19"/>
        <v>22868</v>
      </c>
      <c r="J77" s="17">
        <f t="shared" si="23"/>
        <v>1290.8571428571429</v>
      </c>
      <c r="K77" s="17">
        <f t="shared" si="24"/>
        <v>30.571428571428573</v>
      </c>
      <c r="L77" s="15">
        <f t="shared" si="20"/>
        <v>2.138673720007557E-2</v>
      </c>
      <c r="M77" s="19">
        <f t="shared" si="17"/>
        <v>0.57586327171259155</v>
      </c>
      <c r="N77" s="16">
        <f t="shared" si="21"/>
        <v>72</v>
      </c>
      <c r="O77" s="18">
        <f t="shared" si="25"/>
        <v>7.1630617285325808</v>
      </c>
      <c r="P77" s="16">
        <f>COUNTIF(Data!$A$2:$A$2797,A77)</f>
        <v>40</v>
      </c>
    </row>
    <row r="78" spans="1:16" x14ac:dyDescent="0.25">
      <c r="A78" s="12">
        <f t="shared" si="22"/>
        <v>43960</v>
      </c>
      <c r="B78" s="13" t="str">
        <f t="shared" si="18"/>
        <v>Sat</v>
      </c>
      <c r="C78" s="14">
        <f>SUMIFS(Data!$B$2:$B$2797,Data!$A$2:$A$2797,A78)</f>
        <v>2554</v>
      </c>
      <c r="D78" s="14">
        <f>SUMIFS(Data!$C$2:$C$2797,Data!$A$2:$A$2797,A78)</f>
        <v>19</v>
      </c>
      <c r="E78" s="14">
        <f>SUMIFS(Data!$D$2:$D$2797,Data!$A$2:$A$2797,A78)</f>
        <v>18</v>
      </c>
      <c r="F78" s="14">
        <f>SUM($C$5:C78)</f>
        <v>29019</v>
      </c>
      <c r="G78" s="14">
        <f>SUM($D$5:D78)</f>
        <v>585</v>
      </c>
      <c r="H78" s="14">
        <f>SUM($E$5:E78)</f>
        <v>3049</v>
      </c>
      <c r="I78" s="14">
        <f t="shared" si="19"/>
        <v>25385</v>
      </c>
      <c r="J78" s="17">
        <f t="shared" si="23"/>
        <v>1495.2857142857142</v>
      </c>
      <c r="K78" s="17">
        <f t="shared" si="24"/>
        <v>29.857142857142858</v>
      </c>
      <c r="L78" s="15">
        <f t="shared" si="20"/>
        <v>2.0159206037423757E-2</v>
      </c>
      <c r="M78" s="19">
        <f t="shared" si="17"/>
        <v>0.76360572872788524</v>
      </c>
      <c r="N78" s="16">
        <f t="shared" si="21"/>
        <v>73</v>
      </c>
      <c r="O78" s="18">
        <f t="shared" si="25"/>
        <v>7.3100725807995701</v>
      </c>
      <c r="P78" s="16">
        <f>COUNTIF(Data!$A$2:$A$2797,A78)</f>
        <v>41</v>
      </c>
    </row>
    <row r="79" spans="1:16" x14ac:dyDescent="0.25">
      <c r="A79" s="12">
        <f t="shared" si="22"/>
        <v>43961</v>
      </c>
      <c r="B79" s="13" t="str">
        <f t="shared" si="18"/>
        <v>Sun</v>
      </c>
      <c r="C79" s="14">
        <f>SUMIFS(Data!$B$2:$B$2797,Data!$A$2:$A$2797,A79)</f>
        <v>1463</v>
      </c>
      <c r="D79" s="14">
        <f>SUMIFS(Data!$C$2:$C$2797,Data!$A$2:$A$2797,A79)</f>
        <v>23</v>
      </c>
      <c r="E79" s="14">
        <f>SUMIFS(Data!$D$2:$D$2797,Data!$A$2:$A$2797,A79)</f>
        <v>138</v>
      </c>
      <c r="F79" s="14">
        <f>SUM($C$5:C79)</f>
        <v>30482</v>
      </c>
      <c r="G79" s="14">
        <f>SUM($D$5:D79)</f>
        <v>608</v>
      </c>
      <c r="H79" s="14">
        <f>SUM($E$5:E79)</f>
        <v>3187</v>
      </c>
      <c r="I79" s="14">
        <f t="shared" si="19"/>
        <v>26687</v>
      </c>
      <c r="J79" s="17">
        <f t="shared" si="23"/>
        <v>1512.5714285714287</v>
      </c>
      <c r="K79" s="17">
        <f t="shared" si="24"/>
        <v>28.857142857142858</v>
      </c>
      <c r="L79" s="15">
        <f t="shared" si="20"/>
        <v>1.9946197756052754E-2</v>
      </c>
      <c r="M79" s="19">
        <f t="shared" si="17"/>
        <v>0.60012090071029167</v>
      </c>
      <c r="N79" s="16">
        <f t="shared" si="21"/>
        <v>74</v>
      </c>
      <c r="O79" s="18">
        <f t="shared" si="25"/>
        <v>7.321566414291679</v>
      </c>
      <c r="P79" s="16">
        <f>COUNTIF(Data!$A$2:$A$2797,A79)</f>
        <v>44</v>
      </c>
    </row>
    <row r="80" spans="1:16" x14ac:dyDescent="0.25">
      <c r="A80" s="12">
        <f t="shared" si="22"/>
        <v>43962</v>
      </c>
      <c r="B80" s="13" t="str">
        <f t="shared" si="18"/>
        <v>Mon</v>
      </c>
      <c r="C80" s="14">
        <f>SUMIFS(Data!$B$2:$B$2797,Data!$A$2:$A$2797,A80)</f>
        <v>1079</v>
      </c>
      <c r="D80" s="14">
        <f>SUMIFS(Data!$C$2:$C$2797,Data!$A$2:$A$2797,A80)</f>
        <v>38</v>
      </c>
      <c r="E80" s="14">
        <f>SUMIFS(Data!$D$2:$D$2797,Data!$A$2:$A$2797,A80)</f>
        <v>167</v>
      </c>
      <c r="F80" s="14">
        <f>SUM($C$5:C80)</f>
        <v>31561</v>
      </c>
      <c r="G80" s="14">
        <f>SUM($D$5:D80)</f>
        <v>646</v>
      </c>
      <c r="H80" s="14">
        <f>SUM($E$5:E80)</f>
        <v>3354</v>
      </c>
      <c r="I80" s="14">
        <f t="shared" si="19"/>
        <v>27561</v>
      </c>
      <c r="J80" s="17">
        <f t="shared" si="23"/>
        <v>1516.4285714285713</v>
      </c>
      <c r="K80" s="17">
        <f t="shared" si="24"/>
        <v>30.857142857142858</v>
      </c>
      <c r="L80" s="15">
        <f t="shared" si="20"/>
        <v>2.0468299483539811E-2</v>
      </c>
      <c r="M80" s="19">
        <f t="shared" si="17"/>
        <v>0.53174603174603163</v>
      </c>
      <c r="N80" s="16">
        <f t="shared" si="21"/>
        <v>75</v>
      </c>
      <c r="O80" s="18">
        <f t="shared" si="25"/>
        <v>7.3241132250820433</v>
      </c>
      <c r="P80" s="16">
        <f>COUNTIF(Data!$A$2:$A$2797,A80)</f>
        <v>42</v>
      </c>
    </row>
    <row r="81" spans="1:16" x14ac:dyDescent="0.25">
      <c r="A81" s="12">
        <f t="shared" si="22"/>
        <v>43963</v>
      </c>
      <c r="B81" s="13" t="str">
        <f t="shared" si="18"/>
        <v>Tue</v>
      </c>
      <c r="C81" s="14">
        <f>SUMIFS(Data!$B$2:$B$2797,Data!$A$2:$A$2797,A81)</f>
        <v>2254</v>
      </c>
      <c r="D81" s="14">
        <f>SUMIFS(Data!$C$2:$C$2797,Data!$A$2:$A$2797,A81)</f>
        <v>39</v>
      </c>
      <c r="E81" s="14">
        <f>SUMIFS(Data!$D$2:$D$2797,Data!$A$2:$A$2797,A81)</f>
        <v>247</v>
      </c>
      <c r="F81" s="14">
        <f>SUM($C$5:C81)</f>
        <v>33815</v>
      </c>
      <c r="G81" s="14">
        <f>SUM($D$5:D81)</f>
        <v>685</v>
      </c>
      <c r="H81" s="14">
        <f>SUM($E$5:E81)</f>
        <v>3601</v>
      </c>
      <c r="I81" s="14">
        <f t="shared" si="19"/>
        <v>29529</v>
      </c>
      <c r="J81" s="17">
        <f t="shared" si="23"/>
        <v>1692.2857142857142</v>
      </c>
      <c r="K81" s="17">
        <f t="shared" si="24"/>
        <v>32.428571428571431</v>
      </c>
      <c r="L81" s="15">
        <f t="shared" si="20"/>
        <v>2.0257282271181429E-2</v>
      </c>
      <c r="M81" s="19">
        <f t="shared" si="17"/>
        <v>0.64003876505607082</v>
      </c>
      <c r="N81" s="16">
        <f t="shared" si="21"/>
        <v>76</v>
      </c>
      <c r="O81" s="18">
        <f t="shared" si="25"/>
        <v>7.4338353877815972</v>
      </c>
      <c r="P81" s="16">
        <f>COUNTIF(Data!$A$2:$A$2797,A81)</f>
        <v>45</v>
      </c>
    </row>
    <row r="82" spans="1:16" x14ac:dyDescent="0.25">
      <c r="A82" s="12">
        <f t="shared" si="22"/>
        <v>43964</v>
      </c>
      <c r="B82" s="13" t="str">
        <f t="shared" si="18"/>
        <v>Wed</v>
      </c>
      <c r="C82" s="14">
        <f>SUMIFS(Data!$B$2:$B$2797,Data!$A$2:$A$2797,A82)</f>
        <v>1431</v>
      </c>
      <c r="D82" s="14">
        <f>SUMIFS(Data!$C$2:$C$2797,Data!$A$2:$A$2797,A82)</f>
        <v>36</v>
      </c>
      <c r="E82" s="14">
        <f>SUMIFS(Data!$D$2:$D$2797,Data!$A$2:$A$2797,A82)</f>
        <v>756</v>
      </c>
      <c r="F82" s="14">
        <f>SUM($C$5:C82)</f>
        <v>35246</v>
      </c>
      <c r="G82" s="14">
        <f>SUM($D$5:D82)</f>
        <v>721</v>
      </c>
      <c r="H82" s="14">
        <f>SUM($E$5:E82)</f>
        <v>4357</v>
      </c>
      <c r="I82" s="14">
        <f t="shared" si="19"/>
        <v>30168</v>
      </c>
      <c r="J82" s="17">
        <f t="shared" si="23"/>
        <v>1639</v>
      </c>
      <c r="K82" s="17">
        <f t="shared" si="24"/>
        <v>30.571428571428573</v>
      </c>
      <c r="L82" s="15">
        <f t="shared" si="20"/>
        <v>2.0456221982636327E-2</v>
      </c>
      <c r="M82" s="19">
        <f t="shared" ref="M82:M113" si="26">IF(J75&gt;0,J82/J75-1,"")</f>
        <v>0.42010149771011274</v>
      </c>
      <c r="N82" s="16">
        <f t="shared" si="21"/>
        <v>77</v>
      </c>
      <c r="O82" s="18">
        <f t="shared" si="25"/>
        <v>7.4018415787438299</v>
      </c>
      <c r="P82" s="16">
        <f>COUNTIF(Data!$A$2:$A$2797,A82)</f>
        <v>44</v>
      </c>
    </row>
    <row r="83" spans="1:16" x14ac:dyDescent="0.25">
      <c r="A83" s="12">
        <f t="shared" si="22"/>
        <v>43965</v>
      </c>
      <c r="B83" s="13" t="str">
        <f t="shared" si="18"/>
        <v>Thu</v>
      </c>
      <c r="C83" s="14">
        <f>SUMIFS(Data!$B$2:$B$2797,Data!$A$2:$A$2797,A83)</f>
        <v>1449</v>
      </c>
      <c r="D83" s="14">
        <f>SUMIFS(Data!$C$2:$C$2797,Data!$A$2:$A$2797,A83)</f>
        <v>33</v>
      </c>
      <c r="E83" s="14">
        <f>SUMIFS(Data!$D$2:$D$2797,Data!$A$2:$A$2797,A83)</f>
        <v>374</v>
      </c>
      <c r="F83" s="14">
        <f>SUM($C$5:C83)</f>
        <v>36695</v>
      </c>
      <c r="G83" s="14">
        <f>SUM($D$5:D83)</f>
        <v>754</v>
      </c>
      <c r="H83" s="14">
        <f>SUM($E$5:E83)</f>
        <v>4731</v>
      </c>
      <c r="I83" s="14">
        <f t="shared" si="19"/>
        <v>31210</v>
      </c>
      <c r="J83" s="17">
        <f t="shared" si="23"/>
        <v>1722.7142857142858</v>
      </c>
      <c r="K83" s="17">
        <f t="shared" si="24"/>
        <v>31.285714285714285</v>
      </c>
      <c r="L83" s="15">
        <f t="shared" si="20"/>
        <v>2.0547758550211199E-2</v>
      </c>
      <c r="M83" s="19">
        <f t="shared" si="26"/>
        <v>0.45692883895131109</v>
      </c>
      <c r="N83" s="16">
        <f t="shared" si="21"/>
        <v>78</v>
      </c>
      <c r="O83" s="18">
        <f t="shared" si="25"/>
        <v>7.4516563990482796</v>
      </c>
      <c r="P83" s="16">
        <f>COUNTIF(Data!$A$2:$A$2797,A83)</f>
        <v>45</v>
      </c>
    </row>
    <row r="84" spans="1:16" x14ac:dyDescent="0.25">
      <c r="A84" s="12">
        <f t="shared" si="22"/>
        <v>43966</v>
      </c>
      <c r="B84" s="13" t="str">
        <f t="shared" si="18"/>
        <v>Fri</v>
      </c>
      <c r="C84" s="14">
        <f>SUMIFS(Data!$B$2:$B$2797,Data!$A$2:$A$2797,A84)</f>
        <v>1515</v>
      </c>
      <c r="D84" s="14">
        <f>SUMIFS(Data!$C$2:$C$2797,Data!$A$2:$A$2797,A84)</f>
        <v>31</v>
      </c>
      <c r="E84" s="14">
        <f>SUMIFS(Data!$D$2:$D$2797,Data!$A$2:$A$2797,A84)</f>
        <v>665</v>
      </c>
      <c r="F84" s="14">
        <f>SUM($C$5:C84)</f>
        <v>38210</v>
      </c>
      <c r="G84" s="14">
        <f>SUM($D$5:D84)</f>
        <v>785</v>
      </c>
      <c r="H84" s="14">
        <f>SUM($E$5:E84)</f>
        <v>5396</v>
      </c>
      <c r="I84" s="14">
        <f t="shared" si="19"/>
        <v>32029</v>
      </c>
      <c r="J84" s="17">
        <f t="shared" si="23"/>
        <v>1677.8571428571429</v>
      </c>
      <c r="K84" s="17">
        <f t="shared" si="24"/>
        <v>31.285714285714285</v>
      </c>
      <c r="L84" s="15">
        <f t="shared" si="20"/>
        <v>2.05443601151531E-2</v>
      </c>
      <c r="M84" s="19">
        <f t="shared" si="26"/>
        <v>0.29980079681274896</v>
      </c>
      <c r="N84" s="16">
        <f t="shared" si="21"/>
        <v>79</v>
      </c>
      <c r="O84" s="18">
        <f t="shared" si="25"/>
        <v>7.4252727480376999</v>
      </c>
      <c r="P84" s="16">
        <f>COUNTIF(Data!$A$2:$A$2797,A84)</f>
        <v>43</v>
      </c>
    </row>
    <row r="85" spans="1:16" x14ac:dyDescent="0.25">
      <c r="A85" s="12">
        <f t="shared" si="22"/>
        <v>43967</v>
      </c>
      <c r="B85" s="13" t="str">
        <f t="shared" si="18"/>
        <v>Sat</v>
      </c>
      <c r="C85" s="14">
        <f>SUMIFS(Data!$B$2:$B$2797,Data!$A$2:$A$2797,A85)</f>
        <v>1372</v>
      </c>
      <c r="D85" s="14">
        <f>SUMIFS(Data!$C$2:$C$2797,Data!$A$2:$A$2797,A85)</f>
        <v>39</v>
      </c>
      <c r="E85" s="14">
        <f>SUMIFS(Data!$D$2:$D$2797,Data!$A$2:$A$2797,A85)</f>
        <v>284</v>
      </c>
      <c r="F85" s="14">
        <f>SUM($C$5:C85)</f>
        <v>39582</v>
      </c>
      <c r="G85" s="14">
        <f>SUM($D$5:D85)</f>
        <v>824</v>
      </c>
      <c r="H85" s="14">
        <f>SUM($E$5:E85)</f>
        <v>5680</v>
      </c>
      <c r="I85" s="14">
        <f t="shared" si="19"/>
        <v>33078</v>
      </c>
      <c r="J85" s="17">
        <f t="shared" si="23"/>
        <v>1509</v>
      </c>
      <c r="K85" s="17">
        <f t="shared" si="24"/>
        <v>34.142857142857146</v>
      </c>
      <c r="L85" s="15">
        <f t="shared" si="20"/>
        <v>2.0817543327775252E-2</v>
      </c>
      <c r="M85" s="19">
        <f t="shared" si="26"/>
        <v>9.171682430495931E-3</v>
      </c>
      <c r="N85" s="16">
        <f t="shared" si="21"/>
        <v>80</v>
      </c>
      <c r="O85" s="18">
        <f t="shared" si="25"/>
        <v>7.3192024587678493</v>
      </c>
      <c r="P85" s="16">
        <f>COUNTIF(Data!$A$2:$A$2797,A85)</f>
        <v>43</v>
      </c>
    </row>
    <row r="86" spans="1:16" x14ac:dyDescent="0.25">
      <c r="A86" s="12">
        <f t="shared" si="22"/>
        <v>43968</v>
      </c>
      <c r="B86" s="13" t="str">
        <f t="shared" si="18"/>
        <v>Sun</v>
      </c>
      <c r="C86" s="14">
        <f>SUMIFS(Data!$B$2:$B$2797,Data!$A$2:$A$2797,A86)</f>
        <v>1956</v>
      </c>
      <c r="D86" s="14">
        <f>SUMIFS(Data!$C$2:$C$2797,Data!$A$2:$A$2797,A86)</f>
        <v>30</v>
      </c>
      <c r="E86" s="14">
        <f>SUMIFS(Data!$D$2:$D$2797,Data!$A$2:$A$2797,A86)</f>
        <v>486</v>
      </c>
      <c r="F86" s="14">
        <f>SUM($C$5:C86)</f>
        <v>41538</v>
      </c>
      <c r="G86" s="14">
        <f>SUM($D$5:D86)</f>
        <v>854</v>
      </c>
      <c r="H86" s="14">
        <f>SUM($E$5:E86)</f>
        <v>6166</v>
      </c>
      <c r="I86" s="14">
        <f t="shared" si="19"/>
        <v>34518</v>
      </c>
      <c r="J86" s="17">
        <f t="shared" si="23"/>
        <v>1579.4285714285713</v>
      </c>
      <c r="K86" s="17">
        <f t="shared" si="24"/>
        <v>35.142857142857146</v>
      </c>
      <c r="L86" s="15">
        <f t="shared" si="20"/>
        <v>2.0559487698011459E-2</v>
      </c>
      <c r="M86" s="19">
        <f t="shared" si="26"/>
        <v>4.4200982244049669E-2</v>
      </c>
      <c r="N86" s="16">
        <f t="shared" si="21"/>
        <v>81</v>
      </c>
      <c r="O86" s="18">
        <f t="shared" si="25"/>
        <v>7.3648183969521375</v>
      </c>
      <c r="P86" s="16">
        <f>COUNTIF(Data!$A$2:$A$2797,A86)</f>
        <v>45</v>
      </c>
    </row>
    <row r="87" spans="1:16" x14ac:dyDescent="0.25">
      <c r="A87" s="12">
        <f t="shared" si="22"/>
        <v>43969</v>
      </c>
      <c r="B87" s="13" t="str">
        <f t="shared" si="18"/>
        <v>Mon</v>
      </c>
      <c r="C87" s="14">
        <f>SUMIFS(Data!$B$2:$B$2797,Data!$A$2:$A$2797,A87)</f>
        <v>1800</v>
      </c>
      <c r="D87" s="14">
        <f>SUMIFS(Data!$C$2:$C$2797,Data!$A$2:$A$2797,A87)</f>
        <v>46</v>
      </c>
      <c r="E87" s="14">
        <f>SUMIFS(Data!$D$2:$D$2797,Data!$A$2:$A$2797,A87)</f>
        <v>954</v>
      </c>
      <c r="F87" s="14">
        <f>SUM($C$5:C87)</f>
        <v>43338</v>
      </c>
      <c r="G87" s="14">
        <f>SUM($D$5:D87)</f>
        <v>900</v>
      </c>
      <c r="H87" s="14">
        <f>SUM($E$5:E87)</f>
        <v>7120</v>
      </c>
      <c r="I87" s="14">
        <f t="shared" si="19"/>
        <v>35318</v>
      </c>
      <c r="J87" s="17">
        <f t="shared" si="23"/>
        <v>1682.4285714285713</v>
      </c>
      <c r="K87" s="17">
        <f t="shared" si="24"/>
        <v>36.285714285714285</v>
      </c>
      <c r="L87" s="15">
        <f t="shared" si="20"/>
        <v>2.0766994323688219E-2</v>
      </c>
      <c r="M87" s="19">
        <f t="shared" si="26"/>
        <v>0.10946773433820067</v>
      </c>
      <c r="N87" s="16">
        <f t="shared" si="21"/>
        <v>82</v>
      </c>
      <c r="O87" s="18">
        <f t="shared" si="25"/>
        <v>7.4279936067862353</v>
      </c>
      <c r="P87" s="16">
        <f>COUNTIF(Data!$A$2:$A$2797,A87)</f>
        <v>69</v>
      </c>
    </row>
    <row r="88" spans="1:16" x14ac:dyDescent="0.25">
      <c r="A88" s="12">
        <f t="shared" si="22"/>
        <v>43970</v>
      </c>
      <c r="B88" s="13" t="str">
        <f t="shared" si="18"/>
        <v>Tue</v>
      </c>
      <c r="C88" s="14">
        <f>SUMIFS(Data!$B$2:$B$2797,Data!$A$2:$A$2797,A88)</f>
        <v>1874</v>
      </c>
      <c r="D88" s="14">
        <f>SUMIFS(Data!$C$2:$C$2797,Data!$A$2:$A$2797,A88)</f>
        <v>46</v>
      </c>
      <c r="E88" s="14">
        <f>SUMIFS(Data!$D$2:$D$2797,Data!$A$2:$A$2797,A88)</f>
        <v>597</v>
      </c>
      <c r="F88" s="14">
        <f>SUM($C$5:C88)</f>
        <v>45212</v>
      </c>
      <c r="G88" s="14">
        <f>SUM($D$5:D88)</f>
        <v>946</v>
      </c>
      <c r="H88" s="14">
        <f>SUM($E$5:E88)</f>
        <v>7717</v>
      </c>
      <c r="I88" s="14">
        <f t="shared" si="19"/>
        <v>36549</v>
      </c>
      <c r="J88" s="17">
        <f t="shared" si="23"/>
        <v>1628.1428571428571</v>
      </c>
      <c r="K88" s="17">
        <f t="shared" si="24"/>
        <v>37.285714285714285</v>
      </c>
      <c r="L88" s="15">
        <f t="shared" si="20"/>
        <v>2.0923648588870213E-2</v>
      </c>
      <c r="M88" s="19">
        <f t="shared" si="26"/>
        <v>-3.7903089650514921E-2</v>
      </c>
      <c r="N88" s="16">
        <f t="shared" si="21"/>
        <v>83</v>
      </c>
      <c r="O88" s="18">
        <f t="shared" si="25"/>
        <v>7.3951952928004223</v>
      </c>
      <c r="P88" s="16">
        <f>COUNTIF(Data!$A$2:$A$2797,A88)</f>
        <v>67</v>
      </c>
    </row>
    <row r="89" spans="1:16" x14ac:dyDescent="0.25">
      <c r="A89" s="12">
        <f t="shared" si="22"/>
        <v>43971</v>
      </c>
      <c r="B89" s="13" t="str">
        <f t="shared" si="18"/>
        <v>Wed</v>
      </c>
      <c r="C89" s="14">
        <f>SUMIFS(Data!$B$2:$B$2797,Data!$A$2:$A$2797,A89)</f>
        <v>2115</v>
      </c>
      <c r="D89" s="14">
        <f>SUMIFS(Data!$C$2:$C$2797,Data!$A$2:$A$2797,A89)</f>
        <v>32</v>
      </c>
      <c r="E89" s="14">
        <f>SUMIFS(Data!$D$2:$D$2797,Data!$A$2:$A$2797,A89)</f>
        <v>1038</v>
      </c>
      <c r="F89" s="14">
        <f>SUM($C$5:C89)</f>
        <v>47327</v>
      </c>
      <c r="G89" s="14">
        <f>SUM($D$5:D89)</f>
        <v>978</v>
      </c>
      <c r="H89" s="14">
        <f>SUM($E$5:E89)</f>
        <v>8755</v>
      </c>
      <c r="I89" s="14">
        <f t="shared" si="19"/>
        <v>37594</v>
      </c>
      <c r="J89" s="17">
        <f t="shared" si="23"/>
        <v>1725.8571428571429</v>
      </c>
      <c r="K89" s="17">
        <f t="shared" si="24"/>
        <v>36.714285714285715</v>
      </c>
      <c r="L89" s="15">
        <f t="shared" si="20"/>
        <v>2.0664736830984427E-2</v>
      </c>
      <c r="M89" s="19">
        <f t="shared" si="26"/>
        <v>5.2993985879892014E-2</v>
      </c>
      <c r="N89" s="16">
        <f t="shared" si="21"/>
        <v>84</v>
      </c>
      <c r="O89" s="18">
        <f t="shared" si="25"/>
        <v>7.4534791004642509</v>
      </c>
      <c r="P89" s="16">
        <f>COUNTIF(Data!$A$2:$A$2797,A89)</f>
        <v>70</v>
      </c>
    </row>
    <row r="90" spans="1:16" x14ac:dyDescent="0.25">
      <c r="A90" s="12">
        <f t="shared" si="22"/>
        <v>43972</v>
      </c>
      <c r="B90" s="13" t="str">
        <f t="shared" si="18"/>
        <v>Thu</v>
      </c>
      <c r="C90" s="14">
        <f>SUMIFS(Data!$B$2:$B$2797,Data!$A$2:$A$2797,A90)</f>
        <v>2539</v>
      </c>
      <c r="D90" s="14">
        <f>SUMIFS(Data!$C$2:$C$2797,Data!$A$2:$A$2797,A90)</f>
        <v>43</v>
      </c>
      <c r="E90" s="14">
        <f>SUMIFS(Data!$D$2:$D$2797,Data!$A$2:$A$2797,A90)</f>
        <v>1014</v>
      </c>
      <c r="F90" s="14">
        <f>SUM($C$5:C90)</f>
        <v>49866</v>
      </c>
      <c r="G90" s="14">
        <f>SUM($D$5:D90)</f>
        <v>1021</v>
      </c>
      <c r="H90" s="14">
        <f>SUM($E$5:E90)</f>
        <v>9769</v>
      </c>
      <c r="I90" s="14">
        <f t="shared" si="19"/>
        <v>39076</v>
      </c>
      <c r="J90" s="17">
        <f t="shared" si="23"/>
        <v>1881.5714285714287</v>
      </c>
      <c r="K90" s="17">
        <f t="shared" si="24"/>
        <v>38.142857142857146</v>
      </c>
      <c r="L90" s="15">
        <f t="shared" si="20"/>
        <v>2.0474872658725385E-2</v>
      </c>
      <c r="M90" s="19">
        <f t="shared" si="26"/>
        <v>9.2213284683638763E-2</v>
      </c>
      <c r="N90" s="16">
        <f t="shared" si="21"/>
        <v>85</v>
      </c>
      <c r="O90" s="18">
        <f t="shared" si="25"/>
        <v>7.5398625729437336</v>
      </c>
      <c r="P90" s="16">
        <f>COUNTIF(Data!$A$2:$A$2797,A90)</f>
        <v>67</v>
      </c>
    </row>
    <row r="91" spans="1:16" x14ac:dyDescent="0.25">
      <c r="A91" s="12">
        <f t="shared" si="22"/>
        <v>43973</v>
      </c>
      <c r="B91" s="13" t="str">
        <f t="shared" si="18"/>
        <v>Fri</v>
      </c>
      <c r="C91" s="14">
        <f>SUMIFS(Data!$B$2:$B$2797,Data!$A$2:$A$2797,A91)</f>
        <v>1728</v>
      </c>
      <c r="D91" s="14">
        <f>SUMIFS(Data!$C$2:$C$2797,Data!$A$2:$A$2797,A91)</f>
        <v>34</v>
      </c>
      <c r="E91" s="14">
        <f>SUMIFS(Data!$D$2:$D$2797,Data!$A$2:$A$2797,A91)</f>
        <v>1438</v>
      </c>
      <c r="F91" s="14">
        <f>SUM($C$5:C91)</f>
        <v>51594</v>
      </c>
      <c r="G91" s="14">
        <f>SUM($D$5:D91)</f>
        <v>1055</v>
      </c>
      <c r="H91" s="14">
        <f>SUM($E$5:E91)</f>
        <v>11207</v>
      </c>
      <c r="I91" s="14">
        <f t="shared" si="19"/>
        <v>39332</v>
      </c>
      <c r="J91" s="17">
        <f t="shared" si="23"/>
        <v>1912</v>
      </c>
      <c r="K91" s="17">
        <f t="shared" si="24"/>
        <v>38.571428571428569</v>
      </c>
      <c r="L91" s="15">
        <f t="shared" si="20"/>
        <v>2.0448114121797107E-2</v>
      </c>
      <c r="M91" s="19">
        <f t="shared" si="26"/>
        <v>0.13954874414644536</v>
      </c>
      <c r="N91" s="16">
        <f t="shared" si="21"/>
        <v>86</v>
      </c>
      <c r="O91" s="18">
        <f t="shared" si="25"/>
        <v>7.5559050936113463</v>
      </c>
      <c r="P91" s="16">
        <f>COUNTIF(Data!$A$2:$A$2797,A91)</f>
        <v>68</v>
      </c>
    </row>
    <row r="92" spans="1:16" x14ac:dyDescent="0.25">
      <c r="A92" s="12">
        <f t="shared" si="22"/>
        <v>43974</v>
      </c>
      <c r="B92" s="13" t="str">
        <f t="shared" si="18"/>
        <v>Sat</v>
      </c>
      <c r="C92" s="14">
        <f>SUMIFS(Data!$B$2:$B$2797,Data!$A$2:$A$2797,A92)</f>
        <v>2060</v>
      </c>
      <c r="D92" s="14">
        <f>SUMIFS(Data!$C$2:$C$2797,Data!$A$2:$A$2797,A92)</f>
        <v>32</v>
      </c>
      <c r="E92" s="14">
        <f>SUMIFS(Data!$D$2:$D$2797,Data!$A$2:$A$2797,A92)</f>
        <v>539</v>
      </c>
      <c r="F92" s="14">
        <f>SUM($C$5:C92)</f>
        <v>53654</v>
      </c>
      <c r="G92" s="14">
        <f>SUM($D$5:D92)</f>
        <v>1087</v>
      </c>
      <c r="H92" s="14">
        <f>SUM($E$5:E92)</f>
        <v>11746</v>
      </c>
      <c r="I92" s="14">
        <f t="shared" si="19"/>
        <v>40821</v>
      </c>
      <c r="J92" s="17">
        <f t="shared" si="23"/>
        <v>2010.2857142857142</v>
      </c>
      <c r="K92" s="17">
        <f t="shared" si="24"/>
        <v>37.571428571428569</v>
      </c>
      <c r="L92" s="15">
        <f t="shared" si="20"/>
        <v>2.0259440116300743E-2</v>
      </c>
      <c r="M92" s="19">
        <f t="shared" si="26"/>
        <v>0.33219729243586094</v>
      </c>
      <c r="N92" s="16">
        <f t="shared" si="21"/>
        <v>87</v>
      </c>
      <c r="O92" s="18">
        <f t="shared" si="25"/>
        <v>7.6060321373620807</v>
      </c>
      <c r="P92" s="16">
        <f>COUNTIF(Data!$A$2:$A$2797,A92)</f>
        <v>69</v>
      </c>
    </row>
    <row r="93" spans="1:16" x14ac:dyDescent="0.25">
      <c r="A93" s="12">
        <f t="shared" si="22"/>
        <v>43975</v>
      </c>
      <c r="B93" s="13" t="str">
        <f t="shared" si="18"/>
        <v>Sun</v>
      </c>
      <c r="C93" s="14">
        <f>SUMIFS(Data!$B$2:$B$2797,Data!$A$2:$A$2797,A93)</f>
        <v>1744</v>
      </c>
      <c r="D93" s="14">
        <f>SUMIFS(Data!$C$2:$C$2797,Data!$A$2:$A$2797,A93)</f>
        <v>34</v>
      </c>
      <c r="E93" s="14">
        <f>SUMIFS(Data!$D$2:$D$2797,Data!$A$2:$A$2797,A93)</f>
        <v>282</v>
      </c>
      <c r="F93" s="14">
        <f>SUM($C$5:C93)</f>
        <v>55398</v>
      </c>
      <c r="G93" s="14">
        <f>SUM($D$5:D93)</f>
        <v>1121</v>
      </c>
      <c r="H93" s="14">
        <f>SUM($E$5:E93)</f>
        <v>12028</v>
      </c>
      <c r="I93" s="14">
        <f t="shared" si="19"/>
        <v>42249</v>
      </c>
      <c r="J93" s="17">
        <f t="shared" si="23"/>
        <v>1980</v>
      </c>
      <c r="K93" s="17">
        <f t="shared" si="24"/>
        <v>38.142857142857146</v>
      </c>
      <c r="L93" s="15">
        <f t="shared" si="20"/>
        <v>2.0235387559117659E-2</v>
      </c>
      <c r="M93" s="19">
        <f t="shared" si="26"/>
        <v>0.253617945007236</v>
      </c>
      <c r="N93" s="16">
        <f t="shared" si="21"/>
        <v>88</v>
      </c>
      <c r="O93" s="18">
        <f t="shared" si="25"/>
        <v>7.5908521236885811</v>
      </c>
      <c r="P93" s="16">
        <f>COUNTIF(Data!$A$2:$A$2797,A93)</f>
        <v>43</v>
      </c>
    </row>
    <row r="94" spans="1:16" x14ac:dyDescent="0.25">
      <c r="A94" s="12">
        <f t="shared" si="22"/>
        <v>43976</v>
      </c>
      <c r="B94" s="13" t="str">
        <f t="shared" si="18"/>
        <v>Mon</v>
      </c>
      <c r="C94" s="14">
        <f>SUMIFS(Data!$B$2:$B$2797,Data!$A$2:$A$2797,A94)</f>
        <v>1356</v>
      </c>
      <c r="D94" s="14">
        <f>SUMIFS(Data!$C$2:$C$2797,Data!$A$2:$A$2797,A94)</f>
        <v>30</v>
      </c>
      <c r="E94" s="14">
        <f>SUMIFS(Data!$D$2:$D$2797,Data!$A$2:$A$2797,A94)</f>
        <v>830</v>
      </c>
      <c r="F94" s="14">
        <f>SUM($C$5:C94)</f>
        <v>56754</v>
      </c>
      <c r="G94" s="14">
        <f>SUM($D$5:D94)</f>
        <v>1151</v>
      </c>
      <c r="H94" s="14">
        <f>SUM($E$5:E94)</f>
        <v>12858</v>
      </c>
      <c r="I94" s="14">
        <f t="shared" si="19"/>
        <v>42745</v>
      </c>
      <c r="J94" s="17">
        <f t="shared" si="23"/>
        <v>1916.5714285714287</v>
      </c>
      <c r="K94" s="17">
        <f t="shared" si="24"/>
        <v>35.857142857142854</v>
      </c>
      <c r="L94" s="15">
        <f t="shared" si="20"/>
        <v>2.0280508862811433E-2</v>
      </c>
      <c r="M94" s="19">
        <f t="shared" si="26"/>
        <v>0.13916956780164735</v>
      </c>
      <c r="N94" s="16">
        <f t="shared" si="21"/>
        <v>89</v>
      </c>
      <c r="O94" s="18">
        <f t="shared" si="25"/>
        <v>7.5582931544477319</v>
      </c>
      <c r="P94" s="16">
        <f>COUNTIF(Data!$A$2:$A$2797,A94)</f>
        <v>46</v>
      </c>
    </row>
    <row r="95" spans="1:16" x14ac:dyDescent="0.25">
      <c r="A95" s="12">
        <f t="shared" si="22"/>
        <v>43977</v>
      </c>
      <c r="B95" s="13" t="str">
        <f t="shared" si="18"/>
        <v>Tue</v>
      </c>
      <c r="C95" s="14">
        <f>SUMIFS(Data!$B$2:$B$2797,Data!$A$2:$A$2797,A95)</f>
        <v>1440</v>
      </c>
      <c r="D95" s="14">
        <f>SUMIFS(Data!$C$2:$C$2797,Data!$A$2:$A$2797,A95)</f>
        <v>27</v>
      </c>
      <c r="E95" s="14">
        <f>SUMIFS(Data!$D$2:$D$2797,Data!$A$2:$A$2797,A95)</f>
        <v>824</v>
      </c>
      <c r="F95" s="14">
        <f>SUM($C$5:C95)</f>
        <v>58194</v>
      </c>
      <c r="G95" s="14">
        <f>SUM($D$5:D95)</f>
        <v>1178</v>
      </c>
      <c r="H95" s="14">
        <f>SUM($E$5:E95)</f>
        <v>13682</v>
      </c>
      <c r="I95" s="14">
        <f t="shared" si="19"/>
        <v>43334</v>
      </c>
      <c r="J95" s="17">
        <f t="shared" si="23"/>
        <v>1854.5714285714287</v>
      </c>
      <c r="K95" s="17">
        <f t="shared" si="24"/>
        <v>33.142857142857146</v>
      </c>
      <c r="L95" s="15">
        <f t="shared" si="20"/>
        <v>2.0242636697941369E-2</v>
      </c>
      <c r="M95" s="19">
        <f t="shared" si="26"/>
        <v>0.13907168553128035</v>
      </c>
      <c r="N95" s="16">
        <f t="shared" si="21"/>
        <v>90</v>
      </c>
      <c r="O95" s="18">
        <f t="shared" si="25"/>
        <v>7.5254089125381007</v>
      </c>
      <c r="P95" s="16">
        <f>COUNTIF(Data!$A$2:$A$2797,A95)</f>
        <v>45</v>
      </c>
    </row>
    <row r="96" spans="1:16" x14ac:dyDescent="0.25">
      <c r="A96" s="12">
        <f t="shared" si="22"/>
        <v>43978</v>
      </c>
      <c r="B96" s="13" t="str">
        <f t="shared" si="18"/>
        <v>Wed</v>
      </c>
      <c r="C96" s="14">
        <f>SUMIFS(Data!$B$2:$B$2797,Data!$A$2:$A$2797,A96)</f>
        <v>2173</v>
      </c>
      <c r="D96" s="14">
        <f>SUMIFS(Data!$C$2:$C$2797,Data!$A$2:$A$2797,A96)</f>
        <v>36</v>
      </c>
      <c r="E96" s="14">
        <f>SUMIFS(Data!$D$2:$D$2797,Data!$A$2:$A$2797,A96)</f>
        <v>1065</v>
      </c>
      <c r="F96" s="14">
        <f>SUM($C$5:C96)</f>
        <v>60367</v>
      </c>
      <c r="G96" s="14">
        <f>SUM($D$5:D96)</f>
        <v>1214</v>
      </c>
      <c r="H96" s="14">
        <f>SUM($E$5:E96)</f>
        <v>14747</v>
      </c>
      <c r="I96" s="14">
        <f t="shared" si="19"/>
        <v>44406</v>
      </c>
      <c r="J96" s="17">
        <f t="shared" si="23"/>
        <v>1862.8571428571429</v>
      </c>
      <c r="K96" s="17">
        <f t="shared" si="24"/>
        <v>33.714285714285715</v>
      </c>
      <c r="L96" s="15">
        <f t="shared" si="20"/>
        <v>2.0110325177663292E-2</v>
      </c>
      <c r="M96" s="19">
        <f t="shared" si="26"/>
        <v>7.9380845956460666E-2</v>
      </c>
      <c r="N96" s="16">
        <f t="shared" si="21"/>
        <v>91</v>
      </c>
      <c r="O96" s="18">
        <f t="shared" si="25"/>
        <v>7.529866686425331</v>
      </c>
      <c r="P96" s="16">
        <f>COUNTIF(Data!$A$2:$A$2797,A96)</f>
        <v>40</v>
      </c>
    </row>
    <row r="97" spans="1:16" x14ac:dyDescent="0.25">
      <c r="A97" s="12">
        <f t="shared" si="22"/>
        <v>43979</v>
      </c>
      <c r="B97" s="13" t="str">
        <f t="shared" si="18"/>
        <v>Thu</v>
      </c>
      <c r="C97" s="14">
        <f>SUMIFS(Data!$B$2:$B$2797,Data!$A$2:$A$2797,A97)</f>
        <v>2562</v>
      </c>
      <c r="D97" s="14">
        <f>SUMIFS(Data!$C$2:$C$2797,Data!$A$2:$A$2797,A97)</f>
        <v>59</v>
      </c>
      <c r="E97" s="14">
        <f>SUMIFS(Data!$D$2:$D$2797,Data!$A$2:$A$2797,A97)</f>
        <v>2072</v>
      </c>
      <c r="F97" s="14">
        <f>SUM($C$5:C97)</f>
        <v>62929</v>
      </c>
      <c r="G97" s="14">
        <f>SUM($D$5:D97)</f>
        <v>1273</v>
      </c>
      <c r="H97" s="14">
        <f>SUM($E$5:E97)</f>
        <v>16819</v>
      </c>
      <c r="I97" s="14">
        <f t="shared" si="19"/>
        <v>44837</v>
      </c>
      <c r="J97" s="17">
        <f t="shared" si="23"/>
        <v>1866.1428571428571</v>
      </c>
      <c r="K97" s="17">
        <f t="shared" si="24"/>
        <v>36</v>
      </c>
      <c r="L97" s="15">
        <f t="shared" si="20"/>
        <v>2.0229147134071732E-2</v>
      </c>
      <c r="M97" s="19">
        <f t="shared" si="26"/>
        <v>-8.1998329663656166E-3</v>
      </c>
      <c r="N97" s="16">
        <f t="shared" si="21"/>
        <v>92</v>
      </c>
      <c r="O97" s="18">
        <f t="shared" si="25"/>
        <v>7.5316289364312503</v>
      </c>
      <c r="P97" s="16">
        <f>COUNTIF(Data!$A$2:$A$2797,A97)</f>
        <v>64</v>
      </c>
    </row>
    <row r="98" spans="1:16" x14ac:dyDescent="0.25">
      <c r="A98" s="12">
        <f t="shared" si="22"/>
        <v>43980</v>
      </c>
      <c r="B98" s="13" t="str">
        <f t="shared" si="18"/>
        <v>Fri</v>
      </c>
      <c r="C98" s="14">
        <f>SUMIFS(Data!$B$2:$B$2797,Data!$A$2:$A$2797,A98)</f>
        <v>2426</v>
      </c>
      <c r="D98" s="14">
        <f>SUMIFS(Data!$C$2:$C$2797,Data!$A$2:$A$2797,A98)</f>
        <v>78</v>
      </c>
      <c r="E98" s="14">
        <f>SUMIFS(Data!$D$2:$D$2797,Data!$A$2:$A$2797,A98)</f>
        <v>1824</v>
      </c>
      <c r="F98" s="14">
        <f>SUM($C$5:C98)</f>
        <v>65355</v>
      </c>
      <c r="G98" s="14">
        <f>SUM($D$5:D98)</f>
        <v>1351</v>
      </c>
      <c r="H98" s="14">
        <f>SUM($E$5:E98)</f>
        <v>18643</v>
      </c>
      <c r="I98" s="14">
        <f t="shared" si="19"/>
        <v>45361</v>
      </c>
      <c r="J98" s="17">
        <f t="shared" si="23"/>
        <v>1965.8571428571429</v>
      </c>
      <c r="K98" s="17">
        <f t="shared" si="24"/>
        <v>42.285714285714285</v>
      </c>
      <c r="L98" s="15">
        <f t="shared" si="20"/>
        <v>2.0671716012546859E-2</v>
      </c>
      <c r="M98" s="19">
        <f t="shared" si="26"/>
        <v>2.816796174536762E-2</v>
      </c>
      <c r="N98" s="16">
        <f t="shared" si="21"/>
        <v>93</v>
      </c>
      <c r="O98" s="18">
        <f t="shared" si="25"/>
        <v>7.5836836342099687</v>
      </c>
      <c r="P98" s="16">
        <f>COUNTIF(Data!$A$2:$A$2797,A98)</f>
        <v>69</v>
      </c>
    </row>
    <row r="99" spans="1:16" x14ac:dyDescent="0.25">
      <c r="A99" s="12">
        <f t="shared" si="22"/>
        <v>43981</v>
      </c>
      <c r="B99" s="13" t="str">
        <f t="shared" si="18"/>
        <v>Sat</v>
      </c>
      <c r="C99" s="14">
        <f>SUMIFS(Data!$B$2:$B$2797,Data!$A$2:$A$2797,A99)</f>
        <v>2956</v>
      </c>
      <c r="D99" s="14">
        <f>SUMIFS(Data!$C$2:$C$2797,Data!$A$2:$A$2797,A99)</f>
        <v>88</v>
      </c>
      <c r="E99" s="14">
        <f>SUMIFS(Data!$D$2:$D$2797,Data!$A$2:$A$2797,A99)</f>
        <v>1138</v>
      </c>
      <c r="F99" s="14">
        <f>SUM($C$5:C99)</f>
        <v>68311</v>
      </c>
      <c r="G99" s="14">
        <f>SUM($D$5:D99)</f>
        <v>1439</v>
      </c>
      <c r="H99" s="14">
        <f>SUM($E$5:E99)</f>
        <v>19781</v>
      </c>
      <c r="I99" s="14">
        <f t="shared" si="19"/>
        <v>47091</v>
      </c>
      <c r="J99" s="17">
        <f t="shared" si="23"/>
        <v>2093.8571428571427</v>
      </c>
      <c r="K99" s="17">
        <f t="shared" si="24"/>
        <v>50.285714285714285</v>
      </c>
      <c r="L99" s="15">
        <f t="shared" si="20"/>
        <v>2.1065421381622287E-2</v>
      </c>
      <c r="M99" s="19">
        <f t="shared" si="26"/>
        <v>4.1571915861284836E-2</v>
      </c>
      <c r="N99" s="16">
        <f t="shared" si="21"/>
        <v>94</v>
      </c>
      <c r="O99" s="18">
        <f t="shared" si="25"/>
        <v>7.6467631669719873</v>
      </c>
      <c r="P99" s="16">
        <f>COUNTIF(Data!$A$2:$A$2797,A99)</f>
        <v>72</v>
      </c>
    </row>
    <row r="100" spans="1:16" x14ac:dyDescent="0.25">
      <c r="A100" s="12">
        <f t="shared" si="22"/>
        <v>43982</v>
      </c>
      <c r="B100" s="13" t="str">
        <f t="shared" si="18"/>
        <v>Sun</v>
      </c>
      <c r="C100" s="14">
        <f>SUMIFS(Data!$B$2:$B$2797,Data!$A$2:$A$2797,A100)</f>
        <v>2883</v>
      </c>
      <c r="D100" s="14">
        <f>SUMIFS(Data!$C$2:$C$2797,Data!$A$2:$A$2797,A100)</f>
        <v>60</v>
      </c>
      <c r="E100" s="14">
        <f>SUMIFS(Data!$D$2:$D$2797,Data!$A$2:$A$2797,A100)</f>
        <v>809</v>
      </c>
      <c r="F100" s="14">
        <f>SUM($C$5:C100)</f>
        <v>71194</v>
      </c>
      <c r="G100" s="14">
        <f>SUM($D$5:D100)</f>
        <v>1499</v>
      </c>
      <c r="H100" s="14">
        <f>SUM($E$5:E100)</f>
        <v>20590</v>
      </c>
      <c r="I100" s="14">
        <f t="shared" si="19"/>
        <v>49105</v>
      </c>
      <c r="J100" s="17">
        <f t="shared" si="23"/>
        <v>2256.5714285714284</v>
      </c>
      <c r="K100" s="17">
        <f t="shared" si="24"/>
        <v>54</v>
      </c>
      <c r="L100" s="15">
        <f t="shared" si="20"/>
        <v>2.1055145096496895E-2</v>
      </c>
      <c r="M100" s="19">
        <f t="shared" si="26"/>
        <v>0.13968253968253963</v>
      </c>
      <c r="N100" s="16">
        <f t="shared" si="21"/>
        <v>95</v>
      </c>
      <c r="O100" s="18">
        <f t="shared" si="25"/>
        <v>7.7216018733512266</v>
      </c>
      <c r="P100" s="16">
        <f>COUNTIF(Data!$A$2:$A$2797,A100)</f>
        <v>44</v>
      </c>
    </row>
    <row r="101" spans="1:16" x14ac:dyDescent="0.25">
      <c r="A101" s="12">
        <f t="shared" si="22"/>
        <v>43983</v>
      </c>
      <c r="B101" s="13" t="str">
        <f t="shared" ref="B101:B132" si="27">CHOOSE(WEEKDAY(A101,2),"Mon","Tue","Wed","Thu","Fri","Sat","Sun")</f>
        <v>Mon</v>
      </c>
      <c r="C101" s="14">
        <f>SUMIFS(Data!$B$2:$B$2797,Data!$A$2:$A$2797,A101)</f>
        <v>3872</v>
      </c>
      <c r="D101" s="14">
        <f>SUMIFS(Data!$C$2:$C$2797,Data!$A$2:$A$2797,A101)</f>
        <v>78</v>
      </c>
      <c r="E101" s="14">
        <f>SUMIFS(Data!$D$2:$D$2797,Data!$A$2:$A$2797,A101)</f>
        <v>1027</v>
      </c>
      <c r="F101" s="14">
        <f>SUM($C$5:C101)</f>
        <v>75066</v>
      </c>
      <c r="G101" s="14">
        <f>SUM($D$5:D101)</f>
        <v>1577</v>
      </c>
      <c r="H101" s="14">
        <f>SUM($E$5:E101)</f>
        <v>21617</v>
      </c>
      <c r="I101" s="14">
        <f t="shared" ref="I101:I132" si="28">F101-G101-H101</f>
        <v>51872</v>
      </c>
      <c r="J101" s="17">
        <f t="shared" si="23"/>
        <v>2616</v>
      </c>
      <c r="K101" s="17">
        <f t="shared" si="24"/>
        <v>60.857142857142854</v>
      </c>
      <c r="L101" s="15">
        <f t="shared" si="20"/>
        <v>2.1008179468734182E-2</v>
      </c>
      <c r="M101" s="19">
        <f t="shared" si="26"/>
        <v>0.36493738819320209</v>
      </c>
      <c r="N101" s="16">
        <f t="shared" si="21"/>
        <v>96</v>
      </c>
      <c r="O101" s="18">
        <f t="shared" si="25"/>
        <v>7.8694017125770896</v>
      </c>
      <c r="P101" s="16">
        <f>COUNTIF(Data!$A$2:$A$2797,A101)</f>
        <v>46</v>
      </c>
    </row>
    <row r="102" spans="1:16" x14ac:dyDescent="0.25">
      <c r="A102" s="12">
        <f t="shared" si="22"/>
        <v>43984</v>
      </c>
      <c r="B102" s="13" t="str">
        <f t="shared" si="27"/>
        <v>Tue</v>
      </c>
      <c r="C102" s="14">
        <f>SUMIFS(Data!$B$2:$B$2797,Data!$A$2:$A$2797,A102)</f>
        <v>4242</v>
      </c>
      <c r="D102" s="14">
        <f>SUMIFS(Data!$C$2:$C$2797,Data!$A$2:$A$2797,A102)</f>
        <v>69</v>
      </c>
      <c r="E102" s="14">
        <f>SUMIFS(Data!$D$2:$D$2797,Data!$A$2:$A$2797,A102)</f>
        <v>1931</v>
      </c>
      <c r="F102" s="14">
        <f>SUM($C$5:C102)</f>
        <v>79308</v>
      </c>
      <c r="G102" s="14">
        <f>SUM($D$5:D102)</f>
        <v>1646</v>
      </c>
      <c r="H102" s="14">
        <f>SUM($E$5:E102)</f>
        <v>23548</v>
      </c>
      <c r="I102" s="14">
        <f t="shared" si="28"/>
        <v>54114</v>
      </c>
      <c r="J102" s="17">
        <f t="shared" si="23"/>
        <v>3016.2857142857142</v>
      </c>
      <c r="K102" s="17">
        <f t="shared" si="24"/>
        <v>66.857142857142861</v>
      </c>
      <c r="L102" s="15">
        <f t="shared" si="20"/>
        <v>2.0754526655570687E-2</v>
      </c>
      <c r="M102" s="19">
        <f t="shared" si="26"/>
        <v>0.62640579263595741</v>
      </c>
      <c r="N102" s="16">
        <f t="shared" si="21"/>
        <v>97</v>
      </c>
      <c r="O102" s="18">
        <f t="shared" si="25"/>
        <v>8.011781457494326</v>
      </c>
      <c r="P102" s="16">
        <f>COUNTIF(Data!$A$2:$A$2797,A102)</f>
        <v>71</v>
      </c>
    </row>
    <row r="103" spans="1:16" x14ac:dyDescent="0.25">
      <c r="A103" s="12">
        <f t="shared" si="22"/>
        <v>43985</v>
      </c>
      <c r="B103" s="13" t="str">
        <f t="shared" si="27"/>
        <v>Wed</v>
      </c>
      <c r="C103" s="14">
        <f>SUMIFS(Data!$B$2:$B$2797,Data!$A$2:$A$2797,A103)</f>
        <v>4677</v>
      </c>
      <c r="D103" s="14">
        <f>SUMIFS(Data!$C$2:$C$2797,Data!$A$2:$A$2797,A103)</f>
        <v>82</v>
      </c>
      <c r="E103" s="14">
        <f>SUMIFS(Data!$D$2:$D$2797,Data!$A$2:$A$2797,A103)</f>
        <v>1205</v>
      </c>
      <c r="F103" s="14">
        <f>SUM($C$5:C103)</f>
        <v>83985</v>
      </c>
      <c r="G103" s="14">
        <f>SUM($D$5:D103)</f>
        <v>1728</v>
      </c>
      <c r="H103" s="14">
        <f>SUM($E$5:E103)</f>
        <v>24753</v>
      </c>
      <c r="I103" s="14">
        <f t="shared" si="28"/>
        <v>57504</v>
      </c>
      <c r="J103" s="17">
        <f t="shared" si="23"/>
        <v>3374</v>
      </c>
      <c r="K103" s="17">
        <f t="shared" si="24"/>
        <v>73.428571428571431</v>
      </c>
      <c r="L103" s="15">
        <f t="shared" si="20"/>
        <v>2.0575102696910163E-2</v>
      </c>
      <c r="M103" s="19">
        <f t="shared" si="26"/>
        <v>0.81119631901840483</v>
      </c>
      <c r="N103" s="16">
        <f t="shared" si="21"/>
        <v>98</v>
      </c>
      <c r="O103" s="18">
        <f t="shared" si="25"/>
        <v>8.1238542631059136</v>
      </c>
      <c r="P103" s="16">
        <f>COUNTIF(Data!$A$2:$A$2797,A103)</f>
        <v>70</v>
      </c>
    </row>
    <row r="105" spans="1:16" ht="27.75" customHeight="1" x14ac:dyDescent="0.25">
      <c r="A105" s="1" t="s">
        <v>40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</sheetData>
  <mergeCells count="1">
    <mergeCell ref="A105:L105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  <pageSetUpPr fitToPage="1"/>
  </sheetPr>
  <dimension ref="A1:J20"/>
  <sheetViews>
    <sheetView showGridLines="0" zoomScaleNormal="100" workbookViewId="0"/>
  </sheetViews>
  <sheetFormatPr defaultColWidth="8.7109375" defaultRowHeight="15" x14ac:dyDescent="0.25"/>
  <cols>
    <col min="1" max="1" width="8" customWidth="1"/>
    <col min="2" max="3" width="12" customWidth="1"/>
    <col min="4" max="4" width="7" customWidth="1"/>
    <col min="5" max="5" width="10" customWidth="1"/>
    <col min="6" max="6" width="9" customWidth="1"/>
    <col min="7" max="7" width="11" customWidth="1"/>
    <col min="8" max="9" width="14" customWidth="1"/>
    <col min="10" max="10" width="11" customWidth="1"/>
  </cols>
  <sheetData>
    <row r="1" spans="1:10" ht="20.25" x14ac:dyDescent="0.3">
      <c r="A1" s="8" t="s">
        <v>41</v>
      </c>
    </row>
    <row r="2" spans="1:10" x14ac:dyDescent="0.25">
      <c r="A2" s="9" t="s">
        <v>42</v>
      </c>
    </row>
    <row r="4" spans="1:10" ht="31.5" customHeight="1" x14ac:dyDescent="0.25">
      <c r="A4" s="11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50</v>
      </c>
      <c r="I4" s="11" t="s">
        <v>51</v>
      </c>
      <c r="J4" s="11" t="s">
        <v>52</v>
      </c>
    </row>
    <row r="5" spans="1:10" x14ac:dyDescent="0.25">
      <c r="A5" s="16">
        <v>1</v>
      </c>
      <c r="B5" s="12">
        <f>Daily!$A$5+7*(A5-1)</f>
        <v>43887</v>
      </c>
      <c r="C5" s="12">
        <f>MIN(B5+6,MAX(Daily!$A$5:$A$103))</f>
        <v>43893</v>
      </c>
      <c r="D5" s="16">
        <f t="shared" ref="D5:D19" si="0">C5-B5+1</f>
        <v>7</v>
      </c>
      <c r="E5" s="14">
        <f>SUMIFS(Daily!$C$5:$C$103,Daily!$A$5:$A$103,"&gt;="&amp;B5,Daily!$A$5:$A$103,"&lt;="&amp;C5)</f>
        <v>6</v>
      </c>
      <c r="F5" s="14">
        <f>SUMIFS(Daily!$D$5:$D$103,Daily!$A$5:$A$103,"&gt;="&amp;B5,Daily!$A$5:$A$103,"&lt;="&amp;C5)</f>
        <v>0</v>
      </c>
      <c r="G5" s="14">
        <f>SUMIFS(Daily!$E$5:$E$103,Daily!$A$5:$A$103,"&gt;="&amp;B5,Daily!$A$5:$A$103,"&lt;="&amp;C5)</f>
        <v>0</v>
      </c>
      <c r="H5" s="17">
        <f t="shared" ref="H5:H20" si="1">E5/D5</f>
        <v>0.8571428571428571</v>
      </c>
      <c r="I5" s="19"/>
      <c r="J5" s="13" t="str">
        <f t="shared" ref="J5:J19" si="2">IF(D5=7,"Full week","Partial")</f>
        <v>Full week</v>
      </c>
    </row>
    <row r="6" spans="1:10" x14ac:dyDescent="0.25">
      <c r="A6" s="16">
        <v>2</v>
      </c>
      <c r="B6" s="12">
        <f>Daily!$A$5+7*(A6-1)</f>
        <v>43894</v>
      </c>
      <c r="C6" s="12">
        <f>MIN(B6+6,MAX(Daily!$A$5:$A$103))</f>
        <v>43900</v>
      </c>
      <c r="D6" s="16">
        <f t="shared" si="0"/>
        <v>7</v>
      </c>
      <c r="E6" s="14">
        <f>SUMIFS(Daily!$C$5:$C$103,Daily!$A$5:$A$103,"&gt;="&amp;B6,Daily!$A$5:$A$103,"&lt;="&amp;C6)</f>
        <v>13</v>
      </c>
      <c r="F6" s="14">
        <f>SUMIFS(Daily!$D$5:$D$103,Daily!$A$5:$A$103,"&gt;="&amp;B6,Daily!$A$5:$A$103,"&lt;="&amp;C6)</f>
        <v>0</v>
      </c>
      <c r="G6" s="14">
        <f>SUMIFS(Daily!$E$5:$E$103,Daily!$A$5:$A$103,"&gt;="&amp;B6,Daily!$A$5:$A$103,"&lt;="&amp;C6)</f>
        <v>1</v>
      </c>
      <c r="H6" s="17">
        <f t="shared" si="1"/>
        <v>1.8571428571428572</v>
      </c>
      <c r="I6" s="19">
        <f t="shared" ref="I6:I19" si="3">IF(AND(D6=7,D5=7,E5&gt;0),E6/E5-1,"")</f>
        <v>1.1666666666666665</v>
      </c>
      <c r="J6" s="13" t="str">
        <f t="shared" si="2"/>
        <v>Full week</v>
      </c>
    </row>
    <row r="7" spans="1:10" x14ac:dyDescent="0.25">
      <c r="A7" s="16">
        <v>3</v>
      </c>
      <c r="B7" s="12">
        <f>Daily!$A$5+7*(A7-1)</f>
        <v>43901</v>
      </c>
      <c r="C7" s="12">
        <f>MIN(B7+6,MAX(Daily!$A$5:$A$103))</f>
        <v>43907</v>
      </c>
      <c r="D7" s="16">
        <f t="shared" si="0"/>
        <v>7</v>
      </c>
      <c r="E7" s="14">
        <f>SUMIFS(Daily!$C$5:$C$103,Daily!$A$5:$A$103,"&gt;="&amp;B7,Daily!$A$5:$A$103,"&lt;="&amp;C7)</f>
        <v>248</v>
      </c>
      <c r="F7" s="14">
        <f>SUMIFS(Daily!$D$5:$D$103,Daily!$A$5:$A$103,"&gt;="&amp;B7,Daily!$A$5:$A$103,"&lt;="&amp;C7)</f>
        <v>1</v>
      </c>
      <c r="G7" s="14">
        <f>SUMIFS(Daily!$E$5:$E$103,Daily!$A$5:$A$103,"&gt;="&amp;B7,Daily!$A$5:$A$103,"&lt;="&amp;C7)</f>
        <v>3</v>
      </c>
      <c r="H7" s="17">
        <f t="shared" si="1"/>
        <v>35.428571428571431</v>
      </c>
      <c r="I7" s="19">
        <f t="shared" si="3"/>
        <v>18.076923076923077</v>
      </c>
      <c r="J7" s="13" t="str">
        <f t="shared" si="2"/>
        <v>Full week</v>
      </c>
    </row>
    <row r="8" spans="1:10" x14ac:dyDescent="0.25">
      <c r="A8" s="16">
        <v>4</v>
      </c>
      <c r="B8" s="12">
        <f>Daily!$A$5+7*(A8-1)</f>
        <v>43908</v>
      </c>
      <c r="C8" s="12">
        <f>MIN(B8+6,MAX(Daily!$A$5:$A$103))</f>
        <v>43914</v>
      </c>
      <c r="D8" s="16">
        <f t="shared" si="0"/>
        <v>7</v>
      </c>
      <c r="E8" s="14">
        <f>SUMIFS(Daily!$C$5:$C$103,Daily!$A$5:$A$103,"&gt;="&amp;B8,Daily!$A$5:$A$103,"&lt;="&amp;C8)</f>
        <v>701</v>
      </c>
      <c r="F8" s="14">
        <f>SUMIFS(Daily!$D$5:$D$103,Daily!$A$5:$A$103,"&gt;="&amp;B8,Daily!$A$5:$A$103,"&lt;="&amp;C8)</f>
        <v>6</v>
      </c>
      <c r="G8" s="14">
        <f>SUMIFS(Daily!$E$5:$E$103,Daily!$A$5:$A$103,"&gt;="&amp;B8,Daily!$A$5:$A$103,"&lt;="&amp;C8)</f>
        <v>22</v>
      </c>
      <c r="H8" s="17">
        <f t="shared" si="1"/>
        <v>100.14285714285714</v>
      </c>
      <c r="I8" s="19">
        <f t="shared" si="3"/>
        <v>1.8266129032258065</v>
      </c>
      <c r="J8" s="13" t="str">
        <f t="shared" si="2"/>
        <v>Full week</v>
      </c>
    </row>
    <row r="9" spans="1:10" x14ac:dyDescent="0.25">
      <c r="A9" s="16">
        <v>5</v>
      </c>
      <c r="B9" s="12">
        <f>Daily!$A$5+7*(A9-1)</f>
        <v>43915</v>
      </c>
      <c r="C9" s="12">
        <f>MIN(B9+6,MAX(Daily!$A$5:$A$103))</f>
        <v>43921</v>
      </c>
      <c r="D9" s="16">
        <f t="shared" si="0"/>
        <v>7</v>
      </c>
      <c r="E9" s="14">
        <f>SUMIFS(Daily!$C$5:$C$103,Daily!$A$5:$A$103,"&gt;="&amp;B9,Daily!$A$5:$A$103,"&lt;="&amp;C9)</f>
        <v>1002</v>
      </c>
      <c r="F9" s="14">
        <f>SUMIFS(Daily!$D$5:$D$103,Daily!$A$5:$A$103,"&gt;="&amp;B9,Daily!$A$5:$A$103,"&lt;="&amp;C9)</f>
        <v>20</v>
      </c>
      <c r="G9" s="14">
        <f>SUMIFS(Daily!$E$5:$E$103,Daily!$A$5:$A$103,"&gt;="&amp;B9,Daily!$A$5:$A$103,"&lt;="&amp;C9)</f>
        <v>96</v>
      </c>
      <c r="H9" s="17">
        <f t="shared" si="1"/>
        <v>143.14285714285714</v>
      </c>
      <c r="I9" s="19">
        <f t="shared" si="3"/>
        <v>0.42938659058487882</v>
      </c>
      <c r="J9" s="13" t="str">
        <f t="shared" si="2"/>
        <v>Full week</v>
      </c>
    </row>
    <row r="10" spans="1:10" x14ac:dyDescent="0.25">
      <c r="A10" s="16">
        <v>6</v>
      </c>
      <c r="B10" s="12">
        <f>Daily!$A$5+7*(A10-1)</f>
        <v>43922</v>
      </c>
      <c r="C10" s="12">
        <f>MIN(B10+6,MAX(Daily!$A$5:$A$103))</f>
        <v>43928</v>
      </c>
      <c r="D10" s="16">
        <f t="shared" si="0"/>
        <v>7</v>
      </c>
      <c r="E10" s="14">
        <f>SUMIFS(Daily!$C$5:$C$103,Daily!$A$5:$A$103,"&gt;="&amp;B10,Daily!$A$5:$A$103,"&lt;="&amp;C10)</f>
        <v>1297</v>
      </c>
      <c r="F10" s="14">
        <f>SUMIFS(Daily!$D$5:$D$103,Daily!$A$5:$A$103,"&gt;="&amp;B10,Daily!$A$5:$A$103,"&lt;="&amp;C10)</f>
        <v>29</v>
      </c>
      <c r="G10" s="14">
        <f>SUMIFS(Daily!$E$5:$E$103,Daily!$A$5:$A$103,"&gt;="&amp;B10,Daily!$A$5:$A$103,"&lt;="&amp;C10)</f>
        <v>365</v>
      </c>
      <c r="H10" s="17">
        <f t="shared" si="1"/>
        <v>185.28571428571428</v>
      </c>
      <c r="I10" s="19">
        <f t="shared" si="3"/>
        <v>0.29441117764471048</v>
      </c>
      <c r="J10" s="13" t="str">
        <f t="shared" si="2"/>
        <v>Full week</v>
      </c>
    </row>
    <row r="11" spans="1:10" x14ac:dyDescent="0.25">
      <c r="A11" s="16">
        <v>7</v>
      </c>
      <c r="B11" s="12">
        <f>Daily!$A$5+7*(A11-1)</f>
        <v>43929</v>
      </c>
      <c r="C11" s="12">
        <f>MIN(B11+6,MAX(Daily!$A$5:$A$103))</f>
        <v>43935</v>
      </c>
      <c r="D11" s="16">
        <f t="shared" si="0"/>
        <v>7</v>
      </c>
      <c r="E11" s="14">
        <f>SUMIFS(Daily!$C$5:$C$103,Daily!$A$5:$A$103,"&gt;="&amp;B11,Daily!$A$5:$A$103,"&lt;="&amp;C11)</f>
        <v>2718</v>
      </c>
      <c r="F11" s="14">
        <f>SUMIFS(Daily!$D$5:$D$103,Daily!$A$5:$A$103,"&gt;="&amp;B11,Daily!$A$5:$A$103,"&lt;="&amp;C11)</f>
        <v>52</v>
      </c>
      <c r="G11" s="14">
        <f>SUMIFS(Daily!$E$5:$E$103,Daily!$A$5:$A$103,"&gt;="&amp;B11,Daily!$A$5:$A$103,"&lt;="&amp;C11)</f>
        <v>634</v>
      </c>
      <c r="H11" s="17">
        <f t="shared" si="1"/>
        <v>388.28571428571428</v>
      </c>
      <c r="I11" s="19">
        <f t="shared" si="3"/>
        <v>1.0956052428681571</v>
      </c>
      <c r="J11" s="13" t="str">
        <f t="shared" si="2"/>
        <v>Full week</v>
      </c>
    </row>
    <row r="12" spans="1:10" x14ac:dyDescent="0.25">
      <c r="A12" s="16">
        <v>8</v>
      </c>
      <c r="B12" s="12">
        <f>Daily!$A$5+7*(A12-1)</f>
        <v>43936</v>
      </c>
      <c r="C12" s="12">
        <f>MIN(B12+6,MAX(Daily!$A$5:$A$103))</f>
        <v>43942</v>
      </c>
      <c r="D12" s="16">
        <f t="shared" si="0"/>
        <v>7</v>
      </c>
      <c r="E12" s="14">
        <f>SUMIFS(Daily!$C$5:$C$103,Daily!$A$5:$A$103,"&gt;="&amp;B12,Daily!$A$5:$A$103,"&lt;="&amp;C12)</f>
        <v>3768</v>
      </c>
      <c r="F12" s="14">
        <f>SUMIFS(Daily!$D$5:$D$103,Daily!$A$5:$A$103,"&gt;="&amp;B12,Daily!$A$5:$A$103,"&lt;="&amp;C12)</f>
        <v>101</v>
      </c>
      <c r="G12" s="14">
        <f>SUMIFS(Daily!$E$5:$E$103,Daily!$A$5:$A$103,"&gt;="&amp;B12,Daily!$A$5:$A$103,"&lt;="&amp;C12)</f>
        <v>718</v>
      </c>
      <c r="H12" s="17">
        <f t="shared" si="1"/>
        <v>538.28571428571433</v>
      </c>
      <c r="I12" s="19">
        <f t="shared" si="3"/>
        <v>0.38631346578366443</v>
      </c>
      <c r="J12" s="13" t="str">
        <f t="shared" si="2"/>
        <v>Full week</v>
      </c>
    </row>
    <row r="13" spans="1:10" x14ac:dyDescent="0.25">
      <c r="A13" s="16">
        <v>9</v>
      </c>
      <c r="B13" s="12">
        <f>Daily!$A$5+7*(A13-1)</f>
        <v>43943</v>
      </c>
      <c r="C13" s="12">
        <f>MIN(B13+6,MAX(Daily!$A$5:$A$103))</f>
        <v>43949</v>
      </c>
      <c r="D13" s="16">
        <f t="shared" si="0"/>
        <v>7</v>
      </c>
      <c r="E13" s="14">
        <f>SUMIFS(Daily!$C$5:$C$103,Daily!$A$5:$A$103,"&gt;="&amp;B13,Daily!$A$5:$A$103,"&lt;="&amp;C13)</f>
        <v>4993</v>
      </c>
      <c r="F13" s="14">
        <f>SUMIFS(Daily!$D$5:$D$103,Daily!$A$5:$A$103,"&gt;="&amp;B13,Daily!$A$5:$A$103,"&lt;="&amp;C13)</f>
        <v>86</v>
      </c>
      <c r="G13" s="14">
        <f>SUMIFS(Daily!$E$5:$E$103,Daily!$A$5:$A$103,"&gt;="&amp;B13,Daily!$A$5:$A$103,"&lt;="&amp;C13)</f>
        <v>626</v>
      </c>
      <c r="H13" s="17">
        <f t="shared" si="1"/>
        <v>713.28571428571433</v>
      </c>
      <c r="I13" s="19">
        <f t="shared" si="3"/>
        <v>0.32510615711252644</v>
      </c>
      <c r="J13" s="13" t="str">
        <f t="shared" si="2"/>
        <v>Full week</v>
      </c>
    </row>
    <row r="14" spans="1:10" x14ac:dyDescent="0.25">
      <c r="A14" s="16">
        <v>10</v>
      </c>
      <c r="B14" s="12">
        <f>Daily!$A$5+7*(A14-1)</f>
        <v>43950</v>
      </c>
      <c r="C14" s="12">
        <f>MIN(B14+6,MAX(Daily!$A$5:$A$103))</f>
        <v>43956</v>
      </c>
      <c r="D14" s="16">
        <f t="shared" si="0"/>
        <v>7</v>
      </c>
      <c r="E14" s="14">
        <f>SUMIFS(Daily!$C$5:$C$103,Daily!$A$5:$A$103,"&gt;="&amp;B14,Daily!$A$5:$A$103,"&lt;="&amp;C14)</f>
        <v>7223</v>
      </c>
      <c r="F14" s="14">
        <f>SUMIFS(Daily!$D$5:$D$103,Daily!$A$5:$A$103,"&gt;="&amp;B14,Daily!$A$5:$A$103,"&lt;="&amp;C14)</f>
        <v>163</v>
      </c>
      <c r="G14" s="14">
        <f>SUMIFS(Daily!$E$5:$E$103,Daily!$A$5:$A$103,"&gt;="&amp;B14,Daily!$A$5:$A$103,"&lt;="&amp;C14)</f>
        <v>415</v>
      </c>
      <c r="H14" s="17">
        <f t="shared" si="1"/>
        <v>1031.8571428571429</v>
      </c>
      <c r="I14" s="19">
        <f t="shared" si="3"/>
        <v>0.44662527538553976</v>
      </c>
      <c r="J14" s="13" t="str">
        <f t="shared" si="2"/>
        <v>Full week</v>
      </c>
    </row>
    <row r="15" spans="1:10" x14ac:dyDescent="0.25">
      <c r="A15" s="16">
        <v>11</v>
      </c>
      <c r="B15" s="12">
        <f>Daily!$A$5+7*(A15-1)</f>
        <v>43957</v>
      </c>
      <c r="C15" s="12">
        <f>MIN(B15+6,MAX(Daily!$A$5:$A$103))</f>
        <v>43963</v>
      </c>
      <c r="D15" s="16">
        <f t="shared" si="0"/>
        <v>7</v>
      </c>
      <c r="E15" s="14">
        <f>SUMIFS(Daily!$C$5:$C$103,Daily!$A$5:$A$103,"&gt;="&amp;B15,Daily!$A$5:$A$103,"&lt;="&amp;C15)</f>
        <v>11846</v>
      </c>
      <c r="F15" s="14">
        <f>SUMIFS(Daily!$D$5:$D$103,Daily!$A$5:$A$103,"&gt;="&amp;B15,Daily!$A$5:$A$103,"&lt;="&amp;C15)</f>
        <v>227</v>
      </c>
      <c r="G15" s="14">
        <f>SUMIFS(Daily!$E$5:$E$103,Daily!$A$5:$A$103,"&gt;="&amp;B15,Daily!$A$5:$A$103,"&lt;="&amp;C15)</f>
        <v>721</v>
      </c>
      <c r="H15" s="17">
        <f t="shared" si="1"/>
        <v>1692.2857142857142</v>
      </c>
      <c r="I15" s="19">
        <f t="shared" si="3"/>
        <v>0.64003876505607082</v>
      </c>
      <c r="J15" s="13" t="str">
        <f t="shared" si="2"/>
        <v>Full week</v>
      </c>
    </row>
    <row r="16" spans="1:10" x14ac:dyDescent="0.25">
      <c r="A16" s="16">
        <v>12</v>
      </c>
      <c r="B16" s="12">
        <f>Daily!$A$5+7*(A16-1)</f>
        <v>43964</v>
      </c>
      <c r="C16" s="12">
        <f>MIN(B16+6,MAX(Daily!$A$5:$A$103))</f>
        <v>43970</v>
      </c>
      <c r="D16" s="16">
        <f t="shared" si="0"/>
        <v>7</v>
      </c>
      <c r="E16" s="14">
        <f>SUMIFS(Daily!$C$5:$C$103,Daily!$A$5:$A$103,"&gt;="&amp;B16,Daily!$A$5:$A$103,"&lt;="&amp;C16)</f>
        <v>11397</v>
      </c>
      <c r="F16" s="14">
        <f>SUMIFS(Daily!$D$5:$D$103,Daily!$A$5:$A$103,"&gt;="&amp;B16,Daily!$A$5:$A$103,"&lt;="&amp;C16)</f>
        <v>261</v>
      </c>
      <c r="G16" s="14">
        <f>SUMIFS(Daily!$E$5:$E$103,Daily!$A$5:$A$103,"&gt;="&amp;B16,Daily!$A$5:$A$103,"&lt;="&amp;C16)</f>
        <v>4116</v>
      </c>
      <c r="H16" s="17">
        <f t="shared" si="1"/>
        <v>1628.1428571428571</v>
      </c>
      <c r="I16" s="19">
        <f t="shared" si="3"/>
        <v>-3.7903089650514921E-2</v>
      </c>
      <c r="J16" s="13" t="str">
        <f t="shared" si="2"/>
        <v>Full week</v>
      </c>
    </row>
    <row r="17" spans="1:10" x14ac:dyDescent="0.25">
      <c r="A17" s="16">
        <v>13</v>
      </c>
      <c r="B17" s="12">
        <f>Daily!$A$5+7*(A17-1)</f>
        <v>43971</v>
      </c>
      <c r="C17" s="12">
        <f>MIN(B17+6,MAX(Daily!$A$5:$A$103))</f>
        <v>43977</v>
      </c>
      <c r="D17" s="16">
        <f t="shared" si="0"/>
        <v>7</v>
      </c>
      <c r="E17" s="14">
        <f>SUMIFS(Daily!$C$5:$C$103,Daily!$A$5:$A$103,"&gt;="&amp;B17,Daily!$A$5:$A$103,"&lt;="&amp;C17)</f>
        <v>12982</v>
      </c>
      <c r="F17" s="14">
        <f>SUMIFS(Daily!$D$5:$D$103,Daily!$A$5:$A$103,"&gt;="&amp;B17,Daily!$A$5:$A$103,"&lt;="&amp;C17)</f>
        <v>232</v>
      </c>
      <c r="G17" s="14">
        <f>SUMIFS(Daily!$E$5:$E$103,Daily!$A$5:$A$103,"&gt;="&amp;B17,Daily!$A$5:$A$103,"&lt;="&amp;C17)</f>
        <v>5965</v>
      </c>
      <c r="H17" s="17">
        <f t="shared" si="1"/>
        <v>1854.5714285714287</v>
      </c>
      <c r="I17" s="19">
        <f t="shared" si="3"/>
        <v>0.13907168553128013</v>
      </c>
      <c r="J17" s="13" t="str">
        <f t="shared" si="2"/>
        <v>Full week</v>
      </c>
    </row>
    <row r="18" spans="1:10" x14ac:dyDescent="0.25">
      <c r="A18" s="16">
        <v>14</v>
      </c>
      <c r="B18" s="12">
        <f>Daily!$A$5+7*(A18-1)</f>
        <v>43978</v>
      </c>
      <c r="C18" s="12">
        <f>MIN(B18+6,MAX(Daily!$A$5:$A$103))</f>
        <v>43984</v>
      </c>
      <c r="D18" s="16">
        <f t="shared" si="0"/>
        <v>7</v>
      </c>
      <c r="E18" s="14">
        <f>SUMIFS(Daily!$C$5:$C$103,Daily!$A$5:$A$103,"&gt;="&amp;B18,Daily!$A$5:$A$103,"&lt;="&amp;C18)</f>
        <v>21114</v>
      </c>
      <c r="F18" s="14">
        <f>SUMIFS(Daily!$D$5:$D$103,Daily!$A$5:$A$103,"&gt;="&amp;B18,Daily!$A$5:$A$103,"&lt;="&amp;C18)</f>
        <v>468</v>
      </c>
      <c r="G18" s="14">
        <f>SUMIFS(Daily!$E$5:$E$103,Daily!$A$5:$A$103,"&gt;="&amp;B18,Daily!$A$5:$A$103,"&lt;="&amp;C18)</f>
        <v>9866</v>
      </c>
      <c r="H18" s="17">
        <f t="shared" si="1"/>
        <v>3016.2857142857142</v>
      </c>
      <c r="I18" s="19">
        <f t="shared" si="3"/>
        <v>0.62640579263595741</v>
      </c>
      <c r="J18" s="13" t="str">
        <f t="shared" si="2"/>
        <v>Full week</v>
      </c>
    </row>
    <row r="19" spans="1:10" x14ac:dyDescent="0.25">
      <c r="A19" s="16">
        <v>15</v>
      </c>
      <c r="B19" s="12">
        <f>Daily!$A$5+7*(A19-1)</f>
        <v>43985</v>
      </c>
      <c r="C19" s="12">
        <f>MIN(B19+6,MAX(Daily!$A$5:$A$103))</f>
        <v>43985</v>
      </c>
      <c r="D19" s="16">
        <f t="shared" si="0"/>
        <v>1</v>
      </c>
      <c r="E19" s="14">
        <f>SUMIFS(Daily!$C$5:$C$103,Daily!$A$5:$A$103,"&gt;="&amp;B19,Daily!$A$5:$A$103,"&lt;="&amp;C19)</f>
        <v>4677</v>
      </c>
      <c r="F19" s="14">
        <f>SUMIFS(Daily!$D$5:$D$103,Daily!$A$5:$A$103,"&gt;="&amp;B19,Daily!$A$5:$A$103,"&lt;="&amp;C19)</f>
        <v>82</v>
      </c>
      <c r="G19" s="14">
        <f>SUMIFS(Daily!$E$5:$E$103,Daily!$A$5:$A$103,"&gt;="&amp;B19,Daily!$A$5:$A$103,"&lt;="&amp;C19)</f>
        <v>1205</v>
      </c>
      <c r="H19" s="17">
        <f t="shared" si="1"/>
        <v>4677</v>
      </c>
      <c r="I19" s="19" t="str">
        <f t="shared" si="3"/>
        <v/>
      </c>
      <c r="J19" s="13" t="str">
        <f t="shared" si="2"/>
        <v>Partial</v>
      </c>
    </row>
    <row r="20" spans="1:10" x14ac:dyDescent="0.25">
      <c r="A20" s="20" t="s">
        <v>53</v>
      </c>
      <c r="B20" s="20"/>
      <c r="C20" s="20"/>
      <c r="D20" s="21">
        <f>SUM(D5:D19)</f>
        <v>99</v>
      </c>
      <c r="E20" s="22">
        <f>SUM(E5:E19)</f>
        <v>83985</v>
      </c>
      <c r="F20" s="22">
        <f>SUM(F5:F19)</f>
        <v>1728</v>
      </c>
      <c r="G20" s="22">
        <f>SUM(G5:G19)</f>
        <v>24753</v>
      </c>
      <c r="H20" s="23">
        <f t="shared" si="1"/>
        <v>848.33333333333337</v>
      </c>
      <c r="I20" s="20"/>
      <c r="J20" s="20"/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  <pageSetUpPr fitToPage="1"/>
  </sheetPr>
  <dimension ref="A1:I10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0" customWidth="1"/>
    <col min="3" max="3" width="11" customWidth="1"/>
    <col min="4" max="4" width="10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</cols>
  <sheetData>
    <row r="1" spans="1:9" ht="20.25" x14ac:dyDescent="0.3">
      <c r="A1" s="8" t="s">
        <v>54</v>
      </c>
    </row>
    <row r="2" spans="1:9" x14ac:dyDescent="0.25">
      <c r="A2" s="9" t="s">
        <v>55</v>
      </c>
    </row>
    <row r="4" spans="1:9" ht="31.5" customHeight="1" x14ac:dyDescent="0.25">
      <c r="A4" s="11" t="s">
        <v>56</v>
      </c>
      <c r="B4" s="11" t="s">
        <v>57</v>
      </c>
      <c r="C4" s="11" t="s">
        <v>47</v>
      </c>
      <c r="D4" s="11" t="s">
        <v>48</v>
      </c>
      <c r="E4" s="11" t="s">
        <v>49</v>
      </c>
      <c r="F4" s="11" t="s">
        <v>50</v>
      </c>
      <c r="G4" s="11" t="s">
        <v>58</v>
      </c>
      <c r="H4" s="11" t="s">
        <v>59</v>
      </c>
      <c r="I4" s="11" t="s">
        <v>60</v>
      </c>
    </row>
    <row r="5" spans="1:9" x14ac:dyDescent="0.25">
      <c r="A5" s="24">
        <f>DATE(YEAR(Daily!A5),MONTH(Daily!A5),1)</f>
        <v>43862</v>
      </c>
      <c r="B5" s="16">
        <f>COUNTIFS(Daily!$A$5:$A$103,"&gt;="&amp;A5,Daily!$A$5:$A$103,"&lt;"&amp;EDATE(A5,1))</f>
        <v>4</v>
      </c>
      <c r="C5" s="14">
        <f>SUMIFS(Daily!$C$5:$C$103,Daily!$A$5:$A$103,"&gt;="&amp;A5,Daily!$A$5:$A$103,"&lt;"&amp;EDATE(A5,1))</f>
        <v>5</v>
      </c>
      <c r="D5" s="14">
        <f>SUMIFS(Daily!$D$5:$D$103,Daily!$A$5:$A$103,"&gt;="&amp;A5,Daily!$A$5:$A$103,"&lt;"&amp;EDATE(A5,1))</f>
        <v>0</v>
      </c>
      <c r="E5" s="14">
        <f>SUMIFS(Daily!$E$5:$E$103,Daily!$A$5:$A$103,"&gt;="&amp;A5,Daily!$A$5:$A$103,"&lt;"&amp;EDATE(A5,1))</f>
        <v>0</v>
      </c>
      <c r="F5" s="17">
        <f t="shared" ref="F5:G9" si="0">IF(B5&gt;0,C5/B5,0)</f>
        <v>1.25</v>
      </c>
      <c r="G5" s="15">
        <f t="shared" si="0"/>
        <v>0</v>
      </c>
      <c r="H5" s="19"/>
      <c r="I5" s="15">
        <f>C5/C$10</f>
        <v>5.9534440673929865E-5</v>
      </c>
    </row>
    <row r="6" spans="1:9" x14ac:dyDescent="0.25">
      <c r="A6" s="24">
        <f>EDATE(A5,1)</f>
        <v>43891</v>
      </c>
      <c r="B6" s="16">
        <f>COUNTIFS(Daily!$A$5:$A$103,"&gt;="&amp;A6,Daily!$A$5:$A$103,"&lt;"&amp;EDATE(A6,1))</f>
        <v>31</v>
      </c>
      <c r="C6" s="14">
        <f>SUMIFS(Daily!$C$5:$C$103,Daily!$A$5:$A$103,"&gt;="&amp;A6,Daily!$A$5:$A$103,"&lt;"&amp;EDATE(A6,1))</f>
        <v>1965</v>
      </c>
      <c r="D6" s="14">
        <f>SUMIFS(Daily!$D$5:$D$103,Daily!$A$5:$A$103,"&gt;="&amp;A6,Daily!$A$5:$A$103,"&lt;"&amp;EDATE(A6,1))</f>
        <v>27</v>
      </c>
      <c r="E6" s="14">
        <f>SUMIFS(Daily!$E$5:$E$103,Daily!$A$5:$A$103,"&gt;="&amp;A6,Daily!$A$5:$A$103,"&lt;"&amp;EDATE(A6,1))</f>
        <v>122</v>
      </c>
      <c r="F6" s="17">
        <f t="shared" si="0"/>
        <v>63.387096774193552</v>
      </c>
      <c r="G6" s="15">
        <f t="shared" si="0"/>
        <v>1.3740458015267175E-2</v>
      </c>
      <c r="H6" s="19">
        <f>IF(F5&gt;0,F6/F5-1,"")</f>
        <v>49.70967741935484</v>
      </c>
      <c r="I6" s="15">
        <f>C6/C$10</f>
        <v>2.3397035184854437E-2</v>
      </c>
    </row>
    <row r="7" spans="1:9" x14ac:dyDescent="0.25">
      <c r="A7" s="24">
        <f>EDATE(A6,1)</f>
        <v>43922</v>
      </c>
      <c r="B7" s="16">
        <f>COUNTIFS(Daily!$A$5:$A$103,"&gt;="&amp;A7,Daily!$A$5:$A$103,"&lt;"&amp;EDATE(A7,1))</f>
        <v>30</v>
      </c>
      <c r="C7" s="14">
        <f>SUMIFS(Daily!$C$5:$C$103,Daily!$A$5:$A$103,"&gt;="&amp;A7,Daily!$A$5:$A$103,"&lt;"&amp;EDATE(A7,1))</f>
        <v>14389</v>
      </c>
      <c r="D7" s="14">
        <f>SUMIFS(Daily!$D$5:$D$103,Daily!$A$5:$A$103,"&gt;="&amp;A7,Daily!$A$5:$A$103,"&lt;"&amp;EDATE(A7,1))</f>
        <v>302</v>
      </c>
      <c r="E7" s="14">
        <f>SUMIFS(Daily!$E$5:$E$103,Daily!$A$5:$A$103,"&gt;="&amp;A7,Daily!$A$5:$A$103,"&lt;"&amp;EDATE(A7,1))</f>
        <v>2551</v>
      </c>
      <c r="F7" s="17">
        <f t="shared" si="0"/>
        <v>479.63333333333333</v>
      </c>
      <c r="G7" s="15">
        <f t="shared" si="0"/>
        <v>2.0988254916950447E-2</v>
      </c>
      <c r="H7" s="19">
        <f>IF(F6&gt;0,F7/F6-1,"")</f>
        <v>6.5667345207803214</v>
      </c>
      <c r="I7" s="15">
        <f>C7/C$10</f>
        <v>0.17132821337143536</v>
      </c>
    </row>
    <row r="8" spans="1:9" x14ac:dyDescent="0.25">
      <c r="A8" s="24">
        <f>EDATE(A7,1)</f>
        <v>43952</v>
      </c>
      <c r="B8" s="16">
        <f>COUNTIFS(Daily!$A$5:$A$103,"&gt;="&amp;A8,Daily!$A$5:$A$103,"&lt;"&amp;EDATE(A8,1))</f>
        <v>31</v>
      </c>
      <c r="C8" s="14">
        <f>SUMIFS(Daily!$C$5:$C$103,Daily!$A$5:$A$103,"&gt;="&amp;A8,Daily!$A$5:$A$103,"&lt;"&amp;EDATE(A8,1))</f>
        <v>54835</v>
      </c>
      <c r="D8" s="14">
        <f>SUMIFS(Daily!$D$5:$D$103,Daily!$A$5:$A$103,"&gt;="&amp;A8,Daily!$A$5:$A$103,"&lt;"&amp;EDATE(A8,1))</f>
        <v>1170</v>
      </c>
      <c r="E8" s="14">
        <f>SUMIFS(Daily!$E$5:$E$103,Daily!$A$5:$A$103,"&gt;="&amp;A8,Daily!$A$5:$A$103,"&lt;"&amp;EDATE(A8,1))</f>
        <v>17917</v>
      </c>
      <c r="F8" s="17">
        <f t="shared" si="0"/>
        <v>1768.8709677419354</v>
      </c>
      <c r="G8" s="15">
        <f t="shared" si="0"/>
        <v>2.1336737485182822E-2</v>
      </c>
      <c r="H8" s="19">
        <f>IF(F7&gt;0,F8/F7-1,"")</f>
        <v>2.6879650449828385</v>
      </c>
      <c r="I8" s="15">
        <f>C8/C$10</f>
        <v>0.65291421087098889</v>
      </c>
    </row>
    <row r="9" spans="1:9" x14ac:dyDescent="0.25">
      <c r="A9" s="24">
        <f>EDATE(A8,1)</f>
        <v>43983</v>
      </c>
      <c r="B9" s="16">
        <f>COUNTIFS(Daily!$A$5:$A$103,"&gt;="&amp;A9,Daily!$A$5:$A$103,"&lt;"&amp;EDATE(A9,1))</f>
        <v>3</v>
      </c>
      <c r="C9" s="14">
        <f>SUMIFS(Daily!$C$5:$C$103,Daily!$A$5:$A$103,"&gt;="&amp;A9,Daily!$A$5:$A$103,"&lt;"&amp;EDATE(A9,1))</f>
        <v>12791</v>
      </c>
      <c r="D9" s="14">
        <f>SUMIFS(Daily!$D$5:$D$103,Daily!$A$5:$A$103,"&gt;="&amp;A9,Daily!$A$5:$A$103,"&lt;"&amp;EDATE(A9,1))</f>
        <v>229</v>
      </c>
      <c r="E9" s="14">
        <f>SUMIFS(Daily!$E$5:$E$103,Daily!$A$5:$A$103,"&gt;="&amp;A9,Daily!$A$5:$A$103,"&lt;"&amp;EDATE(A9,1))</f>
        <v>4163</v>
      </c>
      <c r="F9" s="17">
        <f t="shared" si="0"/>
        <v>4263.666666666667</v>
      </c>
      <c r="G9" s="15">
        <f t="shared" si="0"/>
        <v>1.7903213196778987E-2</v>
      </c>
      <c r="H9" s="19">
        <f>IF(F8&gt;0,F9/F8-1,"")</f>
        <v>1.4103887419835268</v>
      </c>
      <c r="I9" s="15">
        <f>C9/C$10</f>
        <v>0.15230100613204739</v>
      </c>
    </row>
    <row r="10" spans="1:9" x14ac:dyDescent="0.25">
      <c r="A10" s="20" t="s">
        <v>53</v>
      </c>
      <c r="B10" s="21">
        <f>SUM(B5:B9)</f>
        <v>99</v>
      </c>
      <c r="C10" s="22">
        <f>SUM(C5:C9)</f>
        <v>83985</v>
      </c>
      <c r="D10" s="22">
        <f>SUM(D5:D9)</f>
        <v>1728</v>
      </c>
      <c r="E10" s="22">
        <f>SUM(E5:E9)</f>
        <v>24753</v>
      </c>
      <c r="F10" s="23">
        <f>C10/B10</f>
        <v>848.33333333333337</v>
      </c>
      <c r="G10" s="25">
        <f>D10/C10</f>
        <v>2.0575102696910163E-2</v>
      </c>
      <c r="H10" s="20"/>
      <c r="I10" s="25">
        <f>SUM(I5:I9)</f>
        <v>1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  <pageSetUpPr fitToPage="1"/>
  </sheetPr>
  <dimension ref="A1:K41"/>
  <sheetViews>
    <sheetView showGridLines="0" zoomScaleNormal="100" workbookViewId="0"/>
  </sheetViews>
  <sheetFormatPr defaultColWidth="8.7109375" defaultRowHeight="15" x14ac:dyDescent="0.25"/>
  <cols>
    <col min="1" max="1" width="34" customWidth="1"/>
    <col min="2" max="2" width="20" customWidth="1"/>
    <col min="3" max="3" width="10" customWidth="1"/>
    <col min="4" max="4" width="14" customWidth="1"/>
    <col min="5" max="5" width="13" customWidth="1"/>
    <col min="6" max="7" width="11" customWidth="1"/>
    <col min="8" max="8" width="9" customWidth="1"/>
    <col min="9" max="9" width="12" customWidth="1"/>
    <col min="10" max="10" width="9" customWidth="1"/>
    <col min="11" max="11" width="14" customWidth="1"/>
  </cols>
  <sheetData>
    <row r="1" spans="1:11" ht="20.25" x14ac:dyDescent="0.3">
      <c r="A1" s="8" t="s">
        <v>61</v>
      </c>
    </row>
    <row r="2" spans="1:11" x14ac:dyDescent="0.25">
      <c r="A2" s="9" t="s">
        <v>62</v>
      </c>
    </row>
    <row r="4" spans="1:11" ht="31.5" customHeight="1" x14ac:dyDescent="0.25">
      <c r="A4" s="11" t="s">
        <v>63</v>
      </c>
      <c r="B4" s="11" t="s">
        <v>47</v>
      </c>
      <c r="C4" s="11" t="s">
        <v>48</v>
      </c>
      <c r="D4" s="11" t="s">
        <v>64</v>
      </c>
      <c r="E4" s="11" t="s">
        <v>65</v>
      </c>
      <c r="F4" s="11" t="s">
        <v>66</v>
      </c>
      <c r="G4" s="11" t="s">
        <v>67</v>
      </c>
      <c r="H4" s="11" t="s">
        <v>58</v>
      </c>
      <c r="I4" s="11" t="s">
        <v>68</v>
      </c>
      <c r="J4" s="11" t="s">
        <v>39</v>
      </c>
      <c r="K4" s="11" t="s">
        <v>69</v>
      </c>
    </row>
    <row r="5" spans="1:11" x14ac:dyDescent="0.25">
      <c r="A5" s="13" t="s">
        <v>70</v>
      </c>
      <c r="B5" s="14">
        <f>SUMIF(Data!$F$2:$F$2797,$A5,Data!$B$2:$B$2797)</f>
        <v>32858</v>
      </c>
      <c r="C5" s="14">
        <f>SUMIF(Data!$F$2:$F$2797,$A5,Data!$C$2:$C$2797)</f>
        <v>546</v>
      </c>
      <c r="D5" s="14">
        <f>SUMIF(Data!$F$2:$F$2797,$A5,Data!$D$2:$D$2797)</f>
        <v>15805</v>
      </c>
      <c r="E5" s="14">
        <f t="shared" ref="E5:E12" si="0">B5-C5-D5</f>
        <v>16507</v>
      </c>
      <c r="F5" s="15">
        <f t="shared" ref="F5:G12" si="1">B5/B$13</f>
        <v>0.39123653033279754</v>
      </c>
      <c r="G5" s="15">
        <f t="shared" si="1"/>
        <v>0.31597222222222221</v>
      </c>
      <c r="H5" s="15">
        <f t="shared" ref="H5:H12" si="2">IF(B5&gt;0,C5/B5,0)</f>
        <v>1.6616957818491693E-2</v>
      </c>
      <c r="I5" s="15">
        <f t="shared" ref="I5:I12" si="3">IF(B5&gt;0,D5/B5,0)</f>
        <v>0.4810091910645809</v>
      </c>
      <c r="J5" s="14">
        <f>COUNTIF(Data!$F$2:$F$2797,$A5)</f>
        <v>529</v>
      </c>
      <c r="K5" s="26">
        <f t="shared" ref="K5:K13" si="4">H5/$H$13</f>
        <v>0.80762453841783843</v>
      </c>
    </row>
    <row r="6" spans="1:11" x14ac:dyDescent="0.25">
      <c r="A6" s="13" t="s">
        <v>71</v>
      </c>
      <c r="B6" s="14">
        <f>SUMIF(Data!$F$2:$F$2797,$A6,Data!$B$2:$B$2797)</f>
        <v>31096</v>
      </c>
      <c r="C6" s="14">
        <f>SUMIF(Data!$F$2:$F$2797,$A6,Data!$C$2:$C$2797)</f>
        <v>593</v>
      </c>
      <c r="D6" s="14">
        <f>SUMIF(Data!$F$2:$F$2797,$A6,Data!$D$2:$D$2797)</f>
        <v>4081</v>
      </c>
      <c r="E6" s="14">
        <f t="shared" si="0"/>
        <v>26422</v>
      </c>
      <c r="F6" s="15">
        <f t="shared" si="1"/>
        <v>0.37025659343930462</v>
      </c>
      <c r="G6" s="15">
        <f t="shared" si="1"/>
        <v>0.34317129629629628</v>
      </c>
      <c r="H6" s="15">
        <f t="shared" si="2"/>
        <v>1.9069976845896577E-2</v>
      </c>
      <c r="I6" s="15">
        <f t="shared" si="3"/>
        <v>0.13123874453305892</v>
      </c>
      <c r="J6" s="14">
        <f>COUNTIF(Data!$F$2:$F$2797,$A6)</f>
        <v>341</v>
      </c>
      <c r="K6" s="26">
        <f t="shared" si="4"/>
        <v>0.92684722534874076</v>
      </c>
    </row>
    <row r="7" spans="1:11" x14ac:dyDescent="0.25">
      <c r="A7" s="13" t="s">
        <v>72</v>
      </c>
      <c r="B7" s="14">
        <f>SUMIF(Data!$F$2:$F$2797,$A7,Data!$B$2:$B$2797)</f>
        <v>10259</v>
      </c>
      <c r="C7" s="14">
        <f>SUMIF(Data!$F$2:$F$2797,$A7,Data!$C$2:$C$2797)</f>
        <v>473</v>
      </c>
      <c r="D7" s="14">
        <f>SUMIF(Data!$F$2:$F$2797,$A7,Data!$D$2:$D$2797)</f>
        <v>1939</v>
      </c>
      <c r="E7" s="14">
        <f t="shared" si="0"/>
        <v>7847</v>
      </c>
      <c r="F7" s="15">
        <f t="shared" si="1"/>
        <v>0.12215276537476931</v>
      </c>
      <c r="G7" s="15">
        <f t="shared" si="1"/>
        <v>0.27372685185185186</v>
      </c>
      <c r="H7" s="15">
        <f t="shared" si="2"/>
        <v>4.6105858270786629E-2</v>
      </c>
      <c r="I7" s="15">
        <f t="shared" si="3"/>
        <v>0.18900477629398577</v>
      </c>
      <c r="J7" s="14">
        <f>COUNTIF(Data!$F$2:$F$2797,$A7)</f>
        <v>1491</v>
      </c>
      <c r="K7" s="26">
        <f t="shared" si="4"/>
        <v>2.2408567748101937</v>
      </c>
    </row>
    <row r="8" spans="1:11" x14ac:dyDescent="0.25">
      <c r="A8" s="13" t="s">
        <v>73</v>
      </c>
      <c r="B8" s="14">
        <f>SUMIF(Data!$F$2:$F$2797,$A8,Data!$B$2:$B$2797)</f>
        <v>5125</v>
      </c>
      <c r="C8" s="14">
        <f>SUMIF(Data!$F$2:$F$2797,$A8,Data!$C$2:$C$2797)</f>
        <v>49</v>
      </c>
      <c r="D8" s="14">
        <f>SUMIF(Data!$F$2:$F$2797,$A8,Data!$D$2:$D$2797)</f>
        <v>1981</v>
      </c>
      <c r="E8" s="14">
        <f t="shared" si="0"/>
        <v>3095</v>
      </c>
      <c r="F8" s="15">
        <f t="shared" si="1"/>
        <v>6.1022801690778117E-2</v>
      </c>
      <c r="G8" s="15">
        <f t="shared" si="1"/>
        <v>2.8356481481481483E-2</v>
      </c>
      <c r="H8" s="15">
        <f t="shared" si="2"/>
        <v>9.5609756097560974E-3</v>
      </c>
      <c r="I8" s="15">
        <f t="shared" si="3"/>
        <v>0.38653658536585367</v>
      </c>
      <c r="J8" s="14">
        <f>COUNTIF(Data!$F$2:$F$2797,$A8)</f>
        <v>83</v>
      </c>
      <c r="K8" s="26">
        <f t="shared" si="4"/>
        <v>0.46468665311653112</v>
      </c>
    </row>
    <row r="9" spans="1:11" x14ac:dyDescent="0.25">
      <c r="A9" s="13" t="s">
        <v>74</v>
      </c>
      <c r="B9" s="14">
        <f>SUMIF(Data!$F$2:$F$2797,$A9,Data!$B$2:$B$2797)</f>
        <v>3523</v>
      </c>
      <c r="C9" s="14">
        <f>SUMIF(Data!$F$2:$F$2797,$A9,Data!$C$2:$C$2797)</f>
        <v>36</v>
      </c>
      <c r="D9" s="14">
        <f>SUMIF(Data!$F$2:$F$2797,$A9,Data!$D$2:$D$2797)</f>
        <v>460</v>
      </c>
      <c r="E9" s="14">
        <f t="shared" si="0"/>
        <v>3027</v>
      </c>
      <c r="F9" s="15">
        <f t="shared" si="1"/>
        <v>4.1947966898850983E-2</v>
      </c>
      <c r="G9" s="15">
        <f t="shared" si="1"/>
        <v>2.0833333333333332E-2</v>
      </c>
      <c r="H9" s="15">
        <f t="shared" si="2"/>
        <v>1.0218563724098779E-2</v>
      </c>
      <c r="I9" s="15">
        <f t="shared" si="3"/>
        <v>0.13057053647459552</v>
      </c>
      <c r="J9" s="14">
        <f>COUNTIF(Data!$F$2:$F$2797,$A9)</f>
        <v>74</v>
      </c>
      <c r="K9" s="26">
        <f t="shared" si="4"/>
        <v>0.49664703377803004</v>
      </c>
    </row>
    <row r="10" spans="1:11" x14ac:dyDescent="0.25">
      <c r="A10" s="13" t="s">
        <v>75</v>
      </c>
      <c r="B10" s="14">
        <f>SUMIF(Data!$F$2:$F$2797,$A10,Data!$B$2:$B$2797)</f>
        <v>786</v>
      </c>
      <c r="C10" s="14">
        <f>SUMIF(Data!$F$2:$F$2797,$A10,Data!$C$2:$C$2797)</f>
        <v>24</v>
      </c>
      <c r="D10" s="14">
        <f>SUMIF(Data!$F$2:$F$2797,$A10,Data!$D$2:$D$2797)</f>
        <v>362</v>
      </c>
      <c r="E10" s="14">
        <f t="shared" si="0"/>
        <v>400</v>
      </c>
      <c r="F10" s="15">
        <f t="shared" si="1"/>
        <v>9.3588140739417746E-3</v>
      </c>
      <c r="G10" s="15">
        <f t="shared" si="1"/>
        <v>1.3888888888888888E-2</v>
      </c>
      <c r="H10" s="15">
        <f t="shared" si="2"/>
        <v>3.0534351145038167E-2</v>
      </c>
      <c r="I10" s="15">
        <f t="shared" si="3"/>
        <v>0.46055979643765904</v>
      </c>
      <c r="J10" s="14">
        <f>COUNTIF(Data!$F$2:$F$2797,$A10)</f>
        <v>188</v>
      </c>
      <c r="K10" s="26">
        <f t="shared" si="4"/>
        <v>1.4840436810856656</v>
      </c>
    </row>
    <row r="11" spans="1:11" x14ac:dyDescent="0.25">
      <c r="A11" s="13" t="s">
        <v>76</v>
      </c>
      <c r="B11" s="14">
        <f>SUMIF(Data!$F$2:$F$2797,$A11,Data!$B$2:$B$2797)</f>
        <v>285</v>
      </c>
      <c r="C11" s="14">
        <f>SUMIF(Data!$F$2:$F$2797,$A11,Data!$C$2:$C$2797)</f>
        <v>6</v>
      </c>
      <c r="D11" s="14">
        <f>SUMIF(Data!$F$2:$F$2797,$A11,Data!$D$2:$D$2797)</f>
        <v>110</v>
      </c>
      <c r="E11" s="14">
        <f t="shared" si="0"/>
        <v>169</v>
      </c>
      <c r="F11" s="15">
        <f t="shared" si="1"/>
        <v>3.3934631184140023E-3</v>
      </c>
      <c r="G11" s="15">
        <f t="shared" si="1"/>
        <v>3.472222222222222E-3</v>
      </c>
      <c r="H11" s="15">
        <f t="shared" si="2"/>
        <v>2.1052631578947368E-2</v>
      </c>
      <c r="I11" s="15">
        <f t="shared" si="3"/>
        <v>0.38596491228070173</v>
      </c>
      <c r="J11" s="14">
        <f>COUNTIF(Data!$F$2:$F$2797,$A11)</f>
        <v>54</v>
      </c>
      <c r="K11" s="26">
        <f t="shared" si="4"/>
        <v>1.0232090643274854</v>
      </c>
    </row>
    <row r="12" spans="1:11" x14ac:dyDescent="0.25">
      <c r="A12" s="13" t="s">
        <v>77</v>
      </c>
      <c r="B12" s="14">
        <f>SUMIF(Data!$F$2:$F$2797,$A12,Data!$B$2:$B$2797)</f>
        <v>53</v>
      </c>
      <c r="C12" s="14">
        <f>SUMIF(Data!$F$2:$F$2797,$A12,Data!$C$2:$C$2797)</f>
        <v>1</v>
      </c>
      <c r="D12" s="14">
        <f>SUMIF(Data!$F$2:$F$2797,$A12,Data!$D$2:$D$2797)</f>
        <v>15</v>
      </c>
      <c r="E12" s="14">
        <f t="shared" si="0"/>
        <v>37</v>
      </c>
      <c r="F12" s="15">
        <f t="shared" si="1"/>
        <v>6.310650711436566E-4</v>
      </c>
      <c r="G12" s="15">
        <f t="shared" si="1"/>
        <v>5.7870370370370367E-4</v>
      </c>
      <c r="H12" s="15">
        <f t="shared" si="2"/>
        <v>1.8867924528301886E-2</v>
      </c>
      <c r="I12" s="15">
        <f t="shared" si="3"/>
        <v>0.28301886792452829</v>
      </c>
      <c r="J12" s="14">
        <f>COUNTIF(Data!$F$2:$F$2797,$A12)</f>
        <v>36</v>
      </c>
      <c r="K12" s="26">
        <f t="shared" si="4"/>
        <v>0.91702699161425572</v>
      </c>
    </row>
    <row r="13" spans="1:11" x14ac:dyDescent="0.25">
      <c r="A13" s="20" t="s">
        <v>78</v>
      </c>
      <c r="B13" s="22">
        <f t="shared" ref="B13:G13" si="5">SUM(B5:B12)</f>
        <v>83985</v>
      </c>
      <c r="C13" s="22">
        <f t="shared" si="5"/>
        <v>1728</v>
      </c>
      <c r="D13" s="22">
        <f t="shared" si="5"/>
        <v>24753</v>
      </c>
      <c r="E13" s="22">
        <f t="shared" si="5"/>
        <v>57504</v>
      </c>
      <c r="F13" s="25">
        <f t="shared" si="5"/>
        <v>0.99999999999999989</v>
      </c>
      <c r="G13" s="25">
        <f t="shared" si="5"/>
        <v>1</v>
      </c>
      <c r="H13" s="25">
        <f>C13/B13</f>
        <v>2.0575102696910163E-2</v>
      </c>
      <c r="I13" s="25">
        <f>D13/B13</f>
        <v>0.29473120200035718</v>
      </c>
      <c r="J13" s="22">
        <f>SUM(J5:J12)</f>
        <v>2796</v>
      </c>
      <c r="K13" s="27">
        <f t="shared" si="4"/>
        <v>1</v>
      </c>
    </row>
    <row r="14" spans="1:11" x14ac:dyDescent="0.25">
      <c r="A14" s="13" t="s">
        <v>79</v>
      </c>
      <c r="B14" s="28">
        <v>1000</v>
      </c>
    </row>
    <row r="15" spans="1:11" x14ac:dyDescent="0.25">
      <c r="A15" s="13" t="s">
        <v>80</v>
      </c>
      <c r="B15" s="13" t="str">
        <f>INDEX(A5:A12,MATCH(C15,H5:H12,0))</f>
        <v>Khyber Pakhtunkhwa</v>
      </c>
      <c r="C15" s="15">
        <f>_xlfn.MAXIFS(H5:H12,B5:B12,"&gt;="&amp;$B$14)</f>
        <v>4.6105858270786629E-2</v>
      </c>
    </row>
    <row r="16" spans="1:11" x14ac:dyDescent="0.25">
      <c r="A16" s="13" t="s">
        <v>81</v>
      </c>
      <c r="B16" s="15">
        <f>_xlfn.MINIFS(I5:I12,B5:B12,"&gt;="&amp;$B$14)</f>
        <v>0.13057053647459552</v>
      </c>
      <c r="C16" s="15">
        <f>_xlfn.MAXIFS(I5:I12,B5:B12,"&gt;="&amp;$B$14)</f>
        <v>0.4810091910645809</v>
      </c>
    </row>
    <row r="17" spans="1:11" ht="27.75" customHeight="1" x14ac:dyDescent="0.25">
      <c r="A17" s="1" t="s">
        <v>82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9" spans="1:11" ht="15.75" x14ac:dyDescent="0.25">
      <c r="A19" s="10" t="s">
        <v>83</v>
      </c>
    </row>
    <row r="20" spans="1:11" ht="31.5" customHeight="1" x14ac:dyDescent="0.25">
      <c r="A20" s="11" t="s">
        <v>63</v>
      </c>
      <c r="B20" s="29">
        <f>Monthly!A5</f>
        <v>43862</v>
      </c>
      <c r="C20" s="29">
        <f>Monthly!A6</f>
        <v>43891</v>
      </c>
      <c r="D20" s="29">
        <f>Monthly!A7</f>
        <v>43922</v>
      </c>
      <c r="E20" s="29">
        <f>Monthly!A8</f>
        <v>43952</v>
      </c>
      <c r="F20" s="29">
        <f>Monthly!A9</f>
        <v>43983</v>
      </c>
      <c r="G20" s="11" t="s">
        <v>53</v>
      </c>
      <c r="H20" s="11" t="s">
        <v>84</v>
      </c>
    </row>
    <row r="21" spans="1:11" x14ac:dyDescent="0.25">
      <c r="A21" s="13" t="str">
        <f t="shared" ref="A21:A28" si="6">A5</f>
        <v>Sindh</v>
      </c>
      <c r="B21" s="14">
        <f>SUMIFS(Data!$B$2:$B$2797,Data!$F$2:$F$2797,$A21,Data!$H$2:$H$2797,B$20)</f>
        <v>3</v>
      </c>
      <c r="C21" s="14">
        <f>SUMIFS(Data!$B$2:$B$2797,Data!$F$2:$F$2797,$A21,Data!$H$2:$H$2797,C$20)</f>
        <v>643</v>
      </c>
      <c r="D21" s="14">
        <f>SUMIFS(Data!$B$2:$B$2797,Data!$F$2:$F$2797,$A21,Data!$H$2:$H$2797,D$20)</f>
        <v>5355</v>
      </c>
      <c r="E21" s="14">
        <f>SUMIFS(Data!$B$2:$B$2797,Data!$F$2:$F$2797,$A21,Data!$H$2:$H$2797,E$20)</f>
        <v>22192</v>
      </c>
      <c r="F21" s="14">
        <f>SUMIFS(Data!$B$2:$B$2797,Data!$F$2:$F$2797,$A21,Data!$H$2:$H$2797,F$20)</f>
        <v>4665</v>
      </c>
      <c r="G21" s="14">
        <f t="shared" ref="G21:G28" si="7">SUM(B21:F21)</f>
        <v>32858</v>
      </c>
      <c r="H21" s="30">
        <f t="shared" ref="H21:H29" si="8">G21-B5</f>
        <v>0</v>
      </c>
    </row>
    <row r="22" spans="1:11" x14ac:dyDescent="0.25">
      <c r="A22" s="13" t="str">
        <f t="shared" si="6"/>
        <v>Punjab</v>
      </c>
      <c r="B22" s="14">
        <f>SUMIFS(Data!$B$2:$B$2797,Data!$F$2:$F$2797,$A22,Data!$H$2:$H$2797,B$20)</f>
        <v>0</v>
      </c>
      <c r="C22" s="14">
        <f>SUMIFS(Data!$B$2:$B$2797,Data!$F$2:$F$2797,$A22,Data!$H$2:$H$2797,C$20)</f>
        <v>674</v>
      </c>
      <c r="D22" s="14">
        <f>SUMIFS(Data!$B$2:$B$2797,Data!$F$2:$F$2797,$A22,Data!$H$2:$H$2797,D$20)</f>
        <v>5658</v>
      </c>
      <c r="E22" s="14">
        <f>SUMIFS(Data!$B$2:$B$2797,Data!$F$2:$F$2797,$A22,Data!$H$2:$H$2797,E$20)</f>
        <v>19900</v>
      </c>
      <c r="F22" s="14">
        <f>SUMIFS(Data!$B$2:$B$2797,Data!$F$2:$F$2797,$A22,Data!$H$2:$H$2797,F$20)</f>
        <v>4864</v>
      </c>
      <c r="G22" s="14">
        <f t="shared" si="7"/>
        <v>31096</v>
      </c>
      <c r="H22" s="30">
        <f t="shared" si="8"/>
        <v>0</v>
      </c>
    </row>
    <row r="23" spans="1:11" x14ac:dyDescent="0.25">
      <c r="A23" s="13" t="str">
        <f t="shared" si="6"/>
        <v>Khyber Pakhtunkhwa</v>
      </c>
      <c r="B23" s="14">
        <f>SUMIFS(Data!$B$2:$B$2797,Data!$F$2:$F$2797,$A23,Data!$H$2:$H$2797,B$20)</f>
        <v>0</v>
      </c>
      <c r="C23" s="14">
        <f>SUMIFS(Data!$B$2:$B$2797,Data!$F$2:$F$2797,$A23,Data!$H$2:$H$2797,C$20)</f>
        <v>249</v>
      </c>
      <c r="D23" s="14">
        <f>SUMIFS(Data!$B$2:$B$2797,Data!$F$2:$F$2797,$A23,Data!$H$2:$H$2797,D$20)</f>
        <v>1969</v>
      </c>
      <c r="E23" s="14">
        <f>SUMIFS(Data!$B$2:$B$2797,Data!$F$2:$F$2797,$A23,Data!$H$2:$H$2797,E$20)</f>
        <v>6711</v>
      </c>
      <c r="F23" s="14">
        <f>SUMIFS(Data!$B$2:$B$2797,Data!$F$2:$F$2797,$A23,Data!$H$2:$H$2797,F$20)</f>
        <v>1330</v>
      </c>
      <c r="G23" s="14">
        <f t="shared" si="7"/>
        <v>10259</v>
      </c>
      <c r="H23" s="30">
        <f t="shared" si="8"/>
        <v>0</v>
      </c>
    </row>
    <row r="24" spans="1:11" x14ac:dyDescent="0.25">
      <c r="A24" s="13" t="str">
        <f t="shared" si="6"/>
        <v>Baluchistan</v>
      </c>
      <c r="B24" s="14">
        <f>SUMIFS(Data!$B$2:$B$2797,Data!$F$2:$F$2797,$A24,Data!$H$2:$H$2797,B$20)</f>
        <v>0</v>
      </c>
      <c r="C24" s="14">
        <f>SUMIFS(Data!$B$2:$B$2797,Data!$F$2:$F$2797,$A24,Data!$H$2:$H$2797,C$20)</f>
        <v>149</v>
      </c>
      <c r="D24" s="14">
        <f>SUMIFS(Data!$B$2:$B$2797,Data!$F$2:$F$2797,$A24,Data!$H$2:$H$2797,D$20)</f>
        <v>883</v>
      </c>
      <c r="E24" s="14">
        <f>SUMIFS(Data!$B$2:$B$2797,Data!$F$2:$F$2797,$A24,Data!$H$2:$H$2797,E$20)</f>
        <v>3262</v>
      </c>
      <c r="F24" s="14">
        <f>SUMIFS(Data!$B$2:$B$2797,Data!$F$2:$F$2797,$A24,Data!$H$2:$H$2797,F$20)</f>
        <v>831</v>
      </c>
      <c r="G24" s="14">
        <f t="shared" si="7"/>
        <v>5125</v>
      </c>
      <c r="H24" s="30">
        <f t="shared" si="8"/>
        <v>0</v>
      </c>
    </row>
    <row r="25" spans="1:11" x14ac:dyDescent="0.25">
      <c r="A25" s="13" t="str">
        <f t="shared" si="6"/>
        <v>Islamabad Capital Territory</v>
      </c>
      <c r="B25" s="14">
        <f>SUMIFS(Data!$B$2:$B$2797,Data!$F$2:$F$2797,$A25,Data!$H$2:$H$2797,B$20)</f>
        <v>2</v>
      </c>
      <c r="C25" s="14">
        <f>SUMIFS(Data!$B$2:$B$2797,Data!$F$2:$F$2797,$A25,Data!$H$2:$H$2797,C$20)</f>
        <v>52</v>
      </c>
      <c r="D25" s="14">
        <f>SUMIFS(Data!$B$2:$B$2797,Data!$F$2:$F$2797,$A25,Data!$H$2:$H$2797,D$20)</f>
        <v>264</v>
      </c>
      <c r="E25" s="14">
        <f>SUMIFS(Data!$B$2:$B$2797,Data!$F$2:$F$2797,$A25,Data!$H$2:$H$2797,E$20)</f>
        <v>2250</v>
      </c>
      <c r="F25" s="14">
        <f>SUMIFS(Data!$B$2:$B$2797,Data!$F$2:$F$2797,$A25,Data!$H$2:$H$2797,F$20)</f>
        <v>955</v>
      </c>
      <c r="G25" s="14">
        <f t="shared" si="7"/>
        <v>3523</v>
      </c>
      <c r="H25" s="30">
        <f t="shared" si="8"/>
        <v>0</v>
      </c>
    </row>
    <row r="26" spans="1:11" x14ac:dyDescent="0.25">
      <c r="A26" s="13" t="str">
        <f t="shared" si="6"/>
        <v>Gilgit-Baltistan</v>
      </c>
      <c r="B26" s="14">
        <f>SUMIFS(Data!$B$2:$B$2797,Data!$F$2:$F$2797,$A26,Data!$H$2:$H$2797,B$20)</f>
        <v>0</v>
      </c>
      <c r="C26" s="14">
        <f>SUMIFS(Data!$B$2:$B$2797,Data!$F$2:$F$2797,$A26,Data!$H$2:$H$2797,C$20)</f>
        <v>187</v>
      </c>
      <c r="D26" s="14">
        <f>SUMIFS(Data!$B$2:$B$2797,Data!$F$2:$F$2797,$A26,Data!$H$2:$H$2797,D$20)</f>
        <v>152</v>
      </c>
      <c r="E26" s="14">
        <f>SUMIFS(Data!$B$2:$B$2797,Data!$F$2:$F$2797,$A26,Data!$H$2:$H$2797,E$20)</f>
        <v>331</v>
      </c>
      <c r="F26" s="14">
        <f>SUMIFS(Data!$B$2:$B$2797,Data!$F$2:$F$2797,$A26,Data!$H$2:$H$2797,F$20)</f>
        <v>116</v>
      </c>
      <c r="G26" s="14">
        <f t="shared" si="7"/>
        <v>786</v>
      </c>
      <c r="H26" s="30">
        <f t="shared" si="8"/>
        <v>0</v>
      </c>
    </row>
    <row r="27" spans="1:11" x14ac:dyDescent="0.25">
      <c r="A27" s="13" t="str">
        <f t="shared" si="6"/>
        <v>Azad Jummu Kashmir</v>
      </c>
      <c r="B27" s="14">
        <f>SUMIFS(Data!$B$2:$B$2797,Data!$F$2:$F$2797,$A27,Data!$H$2:$H$2797,B$20)</f>
        <v>0</v>
      </c>
      <c r="C27" s="14">
        <f>SUMIFS(Data!$B$2:$B$2797,Data!$F$2:$F$2797,$A27,Data!$H$2:$H$2797,C$20)</f>
        <v>6</v>
      </c>
      <c r="D27" s="14">
        <f>SUMIFS(Data!$B$2:$B$2797,Data!$F$2:$F$2797,$A27,Data!$H$2:$H$2797,D$20)</f>
        <v>60</v>
      </c>
      <c r="E27" s="14">
        <f>SUMIFS(Data!$B$2:$B$2797,Data!$F$2:$F$2797,$A27,Data!$H$2:$H$2797,E$20)</f>
        <v>189</v>
      </c>
      <c r="F27" s="14">
        <f>SUMIFS(Data!$B$2:$B$2797,Data!$F$2:$F$2797,$A27,Data!$H$2:$H$2797,F$20)</f>
        <v>30</v>
      </c>
      <c r="G27" s="14">
        <f t="shared" si="7"/>
        <v>285</v>
      </c>
      <c r="H27" s="30">
        <f t="shared" si="8"/>
        <v>0</v>
      </c>
    </row>
    <row r="28" spans="1:11" x14ac:dyDescent="0.25">
      <c r="A28" s="13" t="str">
        <f t="shared" si="6"/>
        <v>Federal Administration Tribal Area</v>
      </c>
      <c r="B28" s="14">
        <f>SUMIFS(Data!$B$2:$B$2797,Data!$F$2:$F$2797,$A28,Data!$H$2:$H$2797,B$20)</f>
        <v>0</v>
      </c>
      <c r="C28" s="14">
        <f>SUMIFS(Data!$B$2:$B$2797,Data!$F$2:$F$2797,$A28,Data!$H$2:$H$2797,C$20)</f>
        <v>5</v>
      </c>
      <c r="D28" s="14">
        <f>SUMIFS(Data!$B$2:$B$2797,Data!$F$2:$F$2797,$A28,Data!$H$2:$H$2797,D$20)</f>
        <v>48</v>
      </c>
      <c r="E28" s="14">
        <f>SUMIFS(Data!$B$2:$B$2797,Data!$F$2:$F$2797,$A28,Data!$H$2:$H$2797,E$20)</f>
        <v>0</v>
      </c>
      <c r="F28" s="14">
        <f>SUMIFS(Data!$B$2:$B$2797,Data!$F$2:$F$2797,$A28,Data!$H$2:$H$2797,F$20)</f>
        <v>0</v>
      </c>
      <c r="G28" s="14">
        <f t="shared" si="7"/>
        <v>53</v>
      </c>
      <c r="H28" s="30">
        <f t="shared" si="8"/>
        <v>0</v>
      </c>
    </row>
    <row r="29" spans="1:11" x14ac:dyDescent="0.25">
      <c r="A29" s="20" t="s">
        <v>78</v>
      </c>
      <c r="B29" s="22">
        <f t="shared" ref="B29:G29" si="9">SUM(B21:B28)</f>
        <v>5</v>
      </c>
      <c r="C29" s="22">
        <f t="shared" si="9"/>
        <v>1965</v>
      </c>
      <c r="D29" s="22">
        <f t="shared" si="9"/>
        <v>14389</v>
      </c>
      <c r="E29" s="22">
        <f t="shared" si="9"/>
        <v>54835</v>
      </c>
      <c r="F29" s="22">
        <f t="shared" si="9"/>
        <v>12791</v>
      </c>
      <c r="G29" s="22">
        <f t="shared" si="9"/>
        <v>83985</v>
      </c>
      <c r="H29" s="31">
        <f t="shared" si="8"/>
        <v>0</v>
      </c>
    </row>
    <row r="32" spans="1:11" ht="15.75" x14ac:dyDescent="0.25">
      <c r="A32" s="10" t="s">
        <v>85</v>
      </c>
    </row>
    <row r="33" spans="1:6" ht="31.5" customHeight="1" x14ac:dyDescent="0.25">
      <c r="A33" s="11" t="s">
        <v>63</v>
      </c>
      <c r="B33" s="29">
        <f>Monthly!A5</f>
        <v>43862</v>
      </c>
      <c r="C33" s="29">
        <f>Monthly!A6</f>
        <v>43891</v>
      </c>
      <c r="D33" s="29">
        <f>Monthly!A7</f>
        <v>43922</v>
      </c>
      <c r="E33" s="29">
        <f>Monthly!A8</f>
        <v>43952</v>
      </c>
      <c r="F33" s="29">
        <f>Monthly!A9</f>
        <v>43983</v>
      </c>
    </row>
    <row r="34" spans="1:6" x14ac:dyDescent="0.25">
      <c r="A34" s="13" t="str">
        <f t="shared" ref="A34:A41" si="10">A5</f>
        <v>Sindh</v>
      </c>
      <c r="B34" s="15">
        <f t="shared" ref="B34:F41" si="11">IF(B$29&gt;0,B21/B$29,0)</f>
        <v>0.6</v>
      </c>
      <c r="C34" s="15">
        <f t="shared" si="11"/>
        <v>0.32722646310432568</v>
      </c>
      <c r="D34" s="15">
        <f t="shared" si="11"/>
        <v>0.37215928834526374</v>
      </c>
      <c r="E34" s="15">
        <f t="shared" si="11"/>
        <v>0.40470502416339926</v>
      </c>
      <c r="F34" s="15">
        <f t="shared" si="11"/>
        <v>0.36470956141036664</v>
      </c>
    </row>
    <row r="35" spans="1:6" x14ac:dyDescent="0.25">
      <c r="A35" s="13" t="str">
        <f t="shared" si="10"/>
        <v>Punjab</v>
      </c>
      <c r="B35" s="15">
        <f t="shared" si="11"/>
        <v>0</v>
      </c>
      <c r="C35" s="15">
        <f t="shared" si="11"/>
        <v>0.3430025445292621</v>
      </c>
      <c r="D35" s="15">
        <f t="shared" si="11"/>
        <v>0.39321704079505176</v>
      </c>
      <c r="E35" s="15">
        <f t="shared" si="11"/>
        <v>0.36290690252575908</v>
      </c>
      <c r="F35" s="15">
        <f t="shared" si="11"/>
        <v>0.38026737549839729</v>
      </c>
    </row>
    <row r="36" spans="1:6" x14ac:dyDescent="0.25">
      <c r="A36" s="13" t="str">
        <f t="shared" si="10"/>
        <v>Khyber Pakhtunkhwa</v>
      </c>
      <c r="B36" s="15">
        <f t="shared" si="11"/>
        <v>0</v>
      </c>
      <c r="C36" s="15">
        <f t="shared" si="11"/>
        <v>0.12671755725190839</v>
      </c>
      <c r="D36" s="15">
        <f t="shared" si="11"/>
        <v>0.13684064215720343</v>
      </c>
      <c r="E36" s="15">
        <f t="shared" si="11"/>
        <v>0.12238533783167685</v>
      </c>
      <c r="F36" s="15">
        <f t="shared" si="11"/>
        <v>0.10397936048784301</v>
      </c>
    </row>
    <row r="37" spans="1:6" x14ac:dyDescent="0.25">
      <c r="A37" s="13" t="str">
        <f t="shared" si="10"/>
        <v>Baluchistan</v>
      </c>
      <c r="B37" s="15">
        <f t="shared" si="11"/>
        <v>0</v>
      </c>
      <c r="C37" s="15">
        <f t="shared" si="11"/>
        <v>7.5826972010178115E-2</v>
      </c>
      <c r="D37" s="15">
        <f t="shared" si="11"/>
        <v>6.1366321495586906E-2</v>
      </c>
      <c r="E37" s="15">
        <f t="shared" si="11"/>
        <v>5.948755356980031E-2</v>
      </c>
      <c r="F37" s="15">
        <f t="shared" si="11"/>
        <v>6.4967555312328978E-2</v>
      </c>
    </row>
    <row r="38" spans="1:6" x14ac:dyDescent="0.25">
      <c r="A38" s="13" t="str">
        <f t="shared" si="10"/>
        <v>Islamabad Capital Territory</v>
      </c>
      <c r="B38" s="15">
        <f t="shared" si="11"/>
        <v>0.4</v>
      </c>
      <c r="C38" s="15">
        <f t="shared" si="11"/>
        <v>2.6463104325699746E-2</v>
      </c>
      <c r="D38" s="15">
        <f t="shared" si="11"/>
        <v>1.8347348669122247E-2</v>
      </c>
      <c r="E38" s="15">
        <f t="shared" si="11"/>
        <v>4.1032187471505423E-2</v>
      </c>
      <c r="F38" s="15">
        <f t="shared" si="11"/>
        <v>7.466187162848878E-2</v>
      </c>
    </row>
    <row r="39" spans="1:6" x14ac:dyDescent="0.25">
      <c r="A39" s="13" t="str">
        <f t="shared" si="10"/>
        <v>Gilgit-Baltistan</v>
      </c>
      <c r="B39" s="15">
        <f t="shared" si="11"/>
        <v>0</v>
      </c>
      <c r="C39" s="15">
        <f t="shared" si="11"/>
        <v>9.5165394402035627E-2</v>
      </c>
      <c r="D39" s="15">
        <f t="shared" si="11"/>
        <v>1.0563624991312809E-2</v>
      </c>
      <c r="E39" s="15">
        <f t="shared" si="11"/>
        <v>6.0362906902525762E-3</v>
      </c>
      <c r="F39" s="15">
        <f t="shared" si="11"/>
        <v>9.0688765538269097E-3</v>
      </c>
    </row>
    <row r="40" spans="1:6" x14ac:dyDescent="0.25">
      <c r="A40" s="13" t="str">
        <f t="shared" si="10"/>
        <v>Azad Jummu Kashmir</v>
      </c>
      <c r="B40" s="15">
        <f t="shared" si="11"/>
        <v>0</v>
      </c>
      <c r="C40" s="15">
        <f t="shared" si="11"/>
        <v>3.0534351145038168E-3</v>
      </c>
      <c r="D40" s="15">
        <f t="shared" si="11"/>
        <v>4.1698519702550556E-3</v>
      </c>
      <c r="E40" s="15">
        <f t="shared" si="11"/>
        <v>3.4467037476064557E-3</v>
      </c>
      <c r="F40" s="15">
        <f t="shared" si="11"/>
        <v>2.3453991087483386E-3</v>
      </c>
    </row>
    <row r="41" spans="1:6" x14ac:dyDescent="0.25">
      <c r="A41" s="13" t="str">
        <f t="shared" si="10"/>
        <v>Federal Administration Tribal Area</v>
      </c>
      <c r="B41" s="15">
        <f t="shared" si="11"/>
        <v>0</v>
      </c>
      <c r="C41" s="15">
        <f t="shared" si="11"/>
        <v>2.5445292620865142E-3</v>
      </c>
      <c r="D41" s="15">
        <f t="shared" si="11"/>
        <v>3.3358815762040447E-3</v>
      </c>
      <c r="E41" s="15">
        <f t="shared" si="11"/>
        <v>0</v>
      </c>
      <c r="F41" s="15">
        <f t="shared" si="11"/>
        <v>0</v>
      </c>
    </row>
  </sheetData>
  <mergeCells count="1">
    <mergeCell ref="A17:K17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  <pageSetUpPr fitToPage="1"/>
  </sheetPr>
  <dimension ref="A1:J23"/>
  <sheetViews>
    <sheetView showGridLines="0" zoomScaleNormal="100" workbookViewId="0"/>
  </sheetViews>
  <sheetFormatPr defaultColWidth="8.7109375" defaultRowHeight="15" x14ac:dyDescent="0.25"/>
  <cols>
    <col min="1" max="1" width="7" customWidth="1"/>
    <col min="2" max="2" width="18" customWidth="1"/>
    <col min="3" max="3" width="30" customWidth="1"/>
    <col min="4" max="5" width="10" customWidth="1"/>
    <col min="6" max="7" width="11" customWidth="1"/>
    <col min="8" max="8" width="13" customWidth="1"/>
    <col min="9" max="9" width="9" customWidth="1"/>
    <col min="10" max="10" width="14" customWidth="1"/>
  </cols>
  <sheetData>
    <row r="1" spans="1:10" ht="20.25" x14ac:dyDescent="0.3">
      <c r="A1" s="8" t="s">
        <v>86</v>
      </c>
    </row>
    <row r="2" spans="1:10" x14ac:dyDescent="0.25">
      <c r="A2" s="9" t="s">
        <v>87</v>
      </c>
    </row>
    <row r="4" spans="1:10" ht="31.5" customHeight="1" x14ac:dyDescent="0.25">
      <c r="A4" s="11" t="s">
        <v>88</v>
      </c>
      <c r="B4" s="11" t="s">
        <v>89</v>
      </c>
      <c r="C4" s="11" t="s">
        <v>63</v>
      </c>
      <c r="D4" s="11" t="s">
        <v>47</v>
      </c>
      <c r="E4" s="11" t="s">
        <v>48</v>
      </c>
      <c r="F4" s="11" t="s">
        <v>64</v>
      </c>
      <c r="G4" s="11" t="s">
        <v>66</v>
      </c>
      <c r="H4" s="11" t="s">
        <v>90</v>
      </c>
      <c r="I4" s="11" t="s">
        <v>58</v>
      </c>
      <c r="J4" s="11" t="s">
        <v>68</v>
      </c>
    </row>
    <row r="5" spans="1:10" x14ac:dyDescent="0.25">
      <c r="A5" s="16">
        <v>1</v>
      </c>
      <c r="B5" s="13" t="s">
        <v>91</v>
      </c>
      <c r="C5" s="13" t="str">
        <f>INDEX(Data!$F$2:$F$2797,MATCH(B5,Data!$G$2:$G$2797,0))</f>
        <v>Sindh</v>
      </c>
      <c r="D5" s="14">
        <f>SUMIF(Data!$G$2:$G$2797,$B5,Data!$B$2:$B$2797)</f>
        <v>29346</v>
      </c>
      <c r="E5" s="14">
        <f>SUMIF(Data!$G$2:$G$2797,$B5,Data!$C$2:$C$2797)</f>
        <v>498</v>
      </c>
      <c r="F5" s="14">
        <f>SUMIF(Data!$G$2:$G$2797,$B5,Data!$D$2:$D$2797)</f>
        <v>13248</v>
      </c>
      <c r="G5" s="15">
        <f t="shared" ref="G5:G20" si="0">D5/D$21</f>
        <v>0.34941953920342916</v>
      </c>
      <c r="H5" s="15">
        <f>SUM(G$5:G5)</f>
        <v>0.34941953920342916</v>
      </c>
      <c r="I5" s="15">
        <f t="shared" ref="I5:I20" si="1">IF(D5&gt;0,E5/D5,0)</f>
        <v>1.696994479656512E-2</v>
      </c>
      <c r="J5" s="15">
        <f t="shared" ref="J5:J20" si="2">IF(D5&gt;0,F5/D5,0)</f>
        <v>0.4514414230218769</v>
      </c>
    </row>
    <row r="6" spans="1:10" x14ac:dyDescent="0.25">
      <c r="A6" s="16">
        <v>2</v>
      </c>
      <c r="B6" s="13" t="s">
        <v>92</v>
      </c>
      <c r="C6" s="13" t="str">
        <f>INDEX(Data!$F$2:$F$2797,MATCH(B6,Data!$G$2:$G$2797,0))</f>
        <v>Punjab</v>
      </c>
      <c r="D6" s="14">
        <f>SUMIF(Data!$G$2:$G$2797,$B6,Data!$B$2:$B$2797)</f>
        <v>28015</v>
      </c>
      <c r="E6" s="14">
        <f>SUMIF(Data!$G$2:$G$2797,$B6,Data!$C$2:$C$2797)</f>
        <v>582</v>
      </c>
      <c r="F6" s="14">
        <f>SUMIF(Data!$G$2:$G$2797,$B6,Data!$D$2:$D$2797)</f>
        <v>3853</v>
      </c>
      <c r="G6" s="15">
        <f t="shared" si="0"/>
        <v>0.33357147109602903</v>
      </c>
      <c r="H6" s="15">
        <f>SUM(G$5:G6)</f>
        <v>0.68299101029945819</v>
      </c>
      <c r="I6" s="15">
        <f t="shared" si="1"/>
        <v>2.0774585043726576E-2</v>
      </c>
      <c r="J6" s="15">
        <f t="shared" si="2"/>
        <v>0.13753346421559878</v>
      </c>
    </row>
    <row r="7" spans="1:10" x14ac:dyDescent="0.25">
      <c r="A7" s="16">
        <v>3</v>
      </c>
      <c r="B7" s="13" t="s">
        <v>93</v>
      </c>
      <c r="C7" s="13" t="str">
        <f>INDEX(Data!$F$2:$F$2797,MATCH(B7,Data!$G$2:$G$2797,0))</f>
        <v>Baluchistan</v>
      </c>
      <c r="D7" s="14">
        <f>SUMIF(Data!$G$2:$G$2797,$B7,Data!$B$2:$B$2797)</f>
        <v>5109</v>
      </c>
      <c r="E7" s="14">
        <f>SUMIF(Data!$G$2:$G$2797,$B7,Data!$C$2:$C$2797)</f>
        <v>49</v>
      </c>
      <c r="F7" s="14">
        <f>SUMIF(Data!$G$2:$G$2797,$B7,Data!$D$2:$D$2797)</f>
        <v>1981</v>
      </c>
      <c r="G7" s="15">
        <f t="shared" si="0"/>
        <v>6.0832291480621539E-2</v>
      </c>
      <c r="H7" s="15">
        <f>SUM(G$5:G7)</f>
        <v>0.74382330178007972</v>
      </c>
      <c r="I7" s="15">
        <f t="shared" si="1"/>
        <v>9.5909179878645532E-3</v>
      </c>
      <c r="J7" s="15">
        <f t="shared" si="2"/>
        <v>0.38774711293795261</v>
      </c>
    </row>
    <row r="8" spans="1:10" x14ac:dyDescent="0.25">
      <c r="A8" s="16">
        <v>4</v>
      </c>
      <c r="B8" s="13" t="s">
        <v>94</v>
      </c>
      <c r="C8" s="13" t="str">
        <f>INDEX(Data!$F$2:$F$2797,MATCH(B8,Data!$G$2:$G$2797,0))</f>
        <v>Khyber Pakhtunkhwa</v>
      </c>
      <c r="D8" s="14">
        <f>SUMIF(Data!$G$2:$G$2797,$B8,Data!$B$2:$B$2797)</f>
        <v>4923</v>
      </c>
      <c r="E8" s="14">
        <f>SUMIF(Data!$G$2:$G$2797,$B8,Data!$C$2:$C$2797)</f>
        <v>265</v>
      </c>
      <c r="F8" s="14">
        <f>SUMIF(Data!$G$2:$G$2797,$B8,Data!$D$2:$D$2797)</f>
        <v>407</v>
      </c>
      <c r="G8" s="15">
        <f t="shared" si="0"/>
        <v>5.8617610287551351E-2</v>
      </c>
      <c r="H8" s="15">
        <f>SUM(G$5:G8)</f>
        <v>0.80244091206763102</v>
      </c>
      <c r="I8" s="15">
        <f t="shared" si="1"/>
        <v>5.3828966077594964E-2</v>
      </c>
      <c r="J8" s="15">
        <f t="shared" si="2"/>
        <v>8.2673166768230749E-2</v>
      </c>
    </row>
    <row r="9" spans="1:10" x14ac:dyDescent="0.25">
      <c r="A9" s="16">
        <v>5</v>
      </c>
      <c r="B9" s="13" t="s">
        <v>95</v>
      </c>
      <c r="C9" s="13" t="str">
        <f>INDEX(Data!$F$2:$F$2797,MATCH(B9,Data!$G$2:$G$2797,0))</f>
        <v>Islamabad Capital Territory</v>
      </c>
      <c r="D9" s="14">
        <f>SUMIF(Data!$G$2:$G$2797,$B9,Data!$B$2:$B$2797)</f>
        <v>3523</v>
      </c>
      <c r="E9" s="14">
        <f>SUMIF(Data!$G$2:$G$2797,$B9,Data!$C$2:$C$2797)</f>
        <v>36</v>
      </c>
      <c r="F9" s="14">
        <f>SUMIF(Data!$G$2:$G$2797,$B9,Data!$D$2:$D$2797)</f>
        <v>460</v>
      </c>
      <c r="G9" s="15">
        <f t="shared" si="0"/>
        <v>4.1947966898850983E-2</v>
      </c>
      <c r="H9" s="15">
        <f>SUM(G$5:G9)</f>
        <v>0.84438887896648196</v>
      </c>
      <c r="I9" s="15">
        <f t="shared" si="1"/>
        <v>1.0218563724098779E-2</v>
      </c>
      <c r="J9" s="15">
        <f t="shared" si="2"/>
        <v>0.13057053647459552</v>
      </c>
    </row>
    <row r="10" spans="1:10" x14ac:dyDescent="0.25">
      <c r="A10" s="16">
        <v>6</v>
      </c>
      <c r="B10" s="13" t="s">
        <v>96</v>
      </c>
      <c r="C10" s="13" t="str">
        <f>INDEX(Data!$F$2:$F$2797,MATCH(B10,Data!$G$2:$G$2797,0))</f>
        <v>Khyber Pakhtunkhwa</v>
      </c>
      <c r="D10" s="14">
        <f>SUMIF(Data!$G$2:$G$2797,$B10,Data!$B$2:$B$2797)</f>
        <v>958</v>
      </c>
      <c r="E10" s="14">
        <f>SUMIF(Data!$G$2:$G$2797,$B10,Data!$C$2:$C$2797)</f>
        <v>45</v>
      </c>
      <c r="F10" s="14">
        <f>SUMIF(Data!$G$2:$G$2797,$B10,Data!$D$2:$D$2797)</f>
        <v>266</v>
      </c>
      <c r="G10" s="15">
        <f t="shared" si="0"/>
        <v>1.1406798833124962E-2</v>
      </c>
      <c r="H10" s="15">
        <f>SUM(G$5:G10)</f>
        <v>0.85579567779960697</v>
      </c>
      <c r="I10" s="15">
        <f t="shared" si="1"/>
        <v>4.697286012526096E-2</v>
      </c>
      <c r="J10" s="15">
        <f t="shared" si="2"/>
        <v>0.27766179540709812</v>
      </c>
    </row>
    <row r="11" spans="1:10" x14ac:dyDescent="0.25">
      <c r="A11" s="16">
        <v>7</v>
      </c>
      <c r="B11" s="13" t="s">
        <v>97</v>
      </c>
      <c r="C11" s="13" t="str">
        <f>INDEX(Data!$F$2:$F$2797,MATCH(B11,Data!$G$2:$G$2797,0))</f>
        <v>Punjab</v>
      </c>
      <c r="D11" s="14">
        <f>SUMIF(Data!$G$2:$G$2797,$B11,Data!$B$2:$B$2797)</f>
        <v>712</v>
      </c>
      <c r="E11" s="14">
        <f>SUMIF(Data!$G$2:$G$2797,$B11,Data!$C$2:$C$2797)</f>
        <v>2</v>
      </c>
      <c r="F11" s="14">
        <f>SUMIF(Data!$G$2:$G$2797,$B11,Data!$D$2:$D$2797)</f>
        <v>1</v>
      </c>
      <c r="G11" s="15">
        <f t="shared" si="0"/>
        <v>8.4777043519676139E-3</v>
      </c>
      <c r="H11" s="15">
        <f>SUM(G$5:G11)</f>
        <v>0.86427338215157457</v>
      </c>
      <c r="I11" s="15">
        <f t="shared" si="1"/>
        <v>2.8089887640449437E-3</v>
      </c>
      <c r="J11" s="15">
        <f t="shared" si="2"/>
        <v>1.4044943820224719E-3</v>
      </c>
    </row>
    <row r="12" spans="1:10" x14ac:dyDescent="0.25">
      <c r="A12" s="16">
        <v>8</v>
      </c>
      <c r="B12" s="13" t="s">
        <v>98</v>
      </c>
      <c r="C12" s="13" t="str">
        <f>INDEX(Data!$F$2:$F$2797,MATCH(B12,Data!$G$2:$G$2797,0))</f>
        <v>Sindh</v>
      </c>
      <c r="D12" s="14">
        <f>SUMIF(Data!$G$2:$G$2797,$B12,Data!$B$2:$B$2797)</f>
        <v>681</v>
      </c>
      <c r="E12" s="14">
        <f>SUMIF(Data!$G$2:$G$2797,$B12,Data!$C$2:$C$2797)</f>
        <v>5</v>
      </c>
      <c r="F12" s="14">
        <f>SUMIF(Data!$G$2:$G$2797,$B12,Data!$D$2:$D$2797)</f>
        <v>488</v>
      </c>
      <c r="G12" s="15">
        <f t="shared" si="0"/>
        <v>8.1085908197892475E-3</v>
      </c>
      <c r="H12" s="15">
        <f>SUM(G$5:G12)</f>
        <v>0.87238197297136377</v>
      </c>
      <c r="I12" s="15">
        <f t="shared" si="1"/>
        <v>7.3421439060205578E-3</v>
      </c>
      <c r="J12" s="15">
        <f t="shared" si="2"/>
        <v>0.71659324522760648</v>
      </c>
    </row>
    <row r="13" spans="1:10" x14ac:dyDescent="0.25">
      <c r="A13" s="16">
        <v>9</v>
      </c>
      <c r="B13" s="13" t="s">
        <v>99</v>
      </c>
      <c r="C13" s="13" t="str">
        <f>INDEX(Data!$F$2:$F$2797,MATCH(B13,Data!$G$2:$G$2797,0))</f>
        <v>Sindh</v>
      </c>
      <c r="D13" s="14">
        <f>SUMIF(Data!$G$2:$G$2797,$B13,Data!$B$2:$B$2797)</f>
        <v>610</v>
      </c>
      <c r="E13" s="14">
        <f>SUMIF(Data!$G$2:$G$2797,$B13,Data!$C$2:$C$2797)</f>
        <v>11</v>
      </c>
      <c r="F13" s="14">
        <f>SUMIF(Data!$G$2:$G$2797,$B13,Data!$D$2:$D$2797)</f>
        <v>459</v>
      </c>
      <c r="G13" s="15">
        <f t="shared" si="0"/>
        <v>7.2632017622194442E-3</v>
      </c>
      <c r="H13" s="15">
        <f>SUM(G$5:G13)</f>
        <v>0.87964517473358317</v>
      </c>
      <c r="I13" s="15">
        <f t="shared" si="1"/>
        <v>1.8032786885245903E-2</v>
      </c>
      <c r="J13" s="15">
        <f t="shared" si="2"/>
        <v>0.75245901639344259</v>
      </c>
    </row>
    <row r="14" spans="1:10" x14ac:dyDescent="0.25">
      <c r="A14" s="16">
        <v>10</v>
      </c>
      <c r="B14" s="13" t="s">
        <v>100</v>
      </c>
      <c r="C14" s="13" t="str">
        <f>INDEX(Data!$F$2:$F$2797,MATCH(B14,Data!$G$2:$G$2797,0))</f>
        <v>Punjab</v>
      </c>
      <c r="D14" s="14">
        <f>SUMIF(Data!$G$2:$G$2797,$B14,Data!$B$2:$B$2797)</f>
        <v>546</v>
      </c>
      <c r="E14" s="14">
        <f>SUMIF(Data!$G$2:$G$2797,$B14,Data!$C$2:$C$2797)</f>
        <v>1</v>
      </c>
      <c r="F14" s="14">
        <f>SUMIF(Data!$G$2:$G$2797,$B14,Data!$D$2:$D$2797)</f>
        <v>1</v>
      </c>
      <c r="G14" s="15">
        <f t="shared" si="0"/>
        <v>6.5011609215931418E-3</v>
      </c>
      <c r="H14" s="15">
        <f>SUM(G$5:G14)</f>
        <v>0.88614633565517631</v>
      </c>
      <c r="I14" s="15">
        <f t="shared" si="1"/>
        <v>1.8315018315018315E-3</v>
      </c>
      <c r="J14" s="15">
        <f t="shared" si="2"/>
        <v>1.8315018315018315E-3</v>
      </c>
    </row>
    <row r="15" spans="1:10" x14ac:dyDescent="0.25">
      <c r="A15" s="16">
        <v>11</v>
      </c>
      <c r="B15" s="13" t="s">
        <v>101</v>
      </c>
      <c r="C15" s="13" t="str">
        <f>INDEX(Data!$F$2:$F$2797,MATCH(B15,Data!$G$2:$G$2797,0))</f>
        <v>Khyber Pakhtunkhwa</v>
      </c>
      <c r="D15" s="14">
        <f>SUMIF(Data!$G$2:$G$2797,$B15,Data!$B$2:$B$2797)</f>
        <v>486</v>
      </c>
      <c r="E15" s="14">
        <f>SUMIF(Data!$G$2:$G$2797,$B15,Data!$C$2:$C$2797)</f>
        <v>16</v>
      </c>
      <c r="F15" s="14">
        <f>SUMIF(Data!$G$2:$G$2797,$B15,Data!$D$2:$D$2797)</f>
        <v>99</v>
      </c>
      <c r="G15" s="15">
        <f t="shared" si="0"/>
        <v>5.786747633505983E-3</v>
      </c>
      <c r="H15" s="15">
        <f>SUM(G$5:G15)</f>
        <v>0.89193308328868226</v>
      </c>
      <c r="I15" s="15">
        <f t="shared" si="1"/>
        <v>3.292181069958848E-2</v>
      </c>
      <c r="J15" s="15">
        <f t="shared" si="2"/>
        <v>0.20370370370370369</v>
      </c>
    </row>
    <row r="16" spans="1:10" x14ac:dyDescent="0.25">
      <c r="A16" s="16">
        <v>12</v>
      </c>
      <c r="B16" s="13" t="s">
        <v>102</v>
      </c>
      <c r="C16" s="13" t="str">
        <f>INDEX(Data!$F$2:$F$2797,MATCH(B16,Data!$G$2:$G$2797,0))</f>
        <v>Khyber Pakhtunkhwa</v>
      </c>
      <c r="D16" s="14">
        <f>SUMIF(Data!$G$2:$G$2797,$B16,Data!$B$2:$B$2797)</f>
        <v>473</v>
      </c>
      <c r="E16" s="14">
        <f>SUMIF(Data!$G$2:$G$2797,$B16,Data!$C$2:$C$2797)</f>
        <v>24</v>
      </c>
      <c r="F16" s="14">
        <f>SUMIF(Data!$G$2:$G$2797,$B16,Data!$D$2:$D$2797)</f>
        <v>146</v>
      </c>
      <c r="G16" s="15">
        <f t="shared" si="0"/>
        <v>5.6319580877537655E-3</v>
      </c>
      <c r="H16" s="15">
        <f>SUM(G$5:G16)</f>
        <v>0.897565041376436</v>
      </c>
      <c r="I16" s="15">
        <f t="shared" si="1"/>
        <v>5.0739957716701901E-2</v>
      </c>
      <c r="J16" s="15">
        <f t="shared" si="2"/>
        <v>0.30866807610993657</v>
      </c>
    </row>
    <row r="17" spans="1:10" x14ac:dyDescent="0.25">
      <c r="A17" s="16">
        <v>13</v>
      </c>
      <c r="B17" s="13" t="s">
        <v>103</v>
      </c>
      <c r="C17" s="13" t="str">
        <f>INDEX(Data!$F$2:$F$2797,MATCH(B17,Data!$G$2:$G$2797,0))</f>
        <v>Gilgit-Baltistan</v>
      </c>
      <c r="D17" s="14">
        <f>SUMIF(Data!$G$2:$G$2797,$B17,Data!$B$2:$B$2797)</f>
        <v>402</v>
      </c>
      <c r="E17" s="14">
        <f>SUMIF(Data!$G$2:$G$2797,$B17,Data!$C$2:$C$2797)</f>
        <v>8</v>
      </c>
      <c r="F17" s="14">
        <f>SUMIF(Data!$G$2:$G$2797,$B17,Data!$D$2:$D$2797)</f>
        <v>121</v>
      </c>
      <c r="G17" s="15">
        <f t="shared" si="0"/>
        <v>4.7865690301839613E-3</v>
      </c>
      <c r="H17" s="15">
        <f>SUM(G$5:G17)</f>
        <v>0.90235161040661993</v>
      </c>
      <c r="I17" s="15">
        <f t="shared" si="1"/>
        <v>1.9900497512437811E-2</v>
      </c>
      <c r="J17" s="15">
        <f t="shared" si="2"/>
        <v>0.30099502487562191</v>
      </c>
    </row>
    <row r="18" spans="1:10" x14ac:dyDescent="0.25">
      <c r="A18" s="16">
        <v>14</v>
      </c>
      <c r="B18" s="13" t="s">
        <v>104</v>
      </c>
      <c r="C18" s="13" t="str">
        <f>INDEX(Data!$F$2:$F$2797,MATCH(B18,Data!$G$2:$G$2797,0))</f>
        <v>Sindh</v>
      </c>
      <c r="D18" s="14">
        <f>SUMIF(Data!$G$2:$G$2797,$B18,Data!$B$2:$B$2797)</f>
        <v>398</v>
      </c>
      <c r="E18" s="14">
        <f>SUMIF(Data!$G$2:$G$2797,$B18,Data!$C$2:$C$2797)</f>
        <v>3</v>
      </c>
      <c r="F18" s="14">
        <f>SUMIF(Data!$G$2:$G$2797,$B18,Data!$D$2:$D$2797)</f>
        <v>282</v>
      </c>
      <c r="G18" s="15">
        <f t="shared" si="0"/>
        <v>4.7389414776448178E-3</v>
      </c>
      <c r="H18" s="15">
        <f>SUM(G$5:G18)</f>
        <v>0.9070905518842648</v>
      </c>
      <c r="I18" s="15">
        <f t="shared" si="1"/>
        <v>7.537688442211055E-3</v>
      </c>
      <c r="J18" s="15">
        <f t="shared" si="2"/>
        <v>0.70854271356783916</v>
      </c>
    </row>
    <row r="19" spans="1:10" x14ac:dyDescent="0.25">
      <c r="A19" s="16">
        <v>15</v>
      </c>
      <c r="B19" s="13" t="s">
        <v>105</v>
      </c>
      <c r="C19" s="13" t="str">
        <f>INDEX(Data!$F$2:$F$2797,MATCH(B19,Data!$G$2:$G$2797,0))</f>
        <v>Sindh</v>
      </c>
      <c r="D19" s="14">
        <f>SUMIF(Data!$G$2:$G$2797,$B19,Data!$B$2:$B$2797)</f>
        <v>376</v>
      </c>
      <c r="E19" s="14">
        <f>SUMIF(Data!$G$2:$G$2797,$B19,Data!$C$2:$C$2797)</f>
        <v>1</v>
      </c>
      <c r="F19" s="14">
        <f>SUMIF(Data!$G$2:$G$2797,$B19,Data!$D$2:$D$2797)</f>
        <v>146</v>
      </c>
      <c r="G19" s="15">
        <f t="shared" si="0"/>
        <v>4.4769899386795263E-3</v>
      </c>
      <c r="H19" s="15">
        <f>SUM(G$5:G19)</f>
        <v>0.9115675418229443</v>
      </c>
      <c r="I19" s="15">
        <f t="shared" si="1"/>
        <v>2.6595744680851063E-3</v>
      </c>
      <c r="J19" s="15">
        <f t="shared" si="2"/>
        <v>0.38829787234042551</v>
      </c>
    </row>
    <row r="20" spans="1:10" x14ac:dyDescent="0.25">
      <c r="A20" s="13"/>
      <c r="B20" s="13" t="s">
        <v>106</v>
      </c>
      <c r="C20" s="13"/>
      <c r="D20" s="14">
        <f>D21-SUM(D5:D19)</f>
        <v>7427</v>
      </c>
      <c r="E20" s="14">
        <f>E21-SUM(E5:E19)</f>
        <v>182</v>
      </c>
      <c r="F20" s="14">
        <f>F21-SUM(F5:F19)</f>
        <v>2795</v>
      </c>
      <c r="G20" s="15">
        <f t="shared" si="0"/>
        <v>8.8432458177055431E-2</v>
      </c>
      <c r="H20" s="15">
        <f>H19+G20</f>
        <v>0.99999999999999978</v>
      </c>
      <c r="I20" s="15">
        <f t="shared" si="1"/>
        <v>2.4505183788878417E-2</v>
      </c>
      <c r="J20" s="15">
        <f t="shared" si="2"/>
        <v>0.37632960818634709</v>
      </c>
    </row>
    <row r="21" spans="1:10" x14ac:dyDescent="0.25">
      <c r="A21" s="20"/>
      <c r="B21" s="20" t="s">
        <v>78</v>
      </c>
      <c r="C21" s="20"/>
      <c r="D21" s="22">
        <f>SUM(Data!$B$2:$B$2797)</f>
        <v>83985</v>
      </c>
      <c r="E21" s="22">
        <f>SUM(Data!$C$2:$C$2797)</f>
        <v>1728</v>
      </c>
      <c r="F21" s="22">
        <f>SUM(Data!$D$2:$D$2797)</f>
        <v>24753</v>
      </c>
      <c r="G21" s="25">
        <f>SUM(G5:G20)</f>
        <v>0.99999999999999978</v>
      </c>
      <c r="H21" s="20"/>
      <c r="I21" s="25">
        <f>E21/D21</f>
        <v>2.0575102696910163E-2</v>
      </c>
      <c r="J21" s="25">
        <f>F21/D21</f>
        <v>0.29473120200035718</v>
      </c>
    </row>
    <row r="23" spans="1:10" ht="39.75" customHeight="1" x14ac:dyDescent="0.25">
      <c r="A23" s="1" t="s">
        <v>107</v>
      </c>
      <c r="B23" s="1"/>
      <c r="C23" s="1"/>
      <c r="D23" s="1"/>
      <c r="E23" s="1"/>
      <c r="F23" s="1"/>
      <c r="G23" s="1"/>
      <c r="H23" s="1"/>
      <c r="I23" s="1"/>
      <c r="J23" s="1"/>
    </row>
  </sheetData>
  <mergeCells count="1">
    <mergeCell ref="A23:J23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  <pageSetUpPr fitToPage="1"/>
  </sheetPr>
  <dimension ref="A1:G30"/>
  <sheetViews>
    <sheetView showGridLines="0" zoomScaleNormal="100" workbookViewId="0"/>
  </sheetViews>
  <sheetFormatPr defaultColWidth="8.7109375" defaultRowHeight="15" x14ac:dyDescent="0.25"/>
  <cols>
    <col min="1" max="1" width="26" customWidth="1"/>
    <col min="2" max="2" width="24" customWidth="1"/>
    <col min="3" max="5" width="10" customWidth="1"/>
    <col min="6" max="6" width="12" customWidth="1"/>
    <col min="7" max="7" width="9" customWidth="1"/>
  </cols>
  <sheetData>
    <row r="1" spans="1:7" ht="20.25" x14ac:dyDescent="0.3">
      <c r="A1" s="8" t="s">
        <v>108</v>
      </c>
    </row>
    <row r="2" spans="1:7" x14ac:dyDescent="0.25">
      <c r="A2" s="9" t="s">
        <v>109</v>
      </c>
    </row>
    <row r="4" spans="1:7" ht="31.5" customHeight="1" x14ac:dyDescent="0.25">
      <c r="A4" s="11" t="s">
        <v>110</v>
      </c>
      <c r="B4" s="11" t="s">
        <v>111</v>
      </c>
      <c r="C4" s="11" t="s">
        <v>47</v>
      </c>
      <c r="D4" s="11" t="s">
        <v>48</v>
      </c>
      <c r="E4" s="11" t="s">
        <v>39</v>
      </c>
      <c r="F4" s="11" t="s">
        <v>66</v>
      </c>
      <c r="G4" s="11" t="s">
        <v>58</v>
      </c>
    </row>
    <row r="5" spans="1:7" x14ac:dyDescent="0.25">
      <c r="A5" s="13" t="s">
        <v>112</v>
      </c>
      <c r="B5" s="32" t="s">
        <v>113</v>
      </c>
      <c r="C5" s="14">
        <f>SUMIF(Data!$E$2:$E$2797,$A5,Data!$B$2:$B$2797)</f>
        <v>78118</v>
      </c>
      <c r="D5" s="14">
        <f>SUMIF(Data!$E$2:$E$2797,$A5,Data!$C$2:$C$2797)</f>
        <v>1627</v>
      </c>
      <c r="E5" s="14">
        <f>COUNTIF(Data!$E$2:$E$2797,$A5)</f>
        <v>2533</v>
      </c>
      <c r="F5" s="15">
        <f t="shared" ref="F5:F19" si="0">C5/C$20</f>
        <v>0.93014228731321069</v>
      </c>
      <c r="G5" s="15">
        <f t="shared" ref="G5:G19" si="1">IF(C5&gt;0,D5/C5,0)</f>
        <v>2.0827466140966231E-2</v>
      </c>
    </row>
    <row r="6" spans="1:7" x14ac:dyDescent="0.25">
      <c r="A6" s="13" t="s">
        <v>114</v>
      </c>
      <c r="B6" s="32" t="s">
        <v>115</v>
      </c>
      <c r="C6" s="14">
        <f>SUMIF(Data!$E$2:$E$2797,$A6,Data!$B$2:$B$2797)</f>
        <v>3459</v>
      </c>
      <c r="D6" s="14">
        <f>SUMIF(Data!$E$2:$E$2797,$A6,Data!$C$2:$C$2797)</f>
        <v>84</v>
      </c>
      <c r="E6" s="14">
        <f>COUNTIF(Data!$E$2:$E$2797,$A6)</f>
        <v>123</v>
      </c>
      <c r="F6" s="15">
        <f t="shared" si="0"/>
        <v>4.118592605822468E-2</v>
      </c>
      <c r="G6" s="15">
        <f t="shared" si="1"/>
        <v>2.4284475281873375E-2</v>
      </c>
    </row>
    <row r="7" spans="1:7" x14ac:dyDescent="0.25">
      <c r="A7" s="13" t="s">
        <v>116</v>
      </c>
      <c r="B7" s="32" t="s">
        <v>117</v>
      </c>
      <c r="C7" s="14">
        <f>SUMIF(Data!$E$2:$E$2797,$A7,Data!$B$2:$B$2797)</f>
        <v>1115</v>
      </c>
      <c r="D7" s="14">
        <f>SUMIF(Data!$E$2:$E$2797,$A7,Data!$C$2:$C$2797)</f>
        <v>5</v>
      </c>
      <c r="E7" s="14">
        <f>COUNTIF(Data!$E$2:$E$2797,$A7)</f>
        <v>23</v>
      </c>
      <c r="F7" s="15">
        <f t="shared" si="0"/>
        <v>1.3276180270286361E-2</v>
      </c>
      <c r="G7" s="15">
        <f t="shared" si="1"/>
        <v>4.4843049327354259E-3</v>
      </c>
    </row>
    <row r="8" spans="1:7" x14ac:dyDescent="0.25">
      <c r="A8" s="13" t="s">
        <v>118</v>
      </c>
      <c r="B8" s="32" t="s">
        <v>119</v>
      </c>
      <c r="C8" s="14">
        <f>SUMIF(Data!$E$2:$E$2797,$A8,Data!$B$2:$B$2797)</f>
        <v>1053</v>
      </c>
      <c r="D8" s="14">
        <f>SUMIF(Data!$E$2:$E$2797,$A8,Data!$C$2:$C$2797)</f>
        <v>11</v>
      </c>
      <c r="E8" s="14">
        <f>COUNTIF(Data!$E$2:$E$2797,$A8)</f>
        <v>88</v>
      </c>
      <c r="F8" s="15">
        <f t="shared" si="0"/>
        <v>1.253795320592963E-2</v>
      </c>
      <c r="G8" s="15">
        <f t="shared" si="1"/>
        <v>1.0446343779677113E-2</v>
      </c>
    </row>
    <row r="9" spans="1:7" x14ac:dyDescent="0.25">
      <c r="A9" s="13" t="s">
        <v>120</v>
      </c>
      <c r="B9" s="32" t="s">
        <v>117</v>
      </c>
      <c r="C9" s="14">
        <f>SUMIF(Data!$E$2:$E$2797,$A9,Data!$B$2:$B$2797)</f>
        <v>107</v>
      </c>
      <c r="D9" s="14">
        <f>SUMIF(Data!$E$2:$E$2797,$A9,Data!$C$2:$C$2797)</f>
        <v>0</v>
      </c>
      <c r="E9" s="14">
        <f>COUNTIF(Data!$E$2:$E$2797,$A9)</f>
        <v>5</v>
      </c>
      <c r="F9" s="15">
        <f t="shared" si="0"/>
        <v>1.2740370304220991E-3</v>
      </c>
      <c r="G9" s="15">
        <f t="shared" si="1"/>
        <v>0</v>
      </c>
    </row>
    <row r="10" spans="1:7" x14ac:dyDescent="0.25">
      <c r="A10" s="13" t="s">
        <v>121</v>
      </c>
      <c r="B10" s="32" t="s">
        <v>119</v>
      </c>
      <c r="C10" s="14">
        <f>SUMIF(Data!$E$2:$E$2797,$A10,Data!$B$2:$B$2797)</f>
        <v>70</v>
      </c>
      <c r="D10" s="14">
        <f>SUMIF(Data!$E$2:$E$2797,$A10,Data!$C$2:$C$2797)</f>
        <v>0</v>
      </c>
      <c r="E10" s="14">
        <f>COUNTIF(Data!$E$2:$E$2797,$A10)</f>
        <v>5</v>
      </c>
      <c r="F10" s="15">
        <f t="shared" si="0"/>
        <v>8.3348216943501818E-4</v>
      </c>
      <c r="G10" s="15">
        <f t="shared" si="1"/>
        <v>0</v>
      </c>
    </row>
    <row r="11" spans="1:7" x14ac:dyDescent="0.25">
      <c r="A11" s="13" t="s">
        <v>122</v>
      </c>
      <c r="B11" s="32" t="s">
        <v>119</v>
      </c>
      <c r="C11" s="14">
        <f>SUMIF(Data!$E$2:$E$2797,$A11,Data!$B$2:$B$2797)</f>
        <v>38</v>
      </c>
      <c r="D11" s="14">
        <f>SUMIF(Data!$E$2:$E$2797,$A11,Data!$C$2:$C$2797)</f>
        <v>0</v>
      </c>
      <c r="E11" s="14">
        <f>COUNTIF(Data!$E$2:$E$2797,$A11)</f>
        <v>5</v>
      </c>
      <c r="F11" s="15">
        <f t="shared" si="0"/>
        <v>4.52461749121867E-4</v>
      </c>
      <c r="G11" s="15">
        <f t="shared" si="1"/>
        <v>0</v>
      </c>
    </row>
    <row r="12" spans="1:7" x14ac:dyDescent="0.25">
      <c r="A12" s="13" t="s">
        <v>123</v>
      </c>
      <c r="B12" s="32" t="s">
        <v>119</v>
      </c>
      <c r="C12" s="14">
        <f>SUMIF(Data!$E$2:$E$2797,$A12,Data!$B$2:$B$2797)</f>
        <v>7</v>
      </c>
      <c r="D12" s="14">
        <f>SUMIF(Data!$E$2:$E$2797,$A12,Data!$C$2:$C$2797)</f>
        <v>0</v>
      </c>
      <c r="E12" s="14">
        <f>COUNTIF(Data!$E$2:$E$2797,$A12)</f>
        <v>2</v>
      </c>
      <c r="F12" s="15">
        <f t="shared" si="0"/>
        <v>8.3348216943501821E-5</v>
      </c>
      <c r="G12" s="15">
        <f t="shared" si="1"/>
        <v>0</v>
      </c>
    </row>
    <row r="13" spans="1:7" x14ac:dyDescent="0.25">
      <c r="A13" s="13" t="s">
        <v>124</v>
      </c>
      <c r="B13" s="32" t="s">
        <v>119</v>
      </c>
      <c r="C13" s="14">
        <f>SUMIF(Data!$E$2:$E$2797,$A13,Data!$B$2:$B$2797)</f>
        <v>6</v>
      </c>
      <c r="D13" s="14">
        <f>SUMIF(Data!$E$2:$E$2797,$A13,Data!$C$2:$C$2797)</f>
        <v>1</v>
      </c>
      <c r="E13" s="14">
        <f>COUNTIF(Data!$E$2:$E$2797,$A13)</f>
        <v>2</v>
      </c>
      <c r="F13" s="15">
        <f t="shared" si="0"/>
        <v>7.1441328808715846E-5</v>
      </c>
      <c r="G13" s="15">
        <f t="shared" si="1"/>
        <v>0.16666666666666666</v>
      </c>
    </row>
    <row r="14" spans="1:7" x14ac:dyDescent="0.25">
      <c r="A14" s="13" t="s">
        <v>125</v>
      </c>
      <c r="B14" s="32" t="s">
        <v>119</v>
      </c>
      <c r="C14" s="14">
        <f>SUMIF(Data!$E$2:$E$2797,$A14,Data!$B$2:$B$2797)</f>
        <v>5</v>
      </c>
      <c r="D14" s="14">
        <f>SUMIF(Data!$E$2:$E$2797,$A14,Data!$C$2:$C$2797)</f>
        <v>0</v>
      </c>
      <c r="E14" s="14">
        <f>COUNTIF(Data!$E$2:$E$2797,$A14)</f>
        <v>3</v>
      </c>
      <c r="F14" s="15">
        <f t="shared" si="0"/>
        <v>5.9534440673929865E-5</v>
      </c>
      <c r="G14" s="15">
        <f t="shared" si="1"/>
        <v>0</v>
      </c>
    </row>
    <row r="15" spans="1:7" x14ac:dyDescent="0.25">
      <c r="A15" s="13" t="s">
        <v>126</v>
      </c>
      <c r="B15" s="32" t="s">
        <v>119</v>
      </c>
      <c r="C15" s="14">
        <f>SUMIF(Data!$E$2:$E$2797,$A15,Data!$B$2:$B$2797)</f>
        <v>2</v>
      </c>
      <c r="D15" s="14">
        <f>SUMIF(Data!$E$2:$E$2797,$A15,Data!$C$2:$C$2797)</f>
        <v>0</v>
      </c>
      <c r="E15" s="14">
        <f>COUNTIF(Data!$E$2:$E$2797,$A15)</f>
        <v>2</v>
      </c>
      <c r="F15" s="15">
        <f t="shared" si="0"/>
        <v>2.3813776269571949E-5</v>
      </c>
      <c r="G15" s="15">
        <f t="shared" si="1"/>
        <v>0</v>
      </c>
    </row>
    <row r="16" spans="1:7" x14ac:dyDescent="0.25">
      <c r="A16" s="13" t="s">
        <v>127</v>
      </c>
      <c r="B16" s="32" t="s">
        <v>119</v>
      </c>
      <c r="C16" s="14">
        <f>SUMIF(Data!$E$2:$E$2797,$A16,Data!$B$2:$B$2797)</f>
        <v>2</v>
      </c>
      <c r="D16" s="14">
        <f>SUMIF(Data!$E$2:$E$2797,$A16,Data!$C$2:$C$2797)</f>
        <v>0</v>
      </c>
      <c r="E16" s="14">
        <f>COUNTIF(Data!$E$2:$E$2797,$A16)</f>
        <v>1</v>
      </c>
      <c r="F16" s="15">
        <f t="shared" si="0"/>
        <v>2.3813776269571949E-5</v>
      </c>
      <c r="G16" s="15">
        <f t="shared" si="1"/>
        <v>0</v>
      </c>
    </row>
    <row r="17" spans="1:7" x14ac:dyDescent="0.25">
      <c r="A17" s="13" t="s">
        <v>128</v>
      </c>
      <c r="B17" s="32" t="s">
        <v>119</v>
      </c>
      <c r="C17" s="14">
        <f>SUMIF(Data!$E$2:$E$2797,$A17,Data!$B$2:$B$2797)</f>
        <v>1</v>
      </c>
      <c r="D17" s="14">
        <f>SUMIF(Data!$E$2:$E$2797,$A17,Data!$C$2:$C$2797)</f>
        <v>0</v>
      </c>
      <c r="E17" s="14">
        <f>COUNTIF(Data!$E$2:$E$2797,$A17)</f>
        <v>2</v>
      </c>
      <c r="F17" s="15">
        <f t="shared" si="0"/>
        <v>1.1906888134785974E-5</v>
      </c>
      <c r="G17" s="15">
        <f t="shared" si="1"/>
        <v>0</v>
      </c>
    </row>
    <row r="18" spans="1:7" x14ac:dyDescent="0.25">
      <c r="A18" s="13" t="s">
        <v>129</v>
      </c>
      <c r="B18" s="32" t="s">
        <v>113</v>
      </c>
      <c r="C18" s="14">
        <f>SUMIF(Data!$E$2:$E$2797,$A18,Data!$B$2:$B$2797)</f>
        <v>1</v>
      </c>
      <c r="D18" s="14">
        <f>SUMIF(Data!$E$2:$E$2797,$A18,Data!$C$2:$C$2797)</f>
        <v>0</v>
      </c>
      <c r="E18" s="14">
        <f>COUNTIF(Data!$E$2:$E$2797,$A18)</f>
        <v>1</v>
      </c>
      <c r="F18" s="15">
        <f t="shared" si="0"/>
        <v>1.1906888134785974E-5</v>
      </c>
      <c r="G18" s="15">
        <f t="shared" si="1"/>
        <v>0</v>
      </c>
    </row>
    <row r="19" spans="1:7" x14ac:dyDescent="0.25">
      <c r="A19" s="13" t="s">
        <v>130</v>
      </c>
      <c r="B19" s="32" t="s">
        <v>119</v>
      </c>
      <c r="C19" s="14">
        <f>SUMIF(Data!$E$2:$E$2797,$A19,Data!$B$2:$B$2797)</f>
        <v>1</v>
      </c>
      <c r="D19" s="14">
        <f>SUMIF(Data!$E$2:$E$2797,$A19,Data!$C$2:$C$2797)</f>
        <v>0</v>
      </c>
      <c r="E19" s="14">
        <f>COUNTIF(Data!$E$2:$E$2797,$A19)</f>
        <v>1</v>
      </c>
      <c r="F19" s="15">
        <f t="shared" si="0"/>
        <v>1.1906888134785974E-5</v>
      </c>
      <c r="G19" s="15">
        <f t="shared" si="1"/>
        <v>0</v>
      </c>
    </row>
    <row r="20" spans="1:7" x14ac:dyDescent="0.25">
      <c r="A20" s="20" t="s">
        <v>53</v>
      </c>
      <c r="B20" s="20"/>
      <c r="C20" s="22">
        <f>SUM(C5:C19)</f>
        <v>83985</v>
      </c>
      <c r="D20" s="22">
        <f>SUM(D5:D19)</f>
        <v>1728</v>
      </c>
      <c r="E20" s="22">
        <f>SUM(E5:E19)</f>
        <v>2796</v>
      </c>
      <c r="F20" s="25">
        <f>SUM(F5:F19)</f>
        <v>1</v>
      </c>
      <c r="G20" s="25">
        <f>D20/C20</f>
        <v>2.0575102696910163E-2</v>
      </c>
    </row>
    <row r="22" spans="1:7" ht="15.75" x14ac:dyDescent="0.25">
      <c r="A22" s="10" t="s">
        <v>131</v>
      </c>
    </row>
    <row r="23" spans="1:7" ht="31.5" customHeight="1" x14ac:dyDescent="0.25">
      <c r="A23" s="11" t="s">
        <v>132</v>
      </c>
      <c r="B23" s="11" t="s">
        <v>47</v>
      </c>
      <c r="C23" s="11" t="s">
        <v>48</v>
      </c>
      <c r="D23" s="11" t="s">
        <v>66</v>
      </c>
      <c r="E23" s="11" t="s">
        <v>58</v>
      </c>
    </row>
    <row r="24" spans="1:7" x14ac:dyDescent="0.25">
      <c r="A24" s="13" t="s">
        <v>113</v>
      </c>
      <c r="B24" s="14">
        <f>SUMIF($B$5:$B$19,$A24,$C$5:$C$19)</f>
        <v>78119</v>
      </c>
      <c r="C24" s="14">
        <f>SUMIF($B$5:$B$19,$A24,$D$5:$D$19)</f>
        <v>1627</v>
      </c>
      <c r="D24" s="15">
        <f>B24/B$28</f>
        <v>0.93015419420134549</v>
      </c>
      <c r="E24" s="15">
        <f>IF(B24&gt;0,C24/B24,0)</f>
        <v>2.0827199528923823E-2</v>
      </c>
    </row>
    <row r="25" spans="1:7" x14ac:dyDescent="0.25">
      <c r="A25" s="13" t="s">
        <v>117</v>
      </c>
      <c r="B25" s="14">
        <f>SUMIF($B$5:$B$19,$A25,$C$5:$C$19)</f>
        <v>1222</v>
      </c>
      <c r="C25" s="14">
        <f>SUMIF($B$5:$B$19,$A25,$D$5:$D$19)</f>
        <v>5</v>
      </c>
      <c r="D25" s="15">
        <f>B25/B$28</f>
        <v>1.4550217300708461E-2</v>
      </c>
      <c r="E25" s="15">
        <f>IF(B25&gt;0,C25/B25,0)</f>
        <v>4.0916530278232409E-3</v>
      </c>
    </row>
    <row r="26" spans="1:7" x14ac:dyDescent="0.25">
      <c r="A26" s="13" t="s">
        <v>119</v>
      </c>
      <c r="B26" s="14">
        <f>SUMIF($B$5:$B$19,$A26,$C$5:$C$19)</f>
        <v>1185</v>
      </c>
      <c r="C26" s="14">
        <f>SUMIF($B$5:$B$19,$A26,$D$5:$D$19)</f>
        <v>12</v>
      </c>
      <c r="D26" s="15">
        <f>B26/B$28</f>
        <v>1.4109662439721379E-2</v>
      </c>
      <c r="E26" s="15">
        <f>IF(B26&gt;0,C26/B26,0)</f>
        <v>1.0126582278481013E-2</v>
      </c>
    </row>
    <row r="27" spans="1:7" x14ac:dyDescent="0.25">
      <c r="A27" s="13" t="s">
        <v>115</v>
      </c>
      <c r="B27" s="14">
        <f>SUMIF($B$5:$B$19,$A27,$C$5:$C$19)</f>
        <v>3459</v>
      </c>
      <c r="C27" s="14">
        <f>SUMIF($B$5:$B$19,$A27,$D$5:$D$19)</f>
        <v>84</v>
      </c>
      <c r="D27" s="15">
        <f>B27/B$28</f>
        <v>4.118592605822468E-2</v>
      </c>
      <c r="E27" s="15">
        <f>IF(B27&gt;0,C27/B27,0)</f>
        <v>2.4284475281873375E-2</v>
      </c>
    </row>
    <row r="28" spans="1:7" x14ac:dyDescent="0.25">
      <c r="A28" s="20" t="s">
        <v>53</v>
      </c>
      <c r="B28" s="22">
        <f>SUM(B24:B27)</f>
        <v>83985</v>
      </c>
      <c r="C28" s="22">
        <f>SUM(C24:C27)</f>
        <v>1728</v>
      </c>
      <c r="D28" s="25">
        <f>SUM(D24:D27)</f>
        <v>1</v>
      </c>
      <c r="E28" s="25">
        <f>C28/B28</f>
        <v>2.0575102696910163E-2</v>
      </c>
    </row>
    <row r="30" spans="1:7" ht="27.75" customHeight="1" x14ac:dyDescent="0.25">
      <c r="A30" s="1" t="s">
        <v>133</v>
      </c>
      <c r="B30" s="1"/>
      <c r="C30" s="1"/>
      <c r="D30" s="1"/>
      <c r="E30" s="1"/>
      <c r="F30" s="1"/>
      <c r="G30" s="1"/>
    </row>
  </sheetData>
  <mergeCells count="1">
    <mergeCell ref="A30:G30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H54"/>
  <sheetViews>
    <sheetView showGridLines="0" zoomScaleNormal="100" workbookViewId="0"/>
  </sheetViews>
  <sheetFormatPr defaultColWidth="8.7109375" defaultRowHeight="15" x14ac:dyDescent="0.25"/>
  <cols>
    <col min="1" max="1" width="42" customWidth="1"/>
    <col min="2" max="4" width="15" customWidth="1"/>
    <col min="5" max="5" width="12" customWidth="1"/>
    <col min="6" max="7" width="18" customWidth="1"/>
    <col min="8" max="8" width="12" customWidth="1"/>
  </cols>
  <sheetData>
    <row r="1" spans="1:4" ht="20.25" x14ac:dyDescent="0.3">
      <c r="A1" s="8" t="s">
        <v>134</v>
      </c>
    </row>
    <row r="2" spans="1:4" x14ac:dyDescent="0.25">
      <c r="A2" s="9" t="s">
        <v>135</v>
      </c>
    </row>
    <row r="3" spans="1:4" ht="15.75" x14ac:dyDescent="0.25">
      <c r="A3" s="10" t="s">
        <v>136</v>
      </c>
    </row>
    <row r="4" spans="1:4" ht="31.5" customHeight="1" x14ac:dyDescent="0.25">
      <c r="A4" s="11" t="s">
        <v>137</v>
      </c>
      <c r="B4" s="11" t="s">
        <v>26</v>
      </c>
      <c r="C4" s="11" t="s">
        <v>27</v>
      </c>
      <c r="D4" s="11" t="s">
        <v>28</v>
      </c>
    </row>
    <row r="5" spans="1:4" x14ac:dyDescent="0.25">
      <c r="A5" s="13" t="s">
        <v>46</v>
      </c>
      <c r="B5" s="16">
        <f>COUNT(Daily!$C$5:$C$103)</f>
        <v>99</v>
      </c>
      <c r="C5" s="16">
        <f>COUNT(Daily!$D$5:$D$103)</f>
        <v>99</v>
      </c>
      <c r="D5" s="16">
        <f>COUNT(Daily!$E$5:$E$103)</f>
        <v>99</v>
      </c>
    </row>
    <row r="6" spans="1:4" x14ac:dyDescent="0.25">
      <c r="A6" s="13" t="s">
        <v>53</v>
      </c>
      <c r="B6" s="14">
        <f>SUM(Daily!$C$5:$C$103)</f>
        <v>83985</v>
      </c>
      <c r="C6" s="14">
        <f>SUM(Daily!$D$5:$D$103)</f>
        <v>1728</v>
      </c>
      <c r="D6" s="14">
        <f>SUM(Daily!$E$5:$E$103)</f>
        <v>24753</v>
      </c>
    </row>
    <row r="7" spans="1:4" x14ac:dyDescent="0.25">
      <c r="A7" s="13" t="s">
        <v>138</v>
      </c>
      <c r="B7" s="17">
        <f>AVERAGE(Daily!$C$5:$C$103)</f>
        <v>848.33333333333337</v>
      </c>
      <c r="C7" s="17">
        <f>AVERAGE(Daily!$D$5:$D$103)</f>
        <v>17.454545454545453</v>
      </c>
      <c r="D7" s="17">
        <f>AVERAGE(Daily!$E$5:$E$103)</f>
        <v>250.03030303030303</v>
      </c>
    </row>
    <row r="8" spans="1:4" x14ac:dyDescent="0.25">
      <c r="A8" s="13" t="s">
        <v>139</v>
      </c>
      <c r="B8" s="17">
        <f>MEDIAN(Daily!$C$5:$C$103)</f>
        <v>512</v>
      </c>
      <c r="C8" s="17">
        <f>MEDIAN(Daily!$D$5:$D$103)</f>
        <v>8</v>
      </c>
      <c r="D8" s="17">
        <f>MEDIAN(Daily!$E$5:$E$103)</f>
        <v>39</v>
      </c>
    </row>
    <row r="9" spans="1:4" x14ac:dyDescent="0.25">
      <c r="A9" s="13" t="s">
        <v>140</v>
      </c>
      <c r="B9" s="17">
        <f>STDEV(Daily!$C$5:$C$103)</f>
        <v>1008.461689699632</v>
      </c>
      <c r="C9" s="17">
        <f>STDEV(Daily!$D$5:$D$103)</f>
        <v>20.957816099456238</v>
      </c>
      <c r="D9" s="17">
        <f>STDEV(Daily!$E$5:$E$103)</f>
        <v>450.90574277588723</v>
      </c>
    </row>
    <row r="10" spans="1:4" x14ac:dyDescent="0.25">
      <c r="A10" s="13" t="s">
        <v>141</v>
      </c>
      <c r="B10" s="26">
        <f>STDEV(Daily!$C$5:$C$103)/AVERAGE(Daily!$C$5:$C$103)</f>
        <v>1.1887564122196055</v>
      </c>
      <c r="C10" s="26">
        <f>STDEV(Daily!$D$5:$D$103)/AVERAGE(Daily!$D$5:$D$103)</f>
        <v>1.200708214031347</v>
      </c>
      <c r="D10" s="26">
        <f>STDEV(Daily!$E$5:$E$103)/AVERAGE(Daily!$E$5:$E$103)</f>
        <v>1.803404376633654</v>
      </c>
    </row>
    <row r="11" spans="1:4" x14ac:dyDescent="0.25">
      <c r="A11" s="13" t="s">
        <v>142</v>
      </c>
      <c r="B11" s="14">
        <f>MIN(Daily!$C$5:$C$103)</f>
        <v>0</v>
      </c>
      <c r="C11" s="14">
        <f>MIN(Daily!$D$5:$D$103)</f>
        <v>0</v>
      </c>
      <c r="D11" s="14">
        <f>MIN(Daily!$E$5:$E$103)</f>
        <v>0</v>
      </c>
    </row>
    <row r="12" spans="1:4" x14ac:dyDescent="0.25">
      <c r="A12" s="13" t="s">
        <v>143</v>
      </c>
      <c r="B12" s="17">
        <f>QUARTILE(Daily!$C$5:$C$103,1)</f>
        <v>97</v>
      </c>
      <c r="C12" s="17">
        <f>QUARTILE(Daily!$D$5:$D$103,1)</f>
        <v>1</v>
      </c>
      <c r="D12" s="17">
        <f>QUARTILE(Daily!$E$5:$E$103,1)</f>
        <v>0.5</v>
      </c>
    </row>
    <row r="13" spans="1:4" x14ac:dyDescent="0.25">
      <c r="A13" s="13" t="s">
        <v>144</v>
      </c>
      <c r="B13" s="17">
        <f>QUARTILE(Daily!$C$5:$C$103,3)</f>
        <v>1401.5</v>
      </c>
      <c r="C13" s="17">
        <f>QUARTILE(Daily!$D$5:$D$103,3)</f>
        <v>30</v>
      </c>
      <c r="D13" s="17">
        <f>QUARTILE(Daily!$E$5:$E$103,3)</f>
        <v>217</v>
      </c>
    </row>
    <row r="14" spans="1:4" x14ac:dyDescent="0.25">
      <c r="A14" s="13" t="s">
        <v>145</v>
      </c>
      <c r="B14" s="17">
        <f>QUARTILE(Daily!$C$5:$C$103,3)-QUARTILE(Daily!$C$5:$C$103,1)</f>
        <v>1304.5</v>
      </c>
      <c r="C14" s="17">
        <f>QUARTILE(Daily!$D$5:$D$103,3)-QUARTILE(Daily!$D$5:$D$103,1)</f>
        <v>29</v>
      </c>
      <c r="D14" s="17">
        <f>QUARTILE(Daily!$E$5:$E$103,3)-QUARTILE(Daily!$E$5:$E$103,1)</f>
        <v>216.5</v>
      </c>
    </row>
    <row r="15" spans="1:4" x14ac:dyDescent="0.25">
      <c r="A15" s="13" t="s">
        <v>146</v>
      </c>
      <c r="B15" s="14">
        <f>MAX(Daily!$C$5:$C$103)</f>
        <v>4677</v>
      </c>
      <c r="C15" s="14">
        <f>MAX(Daily!$D$5:$D$103)</f>
        <v>88</v>
      </c>
      <c r="D15" s="14">
        <f>MAX(Daily!$E$5:$E$103)</f>
        <v>2072</v>
      </c>
    </row>
    <row r="16" spans="1:4" x14ac:dyDescent="0.25">
      <c r="A16" s="13" t="s">
        <v>147</v>
      </c>
      <c r="B16" s="26">
        <f>SKEW(Daily!$C$5:$C$103)</f>
        <v>1.5736121862786778</v>
      </c>
      <c r="C16" s="26">
        <f>SKEW(Daily!$D$5:$D$103)</f>
        <v>1.494924796757092</v>
      </c>
      <c r="D16" s="26">
        <f>SKEW(Daily!$E$5:$E$103)</f>
        <v>2.3010052268737944</v>
      </c>
    </row>
    <row r="17" spans="1:5" ht="27.75" customHeight="1" x14ac:dyDescent="0.25">
      <c r="A17" s="1" t="s">
        <v>148</v>
      </c>
      <c r="B17" s="1"/>
      <c r="C17" s="1"/>
      <c r="D17" s="1"/>
    </row>
    <row r="19" spans="1:5" ht="15.75" x14ac:dyDescent="0.25">
      <c r="A19" s="10" t="s">
        <v>149</v>
      </c>
    </row>
    <row r="20" spans="1:5" x14ac:dyDescent="0.25">
      <c r="A20" s="13" t="s">
        <v>150</v>
      </c>
      <c r="B20" s="17">
        <f>B13+1.5*B14</f>
        <v>3358.25</v>
      </c>
    </row>
    <row r="21" spans="1:5" x14ac:dyDescent="0.25">
      <c r="A21" s="13" t="s">
        <v>151</v>
      </c>
      <c r="B21" s="16">
        <f>COUNTIF(Daily!$C$5:$C$103,"&gt;"&amp;B20)</f>
        <v>3</v>
      </c>
    </row>
    <row r="22" spans="1:5" x14ac:dyDescent="0.25">
      <c r="A22" s="13" t="s">
        <v>152</v>
      </c>
      <c r="B22" s="12">
        <f>_xlfn.MINIFS(Daily!$A$5:$A$103,Daily!$C$5:$C$103,"&gt;"&amp;B20)</f>
        <v>43983</v>
      </c>
    </row>
    <row r="23" spans="1:5" x14ac:dyDescent="0.25">
      <c r="A23" s="13" t="s">
        <v>153</v>
      </c>
      <c r="B23" s="15">
        <f>SUMIF(Daily!$C$5:$C$103,"&gt;"&amp;B20)/B6</f>
        <v>0.15230100613204739</v>
      </c>
    </row>
    <row r="24" spans="1:5" ht="27.75" customHeight="1" x14ac:dyDescent="0.25">
      <c r="A24" s="1" t="s">
        <v>154</v>
      </c>
      <c r="B24" s="1"/>
      <c r="C24" s="1"/>
      <c r="D24" s="1"/>
    </row>
    <row r="26" spans="1:5" ht="15.75" x14ac:dyDescent="0.25">
      <c r="A26" s="10" t="s">
        <v>155</v>
      </c>
    </row>
    <row r="27" spans="1:5" ht="31.5" customHeight="1" x14ac:dyDescent="0.25">
      <c r="A27" s="11" t="s">
        <v>25</v>
      </c>
      <c r="B27" s="11" t="s">
        <v>156</v>
      </c>
      <c r="C27" s="11" t="s">
        <v>157</v>
      </c>
      <c r="D27" s="11" t="s">
        <v>158</v>
      </c>
      <c r="E27" s="11" t="s">
        <v>159</v>
      </c>
    </row>
    <row r="28" spans="1:5" x14ac:dyDescent="0.25">
      <c r="A28" s="13" t="s">
        <v>160</v>
      </c>
      <c r="B28" s="14">
        <f>AVERAGEIFS(Daily!$C$5:$C$103,Daily!$B$5:$B$103,A28)</f>
        <v>815.35714285714289</v>
      </c>
      <c r="C28" s="16">
        <f>B28/AVERAGE(Daily!$C$5:$C$103)*100</f>
        <v>96.1128262699972</v>
      </c>
      <c r="D28" s="17">
        <f>AVERAGEIFS(Daily!$D$5:$D$103,Daily!$B$5:$B$103,A28)</f>
        <v>19.357142857142858</v>
      </c>
      <c r="E28" s="16">
        <f>COUNTIF(Daily!$B$5:$B$103,A28)</f>
        <v>14</v>
      </c>
    </row>
    <row r="29" spans="1:5" x14ac:dyDescent="0.25">
      <c r="A29" s="13" t="s">
        <v>161</v>
      </c>
      <c r="B29" s="14">
        <f>AVERAGEIFS(Daily!$C$5:$C$103,Daily!$B$5:$B$103,A29)</f>
        <v>954.78571428571433</v>
      </c>
      <c r="C29" s="16">
        <f>B29/AVERAGE(Daily!$C$5:$C$103)*100</f>
        <v>112.54841425764806</v>
      </c>
      <c r="D29" s="17">
        <f>AVERAGEIFS(Daily!$D$5:$D$103,Daily!$B$5:$B$103,A29)</f>
        <v>18.285714285714285</v>
      </c>
      <c r="E29" s="16">
        <f>COUNTIF(Daily!$B$5:$B$103,A29)</f>
        <v>14</v>
      </c>
    </row>
    <row r="30" spans="1:5" x14ac:dyDescent="0.25">
      <c r="A30" s="13" t="s">
        <v>162</v>
      </c>
      <c r="B30" s="14">
        <f>AVERAGEIFS(Daily!$C$5:$C$103,Daily!$B$5:$B$103,A30)</f>
        <v>1000.2666666666667</v>
      </c>
      <c r="C30" s="16">
        <f>B30/AVERAGE(Daily!$C$5:$C$103)*100</f>
        <v>117.90962671905696</v>
      </c>
      <c r="D30" s="17">
        <f>AVERAGEIFS(Daily!$D$5:$D$103,Daily!$B$5:$B$103,A30)</f>
        <v>19.466666666666665</v>
      </c>
      <c r="E30" s="16">
        <f>COUNTIF(Daily!$B$5:$B$103,A30)</f>
        <v>15</v>
      </c>
    </row>
    <row r="31" spans="1:5" x14ac:dyDescent="0.25">
      <c r="A31" s="13" t="s">
        <v>163</v>
      </c>
      <c r="B31" s="14">
        <f>AVERAGEIFS(Daily!$C$5:$C$103,Daily!$B$5:$B$103,A31)</f>
        <v>767.5</v>
      </c>
      <c r="C31" s="16">
        <f>B31/AVERAGE(Daily!$C$5:$C$103)*100</f>
        <v>90.471512770137522</v>
      </c>
      <c r="D31" s="17">
        <f>AVERAGEIFS(Daily!$D$5:$D$103,Daily!$B$5:$B$103,A31)</f>
        <v>15.142857142857142</v>
      </c>
      <c r="E31" s="16">
        <f>COUNTIF(Daily!$B$5:$B$103,A31)</f>
        <v>14</v>
      </c>
    </row>
    <row r="32" spans="1:5" x14ac:dyDescent="0.25">
      <c r="A32" s="13" t="s">
        <v>164</v>
      </c>
      <c r="B32" s="14">
        <f>AVERAGEIFS(Daily!$C$5:$C$103,Daily!$B$5:$B$103,A32)</f>
        <v>727.85714285714289</v>
      </c>
      <c r="C32" s="16">
        <f>B32/AVERAGE(Daily!$C$5:$C$103)*100</f>
        <v>85.798484423238847</v>
      </c>
      <c r="D32" s="17">
        <f>AVERAGEIFS(Daily!$D$5:$D$103,Daily!$B$5:$B$103,A32)</f>
        <v>16</v>
      </c>
      <c r="E32" s="16">
        <f>COUNTIF(Daily!$B$5:$B$103,A32)</f>
        <v>14</v>
      </c>
    </row>
    <row r="33" spans="1:5" x14ac:dyDescent="0.25">
      <c r="A33" s="13" t="s">
        <v>165</v>
      </c>
      <c r="B33" s="14">
        <f>AVERAGEIFS(Daily!$C$5:$C$103,Daily!$B$5:$B$103,A33)</f>
        <v>854.92857142857144</v>
      </c>
      <c r="C33" s="16">
        <f>B33/AVERAGE(Daily!$C$5:$C$103)*100</f>
        <v>100.77743474600057</v>
      </c>
      <c r="D33" s="17">
        <f>AVERAGEIFS(Daily!$D$5:$D$103,Daily!$B$5:$B$103,A33)</f>
        <v>17.714285714285715</v>
      </c>
      <c r="E33" s="16">
        <f>COUNTIF(Daily!$B$5:$B$103,A33)</f>
        <v>14</v>
      </c>
    </row>
    <row r="34" spans="1:5" x14ac:dyDescent="0.25">
      <c r="A34" s="13" t="s">
        <v>166</v>
      </c>
      <c r="B34" s="14">
        <f>AVERAGEIFS(Daily!$C$5:$C$103,Daily!$B$5:$B$103,A34)</f>
        <v>806.78571428571433</v>
      </c>
      <c r="C34" s="16">
        <f>B34/AVERAGE(Daily!$C$5:$C$103)*100</f>
        <v>95.102441762559636</v>
      </c>
      <c r="D34" s="17">
        <f>AVERAGEIFS(Daily!$D$5:$D$103,Daily!$B$5:$B$103,A34)</f>
        <v>16.071428571428573</v>
      </c>
      <c r="E34" s="16">
        <f>COUNTIF(Daily!$B$5:$B$103,A34)</f>
        <v>14</v>
      </c>
    </row>
    <row r="35" spans="1:5" ht="27.75" customHeight="1" x14ac:dyDescent="0.25">
      <c r="A35" s="1" t="s">
        <v>167</v>
      </c>
      <c r="B35" s="1"/>
      <c r="C35" s="1"/>
      <c r="D35" s="1"/>
      <c r="E35" s="1"/>
    </row>
    <row r="37" spans="1:5" ht="15.75" x14ac:dyDescent="0.25">
      <c r="A37" s="10" t="s">
        <v>168</v>
      </c>
    </row>
    <row r="38" spans="1:5" ht="31.5" customHeight="1" x14ac:dyDescent="0.25">
      <c r="A38" s="11" t="s">
        <v>169</v>
      </c>
      <c r="B38" s="11" t="s">
        <v>170</v>
      </c>
      <c r="C38" s="11" t="s">
        <v>171</v>
      </c>
    </row>
    <row r="39" spans="1:5" x14ac:dyDescent="0.25">
      <c r="A39" s="33">
        <v>0</v>
      </c>
      <c r="B39" s="18">
        <f>CORREL(Daily!$C$5:$C$103,Daily!$D$5:$D$103)</f>
        <v>0.93473097375649061</v>
      </c>
      <c r="C39" s="18">
        <f t="shared" ref="C39:C46" si="0">B39^2</f>
        <v>0.87372199329975719</v>
      </c>
    </row>
    <row r="40" spans="1:5" x14ac:dyDescent="0.25">
      <c r="A40" s="33">
        <v>1</v>
      </c>
      <c r="B40" s="18">
        <f>CORREL(Daily!$C$5:$C$102,Daily!$D$6:$D$103)</f>
        <v>0.90682977360579109</v>
      </c>
      <c r="C40" s="18">
        <f t="shared" si="0"/>
        <v>0.82234023829793035</v>
      </c>
    </row>
    <row r="41" spans="1:5" x14ac:dyDescent="0.25">
      <c r="A41" s="33">
        <v>2</v>
      </c>
      <c r="B41" s="18">
        <f>CORREL(Daily!$C$5:$C$101,Daily!$D$7:$D$103)</f>
        <v>0.91255521523292826</v>
      </c>
      <c r="C41" s="18">
        <f t="shared" si="0"/>
        <v>0.83275702084881598</v>
      </c>
    </row>
    <row r="42" spans="1:5" x14ac:dyDescent="0.25">
      <c r="A42" s="33">
        <v>3</v>
      </c>
      <c r="B42" s="18">
        <f>CORREL(Daily!$C$5:$C$100,Daily!$D$8:$D$103)</f>
        <v>0.86750964793545682</v>
      </c>
      <c r="C42" s="18">
        <f t="shared" si="0"/>
        <v>0.75257298926110028</v>
      </c>
    </row>
    <row r="43" spans="1:5" x14ac:dyDescent="0.25">
      <c r="A43" s="33">
        <v>5</v>
      </c>
      <c r="B43" s="18">
        <f>CORREL(Daily!$C$5:$C$98,Daily!$D$10:$D$103)</f>
        <v>0.83742557826366626</v>
      </c>
      <c r="C43" s="18">
        <f t="shared" si="0"/>
        <v>0.7012815991302358</v>
      </c>
    </row>
    <row r="44" spans="1:5" x14ac:dyDescent="0.25">
      <c r="A44" s="33">
        <v>7</v>
      </c>
      <c r="B44" s="18">
        <f>CORREL(Daily!$C$5:$C$96,Daily!$D$12:$D$103)</f>
        <v>0.84496408789108268</v>
      </c>
      <c r="C44" s="18">
        <f t="shared" si="0"/>
        <v>0.71396430982560932</v>
      </c>
    </row>
    <row r="45" spans="1:5" x14ac:dyDescent="0.25">
      <c r="A45" s="33">
        <v>10</v>
      </c>
      <c r="B45" s="18">
        <f>CORREL(Daily!$C$5:$C$93,Daily!$D$15:$D$103)</f>
        <v>0.88390350529122341</v>
      </c>
      <c r="C45" s="18">
        <f t="shared" si="0"/>
        <v>0.78128540666611179</v>
      </c>
    </row>
    <row r="46" spans="1:5" x14ac:dyDescent="0.25">
      <c r="A46" s="33">
        <v>14</v>
      </c>
      <c r="B46" s="18">
        <f>CORREL(Daily!$C$5:$C$89,Daily!$D$19:$D$103)</f>
        <v>0.80885951397576028</v>
      </c>
      <c r="C46" s="18">
        <f t="shared" si="0"/>
        <v>0.65425371334910309</v>
      </c>
    </row>
    <row r="47" spans="1:5" x14ac:dyDescent="0.25">
      <c r="A47" s="13" t="s">
        <v>172</v>
      </c>
      <c r="B47" s="16">
        <f>INDEX(A39:A46,MATCH(MAX(B39:B46),B39:B46,0))</f>
        <v>0</v>
      </c>
    </row>
    <row r="48" spans="1:5" ht="27.75" customHeight="1" x14ac:dyDescent="0.25">
      <c r="A48" s="1" t="s">
        <v>173</v>
      </c>
      <c r="B48" s="1"/>
      <c r="C48" s="1"/>
      <c r="D48" s="1"/>
    </row>
    <row r="50" spans="1:8" ht="15.75" x14ac:dyDescent="0.25">
      <c r="A50" s="10" t="s">
        <v>174</v>
      </c>
    </row>
    <row r="51" spans="1:8" ht="31.5" customHeight="1" x14ac:dyDescent="0.25">
      <c r="A51" s="11" t="s">
        <v>175</v>
      </c>
      <c r="B51" s="11" t="s">
        <v>176</v>
      </c>
      <c r="C51" s="11" t="s">
        <v>177</v>
      </c>
      <c r="D51" s="11" t="s">
        <v>178</v>
      </c>
      <c r="E51" s="11" t="s">
        <v>179</v>
      </c>
      <c r="F51" s="11" t="s">
        <v>180</v>
      </c>
      <c r="G51" s="11" t="s">
        <v>181</v>
      </c>
      <c r="H51" s="11" t="s">
        <v>182</v>
      </c>
    </row>
    <row r="52" spans="1:8" x14ac:dyDescent="0.25">
      <c r="A52" s="13" t="s">
        <v>183</v>
      </c>
      <c r="B52" s="34">
        <v>43905</v>
      </c>
      <c r="C52" s="34">
        <v>43951</v>
      </c>
      <c r="D52" s="16">
        <f>MATCH(B52,Daily!$A$5:$A$103,0)</f>
        <v>19</v>
      </c>
      <c r="E52" s="16">
        <f>MATCH(C52,Daily!$A$5:$A$103,0)</f>
        <v>65</v>
      </c>
      <c r="F52" s="15">
        <f>EXP(SLOPE(INDEX(Daily!$O$5:$O$103,D52):INDEX(Daily!$O$5:$O$103,E52),INDEX(Daily!$N$5:$N$103,D52):INDEX(Daily!$N$5:$N$103,E52)))-1</f>
        <v>7.1151412740955156E-2</v>
      </c>
      <c r="G52" s="35">
        <f>IF(F52&gt;0,LN(2)/LN(1+F52),"no doubling")</f>
        <v>10.084464770284379</v>
      </c>
      <c r="H52" s="26">
        <f>RSQ(INDEX(Daily!$O$5:$O$103,D52):INDEX(Daily!$O$5:$O$103,E52),INDEX(Daily!$N$5:$N$103,D52):INDEX(Daily!$N$5:$N$103,E52))</f>
        <v>0.90767786147444685</v>
      </c>
    </row>
    <row r="53" spans="1:8" x14ac:dyDescent="0.25">
      <c r="A53" s="13" t="s">
        <v>184</v>
      </c>
      <c r="B53" s="34">
        <v>43952</v>
      </c>
      <c r="C53" s="34">
        <v>43985</v>
      </c>
      <c r="D53" s="16">
        <f>MATCH(B53,Daily!$A$5:$A$103,0)</f>
        <v>66</v>
      </c>
      <c r="E53" s="16">
        <f>MATCH(C53,Daily!$A$5:$A$103,0)</f>
        <v>99</v>
      </c>
      <c r="F53" s="15">
        <f>EXP(SLOPE(INDEX(Daily!$O$5:$O$103,D53):INDEX(Daily!$O$5:$O$103,E53),INDEX(Daily!$N$5:$N$103,D53):INDEX(Daily!$N$5:$N$103,E53)))-1</f>
        <v>3.0922573219122063E-2</v>
      </c>
      <c r="G53" s="35">
        <f>IF(F53&gt;0,LN(2)/LN(1+F53),"no doubling")</f>
        <v>22.760386976790699</v>
      </c>
      <c r="H53" s="26">
        <f>RSQ(INDEX(Daily!$O$5:$O$103,D53):INDEX(Daily!$O$5:$O$103,E53),INDEX(Daily!$N$5:$N$103,D53):INDEX(Daily!$N$5:$N$103,E53))</f>
        <v>0.86494529799598741</v>
      </c>
    </row>
    <row r="54" spans="1:8" ht="27.75" customHeight="1" x14ac:dyDescent="0.25">
      <c r="A54" s="1" t="s">
        <v>185</v>
      </c>
      <c r="B54" s="1"/>
      <c r="C54" s="1"/>
      <c r="D54" s="1"/>
      <c r="E54" s="1"/>
      <c r="F54" s="1"/>
      <c r="G54" s="1"/>
      <c r="H54" s="1"/>
    </row>
  </sheetData>
  <mergeCells count="5">
    <mergeCell ref="A17:D17"/>
    <mergeCell ref="A24:D24"/>
    <mergeCell ref="A35:E35"/>
    <mergeCell ref="A48:D48"/>
    <mergeCell ref="A54:H5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A1:J15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9" width="15" customWidth="1"/>
    <col min="10" max="10" width="40" customWidth="1"/>
  </cols>
  <sheetData>
    <row r="1" spans="1:5" ht="20.25" x14ac:dyDescent="0.3">
      <c r="A1" s="8" t="s">
        <v>186</v>
      </c>
    </row>
    <row r="2" spans="1:5" x14ac:dyDescent="0.25">
      <c r="A2" s="9" t="s">
        <v>187</v>
      </c>
    </row>
    <row r="4" spans="1:5" ht="15.75" x14ac:dyDescent="0.25">
      <c r="A4" s="10" t="s">
        <v>188</v>
      </c>
    </row>
    <row r="5" spans="1:5" ht="31.5" customHeight="1" x14ac:dyDescent="0.25">
      <c r="A5" s="11" t="s">
        <v>189</v>
      </c>
      <c r="B5" s="11" t="s">
        <v>190</v>
      </c>
      <c r="C5" s="11" t="s">
        <v>191</v>
      </c>
      <c r="D5" s="11" t="s">
        <v>192</v>
      </c>
      <c r="E5" s="11" t="s">
        <v>193</v>
      </c>
    </row>
    <row r="6" spans="1:5" x14ac:dyDescent="0.25">
      <c r="A6" s="36" t="s">
        <v>194</v>
      </c>
      <c r="B6" s="37">
        <f>INDEX(LINEST($B$53:$B$151,$E$53:$E$151,TRUE(),TRUE()),1,2)</f>
        <v>-658.40816326530592</v>
      </c>
      <c r="C6" s="37">
        <f>INDEX(LINEST($B$53:$B$151,$E$53:$E$151,TRUE(),TRUE()),2,2)</f>
        <v>105.35329962577998</v>
      </c>
      <c r="D6" s="26">
        <f>B6/C6</f>
        <v>-6.2495257918262039</v>
      </c>
      <c r="E6" s="38">
        <f>TDIST(ABS(D6),$B$13,2)</f>
        <v>1.0994709743593026E-8</v>
      </c>
    </row>
    <row r="7" spans="1:5" x14ac:dyDescent="0.25">
      <c r="A7" s="36" t="s">
        <v>195</v>
      </c>
      <c r="B7" s="37">
        <f>INDEX(LINEST($B$53:$B$151,$E$53:$E$151,TRUE(),TRUE()),1,1)</f>
        <v>30.134829931972785</v>
      </c>
      <c r="C7" s="37">
        <f>INDEX(LINEST($B$53:$B$151,$E$53:$E$151,TRUE(),TRUE()),2,1)</f>
        <v>1.829351787498493</v>
      </c>
      <c r="D7" s="26">
        <f>B7/C7</f>
        <v>16.472955140673079</v>
      </c>
      <c r="E7" s="38">
        <f>TDIST(ABS(D7),$B$13,2)</f>
        <v>7.3545932317703718E-30</v>
      </c>
    </row>
    <row r="8" spans="1:5" x14ac:dyDescent="0.25">
      <c r="A8" s="36" t="s">
        <v>171</v>
      </c>
      <c r="B8" s="38">
        <f>INDEX(LINEST($B$53:$B$151,$E$53:$E$151,TRUE(),TRUE()),3,1)</f>
        <v>0.73666939801368836</v>
      </c>
    </row>
    <row r="9" spans="1:5" x14ac:dyDescent="0.25">
      <c r="A9" s="36" t="s">
        <v>196</v>
      </c>
      <c r="B9" s="38">
        <f>1-(1-B8)*(COUNT($B$53:$B$151)-1)/B13</f>
        <v>0.73395464953960265</v>
      </c>
    </row>
    <row r="10" spans="1:5" x14ac:dyDescent="0.25">
      <c r="A10" s="36" t="s">
        <v>197</v>
      </c>
      <c r="B10" s="17">
        <f>INDEX(LINEST($B$53:$B$151,$E$53:$E$151,TRUE(),TRUE()),3,2)</f>
        <v>520.16034620295193</v>
      </c>
    </row>
    <row r="11" spans="1:5" x14ac:dyDescent="0.25">
      <c r="A11" s="36" t="s">
        <v>198</v>
      </c>
      <c r="B11" s="39">
        <f>INDEX(LINEST($B$53:$B$151,$E$53:$E$151,TRUE(),TRUE()),4,1)</f>
        <v>271.3582510666277</v>
      </c>
    </row>
    <row r="12" spans="1:5" x14ac:dyDescent="0.25">
      <c r="A12" s="36" t="s">
        <v>199</v>
      </c>
      <c r="B12" s="38">
        <f>FDIST(B11,1,B13)</f>
        <v>7.3545932317702667E-30</v>
      </c>
    </row>
    <row r="13" spans="1:5" x14ac:dyDescent="0.25">
      <c r="A13" s="36" t="s">
        <v>200</v>
      </c>
      <c r="B13" s="16">
        <f>INDEX(LINEST($B$53:$B$151,$E$53:$E$151,TRUE(),TRUE()),4,2)</f>
        <v>97</v>
      </c>
    </row>
    <row r="16" spans="1:5" ht="15.75" x14ac:dyDescent="0.25">
      <c r="A16" s="10" t="s">
        <v>201</v>
      </c>
    </row>
    <row r="17" spans="1:5" ht="31.5" customHeight="1" x14ac:dyDescent="0.25">
      <c r="A17" s="11" t="s">
        <v>189</v>
      </c>
      <c r="B17" s="11" t="s">
        <v>190</v>
      </c>
      <c r="C17" s="11" t="s">
        <v>191</v>
      </c>
      <c r="D17" s="11" t="s">
        <v>192</v>
      </c>
      <c r="E17" s="11" t="s">
        <v>193</v>
      </c>
    </row>
    <row r="18" spans="1:5" x14ac:dyDescent="0.25">
      <c r="A18" s="36" t="s">
        <v>194</v>
      </c>
      <c r="B18" s="37">
        <f>INDEX(LINEST($B$53:$B$151,$C$53:$E$151,TRUE(),TRUE()),1,4)</f>
        <v>-147.19263307764805</v>
      </c>
      <c r="C18" s="37">
        <f>INDEX(LINEST($B$53:$B$151,$C$53:$E$151,TRUE(),TRUE()),2,4)</f>
        <v>81.834392139365676</v>
      </c>
      <c r="D18" s="26">
        <f>B18/C18</f>
        <v>-1.79866470843916</v>
      </c>
      <c r="E18" s="38">
        <f>TDIST(ABS(D18),$B$27,2)</f>
        <v>7.5247425141799315E-2</v>
      </c>
    </row>
    <row r="19" spans="1:5" x14ac:dyDescent="0.25">
      <c r="A19" s="36" t="s">
        <v>48</v>
      </c>
      <c r="B19" s="37">
        <f>INDEX(LINEST($B$53:$B$151,$C$53:$E$151,TRUE(),TRUE()),1,3)</f>
        <v>31.866131989556429</v>
      </c>
      <c r="C19" s="37">
        <f>INDEX(LINEST($B$53:$B$151,$C$53:$E$151,TRUE(),TRUE()),2,3)</f>
        <v>3.8897201658818861</v>
      </c>
      <c r="D19" s="26">
        <f>B19/C19</f>
        <v>8.1923970441538607</v>
      </c>
      <c r="E19" s="38">
        <f>TDIST(ABS(D19),$B$27,2)</f>
        <v>1.1817692926767662E-12</v>
      </c>
    </row>
    <row r="20" spans="1:5" x14ac:dyDescent="0.25">
      <c r="A20" s="36" t="s">
        <v>49</v>
      </c>
      <c r="B20" s="37">
        <f>INDEX(LINEST($B$53:$B$151,$C$53:$E$151,TRUE(),TRUE()),1,2)</f>
        <v>0.24256573517432173</v>
      </c>
      <c r="C20" s="37">
        <f>INDEX(LINEST($B$53:$B$151,$C$53:$E$151,TRUE(),TRUE()),2,2)</f>
        <v>0.1290995519470268</v>
      </c>
      <c r="D20" s="26">
        <f>B20/C20</f>
        <v>1.8789045470417536</v>
      </c>
      <c r="E20" s="38">
        <f>TDIST(ABS(D20),$B$27,2)</f>
        <v>6.3323399484301476E-2</v>
      </c>
    </row>
    <row r="21" spans="1:5" x14ac:dyDescent="0.25">
      <c r="A21" s="36" t="s">
        <v>195</v>
      </c>
      <c r="B21" s="37">
        <f>INDEX(LINEST($B$53:$B$151,$C$53:$E$151,TRUE(),TRUE()),1,1)</f>
        <v>7.5733666573663969</v>
      </c>
      <c r="C21" s="37">
        <f>INDEX(LINEST($B$53:$B$151,$C$53:$E$151,TRUE(),TRUE()),2,1)</f>
        <v>2.3166313757451511</v>
      </c>
      <c r="D21" s="26">
        <f>B21/C21</f>
        <v>3.2691289329233064</v>
      </c>
      <c r="E21" s="38">
        <f>TDIST(ABS(D21),$B$27,2)</f>
        <v>1.5029709187656488E-3</v>
      </c>
    </row>
    <row r="22" spans="1:5" x14ac:dyDescent="0.25">
      <c r="A22" s="36" t="s">
        <v>171</v>
      </c>
      <c r="B22" s="38">
        <f>INDEX(LINEST($B$53:$B$151,$C$53:$E$151,TRUE(),TRUE()),3,1)</f>
        <v>0.89014813934156511</v>
      </c>
    </row>
    <row r="23" spans="1:5" x14ac:dyDescent="0.25">
      <c r="A23" s="36" t="s">
        <v>196</v>
      </c>
      <c r="B23" s="38">
        <f>1-(1-B22)*(COUNT($B$53:$B$151)-1)/B27</f>
        <v>0.88667913321550929</v>
      </c>
    </row>
    <row r="24" spans="1:5" x14ac:dyDescent="0.25">
      <c r="A24" s="36" t="s">
        <v>197</v>
      </c>
      <c r="B24" s="17">
        <f>INDEX(LINEST($B$53:$B$151,$C$53:$E$151,TRUE(),TRUE()),3,2)</f>
        <v>339.48012107165044</v>
      </c>
    </row>
    <row r="25" spans="1:5" x14ac:dyDescent="0.25">
      <c r="A25" s="36" t="s">
        <v>198</v>
      </c>
      <c r="B25" s="39">
        <f>INDEX(LINEST($B$53:$B$151,$C$53:$E$151,TRUE(),TRUE()),4,1)</f>
        <v>256.60033652164162</v>
      </c>
    </row>
    <row r="26" spans="1:5" x14ac:dyDescent="0.25">
      <c r="A26" s="36" t="s">
        <v>199</v>
      </c>
      <c r="B26" s="38">
        <f>FDIST(B25,3,B27)</f>
        <v>2.0316158708858079E-45</v>
      </c>
    </row>
    <row r="27" spans="1:5" x14ac:dyDescent="0.25">
      <c r="A27" s="36" t="s">
        <v>200</v>
      </c>
      <c r="B27" s="16">
        <f>INDEX(LINEST($B$53:$B$151,$C$53:$E$151,TRUE(),TRUE()),4,2)</f>
        <v>95</v>
      </c>
    </row>
    <row r="30" spans="1:5" ht="15.75" x14ac:dyDescent="0.25">
      <c r="A30" s="10" t="s">
        <v>202</v>
      </c>
    </row>
    <row r="31" spans="1:5" ht="31.5" customHeight="1" x14ac:dyDescent="0.25">
      <c r="A31" s="11" t="s">
        <v>189</v>
      </c>
      <c r="B31" s="11" t="s">
        <v>190</v>
      </c>
      <c r="C31" s="11" t="s">
        <v>191</v>
      </c>
      <c r="D31" s="11" t="s">
        <v>192</v>
      </c>
      <c r="E31" s="11" t="s">
        <v>193</v>
      </c>
    </row>
    <row r="32" spans="1:5" x14ac:dyDescent="0.25">
      <c r="A32" s="36" t="s">
        <v>194</v>
      </c>
      <c r="B32" s="37">
        <f>INDEX(LINEST($B$53:$B$151,$E$53:$F$151,TRUE(),TRUE()),1,3)</f>
        <v>197.68550006694159</v>
      </c>
      <c r="C32" s="37">
        <f>INDEX(LINEST($B$53:$B$151,$E$53:$F$151,TRUE(),TRUE()),2,3)</f>
        <v>111.42013449361797</v>
      </c>
      <c r="D32" s="26">
        <f>B32/C32</f>
        <v>1.7742349797492374</v>
      </c>
      <c r="E32" s="38">
        <f>TDIST(ABS(D32),$B$40,2)</f>
        <v>7.9194612637513206E-2</v>
      </c>
    </row>
    <row r="33" spans="1:10" x14ac:dyDescent="0.25">
      <c r="A33" s="36" t="s">
        <v>195</v>
      </c>
      <c r="B33" s="37">
        <f>INDEX(LINEST($B$53:$B$151,$E$53:$F$151,TRUE(),TRUE()),1,2)</f>
        <v>-20.72221937489342</v>
      </c>
      <c r="C33" s="37">
        <f>INDEX(LINEST($B$53:$B$151,$E$53:$F$151,TRUE(),TRUE()),2,2)</f>
        <v>5.1430938712602607</v>
      </c>
      <c r="D33" s="26">
        <f>B33/C33</f>
        <v>-4.0291349708178004</v>
      </c>
      <c r="E33" s="38">
        <f>TDIST(ABS(D33),$B$40,2)</f>
        <v>1.1205644881409068E-4</v>
      </c>
    </row>
    <row r="34" spans="1:10" x14ac:dyDescent="0.25">
      <c r="A34" s="36" t="s">
        <v>203</v>
      </c>
      <c r="B34" s="37">
        <f>INDEX(LINEST($B$53:$B$151,$E$53:$F$151,TRUE(),TRUE()),1,1)</f>
        <v>0.5085704930686622</v>
      </c>
      <c r="C34" s="37">
        <f>INDEX(LINEST($B$53:$B$151,$E$53:$F$151,TRUE(),TRUE()),2,1)</f>
        <v>4.9829412845036392E-2</v>
      </c>
      <c r="D34" s="26">
        <f>B34/C34</f>
        <v>10.206230899213214</v>
      </c>
      <c r="E34" s="38">
        <f>TDIST(ABS(D34),$B$40,2)</f>
        <v>5.3662979001657666E-17</v>
      </c>
    </row>
    <row r="35" spans="1:10" x14ac:dyDescent="0.25">
      <c r="A35" s="36" t="s">
        <v>171</v>
      </c>
      <c r="B35" s="38">
        <f>INDEX(LINEST($B$53:$B$151,$E$53:$F$151,TRUE(),TRUE()),3,1)</f>
        <v>0.87370686001296949</v>
      </c>
    </row>
    <row r="36" spans="1:10" x14ac:dyDescent="0.25">
      <c r="A36" s="36" t="s">
        <v>196</v>
      </c>
      <c r="B36" s="38">
        <f>1-(1-B35)*(COUNT($B$53:$B$151)-1)/B40</f>
        <v>0.87107575292990636</v>
      </c>
    </row>
    <row r="37" spans="1:10" x14ac:dyDescent="0.25">
      <c r="A37" s="36" t="s">
        <v>197</v>
      </c>
      <c r="B37" s="17">
        <f>INDEX(LINEST($B$53:$B$151,$E$53:$F$151,TRUE(),TRUE()),3,2)</f>
        <v>362.09848386584378</v>
      </c>
    </row>
    <row r="38" spans="1:10" x14ac:dyDescent="0.25">
      <c r="A38" s="36" t="s">
        <v>198</v>
      </c>
      <c r="B38" s="39">
        <f>INDEX(LINEST($B$53:$B$151,$E$53:$F$151,TRUE(),TRUE()),4,1)</f>
        <v>332.06814942545026</v>
      </c>
    </row>
    <row r="39" spans="1:10" x14ac:dyDescent="0.25">
      <c r="A39" s="36" t="s">
        <v>199</v>
      </c>
      <c r="B39" s="38">
        <f>FDIST(B38,2,B40)</f>
        <v>7.3490048395553734E-44</v>
      </c>
    </row>
    <row r="40" spans="1:10" x14ac:dyDescent="0.25">
      <c r="A40" s="36" t="s">
        <v>200</v>
      </c>
      <c r="B40" s="16">
        <f>INDEX(LINEST($B$53:$B$151,$E$53:$F$151,TRUE(),TRUE()),4,2)</f>
        <v>96</v>
      </c>
    </row>
    <row r="43" spans="1:10" ht="15.75" x14ac:dyDescent="0.25">
      <c r="A43" s="10" t="s">
        <v>204</v>
      </c>
    </row>
    <row r="44" spans="1:10" ht="31.5" customHeight="1" x14ac:dyDescent="0.25">
      <c r="A44" s="11" t="s">
        <v>205</v>
      </c>
      <c r="B44" s="11" t="s">
        <v>171</v>
      </c>
      <c r="C44" s="11" t="s">
        <v>196</v>
      </c>
      <c r="D44" s="11" t="s">
        <v>191</v>
      </c>
      <c r="E44" s="11" t="s">
        <v>199</v>
      </c>
      <c r="G44" s="40" t="s">
        <v>206</v>
      </c>
    </row>
    <row r="45" spans="1:10" x14ac:dyDescent="0.25">
      <c r="A45" s="36" t="s">
        <v>207</v>
      </c>
      <c r="B45" s="38">
        <f>B8</f>
        <v>0.73666939801368836</v>
      </c>
      <c r="C45" s="38">
        <f>B9</f>
        <v>0.73395464953960265</v>
      </c>
      <c r="D45" s="17">
        <f>B10</f>
        <v>520.16034620295193</v>
      </c>
      <c r="E45" s="38">
        <f>B12</f>
        <v>7.3545932317702667E-30</v>
      </c>
      <c r="G45" s="41" t="str">
        <f>"Simple: each extra day adds about "&amp;TEXT(B7,"#,##0.0")&amp;" cases a day; Day_Num explains "&amp;TEXT(B8,"0%")&amp;" of the variation."</f>
        <v>Simple: each extra day adds about 30.1 cases a day; Day_Num explains 74% of the variation.</v>
      </c>
    </row>
    <row r="46" spans="1:10" x14ac:dyDescent="0.25">
      <c r="A46" s="36" t="s">
        <v>208</v>
      </c>
      <c r="B46" s="38">
        <f>B22</f>
        <v>0.89014813934156511</v>
      </c>
      <c r="C46" s="38">
        <f>B23</f>
        <v>0.88667913321550929</v>
      </c>
      <c r="D46" s="17">
        <f>B24</f>
        <v>339.48012107165044</v>
      </c>
      <c r="E46" s="38">
        <f>B26</f>
        <v>2.0316158708858079E-45</v>
      </c>
      <c r="G46" s="41" t="str">
        <f>"Multiple: R² "&amp;TEXT(B22,"0.000")&amp;". Deaths and Recovered are outcomes of earlier cases, so this model describes the data and should not be used to forecast."</f>
        <v>Multiple: R² 0.890. Deaths and Recovered are outcomes of earlier cases, so this model describes the data and should not be used to forecast.</v>
      </c>
    </row>
    <row r="47" spans="1:10" x14ac:dyDescent="0.25">
      <c r="A47" s="36" t="s">
        <v>209</v>
      </c>
      <c r="B47" s="38">
        <f>B35</f>
        <v>0.87370686001296949</v>
      </c>
      <c r="C47" s="38">
        <f>B36</f>
        <v>0.87107575292990636</v>
      </c>
      <c r="D47" s="17">
        <f>B37</f>
        <v>362.09848386584378</v>
      </c>
      <c r="E47" s="38">
        <f>B39</f>
        <v>7.3490048395553734E-44</v>
      </c>
      <c r="G47" s="41" t="str">
        <f>"Polynomial: adding Day_Sq lifts R² to "&amp;TEXT(B35,"0.000")&amp;" (Day_Sq p-value "&amp;TEXT(E34,"0.0000")&amp;"), so growth is accelerating, not linear."</f>
        <v>Polynomial: adding Day_Sq lifts R² to 0.874 (Day_Sq p-value 0.0000), so growth is accelerating, not linear.</v>
      </c>
    </row>
    <row r="48" spans="1:10" ht="36" customHeight="1" x14ac:dyDescent="0.25">
      <c r="A48" s="1" t="s">
        <v>210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1" spans="1:10" ht="15.75" x14ac:dyDescent="0.25">
      <c r="A51" s="10" t="s">
        <v>211</v>
      </c>
    </row>
    <row r="52" spans="1:10" ht="31.5" customHeight="1" x14ac:dyDescent="0.25">
      <c r="A52" s="11" t="s">
        <v>24</v>
      </c>
      <c r="B52" s="11" t="s">
        <v>47</v>
      </c>
      <c r="C52" s="11" t="s">
        <v>48</v>
      </c>
      <c r="D52" s="11" t="s">
        <v>49</v>
      </c>
      <c r="E52" s="11" t="s">
        <v>195</v>
      </c>
      <c r="F52" s="11" t="s">
        <v>203</v>
      </c>
      <c r="G52" s="11" t="s">
        <v>212</v>
      </c>
      <c r="H52" s="11" t="s">
        <v>213</v>
      </c>
      <c r="I52" s="11" t="s">
        <v>214</v>
      </c>
    </row>
    <row r="53" spans="1:10" x14ac:dyDescent="0.25">
      <c r="A53" s="42">
        <f>Daily!A5</f>
        <v>43887</v>
      </c>
      <c r="B53" s="14">
        <f>Daily!C5</f>
        <v>3</v>
      </c>
      <c r="C53" s="14">
        <f>Daily!D5</f>
        <v>0</v>
      </c>
      <c r="D53" s="14">
        <f>Daily!E5</f>
        <v>0</v>
      </c>
      <c r="E53" s="16">
        <f>Daily!N5+1</f>
        <v>1</v>
      </c>
      <c r="F53" s="14">
        <f t="shared" ref="F53:F84" si="0">E53^2</f>
        <v>1</v>
      </c>
      <c r="G53" s="14">
        <f t="shared" ref="G53:G84" si="1">$B$6+$B$7*E53</f>
        <v>-628.27333333333308</v>
      </c>
      <c r="H53" s="14">
        <f t="shared" ref="H53:H84" si="2">$B$18+$B$19*C53+$B$20*D53+$B$21*E53</f>
        <v>-139.61926642028166</v>
      </c>
      <c r="I53" s="14">
        <f t="shared" ref="I53:I84" si="3">$B$32+$B$33*E53+$B$34*F53</f>
        <v>177.47185118511683</v>
      </c>
    </row>
    <row r="54" spans="1:10" x14ac:dyDescent="0.25">
      <c r="A54" s="42">
        <f>Daily!A6</f>
        <v>43888</v>
      </c>
      <c r="B54" s="14">
        <f>Daily!C6</f>
        <v>0</v>
      </c>
      <c r="C54" s="14">
        <f>Daily!D6</f>
        <v>0</v>
      </c>
      <c r="D54" s="14">
        <f>Daily!E6</f>
        <v>0</v>
      </c>
      <c r="E54" s="16">
        <f>Daily!N6+1</f>
        <v>2</v>
      </c>
      <c r="F54" s="14">
        <f t="shared" si="0"/>
        <v>4</v>
      </c>
      <c r="G54" s="14">
        <f t="shared" si="1"/>
        <v>-598.13850340136037</v>
      </c>
      <c r="H54" s="14">
        <f t="shared" si="2"/>
        <v>-132.04589976291527</v>
      </c>
      <c r="I54" s="14">
        <f t="shared" si="3"/>
        <v>158.27534328942937</v>
      </c>
    </row>
    <row r="55" spans="1:10" x14ac:dyDescent="0.25">
      <c r="A55" s="42">
        <f>Daily!A7</f>
        <v>43889</v>
      </c>
      <c r="B55" s="14">
        <f>Daily!C7</f>
        <v>0</v>
      </c>
      <c r="C55" s="14">
        <f>Daily!D7</f>
        <v>0</v>
      </c>
      <c r="D55" s="14">
        <f>Daily!E7</f>
        <v>0</v>
      </c>
      <c r="E55" s="16">
        <f>Daily!N7+1</f>
        <v>3</v>
      </c>
      <c r="F55" s="14">
        <f t="shared" si="0"/>
        <v>9</v>
      </c>
      <c r="G55" s="14">
        <f t="shared" si="1"/>
        <v>-568.00367346938754</v>
      </c>
      <c r="H55" s="14">
        <f t="shared" si="2"/>
        <v>-124.47253310554886</v>
      </c>
      <c r="I55" s="14">
        <f t="shared" si="3"/>
        <v>140.09597637987929</v>
      </c>
    </row>
    <row r="56" spans="1:10" x14ac:dyDescent="0.25">
      <c r="A56" s="42">
        <f>Daily!A8</f>
        <v>43890</v>
      </c>
      <c r="B56" s="14">
        <f>Daily!C8</f>
        <v>2</v>
      </c>
      <c r="C56" s="14">
        <f>Daily!D8</f>
        <v>0</v>
      </c>
      <c r="D56" s="14">
        <f>Daily!E8</f>
        <v>0</v>
      </c>
      <c r="E56" s="16">
        <f>Daily!N8+1</f>
        <v>4</v>
      </c>
      <c r="F56" s="14">
        <f t="shared" si="0"/>
        <v>16</v>
      </c>
      <c r="G56" s="14">
        <f t="shared" si="1"/>
        <v>-537.86884353741482</v>
      </c>
      <c r="H56" s="14">
        <f t="shared" si="2"/>
        <v>-116.89916644818247</v>
      </c>
      <c r="I56" s="14">
        <f t="shared" si="3"/>
        <v>122.9337504564665</v>
      </c>
    </row>
    <row r="57" spans="1:10" x14ac:dyDescent="0.25">
      <c r="A57" s="42">
        <f>Daily!A9</f>
        <v>43891</v>
      </c>
      <c r="B57" s="14">
        <f>Daily!C9</f>
        <v>0</v>
      </c>
      <c r="C57" s="14">
        <f>Daily!D9</f>
        <v>0</v>
      </c>
      <c r="D57" s="14">
        <f>Daily!E9</f>
        <v>0</v>
      </c>
      <c r="E57" s="16">
        <f>Daily!N9+1</f>
        <v>5</v>
      </c>
      <c r="F57" s="14">
        <f t="shared" si="0"/>
        <v>25</v>
      </c>
      <c r="G57" s="14">
        <f t="shared" si="1"/>
        <v>-507.73401360544199</v>
      </c>
      <c r="H57" s="14">
        <f t="shared" si="2"/>
        <v>-109.32579979081606</v>
      </c>
      <c r="I57" s="14">
        <f t="shared" si="3"/>
        <v>106.78866551919103</v>
      </c>
    </row>
    <row r="58" spans="1:10" x14ac:dyDescent="0.25">
      <c r="A58" s="42">
        <f>Daily!A10</f>
        <v>43892</v>
      </c>
      <c r="B58" s="14">
        <f>Daily!C10</f>
        <v>1</v>
      </c>
      <c r="C58" s="14">
        <f>Daily!D10</f>
        <v>0</v>
      </c>
      <c r="D58" s="14">
        <f>Daily!E10</f>
        <v>0</v>
      </c>
      <c r="E58" s="16">
        <f>Daily!N10+1</f>
        <v>6</v>
      </c>
      <c r="F58" s="14">
        <f t="shared" si="0"/>
        <v>36</v>
      </c>
      <c r="G58" s="14">
        <f t="shared" si="1"/>
        <v>-477.59918367346921</v>
      </c>
      <c r="H58" s="14">
        <f t="shared" si="2"/>
        <v>-101.75243313344967</v>
      </c>
      <c r="I58" s="14">
        <f t="shared" si="3"/>
        <v>91.660721568052907</v>
      </c>
    </row>
    <row r="59" spans="1:10" x14ac:dyDescent="0.25">
      <c r="A59" s="42">
        <f>Daily!A11</f>
        <v>43893</v>
      </c>
      <c r="B59" s="14">
        <f>Daily!C11</f>
        <v>0</v>
      </c>
      <c r="C59" s="14">
        <f>Daily!D11</f>
        <v>0</v>
      </c>
      <c r="D59" s="14">
        <f>Daily!E11</f>
        <v>0</v>
      </c>
      <c r="E59" s="16">
        <f>Daily!N11+1</f>
        <v>7</v>
      </c>
      <c r="F59" s="14">
        <f t="shared" si="0"/>
        <v>49</v>
      </c>
      <c r="G59" s="14">
        <f t="shared" si="1"/>
        <v>-447.46435374149644</v>
      </c>
      <c r="H59" s="14">
        <f t="shared" si="2"/>
        <v>-94.179066476083278</v>
      </c>
      <c r="I59" s="14">
        <f t="shared" si="3"/>
        <v>77.549918603052106</v>
      </c>
    </row>
    <row r="60" spans="1:10" x14ac:dyDescent="0.25">
      <c r="A60" s="42">
        <f>Daily!A12</f>
        <v>43894</v>
      </c>
      <c r="B60" s="14">
        <f>Daily!C12</f>
        <v>0</v>
      </c>
      <c r="C60" s="14">
        <f>Daily!D12</f>
        <v>0</v>
      </c>
      <c r="D60" s="14">
        <f>Daily!E12</f>
        <v>0</v>
      </c>
      <c r="E60" s="16">
        <f>Daily!N12+1</f>
        <v>8</v>
      </c>
      <c r="F60" s="14">
        <f t="shared" si="0"/>
        <v>64</v>
      </c>
      <c r="G60" s="14">
        <f t="shared" si="1"/>
        <v>-417.32952380952361</v>
      </c>
      <c r="H60" s="14">
        <f t="shared" si="2"/>
        <v>-86.605699818716886</v>
      </c>
      <c r="I60" s="14">
        <f t="shared" si="3"/>
        <v>64.456256624188597</v>
      </c>
    </row>
    <row r="61" spans="1:10" x14ac:dyDescent="0.25">
      <c r="A61" s="42">
        <f>Daily!A13</f>
        <v>43895</v>
      </c>
      <c r="B61" s="14">
        <f>Daily!C13</f>
        <v>0</v>
      </c>
      <c r="C61" s="14">
        <f>Daily!D13</f>
        <v>0</v>
      </c>
      <c r="D61" s="14">
        <f>Daily!E13</f>
        <v>0</v>
      </c>
      <c r="E61" s="16">
        <f>Daily!N13+1</f>
        <v>9</v>
      </c>
      <c r="F61" s="14">
        <f t="shared" si="0"/>
        <v>81</v>
      </c>
      <c r="G61" s="14">
        <f t="shared" si="1"/>
        <v>-387.19469387755083</v>
      </c>
      <c r="H61" s="14">
        <f t="shared" si="2"/>
        <v>-79.032333161350479</v>
      </c>
      <c r="I61" s="14">
        <f t="shared" si="3"/>
        <v>52.379735631462438</v>
      </c>
    </row>
    <row r="62" spans="1:10" x14ac:dyDescent="0.25">
      <c r="A62" s="42">
        <f>Daily!A14</f>
        <v>43896</v>
      </c>
      <c r="B62" s="14">
        <f>Daily!C14</f>
        <v>0</v>
      </c>
      <c r="C62" s="14">
        <f>Daily!D14</f>
        <v>0</v>
      </c>
      <c r="D62" s="14">
        <f>Daily!E14</f>
        <v>1</v>
      </c>
      <c r="E62" s="16">
        <f>Daily!N14+1</f>
        <v>10</v>
      </c>
      <c r="F62" s="14">
        <f t="shared" si="0"/>
        <v>100</v>
      </c>
      <c r="G62" s="14">
        <f t="shared" si="1"/>
        <v>-357.05986394557806</v>
      </c>
      <c r="H62" s="14">
        <f t="shared" si="2"/>
        <v>-71.216400768809777</v>
      </c>
      <c r="I62" s="14">
        <f t="shared" si="3"/>
        <v>41.320355624873592</v>
      </c>
    </row>
    <row r="63" spans="1:10" x14ac:dyDescent="0.25">
      <c r="A63" s="42">
        <f>Daily!A15</f>
        <v>43897</v>
      </c>
      <c r="B63" s="14">
        <f>Daily!C15</f>
        <v>1</v>
      </c>
      <c r="C63" s="14">
        <f>Daily!D15</f>
        <v>0</v>
      </c>
      <c r="D63" s="14">
        <f>Daily!E15</f>
        <v>0</v>
      </c>
      <c r="E63" s="16">
        <f>Daily!N15+1</f>
        <v>11</v>
      </c>
      <c r="F63" s="14">
        <f t="shared" si="0"/>
        <v>121</v>
      </c>
      <c r="G63" s="14">
        <f t="shared" si="1"/>
        <v>-326.92503401360528</v>
      </c>
      <c r="H63" s="14">
        <f t="shared" si="2"/>
        <v>-63.885599846617694</v>
      </c>
      <c r="I63" s="14">
        <f t="shared" si="3"/>
        <v>31.278116604422095</v>
      </c>
    </row>
    <row r="64" spans="1:10" x14ac:dyDescent="0.25">
      <c r="A64" s="42">
        <f>Daily!A16</f>
        <v>43898</v>
      </c>
      <c r="B64" s="14">
        <f>Daily!C16</f>
        <v>0</v>
      </c>
      <c r="C64" s="14">
        <f>Daily!D16</f>
        <v>0</v>
      </c>
      <c r="D64" s="14">
        <f>Daily!E16</f>
        <v>0</v>
      </c>
      <c r="E64" s="16">
        <f>Daily!N16+1</f>
        <v>12</v>
      </c>
      <c r="F64" s="14">
        <f t="shared" si="0"/>
        <v>144</v>
      </c>
      <c r="G64" s="14">
        <f t="shared" si="1"/>
        <v>-296.79020408163251</v>
      </c>
      <c r="H64" s="14">
        <f t="shared" si="2"/>
        <v>-56.312233189251288</v>
      </c>
      <c r="I64" s="14">
        <f t="shared" si="3"/>
        <v>22.253018570107898</v>
      </c>
    </row>
    <row r="65" spans="1:9" x14ac:dyDescent="0.25">
      <c r="A65" s="42">
        <f>Daily!A17</f>
        <v>43899</v>
      </c>
      <c r="B65" s="14">
        <f>Daily!C17</f>
        <v>9</v>
      </c>
      <c r="C65" s="14">
        <f>Daily!D17</f>
        <v>0</v>
      </c>
      <c r="D65" s="14">
        <f>Daily!E17</f>
        <v>0</v>
      </c>
      <c r="E65" s="16">
        <f>Daily!N17+1</f>
        <v>13</v>
      </c>
      <c r="F65" s="14">
        <f t="shared" si="0"/>
        <v>169</v>
      </c>
      <c r="G65" s="14">
        <f t="shared" si="1"/>
        <v>-266.65537414965974</v>
      </c>
      <c r="H65" s="14">
        <f t="shared" si="2"/>
        <v>-48.738866531884895</v>
      </c>
      <c r="I65" s="14">
        <f t="shared" si="3"/>
        <v>14.245061521931049</v>
      </c>
    </row>
    <row r="66" spans="1:9" x14ac:dyDescent="0.25">
      <c r="A66" s="42">
        <f>Daily!A18</f>
        <v>43900</v>
      </c>
      <c r="B66" s="14">
        <f>Daily!C18</f>
        <v>3</v>
      </c>
      <c r="C66" s="14">
        <f>Daily!D18</f>
        <v>0</v>
      </c>
      <c r="D66" s="14">
        <f>Daily!E18</f>
        <v>0</v>
      </c>
      <c r="E66" s="16">
        <f>Daily!N18+1</f>
        <v>14</v>
      </c>
      <c r="F66" s="14">
        <f t="shared" si="0"/>
        <v>196</v>
      </c>
      <c r="G66" s="14">
        <f t="shared" si="1"/>
        <v>-236.5205442176869</v>
      </c>
      <c r="H66" s="14">
        <f t="shared" si="2"/>
        <v>-41.165499874518503</v>
      </c>
      <c r="I66" s="14">
        <f t="shared" si="3"/>
        <v>7.2542454598915072</v>
      </c>
    </row>
    <row r="67" spans="1:9" x14ac:dyDescent="0.25">
      <c r="A67" s="42">
        <f>Daily!A19</f>
        <v>43901</v>
      </c>
      <c r="B67" s="14">
        <f>Daily!C19</f>
        <v>1</v>
      </c>
      <c r="C67" s="14">
        <f>Daily!D19</f>
        <v>0</v>
      </c>
      <c r="D67" s="14">
        <f>Daily!E19</f>
        <v>1</v>
      </c>
      <c r="E67" s="16">
        <f>Daily!N19+1</f>
        <v>15</v>
      </c>
      <c r="F67" s="14">
        <f t="shared" si="0"/>
        <v>225</v>
      </c>
      <c r="G67" s="14">
        <f t="shared" si="1"/>
        <v>-206.38571428571413</v>
      </c>
      <c r="H67" s="14">
        <f t="shared" si="2"/>
        <v>-33.349567481977786</v>
      </c>
      <c r="I67" s="14">
        <f t="shared" si="3"/>
        <v>1.2805703839892857</v>
      </c>
    </row>
    <row r="68" spans="1:9" x14ac:dyDescent="0.25">
      <c r="A68" s="42">
        <f>Daily!A20</f>
        <v>43902</v>
      </c>
      <c r="B68" s="14">
        <f>Daily!C20</f>
        <v>1</v>
      </c>
      <c r="C68" s="14">
        <f>Daily!D20</f>
        <v>0</v>
      </c>
      <c r="D68" s="14">
        <f>Daily!E20</f>
        <v>0</v>
      </c>
      <c r="E68" s="16">
        <f>Daily!N20+1</f>
        <v>16</v>
      </c>
      <c r="F68" s="14">
        <f t="shared" si="0"/>
        <v>256</v>
      </c>
      <c r="G68" s="14">
        <f t="shared" si="1"/>
        <v>-176.25088435374136</v>
      </c>
      <c r="H68" s="14">
        <f t="shared" si="2"/>
        <v>-26.018766559785703</v>
      </c>
      <c r="I68" s="14">
        <f t="shared" si="3"/>
        <v>-3.6759637057756152</v>
      </c>
    </row>
    <row r="69" spans="1:9" x14ac:dyDescent="0.25">
      <c r="A69" s="42">
        <f>Daily!A21</f>
        <v>43903</v>
      </c>
      <c r="B69" s="14">
        <f>Daily!C21</f>
        <v>9</v>
      </c>
      <c r="C69" s="14">
        <f>Daily!D21</f>
        <v>0</v>
      </c>
      <c r="D69" s="14">
        <f>Daily!E21</f>
        <v>1</v>
      </c>
      <c r="E69" s="16">
        <f>Daily!N21+1</f>
        <v>17</v>
      </c>
      <c r="F69" s="14">
        <f t="shared" si="0"/>
        <v>289</v>
      </c>
      <c r="G69" s="14">
        <f t="shared" si="1"/>
        <v>-146.11605442176858</v>
      </c>
      <c r="H69" s="14">
        <f t="shared" si="2"/>
        <v>-18.202834167244987</v>
      </c>
      <c r="I69" s="14">
        <f t="shared" si="3"/>
        <v>-7.6153568094031812</v>
      </c>
    </row>
    <row r="70" spans="1:9" x14ac:dyDescent="0.25">
      <c r="A70" s="42">
        <f>Daily!A22</f>
        <v>43904</v>
      </c>
      <c r="B70" s="14">
        <f>Daily!C22</f>
        <v>0</v>
      </c>
      <c r="C70" s="14">
        <f>Daily!D22</f>
        <v>0</v>
      </c>
      <c r="D70" s="14">
        <f>Daily!E22</f>
        <v>0</v>
      </c>
      <c r="E70" s="16">
        <f>Daily!N22+1</f>
        <v>18</v>
      </c>
      <c r="F70" s="14">
        <f t="shared" si="0"/>
        <v>324</v>
      </c>
      <c r="G70" s="14">
        <f t="shared" si="1"/>
        <v>-115.98122448979575</v>
      </c>
      <c r="H70" s="14">
        <f t="shared" si="2"/>
        <v>-10.872033245052904</v>
      </c>
      <c r="I70" s="14">
        <f t="shared" si="3"/>
        <v>-10.537608926893427</v>
      </c>
    </row>
    <row r="71" spans="1:9" x14ac:dyDescent="0.25">
      <c r="A71" s="42">
        <f>Daily!A23</f>
        <v>43905</v>
      </c>
      <c r="B71" s="14">
        <f>Daily!C23</f>
        <v>34</v>
      </c>
      <c r="C71" s="14">
        <f>Daily!D23</f>
        <v>1</v>
      </c>
      <c r="D71" s="14">
        <f>Daily!E23</f>
        <v>0</v>
      </c>
      <c r="E71" s="16">
        <f>Daily!N23+1</f>
        <v>19</v>
      </c>
      <c r="F71" s="14">
        <f t="shared" si="0"/>
        <v>361</v>
      </c>
      <c r="G71" s="14">
        <f t="shared" si="1"/>
        <v>-85.846394557823032</v>
      </c>
      <c r="H71" s="14">
        <f t="shared" si="2"/>
        <v>28.567465401869924</v>
      </c>
      <c r="I71" s="14">
        <f t="shared" si="3"/>
        <v>-12.44272005824638</v>
      </c>
    </row>
    <row r="72" spans="1:9" x14ac:dyDescent="0.25">
      <c r="A72" s="42">
        <f>Daily!A24</f>
        <v>43906</v>
      </c>
      <c r="B72" s="14">
        <f>Daily!C24</f>
        <v>151</v>
      </c>
      <c r="C72" s="14">
        <f>Daily!D24</f>
        <v>0</v>
      </c>
      <c r="D72" s="14">
        <f>Daily!E24</f>
        <v>1</v>
      </c>
      <c r="E72" s="16">
        <f>Daily!N24+1</f>
        <v>20</v>
      </c>
      <c r="F72" s="14">
        <f t="shared" si="0"/>
        <v>400</v>
      </c>
      <c r="G72" s="14">
        <f t="shared" si="1"/>
        <v>-55.711564625850201</v>
      </c>
      <c r="H72" s="14">
        <f t="shared" si="2"/>
        <v>4.5172658048541905</v>
      </c>
      <c r="I72" s="14">
        <f t="shared" si="3"/>
        <v>-13.330690203461955</v>
      </c>
    </row>
    <row r="73" spans="1:9" x14ac:dyDescent="0.25">
      <c r="A73" s="42">
        <f>Daily!A25</f>
        <v>43907</v>
      </c>
      <c r="B73" s="14">
        <f>Daily!C25</f>
        <v>52</v>
      </c>
      <c r="C73" s="14">
        <f>Daily!D25</f>
        <v>0</v>
      </c>
      <c r="D73" s="14">
        <f>Daily!E25</f>
        <v>0</v>
      </c>
      <c r="E73" s="16">
        <f>Daily!N25+1</f>
        <v>21</v>
      </c>
      <c r="F73" s="14">
        <f t="shared" si="0"/>
        <v>441</v>
      </c>
      <c r="G73" s="14">
        <f t="shared" si="1"/>
        <v>-25.576734693877484</v>
      </c>
      <c r="H73" s="14">
        <f t="shared" si="2"/>
        <v>11.848066727046273</v>
      </c>
      <c r="I73" s="14">
        <f t="shared" si="3"/>
        <v>-13.201519362540182</v>
      </c>
    </row>
    <row r="74" spans="1:9" x14ac:dyDescent="0.25">
      <c r="A74" s="42">
        <f>Daily!A26</f>
        <v>43908</v>
      </c>
      <c r="B74" s="14">
        <f>Daily!C26</f>
        <v>57</v>
      </c>
      <c r="C74" s="14">
        <f>Daily!D26</f>
        <v>2</v>
      </c>
      <c r="D74" s="14">
        <f>Daily!E26</f>
        <v>0</v>
      </c>
      <c r="E74" s="16">
        <f>Daily!N26+1</f>
        <v>22</v>
      </c>
      <c r="F74" s="14">
        <f t="shared" si="0"/>
        <v>484</v>
      </c>
      <c r="G74" s="14">
        <f t="shared" si="1"/>
        <v>4.5580952380953477</v>
      </c>
      <c r="H74" s="14">
        <f t="shared" si="2"/>
        <v>83.153697363525524</v>
      </c>
      <c r="I74" s="14">
        <f t="shared" si="3"/>
        <v>-12.055207535481145</v>
      </c>
    </row>
    <row r="75" spans="1:9" x14ac:dyDescent="0.25">
      <c r="A75" s="42">
        <f>Daily!A27</f>
        <v>43909</v>
      </c>
      <c r="B75" s="14">
        <f>Daily!C27</f>
        <v>154</v>
      </c>
      <c r="C75" s="14">
        <f>Daily!D27</f>
        <v>0</v>
      </c>
      <c r="D75" s="14">
        <f>Daily!E27</f>
        <v>1</v>
      </c>
      <c r="E75" s="16">
        <f>Daily!N27+1</f>
        <v>23</v>
      </c>
      <c r="F75" s="14">
        <f t="shared" si="0"/>
        <v>529</v>
      </c>
      <c r="G75" s="14">
        <f t="shared" si="1"/>
        <v>34.692925170068179</v>
      </c>
      <c r="H75" s="14">
        <f t="shared" si="2"/>
        <v>27.237365776953396</v>
      </c>
      <c r="I75" s="14">
        <f t="shared" si="3"/>
        <v>-9.8917547222847588</v>
      </c>
    </row>
    <row r="76" spans="1:9" x14ac:dyDescent="0.25">
      <c r="A76" s="42">
        <f>Daily!A28</f>
        <v>43910</v>
      </c>
      <c r="B76" s="14">
        <f>Daily!C28</f>
        <v>50</v>
      </c>
      <c r="C76" s="14">
        <f>Daily!D28</f>
        <v>1</v>
      </c>
      <c r="D76" s="14">
        <f>Daily!E28</f>
        <v>0</v>
      </c>
      <c r="E76" s="16">
        <f>Daily!N28+1</f>
        <v>24</v>
      </c>
      <c r="F76" s="14">
        <f t="shared" si="0"/>
        <v>576</v>
      </c>
      <c r="G76" s="14">
        <f t="shared" si="1"/>
        <v>64.827755102040896</v>
      </c>
      <c r="H76" s="14">
        <f t="shared" si="2"/>
        <v>66.434298688701915</v>
      </c>
      <c r="I76" s="14">
        <f t="shared" si="3"/>
        <v>-6.7111609229510805</v>
      </c>
    </row>
    <row r="77" spans="1:9" x14ac:dyDescent="0.25">
      <c r="A77" s="42">
        <f>Daily!A29</f>
        <v>43911</v>
      </c>
      <c r="B77" s="14">
        <f>Daily!C29</f>
        <v>134</v>
      </c>
      <c r="C77" s="14">
        <f>Daily!D29</f>
        <v>0</v>
      </c>
      <c r="D77" s="14">
        <f>Daily!E29</f>
        <v>3</v>
      </c>
      <c r="E77" s="16">
        <f>Daily!N29+1</f>
        <v>25</v>
      </c>
      <c r="F77" s="14">
        <f t="shared" si="0"/>
        <v>625</v>
      </c>
      <c r="G77" s="14">
        <f t="shared" si="1"/>
        <v>94.962585034013728</v>
      </c>
      <c r="H77" s="14">
        <f t="shared" si="2"/>
        <v>42.869230562034829</v>
      </c>
      <c r="I77" s="14">
        <f t="shared" si="3"/>
        <v>-2.5134261374800531</v>
      </c>
    </row>
    <row r="78" spans="1:9" x14ac:dyDescent="0.25">
      <c r="A78" s="42">
        <f>Daily!A30</f>
        <v>43912</v>
      </c>
      <c r="B78" s="14">
        <f>Daily!C30</f>
        <v>110</v>
      </c>
      <c r="C78" s="14">
        <f>Daily!D30</f>
        <v>1</v>
      </c>
      <c r="D78" s="14">
        <f>Daily!E30</f>
        <v>0</v>
      </c>
      <c r="E78" s="16">
        <f>Daily!N30+1</f>
        <v>26</v>
      </c>
      <c r="F78" s="14">
        <f t="shared" si="0"/>
        <v>676</v>
      </c>
      <c r="G78" s="14">
        <f t="shared" si="1"/>
        <v>125.09741496598645</v>
      </c>
      <c r="H78" s="14">
        <f t="shared" si="2"/>
        <v>81.5810320034347</v>
      </c>
      <c r="I78" s="14">
        <f t="shared" si="3"/>
        <v>2.7014496341283234</v>
      </c>
    </row>
    <row r="79" spans="1:9" x14ac:dyDescent="0.25">
      <c r="A79" s="42">
        <f>Daily!A31</f>
        <v>43913</v>
      </c>
      <c r="B79" s="14">
        <f>Daily!C31</f>
        <v>82</v>
      </c>
      <c r="C79" s="14">
        <f>Daily!D31</f>
        <v>1</v>
      </c>
      <c r="D79" s="14">
        <f>Daily!E31</f>
        <v>0</v>
      </c>
      <c r="E79" s="16">
        <f>Daily!N31+1</f>
        <v>27</v>
      </c>
      <c r="F79" s="14">
        <f t="shared" si="0"/>
        <v>729</v>
      </c>
      <c r="G79" s="14">
        <f t="shared" si="1"/>
        <v>155.23224489795928</v>
      </c>
      <c r="H79" s="14">
        <f t="shared" si="2"/>
        <v>89.154398660801093</v>
      </c>
      <c r="I79" s="14">
        <f t="shared" si="3"/>
        <v>8.9334663918739352</v>
      </c>
    </row>
    <row r="80" spans="1:9" x14ac:dyDescent="0.25">
      <c r="A80" s="42">
        <f>Daily!A32</f>
        <v>43914</v>
      </c>
      <c r="B80" s="14">
        <f>Daily!C32</f>
        <v>114</v>
      </c>
      <c r="C80" s="14">
        <f>Daily!D32</f>
        <v>1</v>
      </c>
      <c r="D80" s="14">
        <f>Daily!E32</f>
        <v>18</v>
      </c>
      <c r="E80" s="16">
        <f>Daily!N32+1</f>
        <v>28</v>
      </c>
      <c r="F80" s="14">
        <f t="shared" si="0"/>
        <v>784</v>
      </c>
      <c r="G80" s="14">
        <f t="shared" si="1"/>
        <v>185.36707482993211</v>
      </c>
      <c r="H80" s="14">
        <f t="shared" si="2"/>
        <v>101.09394855130527</v>
      </c>
      <c r="I80" s="14">
        <f t="shared" si="3"/>
        <v>16.18262413575701</v>
      </c>
    </row>
    <row r="81" spans="1:9" x14ac:dyDescent="0.25">
      <c r="A81" s="42">
        <f>Daily!A33</f>
        <v>43915</v>
      </c>
      <c r="B81" s="14">
        <f>Daily!C33</f>
        <v>110</v>
      </c>
      <c r="C81" s="14">
        <f>Daily!D33</f>
        <v>1</v>
      </c>
      <c r="D81" s="14">
        <f>Daily!E33</f>
        <v>4</v>
      </c>
      <c r="E81" s="16">
        <f>Daily!N33+1</f>
        <v>29</v>
      </c>
      <c r="F81" s="14">
        <f t="shared" si="0"/>
        <v>841</v>
      </c>
      <c r="G81" s="14">
        <f t="shared" si="1"/>
        <v>215.50190476190483</v>
      </c>
      <c r="H81" s="14">
        <f t="shared" si="2"/>
        <v>105.27139491623119</v>
      </c>
      <c r="I81" s="14">
        <f t="shared" si="3"/>
        <v>24.448922865777263</v>
      </c>
    </row>
    <row r="82" spans="1:9" x14ac:dyDescent="0.25">
      <c r="A82" s="42">
        <f>Daily!A34</f>
        <v>43916</v>
      </c>
      <c r="B82" s="14">
        <f>Daily!C34</f>
        <v>131</v>
      </c>
      <c r="C82" s="14">
        <f>Daily!D34</f>
        <v>1</v>
      </c>
      <c r="D82" s="14">
        <f>Daily!E34</f>
        <v>5</v>
      </c>
      <c r="E82" s="16">
        <f>Daily!N34+1</f>
        <v>30</v>
      </c>
      <c r="F82" s="14">
        <f t="shared" si="0"/>
        <v>900</v>
      </c>
      <c r="G82" s="14">
        <f t="shared" si="1"/>
        <v>245.63673469387766</v>
      </c>
      <c r="H82" s="14">
        <f t="shared" si="2"/>
        <v>113.0873273087719</v>
      </c>
      <c r="I82" s="14">
        <f t="shared" si="3"/>
        <v>33.732362581934979</v>
      </c>
    </row>
    <row r="83" spans="1:9" x14ac:dyDescent="0.25">
      <c r="A83" s="42">
        <f>Daily!A35</f>
        <v>43917</v>
      </c>
      <c r="B83" s="14">
        <f>Daily!C35</f>
        <v>122</v>
      </c>
      <c r="C83" s="14">
        <f>Daily!D35</f>
        <v>2</v>
      </c>
      <c r="D83" s="14">
        <f>Daily!E35</f>
        <v>5</v>
      </c>
      <c r="E83" s="16">
        <f>Daily!N35+1</f>
        <v>31</v>
      </c>
      <c r="F83" s="14">
        <f t="shared" si="0"/>
        <v>961</v>
      </c>
      <c r="G83" s="14">
        <f t="shared" si="1"/>
        <v>275.77156462585037</v>
      </c>
      <c r="H83" s="14">
        <f t="shared" si="2"/>
        <v>152.52682595569473</v>
      </c>
      <c r="I83" s="14">
        <f t="shared" si="3"/>
        <v>44.032943284229873</v>
      </c>
    </row>
    <row r="84" spans="1:9" x14ac:dyDescent="0.25">
      <c r="A84" s="42">
        <f>Daily!A36</f>
        <v>43918</v>
      </c>
      <c r="B84" s="14">
        <f>Daily!C36</f>
        <v>184</v>
      </c>
      <c r="C84" s="14">
        <f>Daily!D36</f>
        <v>2</v>
      </c>
      <c r="D84" s="14">
        <f>Daily!E36</f>
        <v>1</v>
      </c>
      <c r="E84" s="16">
        <f>Daily!N36+1</f>
        <v>32</v>
      </c>
      <c r="F84" s="14">
        <f t="shared" si="0"/>
        <v>1024</v>
      </c>
      <c r="G84" s="14">
        <f t="shared" si="1"/>
        <v>305.90639455782321</v>
      </c>
      <c r="H84" s="14">
        <f t="shared" si="2"/>
        <v>159.12992967236383</v>
      </c>
      <c r="I84" s="14">
        <f t="shared" si="3"/>
        <v>55.35066497266223</v>
      </c>
    </row>
    <row r="85" spans="1:9" x14ac:dyDescent="0.25">
      <c r="A85" s="42">
        <f>Daily!A37</f>
        <v>43919</v>
      </c>
      <c r="B85" s="14">
        <f>Daily!C37</f>
        <v>87</v>
      </c>
      <c r="C85" s="14">
        <f>Daily!D37</f>
        <v>6</v>
      </c>
      <c r="D85" s="14">
        <f>Daily!E37</f>
        <v>7</v>
      </c>
      <c r="E85" s="16">
        <f>Daily!N37+1</f>
        <v>33</v>
      </c>
      <c r="F85" s="14">
        <f t="shared" ref="F85:F116" si="4">E85^2</f>
        <v>1089</v>
      </c>
      <c r="G85" s="14">
        <f t="shared" ref="G85:G116" si="5">$B$6+$B$7*E85</f>
        <v>336.04122448979604</v>
      </c>
      <c r="H85" s="14">
        <f t="shared" ref="H85:H116" si="6">$B$18+$B$19*C85+$B$20*D85+$B$21*E85</f>
        <v>295.62321869900188</v>
      </c>
      <c r="I85" s="14">
        <f t="shared" ref="I85:I116" si="7">$B$32+$B$33*E85+$B$34*F85</f>
        <v>67.685527647231879</v>
      </c>
    </row>
    <row r="86" spans="1:9" x14ac:dyDescent="0.25">
      <c r="A86" s="42">
        <f>Daily!A38</f>
        <v>43920</v>
      </c>
      <c r="B86" s="14">
        <f>Daily!C38</f>
        <v>145</v>
      </c>
      <c r="C86" s="14">
        <f>Daily!D38</f>
        <v>4</v>
      </c>
      <c r="D86" s="14">
        <f>Daily!E38</f>
        <v>32</v>
      </c>
      <c r="E86" s="16">
        <f>Daily!N38+1</f>
        <v>34</v>
      </c>
      <c r="F86" s="14">
        <f t="shared" si="4"/>
        <v>1156</v>
      </c>
      <c r="G86" s="14">
        <f t="shared" si="5"/>
        <v>366.17605442176875</v>
      </c>
      <c r="H86" s="14">
        <f t="shared" si="6"/>
        <v>245.52846475661346</v>
      </c>
      <c r="I86" s="14">
        <f t="shared" si="7"/>
        <v>81.037531307938821</v>
      </c>
    </row>
    <row r="87" spans="1:9" x14ac:dyDescent="0.25">
      <c r="A87" s="42">
        <f>Daily!A39</f>
        <v>43921</v>
      </c>
      <c r="B87" s="14">
        <f>Daily!C39</f>
        <v>223</v>
      </c>
      <c r="C87" s="14">
        <f>Daily!D39</f>
        <v>4</v>
      </c>
      <c r="D87" s="14">
        <f>Daily!E39</f>
        <v>42</v>
      </c>
      <c r="E87" s="16">
        <f>Daily!N39+1</f>
        <v>35</v>
      </c>
      <c r="F87" s="14">
        <f t="shared" si="4"/>
        <v>1225</v>
      </c>
      <c r="G87" s="14">
        <f t="shared" si="5"/>
        <v>396.31088435374147</v>
      </c>
      <c r="H87" s="14">
        <f t="shared" si="6"/>
        <v>255.52748876572306</v>
      </c>
      <c r="I87" s="14">
        <f t="shared" si="7"/>
        <v>95.406675954783054</v>
      </c>
    </row>
    <row r="88" spans="1:9" x14ac:dyDescent="0.25">
      <c r="A88" s="42">
        <f>Daily!A40</f>
        <v>43922</v>
      </c>
      <c r="B88" s="14">
        <f>Daily!C40</f>
        <v>260</v>
      </c>
      <c r="C88" s="14">
        <f>Daily!D40</f>
        <v>4</v>
      </c>
      <c r="D88" s="14">
        <f>Daily!E40</f>
        <v>15</v>
      </c>
      <c r="E88" s="16">
        <f>Daily!N40+1</f>
        <v>36</v>
      </c>
      <c r="F88" s="14">
        <f t="shared" si="4"/>
        <v>1296</v>
      </c>
      <c r="G88" s="14">
        <f t="shared" si="5"/>
        <v>426.44571428571442</v>
      </c>
      <c r="H88" s="14">
        <f t="shared" si="6"/>
        <v>256.55158057338281</v>
      </c>
      <c r="I88" s="14">
        <f t="shared" si="7"/>
        <v>110.79296158776469</v>
      </c>
    </row>
    <row r="89" spans="1:9" x14ac:dyDescent="0.25">
      <c r="A89" s="42">
        <f>Daily!A41</f>
        <v>43923</v>
      </c>
      <c r="B89" s="14">
        <f>Daily!C41</f>
        <v>183</v>
      </c>
      <c r="C89" s="14">
        <f>Daily!D41</f>
        <v>5</v>
      </c>
      <c r="D89" s="14">
        <f>Daily!E41</f>
        <v>14</v>
      </c>
      <c r="E89" s="16">
        <f>Daily!N41+1</f>
        <v>37</v>
      </c>
      <c r="F89" s="14">
        <f t="shared" si="4"/>
        <v>1369</v>
      </c>
      <c r="G89" s="14">
        <f t="shared" si="5"/>
        <v>456.58054421768713</v>
      </c>
      <c r="H89" s="14">
        <f t="shared" si="6"/>
        <v>295.74851348513124</v>
      </c>
      <c r="I89" s="14">
        <f t="shared" si="7"/>
        <v>127.19638820688363</v>
      </c>
    </row>
    <row r="90" spans="1:9" x14ac:dyDescent="0.25">
      <c r="A90" s="42">
        <f>Daily!A42</f>
        <v>43924</v>
      </c>
      <c r="B90" s="14">
        <f>Daily!C42</f>
        <v>239</v>
      </c>
      <c r="C90" s="14">
        <f>Daily!D42</f>
        <v>5</v>
      </c>
      <c r="D90" s="14">
        <f>Daily!E42</f>
        <v>1</v>
      </c>
      <c r="E90" s="16">
        <f>Daily!N42+1</f>
        <v>38</v>
      </c>
      <c r="F90" s="14">
        <f t="shared" si="4"/>
        <v>1444</v>
      </c>
      <c r="G90" s="14">
        <f t="shared" si="5"/>
        <v>486.71537414965985</v>
      </c>
      <c r="H90" s="14">
        <f t="shared" si="6"/>
        <v>300.16852558523152</v>
      </c>
      <c r="I90" s="14">
        <f t="shared" si="7"/>
        <v>144.61695581213974</v>
      </c>
    </row>
    <row r="91" spans="1:9" x14ac:dyDescent="0.25">
      <c r="A91" s="42">
        <f>Daily!A43</f>
        <v>43925</v>
      </c>
      <c r="B91" s="14">
        <f>Daily!C43</f>
        <v>79</v>
      </c>
      <c r="C91" s="14">
        <f>Daily!D43</f>
        <v>4</v>
      </c>
      <c r="D91" s="14">
        <f>Daily!E43</f>
        <v>33</v>
      </c>
      <c r="E91" s="16">
        <f>Daily!N43+1</f>
        <v>39</v>
      </c>
      <c r="F91" s="14">
        <f t="shared" si="4"/>
        <v>1521</v>
      </c>
      <c r="G91" s="14">
        <f t="shared" si="5"/>
        <v>516.8502040816328</v>
      </c>
      <c r="H91" s="14">
        <f t="shared" si="6"/>
        <v>283.63786377861976</v>
      </c>
      <c r="I91" s="14">
        <f t="shared" si="7"/>
        <v>163.05466440353337</v>
      </c>
    </row>
    <row r="92" spans="1:9" x14ac:dyDescent="0.25">
      <c r="A92" s="42">
        <f>Daily!A44</f>
        <v>43926</v>
      </c>
      <c r="B92" s="14">
        <f>Daily!C44</f>
        <v>180</v>
      </c>
      <c r="C92" s="14">
        <f>Daily!D44</f>
        <v>3</v>
      </c>
      <c r="D92" s="14">
        <f>Daily!E44</f>
        <v>45</v>
      </c>
      <c r="E92" s="16">
        <f>Daily!N44+1</f>
        <v>40</v>
      </c>
      <c r="F92" s="14">
        <f t="shared" si="4"/>
        <v>1600</v>
      </c>
      <c r="G92" s="14">
        <f t="shared" si="5"/>
        <v>546.98503401360551</v>
      </c>
      <c r="H92" s="14">
        <f t="shared" si="6"/>
        <v>262.25588726852158</v>
      </c>
      <c r="I92" s="14">
        <f t="shared" si="7"/>
        <v>182.50951398106429</v>
      </c>
    </row>
    <row r="93" spans="1:9" x14ac:dyDescent="0.25">
      <c r="A93" s="42">
        <f>Daily!A45</f>
        <v>43927</v>
      </c>
      <c r="B93" s="14">
        <f>Daily!C45</f>
        <v>249</v>
      </c>
      <c r="C93" s="14">
        <f>Daily!D45</f>
        <v>5</v>
      </c>
      <c r="D93" s="14">
        <f>Daily!E45</f>
        <v>175</v>
      </c>
      <c r="E93" s="16">
        <f>Daily!N45+1</f>
        <v>41</v>
      </c>
      <c r="F93" s="14">
        <f t="shared" si="4"/>
        <v>1681</v>
      </c>
      <c r="G93" s="14">
        <f t="shared" si="5"/>
        <v>577.11986394557823</v>
      </c>
      <c r="H93" s="14">
        <f t="shared" si="6"/>
        <v>365.09506347766268</v>
      </c>
      <c r="I93" s="14">
        <f t="shared" si="7"/>
        <v>202.9815045447325</v>
      </c>
    </row>
    <row r="94" spans="1:9" x14ac:dyDescent="0.25">
      <c r="A94" s="42">
        <f>Daily!A46</f>
        <v>43928</v>
      </c>
      <c r="B94" s="14">
        <f>Daily!C46</f>
        <v>107</v>
      </c>
      <c r="C94" s="14">
        <f>Daily!D46</f>
        <v>3</v>
      </c>
      <c r="D94" s="14">
        <f>Daily!E46</f>
        <v>82</v>
      </c>
      <c r="E94" s="16">
        <f>Daily!N46+1</f>
        <v>42</v>
      </c>
      <c r="F94" s="14">
        <f t="shared" si="4"/>
        <v>1764</v>
      </c>
      <c r="G94" s="14">
        <f t="shared" si="5"/>
        <v>607.25469387755095</v>
      </c>
      <c r="H94" s="14">
        <f t="shared" si="6"/>
        <v>286.37755278470428</v>
      </c>
      <c r="I94" s="14">
        <f t="shared" si="7"/>
        <v>224.47063609453812</v>
      </c>
    </row>
    <row r="95" spans="1:9" x14ac:dyDescent="0.25">
      <c r="A95" s="42">
        <f>Daily!A47</f>
        <v>43929</v>
      </c>
      <c r="B95" s="14">
        <f>Daily!C47</f>
        <v>337</v>
      </c>
      <c r="C95" s="14">
        <f>Daily!D47</f>
        <v>7</v>
      </c>
      <c r="D95" s="14">
        <f>Daily!E47</f>
        <v>112</v>
      </c>
      <c r="E95" s="16">
        <f>Daily!N47+1</f>
        <v>43</v>
      </c>
      <c r="F95" s="14">
        <f t="shared" si="4"/>
        <v>1849</v>
      </c>
      <c r="G95" s="14">
        <f t="shared" si="5"/>
        <v>637.38952380952389</v>
      </c>
      <c r="H95" s="14">
        <f t="shared" si="6"/>
        <v>428.69241945552608</v>
      </c>
      <c r="I95" s="14">
        <f t="shared" si="7"/>
        <v>246.97690863048092</v>
      </c>
    </row>
    <row r="96" spans="1:9" x14ac:dyDescent="0.25">
      <c r="A96" s="42">
        <f>Daily!A48</f>
        <v>43930</v>
      </c>
      <c r="B96" s="14">
        <f>Daily!C48</f>
        <v>874</v>
      </c>
      <c r="C96" s="14">
        <f>Daily!D48</f>
        <v>4</v>
      </c>
      <c r="D96" s="14">
        <f>Daily!E48</f>
        <v>113</v>
      </c>
      <c r="E96" s="16">
        <f>Daily!N48+1</f>
        <v>44</v>
      </c>
      <c r="F96" s="14">
        <f t="shared" si="4"/>
        <v>1936</v>
      </c>
      <c r="G96" s="14">
        <f t="shared" si="5"/>
        <v>667.52435374149661</v>
      </c>
      <c r="H96" s="14">
        <f t="shared" si="6"/>
        <v>340.90995587939744</v>
      </c>
      <c r="I96" s="14">
        <f t="shared" si="7"/>
        <v>270.50032215256113</v>
      </c>
    </row>
    <row r="97" spans="1:9" x14ac:dyDescent="0.25">
      <c r="A97" s="42">
        <f>Daily!A49</f>
        <v>43931</v>
      </c>
      <c r="B97" s="14">
        <f>Daily!C49</f>
        <v>156</v>
      </c>
      <c r="C97" s="14">
        <f>Daily!D49</f>
        <v>4</v>
      </c>
      <c r="D97" s="14">
        <f>Daily!E49</f>
        <v>53</v>
      </c>
      <c r="E97" s="16">
        <f>Daily!N49+1</f>
        <v>45</v>
      </c>
      <c r="F97" s="14">
        <f t="shared" si="4"/>
        <v>2025</v>
      </c>
      <c r="G97" s="14">
        <f t="shared" si="5"/>
        <v>697.65918367346933</v>
      </c>
      <c r="H97" s="14">
        <f t="shared" si="6"/>
        <v>333.92937842630459</v>
      </c>
      <c r="I97" s="14">
        <f t="shared" si="7"/>
        <v>295.04087666077851</v>
      </c>
    </row>
    <row r="98" spans="1:9" x14ac:dyDescent="0.25">
      <c r="A98" s="42">
        <f>Daily!A50</f>
        <v>43932</v>
      </c>
      <c r="B98" s="14">
        <f>Daily!C50</f>
        <v>297</v>
      </c>
      <c r="C98" s="14">
        <f>Daily!D50</f>
        <v>15</v>
      </c>
      <c r="D98" s="14">
        <f>Daily!E50</f>
        <v>37</v>
      </c>
      <c r="E98" s="16">
        <f>Daily!N50+1</f>
        <v>46</v>
      </c>
      <c r="F98" s="14">
        <f t="shared" si="4"/>
        <v>2116</v>
      </c>
      <c r="G98" s="14">
        <f t="shared" si="5"/>
        <v>727.79401360544227</v>
      </c>
      <c r="H98" s="14">
        <f t="shared" si="6"/>
        <v>688.14914520600257</v>
      </c>
      <c r="I98" s="14">
        <f t="shared" si="7"/>
        <v>320.59857215513352</v>
      </c>
    </row>
    <row r="99" spans="1:9" x14ac:dyDescent="0.25">
      <c r="A99" s="42">
        <f>Daily!A51</f>
        <v>43933</v>
      </c>
      <c r="B99" s="14">
        <f>Daily!C51</f>
        <v>253</v>
      </c>
      <c r="C99" s="14">
        <f>Daily!D51</f>
        <v>7</v>
      </c>
      <c r="D99" s="14">
        <f>Daily!E51</f>
        <v>225</v>
      </c>
      <c r="E99" s="16">
        <f>Daily!N51+1</f>
        <v>47</v>
      </c>
      <c r="F99" s="14">
        <f t="shared" si="4"/>
        <v>2209</v>
      </c>
      <c r="G99" s="14">
        <f t="shared" si="5"/>
        <v>757.92884353741499</v>
      </c>
      <c r="H99" s="14">
        <f t="shared" si="6"/>
        <v>486.39581415968996</v>
      </c>
      <c r="I99" s="14">
        <f t="shared" si="7"/>
        <v>347.17340863562549</v>
      </c>
    </row>
    <row r="100" spans="1:9" x14ac:dyDescent="0.25">
      <c r="A100" s="42">
        <f>Daily!A52</f>
        <v>43934</v>
      </c>
      <c r="B100" s="14">
        <f>Daily!C52</f>
        <v>173</v>
      </c>
      <c r="C100" s="14">
        <f>Daily!D52</f>
        <v>4</v>
      </c>
      <c r="D100" s="14">
        <f>Daily!E52</f>
        <v>38</v>
      </c>
      <c r="E100" s="16">
        <f>Daily!N52+1</f>
        <v>48</v>
      </c>
      <c r="F100" s="14">
        <f t="shared" si="4"/>
        <v>2304</v>
      </c>
      <c r="G100" s="14">
        <f t="shared" si="5"/>
        <v>788.06367346938771</v>
      </c>
      <c r="H100" s="14">
        <f t="shared" si="6"/>
        <v>353.01099237078893</v>
      </c>
      <c r="I100" s="14">
        <f t="shared" si="7"/>
        <v>374.76538610225509</v>
      </c>
    </row>
    <row r="101" spans="1:9" x14ac:dyDescent="0.25">
      <c r="A101" s="42">
        <f>Daily!A53</f>
        <v>43935</v>
      </c>
      <c r="B101" s="14">
        <f>Daily!C53</f>
        <v>628</v>
      </c>
      <c r="C101" s="14">
        <f>Daily!D53</f>
        <v>11</v>
      </c>
      <c r="D101" s="14">
        <f>Daily!E53</f>
        <v>56</v>
      </c>
      <c r="E101" s="16">
        <f>Daily!N53+1</f>
        <v>49</v>
      </c>
      <c r="F101" s="14">
        <f t="shared" si="4"/>
        <v>2401</v>
      </c>
      <c r="G101" s="14">
        <f t="shared" si="5"/>
        <v>818.19850340136065</v>
      </c>
      <c r="H101" s="14">
        <f t="shared" si="6"/>
        <v>588.0134661881882</v>
      </c>
      <c r="I101" s="14">
        <f t="shared" si="7"/>
        <v>403.37450455502199</v>
      </c>
    </row>
    <row r="102" spans="1:9" x14ac:dyDescent="0.25">
      <c r="A102" s="42">
        <f>Daily!A54</f>
        <v>43936</v>
      </c>
      <c r="B102" s="14">
        <f>Daily!C54</f>
        <v>321</v>
      </c>
      <c r="C102" s="14">
        <f>Daily!D54</f>
        <v>11</v>
      </c>
      <c r="D102" s="14">
        <f>Daily!E54</f>
        <v>209</v>
      </c>
      <c r="E102" s="16">
        <f>Daily!N54+1</f>
        <v>50</v>
      </c>
      <c r="F102" s="14">
        <f t="shared" si="4"/>
        <v>2500</v>
      </c>
      <c r="G102" s="14">
        <f t="shared" si="5"/>
        <v>848.33333333333337</v>
      </c>
      <c r="H102" s="14">
        <f t="shared" si="6"/>
        <v>632.69939032722573</v>
      </c>
      <c r="I102" s="14">
        <f t="shared" si="7"/>
        <v>433.00076399392606</v>
      </c>
    </row>
    <row r="103" spans="1:9" x14ac:dyDescent="0.25">
      <c r="A103" s="42">
        <f>Daily!A55</f>
        <v>43937</v>
      </c>
      <c r="B103" s="14">
        <f>Daily!C55</f>
        <v>683</v>
      </c>
      <c r="C103" s="14">
        <f>Daily!D55</f>
        <v>16</v>
      </c>
      <c r="D103" s="14">
        <f>Daily!E55</f>
        <v>207</v>
      </c>
      <c r="E103" s="16">
        <f>Daily!N55+1</f>
        <v>51</v>
      </c>
      <c r="F103" s="14">
        <f t="shared" si="4"/>
        <v>2601</v>
      </c>
      <c r="G103" s="14">
        <f t="shared" si="5"/>
        <v>878.46816326530609</v>
      </c>
      <c r="H103" s="14">
        <f t="shared" si="6"/>
        <v>799.1182854620256</v>
      </c>
      <c r="I103" s="14">
        <f t="shared" si="7"/>
        <v>463.64416441896742</v>
      </c>
    </row>
    <row r="104" spans="1:9" x14ac:dyDescent="0.25">
      <c r="A104" s="42">
        <f>Daily!A56</f>
        <v>43938</v>
      </c>
      <c r="B104" s="14">
        <f>Daily!C56</f>
        <v>512</v>
      </c>
      <c r="C104" s="14">
        <f>Daily!D56</f>
        <v>4</v>
      </c>
      <c r="D104" s="14">
        <f>Daily!E56</f>
        <v>14</v>
      </c>
      <c r="E104" s="16">
        <f>Daily!N56+1</f>
        <v>52</v>
      </c>
      <c r="F104" s="14">
        <f t="shared" si="4"/>
        <v>2704</v>
      </c>
      <c r="G104" s="14">
        <f t="shared" si="5"/>
        <v>908.60299319727881</v>
      </c>
      <c r="H104" s="14">
        <f t="shared" si="6"/>
        <v>377.48288135607078</v>
      </c>
      <c r="I104" s="14">
        <f t="shared" si="7"/>
        <v>495.3047058301463</v>
      </c>
    </row>
    <row r="105" spans="1:9" x14ac:dyDescent="0.25">
      <c r="A105" s="42">
        <f>Daily!A57</f>
        <v>43939</v>
      </c>
      <c r="B105" s="14">
        <f>Daily!C57</f>
        <v>285</v>
      </c>
      <c r="C105" s="14">
        <f>Daily!D57</f>
        <v>11</v>
      </c>
      <c r="D105" s="14">
        <f>Daily!E57</f>
        <v>39</v>
      </c>
      <c r="E105" s="16">
        <f>Daily!N57+1</f>
        <v>53</v>
      </c>
      <c r="F105" s="14">
        <f t="shared" si="4"/>
        <v>2809</v>
      </c>
      <c r="G105" s="14">
        <f t="shared" si="5"/>
        <v>938.73782312925175</v>
      </c>
      <c r="H105" s="14">
        <f t="shared" si="6"/>
        <v>614.18331531969034</v>
      </c>
      <c r="I105" s="14">
        <f t="shared" si="7"/>
        <v>527.98238822746248</v>
      </c>
    </row>
    <row r="106" spans="1:9" x14ac:dyDescent="0.25">
      <c r="A106" s="42">
        <f>Daily!A58</f>
        <v>43940</v>
      </c>
      <c r="B106" s="14">
        <f>Daily!C58</f>
        <v>583</v>
      </c>
      <c r="C106" s="14">
        <f>Daily!D58</f>
        <v>18</v>
      </c>
      <c r="D106" s="14">
        <f>Daily!E58</f>
        <v>84</v>
      </c>
      <c r="E106" s="16">
        <f>Daily!N58+1</f>
        <v>54</v>
      </c>
      <c r="F106" s="14">
        <f t="shared" si="4"/>
        <v>2916</v>
      </c>
      <c r="G106" s="14">
        <f t="shared" si="5"/>
        <v>968.87265306122447</v>
      </c>
      <c r="H106" s="14">
        <f t="shared" si="6"/>
        <v>855.73506398679615</v>
      </c>
      <c r="I106" s="14">
        <f t="shared" si="7"/>
        <v>561.67721161091572</v>
      </c>
    </row>
    <row r="107" spans="1:9" x14ac:dyDescent="0.25">
      <c r="A107" s="42">
        <f>Daily!A59</f>
        <v>43941</v>
      </c>
      <c r="B107" s="14">
        <f>Daily!C59</f>
        <v>707</v>
      </c>
      <c r="C107" s="14">
        <f>Daily!D59</f>
        <v>18</v>
      </c>
      <c r="D107" s="14">
        <f>Daily!E59</f>
        <v>62</v>
      </c>
      <c r="E107" s="16">
        <f>Daily!N59+1</f>
        <v>55</v>
      </c>
      <c r="F107" s="14">
        <f t="shared" si="4"/>
        <v>3025</v>
      </c>
      <c r="G107" s="14">
        <f t="shared" si="5"/>
        <v>999.00748299319719</v>
      </c>
      <c r="H107" s="14">
        <f t="shared" si="6"/>
        <v>857.97198447032747</v>
      </c>
      <c r="I107" s="14">
        <f t="shared" si="7"/>
        <v>596.38917598050648</v>
      </c>
    </row>
    <row r="108" spans="1:9" x14ac:dyDescent="0.25">
      <c r="A108" s="42">
        <f>Daily!A60</f>
        <v>43942</v>
      </c>
      <c r="B108" s="14">
        <f>Daily!C60</f>
        <v>677</v>
      </c>
      <c r="C108" s="14">
        <f>Daily!D60</f>
        <v>23</v>
      </c>
      <c r="D108" s="14">
        <f>Daily!E60</f>
        <v>103</v>
      </c>
      <c r="E108" s="16">
        <f>Daily!N60+1</f>
        <v>56</v>
      </c>
      <c r="F108" s="14">
        <f t="shared" si="4"/>
        <v>3136</v>
      </c>
      <c r="G108" s="14">
        <f t="shared" si="5"/>
        <v>1029.1423129251702</v>
      </c>
      <c r="H108" s="14">
        <f t="shared" si="6"/>
        <v>1034.8212062176231</v>
      </c>
      <c r="I108" s="14">
        <f t="shared" si="7"/>
        <v>632.11828133623476</v>
      </c>
    </row>
    <row r="109" spans="1:9" x14ac:dyDescent="0.25">
      <c r="A109" s="42">
        <f>Daily!A61</f>
        <v>43943</v>
      </c>
      <c r="B109" s="14">
        <f>Daily!C61</f>
        <v>767</v>
      </c>
      <c r="C109" s="14">
        <f>Daily!D61</f>
        <v>13</v>
      </c>
      <c r="D109" s="14">
        <f>Daily!E61</f>
        <v>68</v>
      </c>
      <c r="E109" s="16">
        <f>Daily!N61+1</f>
        <v>57</v>
      </c>
      <c r="F109" s="14">
        <f t="shared" si="4"/>
        <v>3249</v>
      </c>
      <c r="G109" s="14">
        <f t="shared" si="5"/>
        <v>1059.2771428571427</v>
      </c>
      <c r="H109" s="14">
        <f t="shared" si="6"/>
        <v>715.24345224832405</v>
      </c>
      <c r="I109" s="14">
        <f t="shared" si="7"/>
        <v>668.8645276781001</v>
      </c>
    </row>
    <row r="110" spans="1:9" x14ac:dyDescent="0.25">
      <c r="A110" s="42">
        <f>Daily!A62</f>
        <v>43944</v>
      </c>
      <c r="B110" s="14">
        <f>Daily!C62</f>
        <v>641</v>
      </c>
      <c r="C110" s="14">
        <f>Daily!D62</f>
        <v>8</v>
      </c>
      <c r="D110" s="14">
        <f>Daily!E62</f>
        <v>266</v>
      </c>
      <c r="E110" s="16">
        <f>Daily!N62+1</f>
        <v>58</v>
      </c>
      <c r="F110" s="14">
        <f t="shared" si="4"/>
        <v>3364</v>
      </c>
      <c r="G110" s="14">
        <f t="shared" si="5"/>
        <v>1089.4119727891157</v>
      </c>
      <c r="H110" s="14">
        <f t="shared" si="6"/>
        <v>611.51417452242401</v>
      </c>
      <c r="I110" s="14">
        <f t="shared" si="7"/>
        <v>706.62791500610274</v>
      </c>
    </row>
    <row r="111" spans="1:9" x14ac:dyDescent="0.25">
      <c r="A111" s="42">
        <f>Daily!A63</f>
        <v>43945</v>
      </c>
      <c r="B111" s="14">
        <f>Daily!C63</f>
        <v>534</v>
      </c>
      <c r="C111" s="14">
        <f>Daily!D63</f>
        <v>11</v>
      </c>
      <c r="D111" s="14">
        <f>Daily!E63</f>
        <v>134</v>
      </c>
      <c r="E111" s="16">
        <f>Daily!N63+1</f>
        <v>59</v>
      </c>
      <c r="F111" s="14">
        <f t="shared" si="4"/>
        <v>3481</v>
      </c>
      <c r="G111" s="14">
        <f t="shared" si="5"/>
        <v>1119.5468027210886</v>
      </c>
      <c r="H111" s="14">
        <f t="shared" si="6"/>
        <v>682.66726010544926</v>
      </c>
      <c r="I111" s="14">
        <f t="shared" si="7"/>
        <v>745.4084433202429</v>
      </c>
    </row>
    <row r="112" spans="1:9" x14ac:dyDescent="0.25">
      <c r="A112" s="42">
        <f>Daily!A64</f>
        <v>43946</v>
      </c>
      <c r="B112" s="14">
        <f>Daily!C64</f>
        <v>922</v>
      </c>
      <c r="C112" s="14">
        <f>Daily!D64</f>
        <v>14</v>
      </c>
      <c r="D112" s="14">
        <f>Daily!E64</f>
        <v>33</v>
      </c>
      <c r="E112" s="16">
        <f>Daily!N64+1</f>
        <v>60</v>
      </c>
      <c r="F112" s="14">
        <f t="shared" si="4"/>
        <v>3600</v>
      </c>
      <c r="G112" s="14">
        <f t="shared" si="5"/>
        <v>1149.6816326530611</v>
      </c>
      <c r="H112" s="14">
        <f t="shared" si="6"/>
        <v>761.33988347887839</v>
      </c>
      <c r="I112" s="14">
        <f t="shared" si="7"/>
        <v>785.20611262052034</v>
      </c>
    </row>
    <row r="113" spans="1:9" x14ac:dyDescent="0.25">
      <c r="A113" s="42">
        <f>Daily!A65</f>
        <v>43947</v>
      </c>
      <c r="B113" s="14">
        <f>Daily!C65</f>
        <v>660</v>
      </c>
      <c r="C113" s="14">
        <f>Daily!D65</f>
        <v>12</v>
      </c>
      <c r="D113" s="14">
        <f>Daily!E65</f>
        <v>62</v>
      </c>
      <c r="E113" s="16">
        <f>Daily!N65+1</f>
        <v>61</v>
      </c>
      <c r="F113" s="14">
        <f t="shared" si="4"/>
        <v>3721</v>
      </c>
      <c r="G113" s="14">
        <f t="shared" si="5"/>
        <v>1179.8164625850341</v>
      </c>
      <c r="H113" s="14">
        <f t="shared" si="6"/>
        <v>712.21539247718715</v>
      </c>
      <c r="I113" s="14">
        <f t="shared" si="7"/>
        <v>826.02092290693486</v>
      </c>
    </row>
    <row r="114" spans="1:9" x14ac:dyDescent="0.25">
      <c r="A114" s="42">
        <f>Daily!A66</f>
        <v>43948</v>
      </c>
      <c r="B114" s="14">
        <f>Daily!C66</f>
        <v>739</v>
      </c>
      <c r="C114" s="14">
        <f>Daily!D66</f>
        <v>23</v>
      </c>
      <c r="D114" s="14">
        <f>Daily!E66</f>
        <v>63</v>
      </c>
      <c r="E114" s="16">
        <f>Daily!N66+1</f>
        <v>62</v>
      </c>
      <c r="F114" s="14">
        <f t="shared" si="4"/>
        <v>3844</v>
      </c>
      <c r="G114" s="14">
        <f t="shared" si="5"/>
        <v>1209.9512925170066</v>
      </c>
      <c r="H114" s="14">
        <f t="shared" si="6"/>
        <v>1070.5587767548486</v>
      </c>
      <c r="I114" s="14">
        <f t="shared" si="7"/>
        <v>867.85287417948689</v>
      </c>
    </row>
    <row r="115" spans="1:9" x14ac:dyDescent="0.25">
      <c r="A115" s="42">
        <f>Daily!A67</f>
        <v>43949</v>
      </c>
      <c r="B115" s="14">
        <f>Daily!C67</f>
        <v>730</v>
      </c>
      <c r="C115" s="14">
        <f>Daily!D67</f>
        <v>5</v>
      </c>
      <c r="D115" s="14">
        <f>Daily!E67</f>
        <v>0</v>
      </c>
      <c r="E115" s="16">
        <f>Daily!N67+1</f>
        <v>63</v>
      </c>
      <c r="F115" s="14">
        <f t="shared" si="4"/>
        <v>3969</v>
      </c>
      <c r="G115" s="14">
        <f t="shared" si="5"/>
        <v>1240.0861224489795</v>
      </c>
      <c r="H115" s="14">
        <f t="shared" si="6"/>
        <v>489.26012628421711</v>
      </c>
      <c r="I115" s="14">
        <f t="shared" si="7"/>
        <v>910.70196643817644</v>
      </c>
    </row>
    <row r="116" spans="1:9" x14ac:dyDescent="0.25">
      <c r="A116" s="42">
        <f>Daily!A68</f>
        <v>43950</v>
      </c>
      <c r="B116" s="14">
        <f>Daily!C68</f>
        <v>948</v>
      </c>
      <c r="C116" s="14">
        <f>Daily!D68</f>
        <v>19</v>
      </c>
      <c r="D116" s="14">
        <f>Daily!E68</f>
        <v>208</v>
      </c>
      <c r="E116" s="16">
        <f>Daily!N68+1</f>
        <v>64</v>
      </c>
      <c r="F116" s="14">
        <f t="shared" si="4"/>
        <v>4096</v>
      </c>
      <c r="G116" s="14">
        <f t="shared" si="5"/>
        <v>1270.2209523809524</v>
      </c>
      <c r="H116" s="14">
        <f t="shared" si="6"/>
        <v>993.4130137116324</v>
      </c>
      <c r="I116" s="14">
        <f t="shared" si="7"/>
        <v>954.56819968300306</v>
      </c>
    </row>
    <row r="117" spans="1:9" x14ac:dyDescent="0.25">
      <c r="A117" s="42">
        <f>Daily!A69</f>
        <v>43951</v>
      </c>
      <c r="B117" s="14">
        <f>Daily!C69</f>
        <v>665</v>
      </c>
      <c r="C117" s="14">
        <f>Daily!D69</f>
        <v>15</v>
      </c>
      <c r="D117" s="14">
        <f>Daily!E69</f>
        <v>0</v>
      </c>
      <c r="E117" s="16">
        <f>Daily!N69+1</f>
        <v>65</v>
      </c>
      <c r="F117" s="14">
        <f t="shared" ref="F117:F148" si="8">E117^2</f>
        <v>4225</v>
      </c>
      <c r="G117" s="14">
        <f t="shared" ref="G117:G151" si="9">$B$6+$B$7*E117</f>
        <v>1300.3557823129249</v>
      </c>
      <c r="H117" s="14">
        <f t="shared" ref="H117:H151" si="10">$B$18+$B$19*C117+$B$20*D117+$B$21*E117</f>
        <v>823.0681794945142</v>
      </c>
      <c r="I117" s="14">
        <f t="shared" ref="I117:I151" si="11">$B$32+$B$33*E117+$B$34*F117</f>
        <v>999.45157391396697</v>
      </c>
    </row>
    <row r="118" spans="1:9" x14ac:dyDescent="0.25">
      <c r="A118" s="42">
        <f>Daily!A70</f>
        <v>43952</v>
      </c>
      <c r="B118" s="14">
        <f>Daily!C70</f>
        <v>1070</v>
      </c>
      <c r="C118" s="14">
        <f>Daily!D70</f>
        <v>23</v>
      </c>
      <c r="D118" s="14">
        <f>Daily!E70</f>
        <v>119</v>
      </c>
      <c r="E118" s="16">
        <f>Daily!N70+1</f>
        <v>66</v>
      </c>
      <c r="F118" s="14">
        <f t="shared" si="8"/>
        <v>4356</v>
      </c>
      <c r="G118" s="14">
        <f t="shared" si="9"/>
        <v>1330.4906122448979</v>
      </c>
      <c r="H118" s="14">
        <f t="shared" si="10"/>
        <v>1114.4359245540763</v>
      </c>
      <c r="I118" s="14">
        <f t="shared" si="11"/>
        <v>1045.3520891310684</v>
      </c>
    </row>
    <row r="119" spans="1:9" x14ac:dyDescent="0.25">
      <c r="A119" s="42">
        <f>Daily!A71</f>
        <v>43953</v>
      </c>
      <c r="B119" s="14">
        <f>Daily!C71</f>
        <v>1123</v>
      </c>
      <c r="C119" s="14">
        <f>Daily!D71</f>
        <v>24</v>
      </c>
      <c r="D119" s="14">
        <f>Daily!E71</f>
        <v>43</v>
      </c>
      <c r="E119" s="16">
        <f>Daily!N71+1</f>
        <v>67</v>
      </c>
      <c r="F119" s="14">
        <f t="shared" si="8"/>
        <v>4489</v>
      </c>
      <c r="G119" s="14">
        <f t="shared" si="9"/>
        <v>1360.6254421768708</v>
      </c>
      <c r="H119" s="14">
        <f t="shared" si="10"/>
        <v>1135.4404273277507</v>
      </c>
      <c r="I119" s="14">
        <f t="shared" si="11"/>
        <v>1092.2697453343069</v>
      </c>
    </row>
    <row r="120" spans="1:9" x14ac:dyDescent="0.25">
      <c r="A120" s="42">
        <f>Daily!A72</f>
        <v>43954</v>
      </c>
      <c r="B120" s="14">
        <f>Daily!C72</f>
        <v>1342</v>
      </c>
      <c r="C120" s="14">
        <f>Daily!D72</f>
        <v>30</v>
      </c>
      <c r="D120" s="14">
        <f>Daily!E72</f>
        <v>0</v>
      </c>
      <c r="E120" s="16">
        <f>Daily!N72+1</f>
        <v>68</v>
      </c>
      <c r="F120" s="14">
        <f t="shared" si="8"/>
        <v>4624</v>
      </c>
      <c r="G120" s="14">
        <f t="shared" si="9"/>
        <v>1390.7602721088433</v>
      </c>
      <c r="H120" s="14">
        <f t="shared" si="10"/>
        <v>1323.7802593099598</v>
      </c>
      <c r="I120" s="14">
        <f t="shared" si="11"/>
        <v>1140.2045425236831</v>
      </c>
    </row>
    <row r="121" spans="1:9" x14ac:dyDescent="0.25">
      <c r="A121" s="42">
        <f>Daily!A73</f>
        <v>43955</v>
      </c>
      <c r="B121" s="14">
        <f>Daily!C73</f>
        <v>1052</v>
      </c>
      <c r="C121" s="14">
        <f>Daily!D73</f>
        <v>24</v>
      </c>
      <c r="D121" s="14">
        <f>Daily!E73</f>
        <v>0</v>
      </c>
      <c r="E121" s="16">
        <f>Daily!N73+1</f>
        <v>69</v>
      </c>
      <c r="F121" s="14">
        <f t="shared" si="8"/>
        <v>4761</v>
      </c>
      <c r="G121" s="14">
        <f t="shared" si="9"/>
        <v>1420.8951020408163</v>
      </c>
      <c r="H121" s="14">
        <f t="shared" si="10"/>
        <v>1140.1568340299877</v>
      </c>
      <c r="I121" s="14">
        <f t="shared" si="11"/>
        <v>1189.1564806991962</v>
      </c>
    </row>
    <row r="122" spans="1:9" x14ac:dyDescent="0.25">
      <c r="A122" s="42">
        <f>Daily!A74</f>
        <v>43956</v>
      </c>
      <c r="B122" s="14">
        <f>Daily!C74</f>
        <v>1023</v>
      </c>
      <c r="C122" s="14">
        <f>Daily!D74</f>
        <v>28</v>
      </c>
      <c r="D122" s="14">
        <f>Daily!E74</f>
        <v>45</v>
      </c>
      <c r="E122" s="16">
        <f>Daily!N74+1</f>
        <v>70</v>
      </c>
      <c r="F122" s="14">
        <f t="shared" si="8"/>
        <v>4900</v>
      </c>
      <c r="G122" s="14">
        <f t="shared" si="9"/>
        <v>1451.0299319727887</v>
      </c>
      <c r="H122" s="14">
        <f t="shared" si="10"/>
        <v>1286.1101867284242</v>
      </c>
      <c r="I122" s="14">
        <f t="shared" si="11"/>
        <v>1239.1255598608468</v>
      </c>
    </row>
    <row r="123" spans="1:9" x14ac:dyDescent="0.25">
      <c r="A123" s="42">
        <f>Daily!A75</f>
        <v>43957</v>
      </c>
      <c r="B123" s="14">
        <f>Daily!C75</f>
        <v>1804</v>
      </c>
      <c r="C123" s="14">
        <f>Daily!D75</f>
        <v>49</v>
      </c>
      <c r="D123" s="14">
        <f>Daily!E75</f>
        <v>124</v>
      </c>
      <c r="E123" s="16">
        <f>Daily!N75+1</f>
        <v>71</v>
      </c>
      <c r="F123" s="14">
        <f t="shared" si="8"/>
        <v>5041</v>
      </c>
      <c r="G123" s="14">
        <f t="shared" si="9"/>
        <v>1481.1647619047617</v>
      </c>
      <c r="H123" s="14">
        <f t="shared" si="10"/>
        <v>1982.0350182452473</v>
      </c>
      <c r="I123" s="14">
        <f t="shared" si="11"/>
        <v>1290.1117800086349</v>
      </c>
    </row>
    <row r="124" spans="1:9" x14ac:dyDescent="0.25">
      <c r="A124" s="42">
        <f>Daily!A76</f>
        <v>43958</v>
      </c>
      <c r="B124" s="14">
        <f>Daily!C76</f>
        <v>863</v>
      </c>
      <c r="C124" s="14">
        <f>Daily!D76</f>
        <v>28</v>
      </c>
      <c r="D124" s="14">
        <f>Daily!E76</f>
        <v>14</v>
      </c>
      <c r="E124" s="16">
        <f>Daily!N76+1</f>
        <v>72</v>
      </c>
      <c r="F124" s="14">
        <f t="shared" si="8"/>
        <v>5184</v>
      </c>
      <c r="G124" s="14">
        <f t="shared" si="9"/>
        <v>1511.2995918367346</v>
      </c>
      <c r="H124" s="14">
        <f t="shared" si="10"/>
        <v>1293.7373822527529</v>
      </c>
      <c r="I124" s="14">
        <f t="shared" si="11"/>
        <v>1342.1151411425603</v>
      </c>
    </row>
    <row r="125" spans="1:9" x14ac:dyDescent="0.25">
      <c r="A125" s="42">
        <f>Daily!A77</f>
        <v>43959</v>
      </c>
      <c r="B125" s="14">
        <f>Daily!C77</f>
        <v>1829</v>
      </c>
      <c r="C125" s="14">
        <f>Daily!D77</f>
        <v>31</v>
      </c>
      <c r="D125" s="14">
        <f>Daily!E77</f>
        <v>13</v>
      </c>
      <c r="E125" s="16">
        <f>Daily!N77+1</f>
        <v>73</v>
      </c>
      <c r="F125" s="14">
        <f t="shared" si="8"/>
        <v>5329</v>
      </c>
      <c r="G125" s="14">
        <f t="shared" si="9"/>
        <v>1541.4344217687071</v>
      </c>
      <c r="H125" s="14">
        <f t="shared" si="10"/>
        <v>1396.6665791436144</v>
      </c>
      <c r="I125" s="14">
        <f t="shared" si="11"/>
        <v>1395.1356432626228</v>
      </c>
    </row>
    <row r="126" spans="1:9" x14ac:dyDescent="0.25">
      <c r="A126" s="42">
        <f>Daily!A78</f>
        <v>43960</v>
      </c>
      <c r="B126" s="14">
        <f>Daily!C78</f>
        <v>2554</v>
      </c>
      <c r="C126" s="14">
        <f>Daily!D78</f>
        <v>19</v>
      </c>
      <c r="D126" s="14">
        <f>Daily!E78</f>
        <v>18</v>
      </c>
      <c r="E126" s="16">
        <f>Daily!N78+1</f>
        <v>74</v>
      </c>
      <c r="F126" s="14">
        <f t="shared" si="8"/>
        <v>5476</v>
      </c>
      <c r="G126" s="14">
        <f t="shared" si="9"/>
        <v>1571.5692517006801</v>
      </c>
      <c r="H126" s="14">
        <f t="shared" si="10"/>
        <v>1023.0591906021752</v>
      </c>
      <c r="I126" s="14">
        <f t="shared" si="11"/>
        <v>1449.1732863688228</v>
      </c>
    </row>
    <row r="127" spans="1:9" x14ac:dyDescent="0.25">
      <c r="A127" s="42">
        <f>Daily!A79</f>
        <v>43961</v>
      </c>
      <c r="B127" s="14">
        <f>Daily!C79</f>
        <v>1463</v>
      </c>
      <c r="C127" s="14">
        <f>Daily!D79</f>
        <v>23</v>
      </c>
      <c r="D127" s="14">
        <f>Daily!E79</f>
        <v>138</v>
      </c>
      <c r="E127" s="16">
        <f>Daily!N79+1</f>
        <v>75</v>
      </c>
      <c r="F127" s="14">
        <f t="shared" si="8"/>
        <v>5625</v>
      </c>
      <c r="G127" s="14">
        <f t="shared" si="9"/>
        <v>1601.704081632653</v>
      </c>
      <c r="H127" s="14">
        <f t="shared" si="10"/>
        <v>1187.204973438686</v>
      </c>
      <c r="I127" s="14">
        <f t="shared" si="11"/>
        <v>1504.2280704611601</v>
      </c>
    </row>
    <row r="128" spans="1:9" x14ac:dyDescent="0.25">
      <c r="A128" s="42">
        <f>Daily!A80</f>
        <v>43962</v>
      </c>
      <c r="B128" s="14">
        <f>Daily!C80</f>
        <v>1079</v>
      </c>
      <c r="C128" s="14">
        <f>Daily!D80</f>
        <v>38</v>
      </c>
      <c r="D128" s="14">
        <f>Daily!E80</f>
        <v>167</v>
      </c>
      <c r="E128" s="16">
        <f>Daily!N80+1</f>
        <v>76</v>
      </c>
      <c r="F128" s="14">
        <f t="shared" si="8"/>
        <v>5776</v>
      </c>
      <c r="G128" s="14">
        <f t="shared" si="9"/>
        <v>1631.8389115646255</v>
      </c>
      <c r="H128" s="14">
        <f t="shared" si="10"/>
        <v>1679.8047262594541</v>
      </c>
      <c r="I128" s="14">
        <f t="shared" si="11"/>
        <v>1560.2999955396342</v>
      </c>
    </row>
    <row r="129" spans="1:9" x14ac:dyDescent="0.25">
      <c r="A129" s="42">
        <f>Daily!A81</f>
        <v>43963</v>
      </c>
      <c r="B129" s="14">
        <f>Daily!C81</f>
        <v>2254</v>
      </c>
      <c r="C129" s="14">
        <f>Daily!D81</f>
        <v>39</v>
      </c>
      <c r="D129" s="14">
        <f>Daily!E81</f>
        <v>247</v>
      </c>
      <c r="E129" s="16">
        <f>Daily!N81+1</f>
        <v>77</v>
      </c>
      <c r="F129" s="14">
        <f t="shared" si="8"/>
        <v>5929</v>
      </c>
      <c r="G129" s="14">
        <f t="shared" si="9"/>
        <v>1661.9737414965984</v>
      </c>
      <c r="H129" s="14">
        <f t="shared" si="10"/>
        <v>1738.6494837203227</v>
      </c>
      <c r="I129" s="14">
        <f t="shared" si="11"/>
        <v>1617.3890616042463</v>
      </c>
    </row>
    <row r="130" spans="1:9" x14ac:dyDescent="0.25">
      <c r="A130" s="42">
        <f>Daily!A82</f>
        <v>43964</v>
      </c>
      <c r="B130" s="14">
        <f>Daily!C82</f>
        <v>1431</v>
      </c>
      <c r="C130" s="14">
        <f>Daily!D82</f>
        <v>36</v>
      </c>
      <c r="D130" s="14">
        <f>Daily!E82</f>
        <v>756</v>
      </c>
      <c r="E130" s="16">
        <f>Daily!N82+1</f>
        <v>78</v>
      </c>
      <c r="F130" s="14">
        <f t="shared" si="8"/>
        <v>6084</v>
      </c>
      <c r="G130" s="14">
        <f t="shared" si="9"/>
        <v>1692.1085714285714</v>
      </c>
      <c r="H130" s="14">
        <f t="shared" si="10"/>
        <v>1774.0904136127497</v>
      </c>
      <c r="I130" s="14">
        <f t="shared" si="11"/>
        <v>1675.4952686549955</v>
      </c>
    </row>
    <row r="131" spans="1:9" x14ac:dyDescent="0.25">
      <c r="A131" s="42">
        <f>Daily!A83</f>
        <v>43965</v>
      </c>
      <c r="B131" s="14">
        <f>Daily!C83</f>
        <v>1449</v>
      </c>
      <c r="C131" s="14">
        <f>Daily!D83</f>
        <v>33</v>
      </c>
      <c r="D131" s="14">
        <f>Daily!E83</f>
        <v>374</v>
      </c>
      <c r="E131" s="16">
        <f>Daily!N83+1</f>
        <v>79</v>
      </c>
      <c r="F131" s="14">
        <f t="shared" si="8"/>
        <v>6241</v>
      </c>
      <c r="G131" s="14">
        <f t="shared" si="9"/>
        <v>1722.2434013605439</v>
      </c>
      <c r="H131" s="14">
        <f t="shared" si="10"/>
        <v>1593.4052734648558</v>
      </c>
      <c r="I131" s="14">
        <f t="shared" si="11"/>
        <v>1734.6186166918819</v>
      </c>
    </row>
    <row r="132" spans="1:9" x14ac:dyDescent="0.25">
      <c r="A132" s="42">
        <f>Daily!A84</f>
        <v>43966</v>
      </c>
      <c r="B132" s="14">
        <f>Daily!C84</f>
        <v>1515</v>
      </c>
      <c r="C132" s="14">
        <f>Daily!D84</f>
        <v>31</v>
      </c>
      <c r="D132" s="14">
        <f>Daily!E84</f>
        <v>665</v>
      </c>
      <c r="E132" s="16">
        <f>Daily!N84+1</f>
        <v>80</v>
      </c>
      <c r="F132" s="14">
        <f t="shared" si="8"/>
        <v>6400</v>
      </c>
      <c r="G132" s="14">
        <f t="shared" si="9"/>
        <v>1752.3782312925168</v>
      </c>
      <c r="H132" s="14">
        <f t="shared" si="10"/>
        <v>1607.833005078837</v>
      </c>
      <c r="I132" s="14">
        <f t="shared" si="11"/>
        <v>1794.7591057149061</v>
      </c>
    </row>
    <row r="133" spans="1:9" x14ac:dyDescent="0.25">
      <c r="A133" s="42">
        <f>Daily!A85</f>
        <v>43967</v>
      </c>
      <c r="B133" s="14">
        <f>Daily!C85</f>
        <v>1372</v>
      </c>
      <c r="C133" s="14">
        <f>Daily!D85</f>
        <v>39</v>
      </c>
      <c r="D133" s="14">
        <f>Daily!E85</f>
        <v>284</v>
      </c>
      <c r="E133" s="16">
        <f>Daily!N85+1</f>
        <v>81</v>
      </c>
      <c r="F133" s="14">
        <f t="shared" si="8"/>
        <v>6561</v>
      </c>
      <c r="G133" s="14">
        <f t="shared" si="9"/>
        <v>1782.5130612244898</v>
      </c>
      <c r="H133" s="14">
        <f t="shared" si="10"/>
        <v>1777.9178825512383</v>
      </c>
      <c r="I133" s="14">
        <f t="shared" si="11"/>
        <v>1855.9167357240674</v>
      </c>
    </row>
    <row r="134" spans="1:9" x14ac:dyDescent="0.25">
      <c r="A134" s="42">
        <f>Daily!A86</f>
        <v>43968</v>
      </c>
      <c r="B134" s="14">
        <f>Daily!C86</f>
        <v>1956</v>
      </c>
      <c r="C134" s="14">
        <f>Daily!D86</f>
        <v>30</v>
      </c>
      <c r="D134" s="14">
        <f>Daily!E86</f>
        <v>486</v>
      </c>
      <c r="E134" s="16">
        <f>Daily!N86+1</f>
        <v>82</v>
      </c>
      <c r="F134" s="14">
        <f t="shared" si="8"/>
        <v>6724</v>
      </c>
      <c r="G134" s="14">
        <f t="shared" si="9"/>
        <v>1812.6478911564623</v>
      </c>
      <c r="H134" s="14">
        <f t="shared" si="10"/>
        <v>1547.6943398078097</v>
      </c>
      <c r="I134" s="14">
        <f t="shared" si="11"/>
        <v>1918.0915067193657</v>
      </c>
    </row>
    <row r="135" spans="1:9" x14ac:dyDescent="0.25">
      <c r="A135" s="42">
        <f>Daily!A87</f>
        <v>43969</v>
      </c>
      <c r="B135" s="14">
        <f>Daily!C87</f>
        <v>1800</v>
      </c>
      <c r="C135" s="14">
        <f>Daily!D87</f>
        <v>46</v>
      </c>
      <c r="D135" s="14">
        <f>Daily!E87</f>
        <v>954</v>
      </c>
      <c r="E135" s="16">
        <f>Daily!N87+1</f>
        <v>83</v>
      </c>
      <c r="F135" s="14">
        <f t="shared" si="8"/>
        <v>6889</v>
      </c>
      <c r="G135" s="14">
        <f t="shared" si="9"/>
        <v>1842.7827210884352</v>
      </c>
      <c r="H135" s="14">
        <f t="shared" si="10"/>
        <v>2178.6465823596618</v>
      </c>
      <c r="I135" s="14">
        <f t="shared" si="11"/>
        <v>1981.2834187008013</v>
      </c>
    </row>
    <row r="136" spans="1:9" x14ac:dyDescent="0.25">
      <c r="A136" s="42">
        <f>Daily!A88</f>
        <v>43970</v>
      </c>
      <c r="B136" s="14">
        <f>Daily!C88</f>
        <v>1874</v>
      </c>
      <c r="C136" s="14">
        <f>Daily!D88</f>
        <v>46</v>
      </c>
      <c r="D136" s="14">
        <f>Daily!E88</f>
        <v>597</v>
      </c>
      <c r="E136" s="16">
        <f>Daily!N88+1</f>
        <v>84</v>
      </c>
      <c r="F136" s="14">
        <f t="shared" si="8"/>
        <v>7056</v>
      </c>
      <c r="G136" s="14">
        <f t="shared" si="9"/>
        <v>1872.9175510204077</v>
      </c>
      <c r="H136" s="14">
        <f t="shared" si="10"/>
        <v>2099.6239815597951</v>
      </c>
      <c r="I136" s="14">
        <f t="shared" si="11"/>
        <v>2045.4924716683749</v>
      </c>
    </row>
    <row r="137" spans="1:9" x14ac:dyDescent="0.25">
      <c r="A137" s="42">
        <f>Daily!A89</f>
        <v>43971</v>
      </c>
      <c r="B137" s="14">
        <f>Daily!C89</f>
        <v>2115</v>
      </c>
      <c r="C137" s="14">
        <f>Daily!D89</f>
        <v>32</v>
      </c>
      <c r="D137" s="14">
        <f>Daily!E89</f>
        <v>1038</v>
      </c>
      <c r="E137" s="16">
        <f>Daily!N89+1</f>
        <v>85</v>
      </c>
      <c r="F137" s="14">
        <f t="shared" si="8"/>
        <v>7225</v>
      </c>
      <c r="G137" s="14">
        <f t="shared" si="9"/>
        <v>1903.0523809523806</v>
      </c>
      <c r="H137" s="14">
        <f t="shared" si="10"/>
        <v>1768.0429895752475</v>
      </c>
      <c r="I137" s="14">
        <f t="shared" si="11"/>
        <v>2110.7186656220852</v>
      </c>
    </row>
    <row r="138" spans="1:9" x14ac:dyDescent="0.25">
      <c r="A138" s="42">
        <f>Daily!A90</f>
        <v>43972</v>
      </c>
      <c r="B138" s="14">
        <f>Daily!C90</f>
        <v>2539</v>
      </c>
      <c r="C138" s="14">
        <f>Daily!D90</f>
        <v>43</v>
      </c>
      <c r="D138" s="14">
        <f>Daily!E90</f>
        <v>1014</v>
      </c>
      <c r="E138" s="16">
        <f>Daily!N90+1</f>
        <v>86</v>
      </c>
      <c r="F138" s="14">
        <f t="shared" si="8"/>
        <v>7396</v>
      </c>
      <c r="G138" s="14">
        <f t="shared" si="9"/>
        <v>1933.1872108843536</v>
      </c>
      <c r="H138" s="14">
        <f t="shared" si="10"/>
        <v>2120.3222304735509</v>
      </c>
      <c r="I138" s="14">
        <f t="shared" si="11"/>
        <v>2176.9620005619331</v>
      </c>
    </row>
    <row r="139" spans="1:9" x14ac:dyDescent="0.25">
      <c r="A139" s="42">
        <f>Daily!A91</f>
        <v>43973</v>
      </c>
      <c r="B139" s="14">
        <f>Daily!C91</f>
        <v>1728</v>
      </c>
      <c r="C139" s="14">
        <f>Daily!D91</f>
        <v>34</v>
      </c>
      <c r="D139" s="14">
        <f>Daily!E91</f>
        <v>1438</v>
      </c>
      <c r="E139" s="16">
        <f>Daily!N91+1</f>
        <v>87</v>
      </c>
      <c r="F139" s="14">
        <f t="shared" si="8"/>
        <v>7569</v>
      </c>
      <c r="G139" s="14">
        <f t="shared" si="9"/>
        <v>1963.3220408163261</v>
      </c>
      <c r="H139" s="14">
        <f t="shared" si="10"/>
        <v>1943.9482809388217</v>
      </c>
      <c r="I139" s="14">
        <f t="shared" si="11"/>
        <v>2244.2224764879179</v>
      </c>
    </row>
    <row r="140" spans="1:9" x14ac:dyDescent="0.25">
      <c r="A140" s="42">
        <f>Daily!A92</f>
        <v>43974</v>
      </c>
      <c r="B140" s="14">
        <f>Daily!C92</f>
        <v>2060</v>
      </c>
      <c r="C140" s="14">
        <f>Daily!D92</f>
        <v>32</v>
      </c>
      <c r="D140" s="14">
        <f>Daily!E92</f>
        <v>539</v>
      </c>
      <c r="E140" s="16">
        <f>Daily!N92+1</f>
        <v>88</v>
      </c>
      <c r="F140" s="14">
        <f t="shared" si="8"/>
        <v>7744</v>
      </c>
      <c r="G140" s="14">
        <f t="shared" si="9"/>
        <v>1993.456870748299</v>
      </c>
      <c r="H140" s="14">
        <f t="shared" si="10"/>
        <v>1669.72278769536</v>
      </c>
      <c r="I140" s="14">
        <f t="shared" si="11"/>
        <v>2312.5000934000409</v>
      </c>
    </row>
    <row r="141" spans="1:9" x14ac:dyDescent="0.25">
      <c r="A141" s="42">
        <f>Daily!A93</f>
        <v>43975</v>
      </c>
      <c r="B141" s="14">
        <f>Daily!C93</f>
        <v>1744</v>
      </c>
      <c r="C141" s="14">
        <f>Daily!D93</f>
        <v>34</v>
      </c>
      <c r="D141" s="14">
        <f>Daily!E93</f>
        <v>282</v>
      </c>
      <c r="E141" s="16">
        <f>Daily!N93+1</f>
        <v>89</v>
      </c>
      <c r="F141" s="14">
        <f t="shared" si="8"/>
        <v>7921</v>
      </c>
      <c r="G141" s="14">
        <f t="shared" si="9"/>
        <v>2023.591700680272</v>
      </c>
      <c r="H141" s="14">
        <f t="shared" si="10"/>
        <v>1678.6890243920386</v>
      </c>
      <c r="I141" s="14">
        <f t="shared" si="11"/>
        <v>2381.7948512983003</v>
      </c>
    </row>
    <row r="142" spans="1:9" x14ac:dyDescent="0.25">
      <c r="A142" s="42">
        <f>Daily!A94</f>
        <v>43976</v>
      </c>
      <c r="B142" s="14">
        <f>Daily!C94</f>
        <v>1356</v>
      </c>
      <c r="C142" s="14">
        <f>Daily!D94</f>
        <v>30</v>
      </c>
      <c r="D142" s="14">
        <f>Daily!E94</f>
        <v>830</v>
      </c>
      <c r="E142" s="16">
        <f>Daily!N94+1</f>
        <v>90</v>
      </c>
      <c r="F142" s="14">
        <f t="shared" si="8"/>
        <v>8100</v>
      </c>
      <c r="G142" s="14">
        <f t="shared" si="9"/>
        <v>2053.7265306122445</v>
      </c>
      <c r="H142" s="14">
        <f t="shared" si="10"/>
        <v>1691.7238859667075</v>
      </c>
      <c r="I142" s="14">
        <f t="shared" si="11"/>
        <v>2452.1067501826974</v>
      </c>
    </row>
    <row r="143" spans="1:9" x14ac:dyDescent="0.25">
      <c r="A143" s="42">
        <f>Daily!A95</f>
        <v>43977</v>
      </c>
      <c r="B143" s="14">
        <f>Daily!C95</f>
        <v>1440</v>
      </c>
      <c r="C143" s="14">
        <f>Daily!D95</f>
        <v>27</v>
      </c>
      <c r="D143" s="14">
        <f>Daily!E95</f>
        <v>824</v>
      </c>
      <c r="E143" s="16">
        <f>Daily!N95+1</f>
        <v>91</v>
      </c>
      <c r="F143" s="14">
        <f t="shared" si="8"/>
        <v>8281</v>
      </c>
      <c r="G143" s="14">
        <f t="shared" si="9"/>
        <v>2083.8613605442174</v>
      </c>
      <c r="H143" s="14">
        <f t="shared" si="10"/>
        <v>1602.2434622443589</v>
      </c>
      <c r="I143" s="14">
        <f t="shared" si="11"/>
        <v>2523.4357900532318</v>
      </c>
    </row>
    <row r="144" spans="1:9" x14ac:dyDescent="0.25">
      <c r="A144" s="42">
        <f>Daily!A96</f>
        <v>43978</v>
      </c>
      <c r="B144" s="14">
        <f>Daily!C96</f>
        <v>2173</v>
      </c>
      <c r="C144" s="14">
        <f>Daily!D96</f>
        <v>36</v>
      </c>
      <c r="D144" s="14">
        <f>Daily!E96</f>
        <v>1065</v>
      </c>
      <c r="E144" s="16">
        <f>Daily!N96+1</f>
        <v>92</v>
      </c>
      <c r="F144" s="14">
        <f t="shared" si="8"/>
        <v>8464</v>
      </c>
      <c r="G144" s="14">
        <f t="shared" si="9"/>
        <v>2113.9961904761903</v>
      </c>
      <c r="H144" s="14">
        <f t="shared" si="10"/>
        <v>1955.0703589847449</v>
      </c>
      <c r="I144" s="14">
        <f t="shared" si="11"/>
        <v>2595.781970909904</v>
      </c>
    </row>
    <row r="145" spans="1:9" x14ac:dyDescent="0.25">
      <c r="A145" s="42">
        <f>Daily!A97</f>
        <v>43979</v>
      </c>
      <c r="B145" s="14">
        <f>Daily!C97</f>
        <v>2562</v>
      </c>
      <c r="C145" s="14">
        <f>Daily!D97</f>
        <v>59</v>
      </c>
      <c r="D145" s="14">
        <f>Daily!E97</f>
        <v>2072</v>
      </c>
      <c r="E145" s="16">
        <f>Daily!N97+1</f>
        <v>93</v>
      </c>
      <c r="F145" s="14">
        <f t="shared" si="8"/>
        <v>8649</v>
      </c>
      <c r="G145" s="14">
        <f t="shared" si="9"/>
        <v>2144.1310204081628</v>
      </c>
      <c r="H145" s="14">
        <f t="shared" si="10"/>
        <v>2939.8284567224509</v>
      </c>
      <c r="I145" s="14">
        <f t="shared" si="11"/>
        <v>2669.145292752713</v>
      </c>
    </row>
    <row r="146" spans="1:9" x14ac:dyDescent="0.25">
      <c r="A146" s="42">
        <f>Daily!A98</f>
        <v>43980</v>
      </c>
      <c r="B146" s="14">
        <f>Daily!C98</f>
        <v>2426</v>
      </c>
      <c r="C146" s="14">
        <f>Daily!D98</f>
        <v>78</v>
      </c>
      <c r="D146" s="14">
        <f>Daily!E98</f>
        <v>1824</v>
      </c>
      <c r="E146" s="16">
        <f>Daily!N98+1</f>
        <v>94</v>
      </c>
      <c r="F146" s="14">
        <f t="shared" si="8"/>
        <v>8836</v>
      </c>
      <c r="G146" s="14">
        <f t="shared" si="9"/>
        <v>2174.2658503401358</v>
      </c>
      <c r="H146" s="14">
        <f t="shared" si="10"/>
        <v>3492.7020288581575</v>
      </c>
      <c r="I146" s="14">
        <f t="shared" si="11"/>
        <v>2743.5257555816588</v>
      </c>
    </row>
    <row r="147" spans="1:9" x14ac:dyDescent="0.25">
      <c r="A147" s="42">
        <f>Daily!A99</f>
        <v>43981</v>
      </c>
      <c r="B147" s="14">
        <f>Daily!C99</f>
        <v>2956</v>
      </c>
      <c r="C147" s="14">
        <f>Daily!D99</f>
        <v>88</v>
      </c>
      <c r="D147" s="14">
        <f>Daily!E99</f>
        <v>1138</v>
      </c>
      <c r="E147" s="16">
        <f>Daily!N99+1</f>
        <v>95</v>
      </c>
      <c r="F147" s="14">
        <f t="shared" si="8"/>
        <v>9025</v>
      </c>
      <c r="G147" s="14">
        <f t="shared" si="9"/>
        <v>2204.4006802721087</v>
      </c>
      <c r="H147" s="14">
        <f t="shared" si="10"/>
        <v>3652.5366210815037</v>
      </c>
      <c r="I147" s="14">
        <f t="shared" si="11"/>
        <v>2818.9233593967429</v>
      </c>
    </row>
    <row r="148" spans="1:9" x14ac:dyDescent="0.25">
      <c r="A148" s="42">
        <f>Daily!A100</f>
        <v>43982</v>
      </c>
      <c r="B148" s="14">
        <f>Daily!C100</f>
        <v>2883</v>
      </c>
      <c r="C148" s="14">
        <f>Daily!D100</f>
        <v>60</v>
      </c>
      <c r="D148" s="14">
        <f>Daily!E100</f>
        <v>809</v>
      </c>
      <c r="E148" s="16">
        <f>Daily!N100+1</f>
        <v>96</v>
      </c>
      <c r="F148" s="14">
        <f t="shared" si="8"/>
        <v>9216</v>
      </c>
      <c r="G148" s="14">
        <f t="shared" si="9"/>
        <v>2234.5355102040812</v>
      </c>
      <c r="H148" s="14">
        <f t="shared" si="10"/>
        <v>2688.0541651589383</v>
      </c>
      <c r="I148" s="14">
        <f t="shared" si="11"/>
        <v>2895.3381041979637</v>
      </c>
    </row>
    <row r="149" spans="1:9" x14ac:dyDescent="0.25">
      <c r="A149" s="42">
        <f>Daily!A101</f>
        <v>43983</v>
      </c>
      <c r="B149" s="14">
        <f>Daily!C101</f>
        <v>3872</v>
      </c>
      <c r="C149" s="14">
        <f>Daily!D101</f>
        <v>78</v>
      </c>
      <c r="D149" s="14">
        <f>Daily!E101</f>
        <v>1027</v>
      </c>
      <c r="E149" s="16">
        <f>Daily!N101+1</f>
        <v>97</v>
      </c>
      <c r="F149" s="14">
        <f t="shared" ref="F149:F180" si="12">E149^2</f>
        <v>9409</v>
      </c>
      <c r="G149" s="14">
        <f t="shared" si="9"/>
        <v>2264.6703401360542</v>
      </c>
      <c r="H149" s="14">
        <f t="shared" si="10"/>
        <v>3322.0972378963224</v>
      </c>
      <c r="I149" s="14">
        <f t="shared" si="11"/>
        <v>2972.7699899853224</v>
      </c>
    </row>
    <row r="150" spans="1:9" x14ac:dyDescent="0.25">
      <c r="A150" s="42">
        <f>Daily!A102</f>
        <v>43984</v>
      </c>
      <c r="B150" s="14">
        <f>Daily!C102</f>
        <v>4242</v>
      </c>
      <c r="C150" s="14">
        <f>Daily!D102</f>
        <v>69</v>
      </c>
      <c r="D150" s="14">
        <f>Daily!E102</f>
        <v>1931</v>
      </c>
      <c r="E150" s="16">
        <f>Daily!N102+1</f>
        <v>98</v>
      </c>
      <c r="F150" s="14">
        <f t="shared" si="12"/>
        <v>9604</v>
      </c>
      <c r="G150" s="14">
        <f t="shared" si="9"/>
        <v>2294.8051700680271</v>
      </c>
      <c r="H150" s="14">
        <f t="shared" si="10"/>
        <v>3262.1548412452676</v>
      </c>
      <c r="I150" s="14">
        <f t="shared" si="11"/>
        <v>3051.2190167588183</v>
      </c>
    </row>
    <row r="151" spans="1:9" x14ac:dyDescent="0.25">
      <c r="A151" s="42">
        <f>Daily!A103</f>
        <v>43985</v>
      </c>
      <c r="B151" s="14">
        <f>Daily!C103</f>
        <v>4677</v>
      </c>
      <c r="C151" s="14">
        <f>Daily!D103</f>
        <v>82</v>
      </c>
      <c r="D151" s="14">
        <f>Daily!E103</f>
        <v>1205</v>
      </c>
      <c r="E151" s="16">
        <f>Daily!N103+1</f>
        <v>99</v>
      </c>
      <c r="F151" s="14">
        <f t="shared" si="12"/>
        <v>9801</v>
      </c>
      <c r="G151" s="14">
        <f t="shared" si="9"/>
        <v>2324.9399999999996</v>
      </c>
      <c r="H151" s="14">
        <f t="shared" si="10"/>
        <v>3507.8852000303104</v>
      </c>
      <c r="I151" s="14">
        <f t="shared" si="11"/>
        <v>3130.685184518451</v>
      </c>
    </row>
  </sheetData>
  <mergeCells count="1">
    <mergeCell ref="A48:J4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A2"/>
  <sheetViews>
    <sheetView showGridLines="0" zoomScaleNormal="100" workbookViewId="0"/>
  </sheetViews>
  <sheetFormatPr defaultColWidth="8.7109375" defaultRowHeight="15" x14ac:dyDescent="0.25"/>
  <cols>
    <col min="1" max="20" width="12" customWidth="1"/>
  </cols>
  <sheetData>
    <row r="1" spans="1:1" ht="20.25" x14ac:dyDescent="0.3">
      <c r="A1" s="8" t="s">
        <v>215</v>
      </c>
    </row>
    <row r="2" spans="1:1" x14ac:dyDescent="0.25">
      <c r="A2" s="9" t="s">
        <v>216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75B6"/>
    <pageSetUpPr fitToPage="1"/>
  </sheetPr>
  <dimension ref="A1:L111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7" width="14" customWidth="1"/>
    <col min="8" max="8" width="3" customWidth="1"/>
    <col min="9" max="9" width="34" customWidth="1"/>
    <col min="10" max="12" width="16" customWidth="1"/>
  </cols>
  <sheetData>
    <row r="1" spans="1:12" ht="20.25" x14ac:dyDescent="0.3">
      <c r="A1" s="8" t="s">
        <v>217</v>
      </c>
    </row>
    <row r="2" spans="1:12" x14ac:dyDescent="0.25">
      <c r="A2" s="9" t="s">
        <v>218</v>
      </c>
    </row>
    <row r="4" spans="1:12" x14ac:dyDescent="0.25">
      <c r="I4" s="40" t="s">
        <v>219</v>
      </c>
    </row>
    <row r="5" spans="1:12" x14ac:dyDescent="0.25">
      <c r="I5" s="36" t="s">
        <v>220</v>
      </c>
      <c r="J5" s="28">
        <v>1000</v>
      </c>
    </row>
    <row r="6" spans="1:12" x14ac:dyDescent="0.25">
      <c r="I6" s="36" t="s">
        <v>221</v>
      </c>
      <c r="J6" s="43">
        <v>0.5</v>
      </c>
    </row>
    <row r="7" spans="1:12" x14ac:dyDescent="0.25">
      <c r="I7" s="36" t="s">
        <v>222</v>
      </c>
      <c r="J7" s="44">
        <v>-34.940705000000001</v>
      </c>
    </row>
    <row r="8" spans="1:12" x14ac:dyDescent="0.25">
      <c r="I8" s="36" t="s">
        <v>223</v>
      </c>
      <c r="J8" s="44">
        <v>0.525424</v>
      </c>
    </row>
    <row r="9" spans="1:12" x14ac:dyDescent="0.25">
      <c r="I9" s="20" t="s">
        <v>224</v>
      </c>
      <c r="J9" s="45">
        <f>SUM($G$13:$G$111)</f>
        <v>-6.2613306280143579</v>
      </c>
    </row>
    <row r="10" spans="1:12" x14ac:dyDescent="0.25">
      <c r="I10" s="36" t="s">
        <v>225</v>
      </c>
      <c r="J10" s="38">
        <f>COUNTIF($C$13:$C$111,1)*LN(AVERAGE($C$13:$C$111))+COUNTIF($C$13:$C$111,0)*LN(1-AVERAGE($C$13:$C$111))</f>
        <v>-63.014902661186461</v>
      </c>
    </row>
    <row r="11" spans="1:12" x14ac:dyDescent="0.25">
      <c r="I11" s="36" t="s">
        <v>226</v>
      </c>
      <c r="J11" s="38">
        <f>1-J9/J10</f>
        <v>0.90063730381875251</v>
      </c>
    </row>
    <row r="12" spans="1:12" ht="31.5" customHeight="1" x14ac:dyDescent="0.25">
      <c r="A12" s="11" t="s">
        <v>24</v>
      </c>
      <c r="B12" s="11" t="s">
        <v>195</v>
      </c>
      <c r="C12" s="11" t="s">
        <v>227</v>
      </c>
      <c r="D12" s="11" t="s">
        <v>228</v>
      </c>
      <c r="E12" s="11" t="s">
        <v>229</v>
      </c>
      <c r="F12" s="11" t="s">
        <v>230</v>
      </c>
      <c r="G12" s="11" t="s">
        <v>231</v>
      </c>
    </row>
    <row r="13" spans="1:12" x14ac:dyDescent="0.25">
      <c r="A13" s="42">
        <f>Regression_Excel!A53</f>
        <v>43887</v>
      </c>
      <c r="B13" s="16">
        <f>Regression_Excel!E53</f>
        <v>1</v>
      </c>
      <c r="C13" s="16">
        <f>IF(Regression_Excel!B53&gt;=$J$5,1,0)</f>
        <v>0</v>
      </c>
      <c r="D13" s="38">
        <f t="shared" ref="D13:D44" si="0">$J$7+$J$8*B13</f>
        <v>-34.415281</v>
      </c>
      <c r="E13" s="38">
        <f t="shared" ref="E13:E44" si="1">1/(1+EXP(-D13))</f>
        <v>1.1314447941257483E-15</v>
      </c>
      <c r="F13" s="16">
        <f t="shared" ref="F13:F44" si="2">IF(E13&gt;=$J$6,1,0)</f>
        <v>0</v>
      </c>
      <c r="G13" s="38">
        <f t="shared" ref="G13:G44" si="3">C13*LN(MAX(E13,0.000000000001))+(1-C13)*LN(MAX(1-E13,0.000000000001))</f>
        <v>-1.1102230246251571E-15</v>
      </c>
    </row>
    <row r="14" spans="1:12" ht="15.75" x14ac:dyDescent="0.25">
      <c r="A14" s="42">
        <f>Regression_Excel!A54</f>
        <v>43888</v>
      </c>
      <c r="B14" s="16">
        <f>Regression_Excel!E54</f>
        <v>2</v>
      </c>
      <c r="C14" s="16">
        <f>IF(Regression_Excel!B54&gt;=$J$5,1,0)</f>
        <v>0</v>
      </c>
      <c r="D14" s="38">
        <f t="shared" si="0"/>
        <v>-33.889856999999999</v>
      </c>
      <c r="E14" s="38">
        <f t="shared" si="1"/>
        <v>1.9134720038380934E-15</v>
      </c>
      <c r="F14" s="16">
        <f t="shared" si="2"/>
        <v>0</v>
      </c>
      <c r="G14" s="38">
        <f t="shared" si="3"/>
        <v>-1.8873791418627681E-15</v>
      </c>
      <c r="I14" s="10" t="s">
        <v>232</v>
      </c>
    </row>
    <row r="15" spans="1:12" ht="15" customHeight="1" x14ac:dyDescent="0.25">
      <c r="A15" s="42">
        <f>Regression_Excel!A55</f>
        <v>43889</v>
      </c>
      <c r="B15" s="16">
        <f>Regression_Excel!E55</f>
        <v>3</v>
      </c>
      <c r="C15" s="16">
        <f>IF(Regression_Excel!B55&gt;=$J$5,1,0)</f>
        <v>0</v>
      </c>
      <c r="D15" s="38">
        <f t="shared" si="0"/>
        <v>-33.364432999999998</v>
      </c>
      <c r="E15" s="38">
        <f t="shared" si="1"/>
        <v>3.2360174605790296E-15</v>
      </c>
      <c r="F15" s="16">
        <f t="shared" si="2"/>
        <v>0</v>
      </c>
      <c r="G15" s="38">
        <f t="shared" si="3"/>
        <v>-3.2196467714129591E-15</v>
      </c>
      <c r="I15" s="11"/>
      <c r="J15" s="11" t="s">
        <v>233</v>
      </c>
      <c r="K15" s="11" t="s">
        <v>234</v>
      </c>
      <c r="L15" s="11" t="s">
        <v>235</v>
      </c>
    </row>
    <row r="16" spans="1:12" x14ac:dyDescent="0.25">
      <c r="A16" s="42">
        <f>Regression_Excel!A56</f>
        <v>43890</v>
      </c>
      <c r="B16" s="16">
        <f>Regression_Excel!E56</f>
        <v>4</v>
      </c>
      <c r="C16" s="16">
        <f>IF(Regression_Excel!B56&gt;=$J$5,1,0)</f>
        <v>0</v>
      </c>
      <c r="D16" s="38">
        <f t="shared" si="0"/>
        <v>-32.839009000000004</v>
      </c>
      <c r="E16" s="38">
        <f t="shared" si="1"/>
        <v>5.4726742717780198E-15</v>
      </c>
      <c r="F16" s="16">
        <f t="shared" si="2"/>
        <v>0</v>
      </c>
      <c r="G16" s="38">
        <f t="shared" si="3"/>
        <v>-5.440092820663282E-15</v>
      </c>
      <c r="I16" s="36" t="s">
        <v>236</v>
      </c>
      <c r="J16" s="16">
        <f>COUNTIFS($C$13:$C$111,1,$F$13:$F$111,1)</f>
        <v>32</v>
      </c>
      <c r="K16" s="16">
        <f>COUNTIFS($C$13:$C$111,1,$F$13:$F$111,0)</f>
        <v>1</v>
      </c>
      <c r="L16" s="16">
        <f>J16+K16</f>
        <v>33</v>
      </c>
    </row>
    <row r="17" spans="1:12" x14ac:dyDescent="0.25">
      <c r="A17" s="42">
        <f>Regression_Excel!A57</f>
        <v>43891</v>
      </c>
      <c r="B17" s="16">
        <f>Regression_Excel!E57</f>
        <v>5</v>
      </c>
      <c r="C17" s="16">
        <f>IF(Regression_Excel!B57&gt;=$J$5,1,0)</f>
        <v>0</v>
      </c>
      <c r="D17" s="38">
        <f t="shared" si="0"/>
        <v>-32.313585000000003</v>
      </c>
      <c r="E17" s="38">
        <f t="shared" si="1"/>
        <v>9.2552540429192168E-15</v>
      </c>
      <c r="F17" s="16">
        <f t="shared" si="2"/>
        <v>0</v>
      </c>
      <c r="G17" s="38">
        <f t="shared" si="3"/>
        <v>-9.2148511043888419E-15</v>
      </c>
      <c r="I17" s="36" t="s">
        <v>237</v>
      </c>
      <c r="J17" s="16">
        <f>COUNTIFS($C$13:$C$111,0,$F$13:$F$111,1)</f>
        <v>1</v>
      </c>
      <c r="K17" s="16">
        <f>COUNTIFS($C$13:$C$111,0,$F$13:$F$111,0)</f>
        <v>65</v>
      </c>
      <c r="L17" s="16">
        <f>J17+K17</f>
        <v>66</v>
      </c>
    </row>
    <row r="18" spans="1:12" x14ac:dyDescent="0.25">
      <c r="A18" s="42">
        <f>Regression_Excel!A58</f>
        <v>43892</v>
      </c>
      <c r="B18" s="16">
        <f>Regression_Excel!E58</f>
        <v>6</v>
      </c>
      <c r="C18" s="16">
        <f>IF(Regression_Excel!B58&gt;=$J$5,1,0)</f>
        <v>0</v>
      </c>
      <c r="D18" s="38">
        <f t="shared" si="0"/>
        <v>-31.788161000000002</v>
      </c>
      <c r="E18" s="38">
        <f t="shared" si="1"/>
        <v>1.5652261242864409E-14</v>
      </c>
      <c r="F18" s="16">
        <f t="shared" si="2"/>
        <v>0</v>
      </c>
      <c r="G18" s="38">
        <f t="shared" si="3"/>
        <v>-1.565414464721483E-14</v>
      </c>
      <c r="I18" s="20" t="s">
        <v>238</v>
      </c>
      <c r="J18" s="21">
        <f>J16+J17</f>
        <v>33</v>
      </c>
      <c r="K18" s="21">
        <f>K16+K17</f>
        <v>66</v>
      </c>
      <c r="L18" s="21">
        <f>L16+L17</f>
        <v>99</v>
      </c>
    </row>
    <row r="19" spans="1:12" x14ac:dyDescent="0.25">
      <c r="A19" s="42">
        <f>Regression_Excel!A59</f>
        <v>43893</v>
      </c>
      <c r="B19" s="16">
        <f>Regression_Excel!E59</f>
        <v>7</v>
      </c>
      <c r="C19" s="16">
        <f>IF(Regression_Excel!B59&gt;=$J$5,1,0)</f>
        <v>0</v>
      </c>
      <c r="D19" s="38">
        <f t="shared" si="0"/>
        <v>-31.262737000000001</v>
      </c>
      <c r="E19" s="38">
        <f t="shared" si="1"/>
        <v>2.6470724723359448E-14</v>
      </c>
      <c r="F19" s="16">
        <f t="shared" si="2"/>
        <v>0</v>
      </c>
      <c r="G19" s="38">
        <f t="shared" si="3"/>
        <v>-2.6423307986079076E-14</v>
      </c>
      <c r="I19" s="46" t="s">
        <v>239</v>
      </c>
    </row>
    <row r="20" spans="1:12" ht="15" customHeight="1" x14ac:dyDescent="0.25">
      <c r="A20" s="42">
        <f>Regression_Excel!A60</f>
        <v>43894</v>
      </c>
      <c r="B20" s="16">
        <f>Regression_Excel!E60</f>
        <v>8</v>
      </c>
      <c r="C20" s="16">
        <f>IF(Regression_Excel!B60&gt;=$J$5,1,0)</f>
        <v>0</v>
      </c>
      <c r="D20" s="38">
        <f t="shared" si="0"/>
        <v>-30.737313</v>
      </c>
      <c r="E20" s="38">
        <f t="shared" si="1"/>
        <v>4.4766647866889156E-14</v>
      </c>
      <c r="F20" s="16">
        <f t="shared" si="2"/>
        <v>0</v>
      </c>
      <c r="G20" s="38">
        <f t="shared" si="3"/>
        <v>-4.4741987892394812E-14</v>
      </c>
      <c r="I20" s="11" t="s">
        <v>137</v>
      </c>
      <c r="J20" s="11" t="s">
        <v>240</v>
      </c>
    </row>
    <row r="21" spans="1:12" x14ac:dyDescent="0.25">
      <c r="A21" s="42">
        <f>Regression_Excel!A61</f>
        <v>43895</v>
      </c>
      <c r="B21" s="16">
        <f>Regression_Excel!E61</f>
        <v>9</v>
      </c>
      <c r="C21" s="16">
        <f>IF(Regression_Excel!B61&gt;=$J$5,1,0)</f>
        <v>0</v>
      </c>
      <c r="D21" s="38">
        <f t="shared" si="0"/>
        <v>-30.211888999999999</v>
      </c>
      <c r="E21" s="38">
        <f t="shared" si="1"/>
        <v>7.5708269500816615E-14</v>
      </c>
      <c r="F21" s="16">
        <f t="shared" si="2"/>
        <v>0</v>
      </c>
      <c r="G21" s="38">
        <f t="shared" si="3"/>
        <v>-7.5717210279438541E-14</v>
      </c>
      <c r="I21" s="36" t="s">
        <v>241</v>
      </c>
      <c r="J21" s="15">
        <f>(J16+K17)/L18</f>
        <v>0.97979797979797978</v>
      </c>
    </row>
    <row r="22" spans="1:12" x14ac:dyDescent="0.25">
      <c r="A22" s="42">
        <f>Regression_Excel!A62</f>
        <v>43896</v>
      </c>
      <c r="B22" s="16">
        <f>Regression_Excel!E62</f>
        <v>10</v>
      </c>
      <c r="C22" s="16">
        <f>IF(Regression_Excel!B62&gt;=$J$5,1,0)</f>
        <v>0</v>
      </c>
      <c r="D22" s="38">
        <f t="shared" si="0"/>
        <v>-29.686465000000002</v>
      </c>
      <c r="E22" s="38">
        <f t="shared" si="1"/>
        <v>1.2803598982553071E-13</v>
      </c>
      <c r="F22" s="16">
        <f t="shared" si="2"/>
        <v>0</v>
      </c>
      <c r="G22" s="38">
        <f t="shared" si="3"/>
        <v>-1.2800871473928875E-13</v>
      </c>
      <c r="I22" s="36" t="s">
        <v>242</v>
      </c>
      <c r="J22" s="15">
        <f>IF(J18=0,0,J16/J18)</f>
        <v>0.96969696969696972</v>
      </c>
    </row>
    <row r="23" spans="1:12" x14ac:dyDescent="0.25">
      <c r="A23" s="42">
        <f>Regression_Excel!A63</f>
        <v>43897</v>
      </c>
      <c r="B23" s="16">
        <f>Regression_Excel!E63</f>
        <v>11</v>
      </c>
      <c r="C23" s="16">
        <f>IF(Regression_Excel!B63&gt;=$J$5,1,0)</f>
        <v>0</v>
      </c>
      <c r="D23" s="38">
        <f t="shared" si="0"/>
        <v>-29.161041000000001</v>
      </c>
      <c r="E23" s="38">
        <f t="shared" si="1"/>
        <v>2.1653136174808547E-13</v>
      </c>
      <c r="F23" s="16">
        <f t="shared" si="2"/>
        <v>0</v>
      </c>
      <c r="G23" s="38">
        <f t="shared" si="3"/>
        <v>-2.1649348980192895E-13</v>
      </c>
      <c r="I23" s="36" t="s">
        <v>243</v>
      </c>
      <c r="J23" s="15">
        <f>IF(L16=0,0,J16/L16)</f>
        <v>0.96969696969696972</v>
      </c>
    </row>
    <row r="24" spans="1:12" x14ac:dyDescent="0.25">
      <c r="A24" s="42">
        <f>Regression_Excel!A64</f>
        <v>43898</v>
      </c>
      <c r="B24" s="16">
        <f>Regression_Excel!E64</f>
        <v>12</v>
      </c>
      <c r="C24" s="16">
        <f>IF(Regression_Excel!B64&gt;=$J$5,1,0)</f>
        <v>0</v>
      </c>
      <c r="D24" s="38">
        <f t="shared" si="0"/>
        <v>-28.635617000000003</v>
      </c>
      <c r="E24" s="38">
        <f t="shared" si="1"/>
        <v>3.661925891647073E-13</v>
      </c>
      <c r="F24" s="16">
        <f t="shared" si="2"/>
        <v>0</v>
      </c>
      <c r="G24" s="38">
        <f t="shared" si="3"/>
        <v>-3.6615155352144367E-13</v>
      </c>
      <c r="I24" s="36" t="s">
        <v>244</v>
      </c>
      <c r="J24" s="15">
        <f>IF(L17=0,0,K17/L17)</f>
        <v>0.98484848484848486</v>
      </c>
    </row>
    <row r="25" spans="1:12" x14ac:dyDescent="0.25">
      <c r="A25" s="42">
        <f>Regression_Excel!A65</f>
        <v>43899</v>
      </c>
      <c r="B25" s="16">
        <f>Regression_Excel!E65</f>
        <v>13</v>
      </c>
      <c r="C25" s="16">
        <f>IF(Regression_Excel!B65&gt;=$J$5,1,0)</f>
        <v>0</v>
      </c>
      <c r="D25" s="38">
        <f t="shared" si="0"/>
        <v>-28.110193000000002</v>
      </c>
      <c r="E25" s="38">
        <f t="shared" si="1"/>
        <v>6.1929602842080868E-13</v>
      </c>
      <c r="F25" s="16">
        <f t="shared" si="2"/>
        <v>0</v>
      </c>
      <c r="G25" s="38">
        <f t="shared" si="3"/>
        <v>-6.1928240313610407E-13</v>
      </c>
      <c r="I25" s="36" t="s">
        <v>245</v>
      </c>
      <c r="J25" s="15">
        <f>IF(J22+J23=0,0,2*J22*J23/(J22+J23))</f>
        <v>0.96969696969696972</v>
      </c>
    </row>
    <row r="26" spans="1:12" x14ac:dyDescent="0.25">
      <c r="A26" s="42">
        <f>Regression_Excel!A66</f>
        <v>43900</v>
      </c>
      <c r="B26" s="16">
        <f>Regression_Excel!E66</f>
        <v>14</v>
      </c>
      <c r="C26" s="16">
        <f>IF(Regression_Excel!B66&gt;=$J$5,1,0)</f>
        <v>0</v>
      </c>
      <c r="D26" s="38">
        <f t="shared" si="0"/>
        <v>-27.584769000000001</v>
      </c>
      <c r="E26" s="38">
        <f t="shared" si="1"/>
        <v>1.047338428373316E-12</v>
      </c>
      <c r="F26" s="16">
        <f t="shared" si="2"/>
        <v>0</v>
      </c>
      <c r="G26" s="38">
        <f t="shared" si="3"/>
        <v>-1.0473844014319212E-12</v>
      </c>
    </row>
    <row r="27" spans="1:12" x14ac:dyDescent="0.25">
      <c r="A27" s="42">
        <f>Regression_Excel!A67</f>
        <v>43901</v>
      </c>
      <c r="B27" s="16">
        <f>Regression_Excel!E67</f>
        <v>15</v>
      </c>
      <c r="C27" s="16">
        <f>IF(Regression_Excel!B67&gt;=$J$5,1,0)</f>
        <v>0</v>
      </c>
      <c r="D27" s="38">
        <f t="shared" si="0"/>
        <v>-27.059345</v>
      </c>
      <c r="E27" s="38">
        <f t="shared" si="1"/>
        <v>1.7712333572431899E-12</v>
      </c>
      <c r="F27" s="16">
        <f t="shared" si="2"/>
        <v>0</v>
      </c>
      <c r="G27" s="38">
        <f t="shared" si="3"/>
        <v>-1.7712498134885435E-12</v>
      </c>
      <c r="I27" s="36" t="s">
        <v>246</v>
      </c>
      <c r="J27" s="18">
        <f>EXP(J8)</f>
        <v>1.6911757549042472</v>
      </c>
    </row>
    <row r="28" spans="1:12" x14ac:dyDescent="0.25">
      <c r="A28" s="42">
        <f>Regression_Excel!A68</f>
        <v>43902</v>
      </c>
      <c r="B28" s="16">
        <f>Regression_Excel!E68</f>
        <v>16</v>
      </c>
      <c r="C28" s="16">
        <f>IF(Regression_Excel!B68&gt;=$J$5,1,0)</f>
        <v>0</v>
      </c>
      <c r="D28" s="38">
        <f t="shared" si="0"/>
        <v>-26.533920999999999</v>
      </c>
      <c r="E28" s="38">
        <f t="shared" si="1"/>
        <v>2.995466910043672E-12</v>
      </c>
      <c r="F28" s="16">
        <f t="shared" si="2"/>
        <v>0</v>
      </c>
      <c r="G28" s="38">
        <f t="shared" si="3"/>
        <v>-2.9954927427456213E-12</v>
      </c>
      <c r="I28" s="36" t="s">
        <v>247</v>
      </c>
      <c r="J28" s="35">
        <f>-J7/J8</f>
        <v>66.500017129023419</v>
      </c>
    </row>
    <row r="29" spans="1:12" x14ac:dyDescent="0.25">
      <c r="A29" s="42">
        <f>Regression_Excel!A69</f>
        <v>43903</v>
      </c>
      <c r="B29" s="16">
        <f>Regression_Excel!E69</f>
        <v>17</v>
      </c>
      <c r="C29" s="16">
        <f>IF(Regression_Excel!B69&gt;=$J$5,1,0)</f>
        <v>0</v>
      </c>
      <c r="D29" s="38">
        <f t="shared" si="0"/>
        <v>-26.008497000000002</v>
      </c>
      <c r="E29" s="38">
        <f t="shared" si="1"/>
        <v>5.0658610128732981E-12</v>
      </c>
      <c r="F29" s="16">
        <f t="shared" si="2"/>
        <v>0</v>
      </c>
      <c r="G29" s="38">
        <f t="shared" si="3"/>
        <v>-5.0658366390749578E-12</v>
      </c>
      <c r="I29" s="36" t="s">
        <v>248</v>
      </c>
      <c r="J29" s="47">
        <f>Regression_Excel!A53+ROUND(J28,0)-1</f>
        <v>43953</v>
      </c>
    </row>
    <row r="30" spans="1:12" x14ac:dyDescent="0.25">
      <c r="A30" s="42">
        <f>Regression_Excel!A70</f>
        <v>43904</v>
      </c>
      <c r="B30" s="16">
        <f>Regression_Excel!E70</f>
        <v>18</v>
      </c>
      <c r="C30" s="16">
        <f>IF(Regression_Excel!B70&gt;=$J$5,1,0)</f>
        <v>0</v>
      </c>
      <c r="D30" s="38">
        <f t="shared" si="0"/>
        <v>-25.483073000000001</v>
      </c>
      <c r="E30" s="38">
        <f t="shared" si="1"/>
        <v>8.5672613226560052E-12</v>
      </c>
      <c r="F30" s="16">
        <f t="shared" si="2"/>
        <v>0</v>
      </c>
      <c r="G30" s="38">
        <f t="shared" si="3"/>
        <v>-8.5672580141616452E-12</v>
      </c>
    </row>
    <row r="31" spans="1:12" ht="15.75" x14ac:dyDescent="0.25">
      <c r="A31" s="42">
        <f>Regression_Excel!A71</f>
        <v>43905</v>
      </c>
      <c r="B31" s="16">
        <f>Regression_Excel!E71</f>
        <v>19</v>
      </c>
      <c r="C31" s="16">
        <f>IF(Regression_Excel!B71&gt;=$J$5,1,0)</f>
        <v>0</v>
      </c>
      <c r="D31" s="38">
        <f t="shared" si="0"/>
        <v>-24.957649000000004</v>
      </c>
      <c r="E31" s="38">
        <f t="shared" si="1"/>
        <v>1.4488744634718897E-11</v>
      </c>
      <c r="F31" s="16">
        <f t="shared" si="2"/>
        <v>0</v>
      </c>
      <c r="G31" s="38">
        <f t="shared" si="3"/>
        <v>-1.4488743538370642E-11</v>
      </c>
      <c r="I31" s="10" t="s">
        <v>249</v>
      </c>
    </row>
    <row r="32" spans="1:12" x14ac:dyDescent="0.25">
      <c r="A32" s="42">
        <f>Regression_Excel!A72</f>
        <v>43906</v>
      </c>
      <c r="B32" s="16">
        <f>Regression_Excel!E72</f>
        <v>20</v>
      </c>
      <c r="C32" s="16">
        <f>IF(Regression_Excel!B72&gt;=$J$5,1,0)</f>
        <v>0</v>
      </c>
      <c r="D32" s="38">
        <f t="shared" si="0"/>
        <v>-24.432225000000003</v>
      </c>
      <c r="E32" s="38">
        <f t="shared" si="1"/>
        <v>2.4503013644990238E-11</v>
      </c>
      <c r="F32" s="16">
        <f t="shared" si="2"/>
        <v>0</v>
      </c>
      <c r="G32" s="38">
        <f t="shared" si="3"/>
        <v>-2.4503066242987254E-11</v>
      </c>
      <c r="I32" s="48" t="s">
        <v>250</v>
      </c>
    </row>
    <row r="33" spans="1:12" x14ac:dyDescent="0.25">
      <c r="A33" s="42">
        <f>Regression_Excel!A73</f>
        <v>43907</v>
      </c>
      <c r="B33" s="16">
        <f>Regression_Excel!E73</f>
        <v>21</v>
      </c>
      <c r="C33" s="16">
        <f>IF(Regression_Excel!B73&gt;=$J$5,1,0)</f>
        <v>0</v>
      </c>
      <c r="D33" s="38">
        <f t="shared" si="0"/>
        <v>-23.906801000000002</v>
      </c>
      <c r="E33" s="38">
        <f t="shared" si="1"/>
        <v>4.1438902597793671E-11</v>
      </c>
      <c r="F33" s="16">
        <f t="shared" si="2"/>
        <v>0</v>
      </c>
      <c r="G33" s="38">
        <f t="shared" si="3"/>
        <v>-4.143885235038763E-11</v>
      </c>
      <c r="I33" s="48" t="s">
        <v>251</v>
      </c>
    </row>
    <row r="34" spans="1:12" x14ac:dyDescent="0.25">
      <c r="A34" s="42">
        <f>Regression_Excel!A74</f>
        <v>43908</v>
      </c>
      <c r="B34" s="16">
        <f>Regression_Excel!E74</f>
        <v>22</v>
      </c>
      <c r="C34" s="16">
        <f>IF(Regression_Excel!B74&gt;=$J$5,1,0)</f>
        <v>0</v>
      </c>
      <c r="D34" s="38">
        <f t="shared" si="0"/>
        <v>-23.381377000000001</v>
      </c>
      <c r="E34" s="38">
        <f t="shared" si="1"/>
        <v>7.0080467381220154E-11</v>
      </c>
      <c r="F34" s="16">
        <f t="shared" si="2"/>
        <v>0</v>
      </c>
      <c r="G34" s="38">
        <f t="shared" si="3"/>
        <v>-7.0080496963566935E-11</v>
      </c>
      <c r="I34" s="48" t="s">
        <v>252</v>
      </c>
    </row>
    <row r="35" spans="1:12" x14ac:dyDescent="0.25">
      <c r="A35" s="42">
        <f>Regression_Excel!A75</f>
        <v>43909</v>
      </c>
      <c r="B35" s="16">
        <f>Regression_Excel!E75</f>
        <v>23</v>
      </c>
      <c r="C35" s="16">
        <f>IF(Regression_Excel!B75&gt;=$J$5,1,0)</f>
        <v>0</v>
      </c>
      <c r="D35" s="38">
        <f t="shared" si="0"/>
        <v>-22.855953</v>
      </c>
      <c r="E35" s="38">
        <f t="shared" si="1"/>
        <v>1.1851838732173679E-10</v>
      </c>
      <c r="F35" s="16">
        <f t="shared" si="2"/>
        <v>0</v>
      </c>
      <c r="G35" s="38">
        <f t="shared" si="3"/>
        <v>-1.1851841730950555E-10</v>
      </c>
      <c r="I35" s="48" t="s">
        <v>253</v>
      </c>
    </row>
    <row r="36" spans="1:12" x14ac:dyDescent="0.25">
      <c r="A36" s="42">
        <f>Regression_Excel!A76</f>
        <v>43910</v>
      </c>
      <c r="B36" s="16">
        <f>Regression_Excel!E76</f>
        <v>24</v>
      </c>
      <c r="C36" s="16">
        <f>IF(Regression_Excel!B76&gt;=$J$5,1,0)</f>
        <v>0</v>
      </c>
      <c r="D36" s="38">
        <f t="shared" si="0"/>
        <v>-22.330529000000002</v>
      </c>
      <c r="E36" s="38">
        <f t="shared" si="1"/>
        <v>2.0043542313245259E-10</v>
      </c>
      <c r="F36" s="16">
        <f t="shared" si="2"/>
        <v>0</v>
      </c>
      <c r="G36" s="38">
        <f t="shared" si="3"/>
        <v>-2.0043544603841936E-10</v>
      </c>
      <c r="I36" s="48" t="s">
        <v>254</v>
      </c>
    </row>
    <row r="37" spans="1:12" x14ac:dyDescent="0.25">
      <c r="A37" s="42">
        <f>Regression_Excel!A77</f>
        <v>43911</v>
      </c>
      <c r="B37" s="16">
        <f>Regression_Excel!E77</f>
        <v>25</v>
      </c>
      <c r="C37" s="16">
        <f>IF(Regression_Excel!B77&gt;=$J$5,1,0)</f>
        <v>0</v>
      </c>
      <c r="D37" s="38">
        <f t="shared" si="0"/>
        <v>-21.805105000000001</v>
      </c>
      <c r="E37" s="38">
        <f t="shared" si="1"/>
        <v>3.3897152797861828E-10</v>
      </c>
      <c r="F37" s="16">
        <f t="shared" si="2"/>
        <v>0</v>
      </c>
      <c r="G37" s="38">
        <f t="shared" si="3"/>
        <v>-3.3897151757916424E-10</v>
      </c>
      <c r="I37" s="48" t="s">
        <v>255</v>
      </c>
    </row>
    <row r="38" spans="1:12" x14ac:dyDescent="0.25">
      <c r="A38" s="42">
        <f>Regression_Excel!A78</f>
        <v>43912</v>
      </c>
      <c r="B38" s="16">
        <f>Regression_Excel!E78</f>
        <v>26</v>
      </c>
      <c r="C38" s="16">
        <f>IF(Regression_Excel!B78&gt;=$J$5,1,0)</f>
        <v>0</v>
      </c>
      <c r="D38" s="38">
        <f t="shared" si="0"/>
        <v>-21.279681000000004</v>
      </c>
      <c r="E38" s="38">
        <f t="shared" si="1"/>
        <v>5.7326042958597594E-10</v>
      </c>
      <c r="F38" s="16">
        <f t="shared" si="2"/>
        <v>0</v>
      </c>
      <c r="G38" s="38">
        <f t="shared" si="3"/>
        <v>-5.7326043928274191E-10</v>
      </c>
    </row>
    <row r="39" spans="1:12" ht="15" customHeight="1" x14ac:dyDescent="0.25">
      <c r="A39" s="42">
        <f>Regression_Excel!A79</f>
        <v>43913</v>
      </c>
      <c r="B39" s="16">
        <f>Regression_Excel!E79</f>
        <v>27</v>
      </c>
      <c r="C39" s="16">
        <f>IF(Regression_Excel!B79&gt;=$J$5,1,0)</f>
        <v>0</v>
      </c>
      <c r="D39" s="38">
        <f t="shared" si="0"/>
        <v>-20.754257000000003</v>
      </c>
      <c r="E39" s="38">
        <f t="shared" si="1"/>
        <v>9.6948413937766413E-10</v>
      </c>
      <c r="F39" s="16">
        <f t="shared" si="2"/>
        <v>0</v>
      </c>
      <c r="G39" s="38">
        <f t="shared" si="3"/>
        <v>-9.694841600885664E-10</v>
      </c>
      <c r="I39" s="1" t="s">
        <v>256</v>
      </c>
      <c r="J39" s="1"/>
      <c r="K39" s="1"/>
      <c r="L39" s="1"/>
    </row>
    <row r="40" spans="1:12" x14ac:dyDescent="0.25">
      <c r="A40" s="42">
        <f>Regression_Excel!A80</f>
        <v>43914</v>
      </c>
      <c r="B40" s="16">
        <f>Regression_Excel!E80</f>
        <v>28</v>
      </c>
      <c r="C40" s="16">
        <f>IF(Regression_Excel!B80&gt;=$J$5,1,0)</f>
        <v>0</v>
      </c>
      <c r="D40" s="38">
        <f t="shared" si="0"/>
        <v>-20.228833000000002</v>
      </c>
      <c r="E40" s="38">
        <f t="shared" si="1"/>
        <v>1.6395680701810691E-9</v>
      </c>
      <c r="F40" s="16">
        <f t="shared" si="2"/>
        <v>0</v>
      </c>
      <c r="G40" s="38">
        <f t="shared" si="3"/>
        <v>-1.6395680382371161E-9</v>
      </c>
      <c r="I40" s="1"/>
      <c r="J40" s="1"/>
      <c r="K40" s="1"/>
      <c r="L40" s="1"/>
    </row>
    <row r="41" spans="1:12" x14ac:dyDescent="0.25">
      <c r="A41" s="42">
        <f>Regression_Excel!A81</f>
        <v>43915</v>
      </c>
      <c r="B41" s="16">
        <f>Regression_Excel!E81</f>
        <v>29</v>
      </c>
      <c r="C41" s="16">
        <f>IF(Regression_Excel!B81&gt;=$J$5,1,0)</f>
        <v>0</v>
      </c>
      <c r="D41" s="38">
        <f t="shared" si="0"/>
        <v>-19.703409000000001</v>
      </c>
      <c r="E41" s="38">
        <f t="shared" si="1"/>
        <v>2.7727977656631553E-9</v>
      </c>
      <c r="F41" s="16">
        <f t="shared" si="2"/>
        <v>0</v>
      </c>
      <c r="G41" s="38">
        <f t="shared" si="3"/>
        <v>-2.7727977730124817E-9</v>
      </c>
      <c r="I41" s="1"/>
      <c r="J41" s="1"/>
      <c r="K41" s="1"/>
      <c r="L41" s="1"/>
    </row>
    <row r="42" spans="1:12" x14ac:dyDescent="0.25">
      <c r="A42" s="42">
        <f>Regression_Excel!A82</f>
        <v>43916</v>
      </c>
      <c r="B42" s="16">
        <f>Regression_Excel!E82</f>
        <v>30</v>
      </c>
      <c r="C42" s="16">
        <f>IF(Regression_Excel!B82&gt;=$J$5,1,0)</f>
        <v>0</v>
      </c>
      <c r="D42" s="38">
        <f t="shared" si="0"/>
        <v>-19.177985</v>
      </c>
      <c r="E42" s="38">
        <f t="shared" si="1"/>
        <v>4.6892883455552243E-9</v>
      </c>
      <c r="F42" s="16">
        <f t="shared" si="2"/>
        <v>0</v>
      </c>
      <c r="G42" s="38">
        <f t="shared" si="3"/>
        <v>-4.6892883019990581E-9</v>
      </c>
      <c r="I42" s="1"/>
      <c r="J42" s="1"/>
      <c r="K42" s="1"/>
      <c r="L42" s="1"/>
    </row>
    <row r="43" spans="1:12" x14ac:dyDescent="0.25">
      <c r="A43" s="42">
        <f>Regression_Excel!A83</f>
        <v>43917</v>
      </c>
      <c r="B43" s="16">
        <f>Regression_Excel!E83</f>
        <v>31</v>
      </c>
      <c r="C43" s="16">
        <f>IF(Regression_Excel!B83&gt;=$J$5,1,0)</f>
        <v>0</v>
      </c>
      <c r="D43" s="38">
        <f t="shared" si="0"/>
        <v>-18.652561000000002</v>
      </c>
      <c r="E43" s="38">
        <f t="shared" si="1"/>
        <v>7.9304107320545928E-9</v>
      </c>
      <c r="F43" s="16">
        <f t="shared" si="2"/>
        <v>0</v>
      </c>
      <c r="G43" s="38">
        <f t="shared" si="3"/>
        <v>-7.9304108039621463E-9</v>
      </c>
      <c r="I43" s="1"/>
      <c r="J43" s="1"/>
      <c r="K43" s="1"/>
      <c r="L43" s="1"/>
    </row>
    <row r="44" spans="1:12" x14ac:dyDescent="0.25">
      <c r="A44" s="42">
        <f>Regression_Excel!A84</f>
        <v>43918</v>
      </c>
      <c r="B44" s="16">
        <f>Regression_Excel!E84</f>
        <v>32</v>
      </c>
      <c r="C44" s="16">
        <f>IF(Regression_Excel!B84&gt;=$J$5,1,0)</f>
        <v>0</v>
      </c>
      <c r="D44" s="38">
        <f t="shared" si="0"/>
        <v>-18.127137000000001</v>
      </c>
      <c r="E44" s="38">
        <f t="shared" si="1"/>
        <v>1.3411718282969427E-8</v>
      </c>
      <c r="F44" s="16">
        <f t="shared" si="2"/>
        <v>0</v>
      </c>
      <c r="G44" s="38">
        <f t="shared" si="3"/>
        <v>-1.3411718381437658E-8</v>
      </c>
      <c r="I44" s="1"/>
      <c r="J44" s="1"/>
      <c r="K44" s="1"/>
      <c r="L44" s="1"/>
    </row>
    <row r="45" spans="1:12" x14ac:dyDescent="0.25">
      <c r="A45" s="42">
        <f>Regression_Excel!A85</f>
        <v>43919</v>
      </c>
      <c r="B45" s="16">
        <f>Regression_Excel!E85</f>
        <v>33</v>
      </c>
      <c r="C45" s="16">
        <f>IF(Regression_Excel!B85&gt;=$J$5,1,0)</f>
        <v>0</v>
      </c>
      <c r="D45" s="38">
        <f t="shared" ref="D45:D76" si="4">$J$7+$J$8*B45</f>
        <v>-17.601713</v>
      </c>
      <c r="E45" s="38">
        <f t="shared" ref="E45:E76" si="5">1/(1+EXP(-D45))</f>
        <v>2.2681572581509066E-8</v>
      </c>
      <c r="F45" s="16">
        <f t="shared" ref="F45:F76" si="6">IF(E45&gt;=$J$6,1,0)</f>
        <v>0</v>
      </c>
      <c r="G45" s="38">
        <f t="shared" ref="G45:G76" si="7">C45*LN(MAX(E45,0.000000000001))+(1-C45)*LN(MAX(1-E45,0.000000000001))</f>
        <v>-2.2681572877313727E-8</v>
      </c>
      <c r="I45" s="1"/>
      <c r="J45" s="1"/>
      <c r="K45" s="1"/>
      <c r="L45" s="1"/>
    </row>
    <row r="46" spans="1:12" x14ac:dyDescent="0.25">
      <c r="A46" s="42">
        <f>Regression_Excel!A86</f>
        <v>43920</v>
      </c>
      <c r="B46" s="16">
        <f>Regression_Excel!E86</f>
        <v>34</v>
      </c>
      <c r="C46" s="16">
        <f>IF(Regression_Excel!B86&gt;=$J$5,1,0)</f>
        <v>0</v>
      </c>
      <c r="D46" s="38">
        <f t="shared" si="4"/>
        <v>-17.076289000000003</v>
      </c>
      <c r="E46" s="38">
        <f t="shared" si="5"/>
        <v>3.8358525031604173E-8</v>
      </c>
      <c r="F46" s="16">
        <f t="shared" si="6"/>
        <v>0</v>
      </c>
      <c r="G46" s="38">
        <f t="shared" si="7"/>
        <v>-3.8358525758673888E-8</v>
      </c>
    </row>
    <row r="47" spans="1:12" x14ac:dyDescent="0.25">
      <c r="A47" s="42">
        <f>Regression_Excel!A87</f>
        <v>43921</v>
      </c>
      <c r="B47" s="16">
        <f>Regression_Excel!E87</f>
        <v>35</v>
      </c>
      <c r="C47" s="16">
        <f>IF(Regression_Excel!B87&gt;=$J$5,1,0)</f>
        <v>0</v>
      </c>
      <c r="D47" s="38">
        <f t="shared" si="4"/>
        <v>-16.550865000000002</v>
      </c>
      <c r="E47" s="38">
        <f t="shared" si="5"/>
        <v>6.4871005807445305E-8</v>
      </c>
      <c r="F47" s="16">
        <f t="shared" si="6"/>
        <v>0</v>
      </c>
      <c r="G47" s="38">
        <f t="shared" si="7"/>
        <v>-6.4871007893459139E-8</v>
      </c>
    </row>
    <row r="48" spans="1:12" x14ac:dyDescent="0.25">
      <c r="A48" s="42">
        <f>Regression_Excel!A88</f>
        <v>43922</v>
      </c>
      <c r="B48" s="16">
        <f>Regression_Excel!E88</f>
        <v>36</v>
      </c>
      <c r="C48" s="16">
        <f>IF(Regression_Excel!B88&gt;=$J$5,1,0)</f>
        <v>0</v>
      </c>
      <c r="D48" s="38">
        <f t="shared" si="4"/>
        <v>-16.025441000000001</v>
      </c>
      <c r="E48" s="38">
        <f t="shared" si="5"/>
        <v>1.0970826729878544E-7</v>
      </c>
      <c r="F48" s="16">
        <f t="shared" si="6"/>
        <v>0</v>
      </c>
      <c r="G48" s="38">
        <f t="shared" si="7"/>
        <v>-1.0970827326649516E-7</v>
      </c>
    </row>
    <row r="49" spans="1:7" x14ac:dyDescent="0.25">
      <c r="A49" s="42">
        <f>Regression_Excel!A89</f>
        <v>43923</v>
      </c>
      <c r="B49" s="16">
        <f>Regression_Excel!E89</f>
        <v>37</v>
      </c>
      <c r="C49" s="16">
        <f>IF(Regression_Excel!B89&gt;=$J$5,1,0)</f>
        <v>0</v>
      </c>
      <c r="D49" s="38">
        <f t="shared" si="4"/>
        <v>-15.500017</v>
      </c>
      <c r="E49" s="38">
        <f t="shared" si="5"/>
        <v>1.8553594769949743E-7</v>
      </c>
      <c r="F49" s="16">
        <f t="shared" si="6"/>
        <v>0</v>
      </c>
      <c r="G49" s="38">
        <f t="shared" si="7"/>
        <v>-1.8553596492832688E-7</v>
      </c>
    </row>
    <row r="50" spans="1:7" x14ac:dyDescent="0.25">
      <c r="A50" s="42">
        <f>Regression_Excel!A90</f>
        <v>43924</v>
      </c>
      <c r="B50" s="16">
        <f>Regression_Excel!E90</f>
        <v>38</v>
      </c>
      <c r="C50" s="16">
        <f>IF(Regression_Excel!B90&gt;=$J$5,1,0)</f>
        <v>0</v>
      </c>
      <c r="D50" s="38">
        <f t="shared" si="4"/>
        <v>-14.974593000000002</v>
      </c>
      <c r="E50" s="38">
        <f t="shared" si="5"/>
        <v>3.1377385617485597E-7</v>
      </c>
      <c r="F50" s="16">
        <f t="shared" si="6"/>
        <v>0</v>
      </c>
      <c r="G50" s="38">
        <f t="shared" si="7"/>
        <v>-3.1377390534688558E-7</v>
      </c>
    </row>
    <row r="51" spans="1:7" x14ac:dyDescent="0.25">
      <c r="A51" s="42">
        <f>Regression_Excel!A91</f>
        <v>43925</v>
      </c>
      <c r="B51" s="16">
        <f>Regression_Excel!E91</f>
        <v>39</v>
      </c>
      <c r="C51" s="16">
        <f>IF(Regression_Excel!B91&gt;=$J$5,1,0)</f>
        <v>0</v>
      </c>
      <c r="D51" s="38">
        <f t="shared" si="4"/>
        <v>-14.449169000000001</v>
      </c>
      <c r="E51" s="38">
        <f t="shared" si="5"/>
        <v>5.3064662300286687E-7</v>
      </c>
      <c r="F51" s="16">
        <f t="shared" si="6"/>
        <v>0</v>
      </c>
      <c r="G51" s="38">
        <f t="shared" si="7"/>
        <v>-5.3064676376894113E-7</v>
      </c>
    </row>
    <row r="52" spans="1:7" x14ac:dyDescent="0.25">
      <c r="A52" s="42">
        <f>Regression_Excel!A92</f>
        <v>43926</v>
      </c>
      <c r="B52" s="16">
        <f>Regression_Excel!E92</f>
        <v>40</v>
      </c>
      <c r="C52" s="16">
        <f>IF(Regression_Excel!B92&gt;=$J$5,1,0)</f>
        <v>0</v>
      </c>
      <c r="D52" s="38">
        <f t="shared" si="4"/>
        <v>-13.923745</v>
      </c>
      <c r="E52" s="38">
        <f t="shared" si="5"/>
        <v>8.9741637409878816E-7</v>
      </c>
      <c r="F52" s="16">
        <f t="shared" si="6"/>
        <v>0</v>
      </c>
      <c r="G52" s="38">
        <f t="shared" si="7"/>
        <v>-8.9741677677988245E-7</v>
      </c>
    </row>
    <row r="53" spans="1:7" x14ac:dyDescent="0.25">
      <c r="A53" s="42">
        <f>Regression_Excel!A93</f>
        <v>43927</v>
      </c>
      <c r="B53" s="16">
        <f>Regression_Excel!E93</f>
        <v>41</v>
      </c>
      <c r="C53" s="16">
        <f>IF(Regression_Excel!B93&gt;=$J$5,1,0)</f>
        <v>0</v>
      </c>
      <c r="D53" s="38">
        <f t="shared" si="4"/>
        <v>-13.398321000000003</v>
      </c>
      <c r="E53" s="38">
        <f t="shared" si="5"/>
        <v>1.5176878725499871E-6</v>
      </c>
      <c r="F53" s="16">
        <f t="shared" si="6"/>
        <v>0</v>
      </c>
      <c r="G53" s="38">
        <f t="shared" si="7"/>
        <v>-1.5176890242880544E-6</v>
      </c>
    </row>
    <row r="54" spans="1:7" x14ac:dyDescent="0.25">
      <c r="A54" s="42">
        <f>Regression_Excel!A94</f>
        <v>43928</v>
      </c>
      <c r="B54" s="16">
        <f>Regression_Excel!E94</f>
        <v>42</v>
      </c>
      <c r="C54" s="16">
        <f>IF(Regression_Excel!B94&gt;=$J$5,1,0)</f>
        <v>0</v>
      </c>
      <c r="D54" s="38">
        <f t="shared" si="4"/>
        <v>-12.872897000000002</v>
      </c>
      <c r="E54" s="38">
        <f t="shared" si="5"/>
        <v>2.5666742411555457E-6</v>
      </c>
      <c r="F54" s="16">
        <f t="shared" si="6"/>
        <v>0</v>
      </c>
      <c r="G54" s="38">
        <f t="shared" si="7"/>
        <v>-2.5666775350585061E-6</v>
      </c>
    </row>
    <row r="55" spans="1:7" x14ac:dyDescent="0.25">
      <c r="A55" s="42">
        <f>Regression_Excel!A95</f>
        <v>43929</v>
      </c>
      <c r="B55" s="16">
        <f>Regression_Excel!E95</f>
        <v>43</v>
      </c>
      <c r="C55" s="16">
        <f>IF(Regression_Excel!B95&gt;=$J$5,1,0)</f>
        <v>0</v>
      </c>
      <c r="D55" s="38">
        <f t="shared" si="4"/>
        <v>-12.347473000000001</v>
      </c>
      <c r="E55" s="38">
        <f t="shared" si="5"/>
        <v>4.3406895468964012E-6</v>
      </c>
      <c r="F55" s="16">
        <f t="shared" si="6"/>
        <v>0</v>
      </c>
      <c r="G55" s="38">
        <f t="shared" si="7"/>
        <v>-4.3406989677312698E-6</v>
      </c>
    </row>
    <row r="56" spans="1:7" x14ac:dyDescent="0.25">
      <c r="A56" s="42">
        <f>Regression_Excel!A96</f>
        <v>43930</v>
      </c>
      <c r="B56" s="16">
        <f>Regression_Excel!E96</f>
        <v>44</v>
      </c>
      <c r="C56" s="16">
        <f>IF(Regression_Excel!B96&gt;=$J$5,1,0)</f>
        <v>0</v>
      </c>
      <c r="D56" s="38">
        <f t="shared" si="4"/>
        <v>-11.822049</v>
      </c>
      <c r="E56" s="38">
        <f t="shared" si="5"/>
        <v>7.3408468974200507E-6</v>
      </c>
      <c r="F56" s="16">
        <f t="shared" si="6"/>
        <v>0</v>
      </c>
      <c r="G56" s="38">
        <f t="shared" si="7"/>
        <v>-7.3408738416118413E-6</v>
      </c>
    </row>
    <row r="57" spans="1:7" x14ac:dyDescent="0.25">
      <c r="A57" s="42">
        <f>Regression_Excel!A97</f>
        <v>43931</v>
      </c>
      <c r="B57" s="16">
        <f>Regression_Excel!E97</f>
        <v>45</v>
      </c>
      <c r="C57" s="16">
        <f>IF(Regression_Excel!B97&gt;=$J$5,1,0)</f>
        <v>0</v>
      </c>
      <c r="D57" s="38">
        <f t="shared" si="4"/>
        <v>-11.296625000000002</v>
      </c>
      <c r="E57" s="38">
        <f t="shared" si="5"/>
        <v>1.2414599303995741E-5</v>
      </c>
      <c r="F57" s="16">
        <f t="shared" si="6"/>
        <v>0</v>
      </c>
      <c r="G57" s="38">
        <f t="shared" si="7"/>
        <v>-1.2414676365787188E-5</v>
      </c>
    </row>
    <row r="58" spans="1:7" x14ac:dyDescent="0.25">
      <c r="A58" s="42">
        <f>Regression_Excel!A98</f>
        <v>43932</v>
      </c>
      <c r="B58" s="16">
        <f>Regression_Excel!E98</f>
        <v>46</v>
      </c>
      <c r="C58" s="16">
        <f>IF(Regression_Excel!B98&gt;=$J$5,1,0)</f>
        <v>0</v>
      </c>
      <c r="D58" s="38">
        <f t="shared" si="4"/>
        <v>-10.771201000000001</v>
      </c>
      <c r="E58" s="38">
        <f t="shared" si="5"/>
        <v>2.0995089197835771E-5</v>
      </c>
      <c r="F58" s="16">
        <f t="shared" si="6"/>
        <v>0</v>
      </c>
      <c r="G58" s="38">
        <f t="shared" si="7"/>
        <v>-2.0995309597809528E-5</v>
      </c>
    </row>
    <row r="59" spans="1:7" x14ac:dyDescent="0.25">
      <c r="A59" s="42">
        <f>Regression_Excel!A99</f>
        <v>43933</v>
      </c>
      <c r="B59" s="16">
        <f>Regression_Excel!E99</f>
        <v>47</v>
      </c>
      <c r="C59" s="16">
        <f>IF(Regression_Excel!B99&gt;=$J$5,1,0)</f>
        <v>0</v>
      </c>
      <c r="D59" s="38">
        <f t="shared" si="4"/>
        <v>-10.245777</v>
      </c>
      <c r="E59" s="38">
        <f t="shared" si="5"/>
        <v>3.5505870587211913E-5</v>
      </c>
      <c r="F59" s="16">
        <f t="shared" si="6"/>
        <v>0</v>
      </c>
      <c r="G59" s="38">
        <f t="shared" si="7"/>
        <v>-3.5506500935548503E-5</v>
      </c>
    </row>
    <row r="60" spans="1:7" x14ac:dyDescent="0.25">
      <c r="A60" s="42">
        <f>Regression_Excel!A100</f>
        <v>43934</v>
      </c>
      <c r="B60" s="16">
        <f>Regression_Excel!E100</f>
        <v>48</v>
      </c>
      <c r="C60" s="16">
        <f>IF(Regression_Excel!B100&gt;=$J$5,1,0)</f>
        <v>0</v>
      </c>
      <c r="D60" s="38">
        <f t="shared" si="4"/>
        <v>-9.7203530000000029</v>
      </c>
      <c r="E60" s="38">
        <f t="shared" si="5"/>
        <v>6.0045193936950827E-5</v>
      </c>
      <c r="F60" s="16">
        <f t="shared" si="6"/>
        <v>0</v>
      </c>
      <c r="G60" s="38">
        <f t="shared" si="7"/>
        <v>-6.0046996721809689E-5</v>
      </c>
    </row>
    <row r="61" spans="1:7" x14ac:dyDescent="0.25">
      <c r="A61" s="42">
        <f>Regression_Excel!A101</f>
        <v>43935</v>
      </c>
      <c r="B61" s="16">
        <f>Regression_Excel!E101</f>
        <v>49</v>
      </c>
      <c r="C61" s="16">
        <f>IF(Regression_Excel!B101&gt;=$J$5,1,0)</f>
        <v>0</v>
      </c>
      <c r="D61" s="38">
        <f t="shared" si="4"/>
        <v>-9.1949290000000019</v>
      </c>
      <c r="E61" s="38">
        <f t="shared" si="5"/>
        <v>1.0154276197909836E-4</v>
      </c>
      <c r="F61" s="16">
        <f t="shared" si="6"/>
        <v>0</v>
      </c>
      <c r="G61" s="38">
        <f t="shared" si="7"/>
        <v>-1.0154791779432738E-4</v>
      </c>
    </row>
    <row r="62" spans="1:7" x14ac:dyDescent="0.25">
      <c r="A62" s="42">
        <f>Regression_Excel!A102</f>
        <v>43936</v>
      </c>
      <c r="B62" s="16">
        <f>Regression_Excel!E102</f>
        <v>50</v>
      </c>
      <c r="C62" s="16">
        <f>IF(Regression_Excel!B102&gt;=$J$5,1,0)</f>
        <v>0</v>
      </c>
      <c r="D62" s="38">
        <f t="shared" si="4"/>
        <v>-8.6695050000000009</v>
      </c>
      <c r="E62" s="38">
        <f t="shared" si="5"/>
        <v>1.7171460554519008E-4</v>
      </c>
      <c r="F62" s="16">
        <f t="shared" si="6"/>
        <v>0</v>
      </c>
      <c r="G62" s="38">
        <f t="shared" si="7"/>
        <v>-1.7172935018603094E-4</v>
      </c>
    </row>
    <row r="63" spans="1:7" x14ac:dyDescent="0.25">
      <c r="A63" s="42">
        <f>Regression_Excel!A103</f>
        <v>43937</v>
      </c>
      <c r="B63" s="16">
        <f>Regression_Excel!E103</f>
        <v>51</v>
      </c>
      <c r="C63" s="16">
        <f>IF(Regression_Excel!B103&gt;=$J$5,1,0)</f>
        <v>0</v>
      </c>
      <c r="D63" s="38">
        <f t="shared" si="4"/>
        <v>-8.1440809999999999</v>
      </c>
      <c r="E63" s="38">
        <f t="shared" si="5"/>
        <v>2.9036511568531365E-4</v>
      </c>
      <c r="F63" s="16">
        <f t="shared" si="6"/>
        <v>0</v>
      </c>
      <c r="G63" s="38">
        <f t="shared" si="7"/>
        <v>-2.904072797977574E-4</v>
      </c>
    </row>
    <row r="64" spans="1:7" x14ac:dyDescent="0.25">
      <c r="A64" s="42">
        <f>Regression_Excel!A104</f>
        <v>43938</v>
      </c>
      <c r="B64" s="16">
        <f>Regression_Excel!E104</f>
        <v>52</v>
      </c>
      <c r="C64" s="16">
        <f>IF(Regression_Excel!B104&gt;=$J$5,1,0)</f>
        <v>0</v>
      </c>
      <c r="D64" s="38">
        <f t="shared" si="4"/>
        <v>-7.6186570000000025</v>
      </c>
      <c r="E64" s="38">
        <f t="shared" si="5"/>
        <v>4.9095991133843149E-4</v>
      </c>
      <c r="F64" s="16">
        <f t="shared" si="6"/>
        <v>0</v>
      </c>
      <c r="G64" s="38">
        <f t="shared" si="7"/>
        <v>-4.9108047161746814E-4</v>
      </c>
    </row>
    <row r="65" spans="1:7" x14ac:dyDescent="0.25">
      <c r="A65" s="42">
        <f>Regression_Excel!A105</f>
        <v>43939</v>
      </c>
      <c r="B65" s="16">
        <f>Regression_Excel!E105</f>
        <v>53</v>
      </c>
      <c r="C65" s="16">
        <f>IF(Regression_Excel!B105&gt;=$J$5,1,0)</f>
        <v>0</v>
      </c>
      <c r="D65" s="38">
        <f t="shared" si="4"/>
        <v>-7.0932330000000015</v>
      </c>
      <c r="E65" s="38">
        <f t="shared" si="5"/>
        <v>8.3001784077391615E-4</v>
      </c>
      <c r="F65" s="16">
        <f t="shared" si="6"/>
        <v>0</v>
      </c>
      <c r="G65" s="38">
        <f t="shared" si="7"/>
        <v>-8.3036249630866047E-4</v>
      </c>
    </row>
    <row r="66" spans="1:7" x14ac:dyDescent="0.25">
      <c r="A66" s="42">
        <f>Regression_Excel!A106</f>
        <v>43940</v>
      </c>
      <c r="B66" s="16">
        <f>Regression_Excel!E106</f>
        <v>54</v>
      </c>
      <c r="C66" s="16">
        <f>IF(Regression_Excel!B106&gt;=$J$5,1,0)</f>
        <v>0</v>
      </c>
      <c r="D66" s="38">
        <f t="shared" si="4"/>
        <v>-6.5678090000000005</v>
      </c>
      <c r="E66" s="38">
        <f t="shared" si="5"/>
        <v>1.4029012205680413E-3</v>
      </c>
      <c r="F66" s="16">
        <f t="shared" si="6"/>
        <v>0</v>
      </c>
      <c r="G66" s="38">
        <f t="shared" si="7"/>
        <v>-1.4038862078197363E-3</v>
      </c>
    </row>
    <row r="67" spans="1:7" x14ac:dyDescent="0.25">
      <c r="A67" s="42">
        <f>Regression_Excel!A107</f>
        <v>43941</v>
      </c>
      <c r="B67" s="16">
        <f>Regression_Excel!E107</f>
        <v>55</v>
      </c>
      <c r="C67" s="16">
        <f>IF(Regression_Excel!B107&gt;=$J$5,1,0)</f>
        <v>0</v>
      </c>
      <c r="D67" s="38">
        <f t="shared" si="4"/>
        <v>-6.0423849999999995</v>
      </c>
      <c r="E67" s="38">
        <f t="shared" si="5"/>
        <v>2.3702542106494285E-3</v>
      </c>
      <c r="F67" s="16">
        <f t="shared" si="6"/>
        <v>0</v>
      </c>
      <c r="G67" s="38">
        <f t="shared" si="7"/>
        <v>-2.3730677098457507E-3</v>
      </c>
    </row>
    <row r="68" spans="1:7" x14ac:dyDescent="0.25">
      <c r="A68" s="42">
        <f>Regression_Excel!A108</f>
        <v>43942</v>
      </c>
      <c r="B68" s="16">
        <f>Regression_Excel!E108</f>
        <v>56</v>
      </c>
      <c r="C68" s="16">
        <f>IF(Regression_Excel!B108&gt;=$J$5,1,0)</f>
        <v>0</v>
      </c>
      <c r="D68" s="38">
        <f t="shared" si="4"/>
        <v>-5.516961000000002</v>
      </c>
      <c r="E68" s="38">
        <f t="shared" si="5"/>
        <v>4.0019601937251953E-3</v>
      </c>
      <c r="F68" s="16">
        <f t="shared" si="6"/>
        <v>0</v>
      </c>
      <c r="G68" s="38">
        <f t="shared" si="7"/>
        <v>-4.0099894654646489E-3</v>
      </c>
    </row>
    <row r="69" spans="1:7" x14ac:dyDescent="0.25">
      <c r="A69" s="42">
        <f>Regression_Excel!A109</f>
        <v>43943</v>
      </c>
      <c r="B69" s="16">
        <f>Regression_Excel!E109</f>
        <v>57</v>
      </c>
      <c r="C69" s="16">
        <f>IF(Regression_Excel!B109&gt;=$J$5,1,0)</f>
        <v>0</v>
      </c>
      <c r="D69" s="38">
        <f t="shared" si="4"/>
        <v>-4.991537000000001</v>
      </c>
      <c r="E69" s="38">
        <f t="shared" si="5"/>
        <v>6.749348961987308E-3</v>
      </c>
      <c r="F69" s="16">
        <f t="shared" si="6"/>
        <v>0</v>
      </c>
      <c r="G69" s="38">
        <f t="shared" si="7"/>
        <v>-6.772228825259765E-3</v>
      </c>
    </row>
    <row r="70" spans="1:7" x14ac:dyDescent="0.25">
      <c r="A70" s="42">
        <f>Regression_Excel!A110</f>
        <v>43944</v>
      </c>
      <c r="B70" s="16">
        <f>Regression_Excel!E110</f>
        <v>58</v>
      </c>
      <c r="C70" s="16">
        <f>IF(Regression_Excel!B110&gt;=$J$5,1,0)</f>
        <v>0</v>
      </c>
      <c r="D70" s="38">
        <f t="shared" si="4"/>
        <v>-4.466113</v>
      </c>
      <c r="E70" s="38">
        <f t="shared" si="5"/>
        <v>1.1361334853732573E-2</v>
      </c>
      <c r="F70" s="16">
        <f t="shared" si="6"/>
        <v>0</v>
      </c>
      <c r="G70" s="38">
        <f t="shared" si="7"/>
        <v>-1.1426367862291854E-2</v>
      </c>
    </row>
    <row r="71" spans="1:7" x14ac:dyDescent="0.25">
      <c r="A71" s="42">
        <f>Regression_Excel!A111</f>
        <v>43945</v>
      </c>
      <c r="B71" s="16">
        <f>Regression_Excel!E111</f>
        <v>59</v>
      </c>
      <c r="C71" s="16">
        <f>IF(Regression_Excel!B111&gt;=$J$5,1,0)</f>
        <v>0</v>
      </c>
      <c r="D71" s="38">
        <f t="shared" si="4"/>
        <v>-3.9406890000000026</v>
      </c>
      <c r="E71" s="38">
        <f t="shared" si="5"/>
        <v>1.9064308152003093E-2</v>
      </c>
      <c r="F71" s="16">
        <f t="shared" si="6"/>
        <v>0</v>
      </c>
      <c r="G71" s="38">
        <f t="shared" si="7"/>
        <v>-1.9248375237276488E-2</v>
      </c>
    </row>
    <row r="72" spans="1:7" x14ac:dyDescent="0.25">
      <c r="A72" s="42">
        <f>Regression_Excel!A112</f>
        <v>43946</v>
      </c>
      <c r="B72" s="16">
        <f>Regression_Excel!E112</f>
        <v>60</v>
      </c>
      <c r="C72" s="16">
        <f>IF(Regression_Excel!B112&gt;=$J$5,1,0)</f>
        <v>0</v>
      </c>
      <c r="D72" s="38">
        <f t="shared" si="4"/>
        <v>-3.4152650000000015</v>
      </c>
      <c r="E72" s="38">
        <f t="shared" si="5"/>
        <v>3.1821786805579635E-2</v>
      </c>
      <c r="F72" s="16">
        <f t="shared" si="6"/>
        <v>0</v>
      </c>
      <c r="G72" s="38">
        <f t="shared" si="7"/>
        <v>-3.233910411103063E-2</v>
      </c>
    </row>
    <row r="73" spans="1:7" x14ac:dyDescent="0.25">
      <c r="A73" s="42">
        <f>Regression_Excel!A113</f>
        <v>43947</v>
      </c>
      <c r="B73" s="16">
        <f>Regression_Excel!E113</f>
        <v>61</v>
      </c>
      <c r="C73" s="16">
        <f>IF(Regression_Excel!B113&gt;=$J$5,1,0)</f>
        <v>0</v>
      </c>
      <c r="D73" s="38">
        <f t="shared" si="4"/>
        <v>-2.8898410000000041</v>
      </c>
      <c r="E73" s="38">
        <f t="shared" si="5"/>
        <v>5.265804961469072E-2</v>
      </c>
      <c r="F73" s="16">
        <f t="shared" si="6"/>
        <v>0</v>
      </c>
      <c r="G73" s="38">
        <f t="shared" si="7"/>
        <v>-5.4095162920591307E-2</v>
      </c>
    </row>
    <row r="74" spans="1:7" x14ac:dyDescent="0.25">
      <c r="A74" s="42">
        <f>Regression_Excel!A114</f>
        <v>43948</v>
      </c>
      <c r="B74" s="16">
        <f>Regression_Excel!E114</f>
        <v>62</v>
      </c>
      <c r="C74" s="16">
        <f>IF(Regression_Excel!B114&gt;=$J$5,1,0)</f>
        <v>0</v>
      </c>
      <c r="D74" s="38">
        <f t="shared" si="4"/>
        <v>-2.3644170000000031</v>
      </c>
      <c r="E74" s="38">
        <f t="shared" si="5"/>
        <v>8.5926633861767382E-2</v>
      </c>
      <c r="F74" s="16">
        <f t="shared" si="6"/>
        <v>0</v>
      </c>
      <c r="G74" s="38">
        <f t="shared" si="7"/>
        <v>-8.9844441451547213E-2</v>
      </c>
    </row>
    <row r="75" spans="1:7" x14ac:dyDescent="0.25">
      <c r="A75" s="42">
        <f>Regression_Excel!A115</f>
        <v>43949</v>
      </c>
      <c r="B75" s="16">
        <f>Regression_Excel!E115</f>
        <v>63</v>
      </c>
      <c r="C75" s="16">
        <f>IF(Regression_Excel!B115&gt;=$J$5,1,0)</f>
        <v>0</v>
      </c>
      <c r="D75" s="38">
        <f t="shared" si="4"/>
        <v>-1.8389930000000021</v>
      </c>
      <c r="E75" s="38">
        <f t="shared" si="5"/>
        <v>0.13717043222309311</v>
      </c>
      <c r="F75" s="16">
        <f t="shared" si="6"/>
        <v>0</v>
      </c>
      <c r="G75" s="38">
        <f t="shared" si="7"/>
        <v>-0.14753809549369912</v>
      </c>
    </row>
    <row r="76" spans="1:7" x14ac:dyDescent="0.25">
      <c r="A76" s="42">
        <f>Regression_Excel!A116</f>
        <v>43950</v>
      </c>
      <c r="B76" s="16">
        <f>Regression_Excel!E116</f>
        <v>64</v>
      </c>
      <c r="C76" s="16">
        <f>IF(Regression_Excel!B116&gt;=$J$5,1,0)</f>
        <v>0</v>
      </c>
      <c r="D76" s="38">
        <f t="shared" si="4"/>
        <v>-1.3135690000000011</v>
      </c>
      <c r="E76" s="38">
        <f t="shared" si="5"/>
        <v>0.21189023411294508</v>
      </c>
      <c r="F76" s="16">
        <f t="shared" si="6"/>
        <v>0</v>
      </c>
      <c r="G76" s="38">
        <f t="shared" si="7"/>
        <v>-0.2381179020141744</v>
      </c>
    </row>
    <row r="77" spans="1:7" x14ac:dyDescent="0.25">
      <c r="A77" s="42">
        <f>Regression_Excel!A117</f>
        <v>43951</v>
      </c>
      <c r="B77" s="16">
        <f>Regression_Excel!E117</f>
        <v>65</v>
      </c>
      <c r="C77" s="16">
        <f>IF(Regression_Excel!B117&gt;=$J$5,1,0)</f>
        <v>0</v>
      </c>
      <c r="D77" s="38">
        <f t="shared" ref="D77:D111" si="8">$J$7+$J$8*B77</f>
        <v>-0.7881450000000001</v>
      </c>
      <c r="E77" s="38">
        <f t="shared" ref="E77:E108" si="9">1/(1+EXP(-D77))</f>
        <v>0.31256711260208736</v>
      </c>
      <c r="F77" s="16">
        <f t="shared" ref="F77:F108" si="10">IF(E77&gt;=$J$6,1,0)</f>
        <v>0</v>
      </c>
      <c r="G77" s="38">
        <f t="shared" ref="G77:G111" si="11">C77*LN(MAX(E77,0.000000000001))+(1-C77)*LN(MAX(1-E77,0.000000000001))</f>
        <v>-0.37479107253669891</v>
      </c>
    </row>
    <row r="78" spans="1:7" x14ac:dyDescent="0.25">
      <c r="A78" s="42">
        <f>Regression_Excel!A118</f>
        <v>43952</v>
      </c>
      <c r="B78" s="16">
        <f>Regression_Excel!E118</f>
        <v>66</v>
      </c>
      <c r="C78" s="16">
        <f>IF(Regression_Excel!B118&gt;=$J$5,1,0)</f>
        <v>1</v>
      </c>
      <c r="D78" s="38">
        <f t="shared" si="8"/>
        <v>-0.26272099999999909</v>
      </c>
      <c r="E78" s="38">
        <f t="shared" si="9"/>
        <v>0.43469494415914206</v>
      </c>
      <c r="F78" s="16">
        <f t="shared" si="10"/>
        <v>0</v>
      </c>
      <c r="G78" s="38">
        <f t="shared" si="11"/>
        <v>-0.83311077169882275</v>
      </c>
    </row>
    <row r="79" spans="1:7" x14ac:dyDescent="0.25">
      <c r="A79" s="42">
        <f>Regression_Excel!A119</f>
        <v>43953</v>
      </c>
      <c r="B79" s="16">
        <f>Regression_Excel!E119</f>
        <v>67</v>
      </c>
      <c r="C79" s="16">
        <f>IF(Regression_Excel!B119&gt;=$J$5,1,0)</f>
        <v>1</v>
      </c>
      <c r="D79" s="38">
        <f t="shared" si="8"/>
        <v>0.26270300000000191</v>
      </c>
      <c r="E79" s="38">
        <f t="shared" si="9"/>
        <v>0.56530063260116503</v>
      </c>
      <c r="F79" s="16">
        <f t="shared" si="10"/>
        <v>1</v>
      </c>
      <c r="G79" s="38">
        <f t="shared" si="11"/>
        <v>-0.57039759624762632</v>
      </c>
    </row>
    <row r="80" spans="1:7" x14ac:dyDescent="0.25">
      <c r="A80" s="42">
        <f>Regression_Excel!A120</f>
        <v>43954</v>
      </c>
      <c r="B80" s="16">
        <f>Regression_Excel!E120</f>
        <v>68</v>
      </c>
      <c r="C80" s="16">
        <f>IF(Regression_Excel!B120&gt;=$J$5,1,0)</f>
        <v>1</v>
      </c>
      <c r="D80" s="38">
        <f t="shared" si="8"/>
        <v>0.7881269999999958</v>
      </c>
      <c r="E80" s="38">
        <f t="shared" si="9"/>
        <v>0.68742901974443416</v>
      </c>
      <c r="F80" s="16">
        <f t="shared" si="10"/>
        <v>1</v>
      </c>
      <c r="G80" s="38">
        <f t="shared" si="11"/>
        <v>-0.37479669877953592</v>
      </c>
    </row>
    <row r="81" spans="1:7" x14ac:dyDescent="0.25">
      <c r="A81" s="42">
        <f>Regression_Excel!A121</f>
        <v>43955</v>
      </c>
      <c r="B81" s="16">
        <f>Regression_Excel!E121</f>
        <v>69</v>
      </c>
      <c r="C81" s="16">
        <f>IF(Regression_Excel!B121&gt;=$J$5,1,0)</f>
        <v>1</v>
      </c>
      <c r="D81" s="38">
        <f t="shared" si="8"/>
        <v>1.3135509999999968</v>
      </c>
      <c r="E81" s="38">
        <f t="shared" si="9"/>
        <v>0.78810676000173541</v>
      </c>
      <c r="F81" s="16">
        <f t="shared" si="10"/>
        <v>1</v>
      </c>
      <c r="G81" s="38">
        <f t="shared" si="11"/>
        <v>-0.23812171606544233</v>
      </c>
    </row>
    <row r="82" spans="1:7" x14ac:dyDescent="0.25">
      <c r="A82" s="42">
        <f>Regression_Excel!A122</f>
        <v>43956</v>
      </c>
      <c r="B82" s="16">
        <f>Regression_Excel!E122</f>
        <v>70</v>
      </c>
      <c r="C82" s="16">
        <f>IF(Regression_Excel!B122&gt;=$J$5,1,0)</f>
        <v>1</v>
      </c>
      <c r="D82" s="38">
        <f t="shared" si="8"/>
        <v>1.8389749999999978</v>
      </c>
      <c r="E82" s="38">
        <f t="shared" si="9"/>
        <v>0.86282743737830747</v>
      </c>
      <c r="F82" s="16">
        <f t="shared" si="10"/>
        <v>1</v>
      </c>
      <c r="G82" s="38">
        <f t="shared" si="11"/>
        <v>-0.14754056458065332</v>
      </c>
    </row>
    <row r="83" spans="1:7" x14ac:dyDescent="0.25">
      <c r="A83" s="42">
        <f>Regression_Excel!A123</f>
        <v>43957</v>
      </c>
      <c r="B83" s="16">
        <f>Regression_Excel!E123</f>
        <v>71</v>
      </c>
      <c r="C83" s="16">
        <f>IF(Regression_Excel!B123&gt;=$J$5,1,0)</f>
        <v>1</v>
      </c>
      <c r="D83" s="38">
        <f t="shared" si="8"/>
        <v>2.3643989999999988</v>
      </c>
      <c r="E83" s="38">
        <f t="shared" si="9"/>
        <v>0.91407195234924077</v>
      </c>
      <c r="F83" s="16">
        <f t="shared" si="10"/>
        <v>1</v>
      </c>
      <c r="G83" s="38">
        <f t="shared" si="11"/>
        <v>-8.9845988143681124E-2</v>
      </c>
    </row>
    <row r="84" spans="1:7" x14ac:dyDescent="0.25">
      <c r="A84" s="42">
        <f>Regression_Excel!A124</f>
        <v>43958</v>
      </c>
      <c r="B84" s="16">
        <f>Regression_Excel!E124</f>
        <v>72</v>
      </c>
      <c r="C84" s="16">
        <f>IF(Regression_Excel!B124&gt;=$J$5,1,0)</f>
        <v>0</v>
      </c>
      <c r="D84" s="38">
        <f t="shared" si="8"/>
        <v>2.8898229999999998</v>
      </c>
      <c r="E84" s="38">
        <f t="shared" si="9"/>
        <v>0.94734105244484912</v>
      </c>
      <c r="F84" s="16">
        <f t="shared" si="10"/>
        <v>1</v>
      </c>
      <c r="G84" s="38">
        <f t="shared" si="11"/>
        <v>-2.9439191107735665</v>
      </c>
    </row>
    <row r="85" spans="1:7" x14ac:dyDescent="0.25">
      <c r="A85" s="42">
        <f>Regression_Excel!A125</f>
        <v>43959</v>
      </c>
      <c r="B85" s="16">
        <f>Regression_Excel!E125</f>
        <v>73</v>
      </c>
      <c r="C85" s="16">
        <f>IF(Regression_Excel!B125&gt;=$J$5,1,0)</f>
        <v>1</v>
      </c>
      <c r="D85" s="38">
        <f t="shared" si="8"/>
        <v>3.4152470000000008</v>
      </c>
      <c r="E85" s="38">
        <f t="shared" si="9"/>
        <v>0.96817765862485439</v>
      </c>
      <c r="F85" s="16">
        <f t="shared" si="10"/>
        <v>1</v>
      </c>
      <c r="G85" s="38">
        <f t="shared" si="11"/>
        <v>-3.2339676908184303E-2</v>
      </c>
    </row>
    <row r="86" spans="1:7" x14ac:dyDescent="0.25">
      <c r="A86" s="42">
        <f>Regression_Excel!A126</f>
        <v>43960</v>
      </c>
      <c r="B86" s="16">
        <f>Regression_Excel!E126</f>
        <v>74</v>
      </c>
      <c r="C86" s="16">
        <f>IF(Regression_Excel!B126&gt;=$J$5,1,0)</f>
        <v>1</v>
      </c>
      <c r="D86" s="38">
        <f t="shared" si="8"/>
        <v>3.9406710000000018</v>
      </c>
      <c r="E86" s="38">
        <f t="shared" si="9"/>
        <v>0.98093535522959729</v>
      </c>
      <c r="F86" s="16">
        <f t="shared" si="10"/>
        <v>1</v>
      </c>
      <c r="G86" s="38">
        <f t="shared" si="11"/>
        <v>-1.9248718397852818E-2</v>
      </c>
    </row>
    <row r="87" spans="1:7" x14ac:dyDescent="0.25">
      <c r="A87" s="42">
        <f>Regression_Excel!A127</f>
        <v>43961</v>
      </c>
      <c r="B87" s="16">
        <f>Regression_Excel!E127</f>
        <v>75</v>
      </c>
      <c r="C87" s="16">
        <f>IF(Regression_Excel!B127&gt;=$J$5,1,0)</f>
        <v>1</v>
      </c>
      <c r="D87" s="38">
        <f t="shared" si="8"/>
        <v>4.4660949999999957</v>
      </c>
      <c r="E87" s="38">
        <f t="shared" si="9"/>
        <v>0.98863846296390034</v>
      </c>
      <c r="F87" s="16">
        <f t="shared" si="10"/>
        <v>1</v>
      </c>
      <c r="G87" s="38">
        <f t="shared" si="11"/>
        <v>-1.1426572368139008E-2</v>
      </c>
    </row>
    <row r="88" spans="1:7" x14ac:dyDescent="0.25">
      <c r="A88" s="42">
        <f>Regression_Excel!A128</f>
        <v>43962</v>
      </c>
      <c r="B88" s="16">
        <f>Regression_Excel!E128</f>
        <v>76</v>
      </c>
      <c r="C88" s="16">
        <f>IF(Regression_Excel!B128&gt;=$J$5,1,0)</f>
        <v>1</v>
      </c>
      <c r="D88" s="38">
        <f t="shared" si="8"/>
        <v>4.9915189999999967</v>
      </c>
      <c r="E88" s="38">
        <f t="shared" si="9"/>
        <v>0.99325053036862687</v>
      </c>
      <c r="F88" s="16">
        <f t="shared" si="10"/>
        <v>1</v>
      </c>
      <c r="G88" s="38">
        <f t="shared" si="11"/>
        <v>-6.7723503146270465E-3</v>
      </c>
    </row>
    <row r="89" spans="1:7" x14ac:dyDescent="0.25">
      <c r="A89" s="42">
        <f>Regression_Excel!A129</f>
        <v>43963</v>
      </c>
      <c r="B89" s="16">
        <f>Regression_Excel!E129</f>
        <v>77</v>
      </c>
      <c r="C89" s="16">
        <f>IF(Regression_Excel!B129&gt;=$J$5,1,0)</f>
        <v>1</v>
      </c>
      <c r="D89" s="38">
        <f t="shared" si="8"/>
        <v>5.5169429999999977</v>
      </c>
      <c r="E89" s="38">
        <f t="shared" si="9"/>
        <v>0.99599796805863305</v>
      </c>
      <c r="F89" s="16">
        <f t="shared" si="10"/>
        <v>1</v>
      </c>
      <c r="G89" s="38">
        <f t="shared" si="11"/>
        <v>-4.0100615013938705E-3</v>
      </c>
    </row>
    <row r="90" spans="1:7" x14ac:dyDescent="0.25">
      <c r="A90" s="42">
        <f>Regression_Excel!A130</f>
        <v>43964</v>
      </c>
      <c r="B90" s="16">
        <f>Regression_Excel!E130</f>
        <v>78</v>
      </c>
      <c r="C90" s="16">
        <f>IF(Regression_Excel!B130&gt;=$J$5,1,0)</f>
        <v>1</v>
      </c>
      <c r="D90" s="38">
        <f t="shared" si="8"/>
        <v>6.0423669999999987</v>
      </c>
      <c r="E90" s="38">
        <f t="shared" si="9"/>
        <v>0.99762970322551947</v>
      </c>
      <c r="F90" s="16">
        <f t="shared" si="10"/>
        <v>1</v>
      </c>
      <c r="G90" s="38">
        <f t="shared" si="11"/>
        <v>-2.3731103748045831E-3</v>
      </c>
    </row>
    <row r="91" spans="1:7" x14ac:dyDescent="0.25">
      <c r="A91" s="42">
        <f>Regression_Excel!A131</f>
        <v>43965</v>
      </c>
      <c r="B91" s="16">
        <f>Regression_Excel!E131</f>
        <v>79</v>
      </c>
      <c r="C91" s="16">
        <f>IF(Regression_Excel!B131&gt;=$J$5,1,0)</f>
        <v>1</v>
      </c>
      <c r="D91" s="38">
        <f t="shared" si="8"/>
        <v>6.5677909999999997</v>
      </c>
      <c r="E91" s="38">
        <f t="shared" si="9"/>
        <v>0.99859707356241001</v>
      </c>
      <c r="F91" s="16">
        <f t="shared" si="10"/>
        <v>1</v>
      </c>
      <c r="G91" s="38">
        <f t="shared" si="11"/>
        <v>-1.4039114602686612E-3</v>
      </c>
    </row>
    <row r="92" spans="1:7" x14ac:dyDescent="0.25">
      <c r="A92" s="42">
        <f>Regression_Excel!A132</f>
        <v>43966</v>
      </c>
      <c r="B92" s="16">
        <f>Regression_Excel!E132</f>
        <v>80</v>
      </c>
      <c r="C92" s="16">
        <f>IF(Regression_Excel!B132&gt;=$J$5,1,0)</f>
        <v>1</v>
      </c>
      <c r="D92" s="38">
        <f t="shared" si="8"/>
        <v>7.0932150000000007</v>
      </c>
      <c r="E92" s="38">
        <f t="shared" si="9"/>
        <v>0.99916996723117169</v>
      </c>
      <c r="F92" s="16">
        <f t="shared" si="10"/>
        <v>1</v>
      </c>
      <c r="G92" s="38">
        <f t="shared" si="11"/>
        <v>-8.3037743676396471E-4</v>
      </c>
    </row>
    <row r="93" spans="1:7" x14ac:dyDescent="0.25">
      <c r="A93" s="42">
        <f>Regression_Excel!A133</f>
        <v>43967</v>
      </c>
      <c r="B93" s="16">
        <f>Regression_Excel!E133</f>
        <v>81</v>
      </c>
      <c r="C93" s="16">
        <f>IF(Regression_Excel!B133&gt;=$J$5,1,0)</f>
        <v>1</v>
      </c>
      <c r="D93" s="38">
        <f t="shared" si="8"/>
        <v>7.6186390000000017</v>
      </c>
      <c r="E93" s="38">
        <f t="shared" si="9"/>
        <v>0.99950903125564239</v>
      </c>
      <c r="F93" s="16">
        <f t="shared" si="10"/>
        <v>1</v>
      </c>
      <c r="G93" s="38">
        <f t="shared" si="11"/>
        <v>-4.9108930897550068E-4</v>
      </c>
    </row>
    <row r="94" spans="1:7" x14ac:dyDescent="0.25">
      <c r="A94" s="42">
        <f>Regression_Excel!A134</f>
        <v>43968</v>
      </c>
      <c r="B94" s="16">
        <f>Regression_Excel!E134</f>
        <v>82</v>
      </c>
      <c r="C94" s="16">
        <f>IF(Regression_Excel!B134&gt;=$J$5,1,0)</f>
        <v>1</v>
      </c>
      <c r="D94" s="38">
        <f t="shared" si="8"/>
        <v>8.1440629999999956</v>
      </c>
      <c r="E94" s="38">
        <f t="shared" si="9"/>
        <v>0.99970962965921328</v>
      </c>
      <c r="F94" s="16">
        <f t="shared" si="10"/>
        <v>1</v>
      </c>
      <c r="G94" s="38">
        <f t="shared" si="11"/>
        <v>-2.9041250641675048E-4</v>
      </c>
    </row>
    <row r="95" spans="1:7" x14ac:dyDescent="0.25">
      <c r="A95" s="42">
        <f>Regression_Excel!A135</f>
        <v>43969</v>
      </c>
      <c r="B95" s="16">
        <f>Regression_Excel!E135</f>
        <v>83</v>
      </c>
      <c r="C95" s="16">
        <f>IF(Regression_Excel!B135&gt;=$J$5,1,0)</f>
        <v>1</v>
      </c>
      <c r="D95" s="38">
        <f t="shared" si="8"/>
        <v>8.6694869999999966</v>
      </c>
      <c r="E95" s="38">
        <f t="shared" si="9"/>
        <v>0.99982828230409482</v>
      </c>
      <c r="F95" s="16">
        <f t="shared" si="10"/>
        <v>1</v>
      </c>
      <c r="G95" s="38">
        <f t="shared" si="11"/>
        <v>-1.7173244107675473E-4</v>
      </c>
    </row>
    <row r="96" spans="1:7" x14ac:dyDescent="0.25">
      <c r="A96" s="42">
        <f>Regression_Excel!A136</f>
        <v>43970</v>
      </c>
      <c r="B96" s="16">
        <f>Regression_Excel!E136</f>
        <v>84</v>
      </c>
      <c r="C96" s="16">
        <f>IF(Regression_Excel!B136&gt;=$J$5,1,0)</f>
        <v>1</v>
      </c>
      <c r="D96" s="38">
        <f t="shared" si="8"/>
        <v>9.1949109999999976</v>
      </c>
      <c r="E96" s="38">
        <f t="shared" si="9"/>
        <v>0.99989845541042033</v>
      </c>
      <c r="F96" s="16">
        <f t="shared" si="10"/>
        <v>1</v>
      </c>
      <c r="G96" s="38">
        <f t="shared" si="11"/>
        <v>-1.0154974558055389E-4</v>
      </c>
    </row>
    <row r="97" spans="1:7" x14ac:dyDescent="0.25">
      <c r="A97" s="42">
        <f>Regression_Excel!A137</f>
        <v>43971</v>
      </c>
      <c r="B97" s="16">
        <f>Regression_Excel!E137</f>
        <v>85</v>
      </c>
      <c r="C97" s="16">
        <f>IF(Regression_Excel!B137&gt;=$J$5,1,0)</f>
        <v>1</v>
      </c>
      <c r="D97" s="38">
        <f t="shared" si="8"/>
        <v>9.7203349999999986</v>
      </c>
      <c r="E97" s="38">
        <f t="shared" si="9"/>
        <v>0.99993995372530475</v>
      </c>
      <c r="F97" s="16">
        <f t="shared" si="10"/>
        <v>1</v>
      </c>
      <c r="G97" s="38">
        <f t="shared" si="11"/>
        <v>-6.0048077544969169E-5</v>
      </c>
    </row>
    <row r="98" spans="1:7" x14ac:dyDescent="0.25">
      <c r="A98" s="42">
        <f>Regression_Excel!A138</f>
        <v>43972</v>
      </c>
      <c r="B98" s="16">
        <f>Regression_Excel!E138</f>
        <v>86</v>
      </c>
      <c r="C98" s="16">
        <f>IF(Regression_Excel!B138&gt;=$J$5,1,0)</f>
        <v>1</v>
      </c>
      <c r="D98" s="38">
        <f t="shared" si="8"/>
        <v>10.245759</v>
      </c>
      <c r="E98" s="38">
        <f t="shared" si="9"/>
        <v>0.9999644934903239</v>
      </c>
      <c r="F98" s="16">
        <f t="shared" si="10"/>
        <v>1</v>
      </c>
      <c r="G98" s="38">
        <f t="shared" si="11"/>
        <v>-3.550714004713384E-5</v>
      </c>
    </row>
    <row r="99" spans="1:7" x14ac:dyDescent="0.25">
      <c r="A99" s="42">
        <f>Regression_Excel!A139</f>
        <v>43973</v>
      </c>
      <c r="B99" s="16">
        <f>Regression_Excel!E139</f>
        <v>87</v>
      </c>
      <c r="C99" s="16">
        <f>IF(Regression_Excel!B139&gt;=$J$5,1,0)</f>
        <v>1</v>
      </c>
      <c r="D99" s="38">
        <f t="shared" si="8"/>
        <v>10.771183000000001</v>
      </c>
      <c r="E99" s="38">
        <f t="shared" si="9"/>
        <v>0.99997900453289512</v>
      </c>
      <c r="F99" s="16">
        <f t="shared" si="10"/>
        <v>1</v>
      </c>
      <c r="G99" s="38">
        <f t="shared" si="11"/>
        <v>-2.0995687512782956E-5</v>
      </c>
    </row>
    <row r="100" spans="1:7" x14ac:dyDescent="0.25">
      <c r="A100" s="42">
        <f>Regression_Excel!A140</f>
        <v>43974</v>
      </c>
      <c r="B100" s="16">
        <f>Regression_Excel!E140</f>
        <v>88</v>
      </c>
      <c r="C100" s="16">
        <f>IF(Regression_Excel!B140&gt;=$J$5,1,0)</f>
        <v>1</v>
      </c>
      <c r="D100" s="38">
        <f t="shared" si="8"/>
        <v>11.296607000000002</v>
      </c>
      <c r="E100" s="38">
        <f t="shared" si="9"/>
        <v>0.99998758517723385</v>
      </c>
      <c r="F100" s="16">
        <f t="shared" si="10"/>
        <v>1</v>
      </c>
      <c r="G100" s="38">
        <f t="shared" si="11"/>
        <v>-1.2414899830699122E-5</v>
      </c>
    </row>
    <row r="101" spans="1:7" x14ac:dyDescent="0.25">
      <c r="A101" s="42">
        <f>Regression_Excel!A141</f>
        <v>43975</v>
      </c>
      <c r="B101" s="16">
        <f>Regression_Excel!E141</f>
        <v>89</v>
      </c>
      <c r="C101" s="16">
        <f>IF(Regression_Excel!B141&gt;=$J$5,1,0)</f>
        <v>1</v>
      </c>
      <c r="D101" s="38">
        <f t="shared" si="8"/>
        <v>11.822030999999996</v>
      </c>
      <c r="E101" s="38">
        <f t="shared" si="9"/>
        <v>0.99999265902096701</v>
      </c>
      <c r="F101" s="16">
        <f t="shared" si="10"/>
        <v>1</v>
      </c>
      <c r="G101" s="38">
        <f t="shared" si="11"/>
        <v>-7.3410059781065881E-6</v>
      </c>
    </row>
    <row r="102" spans="1:7" x14ac:dyDescent="0.25">
      <c r="A102" s="42">
        <f>Regression_Excel!A142</f>
        <v>43976</v>
      </c>
      <c r="B102" s="16">
        <f>Regression_Excel!E142</f>
        <v>90</v>
      </c>
      <c r="C102" s="16">
        <f>IF(Regression_Excel!B142&gt;=$J$5,1,0)</f>
        <v>1</v>
      </c>
      <c r="D102" s="38">
        <f t="shared" si="8"/>
        <v>12.347454999999997</v>
      </c>
      <c r="E102" s="38">
        <f t="shared" si="9"/>
        <v>0.99999565923232037</v>
      </c>
      <c r="F102" s="16">
        <f t="shared" si="10"/>
        <v>1</v>
      </c>
      <c r="G102" s="38">
        <f t="shared" si="11"/>
        <v>-4.3407771007929376E-6</v>
      </c>
    </row>
    <row r="103" spans="1:7" x14ac:dyDescent="0.25">
      <c r="A103" s="42">
        <f>Regression_Excel!A143</f>
        <v>43977</v>
      </c>
      <c r="B103" s="16">
        <f>Regression_Excel!E143</f>
        <v>91</v>
      </c>
      <c r="C103" s="16">
        <f>IF(Regression_Excel!B143&gt;=$J$5,1,0)</f>
        <v>1</v>
      </c>
      <c r="D103" s="38">
        <f t="shared" si="8"/>
        <v>12.872878999999998</v>
      </c>
      <c r="E103" s="38">
        <f t="shared" si="9"/>
        <v>0.99999743327955848</v>
      </c>
      <c r="F103" s="16">
        <f t="shared" si="10"/>
        <v>1</v>
      </c>
      <c r="G103" s="38">
        <f t="shared" si="11"/>
        <v>-2.5667237355539466E-6</v>
      </c>
    </row>
    <row r="104" spans="1:7" x14ac:dyDescent="0.25">
      <c r="A104" s="42">
        <f>Regression_Excel!A144</f>
        <v>43978</v>
      </c>
      <c r="B104" s="16">
        <f>Regression_Excel!E144</f>
        <v>92</v>
      </c>
      <c r="C104" s="16">
        <f>IF(Regression_Excel!B144&gt;=$J$5,1,0)</f>
        <v>1</v>
      </c>
      <c r="D104" s="38">
        <f t="shared" si="8"/>
        <v>13.398302999999999</v>
      </c>
      <c r="E104" s="38">
        <f t="shared" si="9"/>
        <v>0.99999848228480892</v>
      </c>
      <c r="F104" s="16">
        <f t="shared" si="10"/>
        <v>1</v>
      </c>
      <c r="G104" s="38">
        <f t="shared" si="11"/>
        <v>-1.5177163428103266E-6</v>
      </c>
    </row>
    <row r="105" spans="1:7" x14ac:dyDescent="0.25">
      <c r="A105" s="42">
        <f>Regression_Excel!A145</f>
        <v>43979</v>
      </c>
      <c r="B105" s="16">
        <f>Regression_Excel!E145</f>
        <v>93</v>
      </c>
      <c r="C105" s="16">
        <f>IF(Regression_Excel!B145&gt;=$J$5,1,0)</f>
        <v>1</v>
      </c>
      <c r="D105" s="38">
        <f t="shared" si="8"/>
        <v>13.923727</v>
      </c>
      <c r="E105" s="38">
        <f t="shared" si="9"/>
        <v>0.99999910256747215</v>
      </c>
      <c r="F105" s="16">
        <f t="shared" si="10"/>
        <v>1</v>
      </c>
      <c r="G105" s="38">
        <f t="shared" si="11"/>
        <v>-8.9743293053938751E-7</v>
      </c>
    </row>
    <row r="106" spans="1:7" x14ac:dyDescent="0.25">
      <c r="A106" s="42">
        <f>Regression_Excel!A146</f>
        <v>43980</v>
      </c>
      <c r="B106" s="16">
        <f>Regression_Excel!E146</f>
        <v>94</v>
      </c>
      <c r="C106" s="16">
        <f>IF(Regression_Excel!B146&gt;=$J$5,1,0)</f>
        <v>1</v>
      </c>
      <c r="D106" s="38">
        <f t="shared" si="8"/>
        <v>14.449151000000001</v>
      </c>
      <c r="E106" s="38">
        <f t="shared" si="9"/>
        <v>0.99999946934382522</v>
      </c>
      <c r="F106" s="16">
        <f t="shared" si="10"/>
        <v>1</v>
      </c>
      <c r="G106" s="38">
        <f t="shared" si="11"/>
        <v>-5.3065631557780214E-7</v>
      </c>
    </row>
    <row r="107" spans="1:7" x14ac:dyDescent="0.25">
      <c r="A107" s="42">
        <f>Regression_Excel!A147</f>
        <v>43981</v>
      </c>
      <c r="B107" s="16">
        <f>Regression_Excel!E147</f>
        <v>95</v>
      </c>
      <c r="C107" s="16">
        <f>IF(Regression_Excel!B147&gt;=$J$5,1,0)</f>
        <v>1</v>
      </c>
      <c r="D107" s="38">
        <f t="shared" si="8"/>
        <v>14.974575000000002</v>
      </c>
      <c r="E107" s="38">
        <f t="shared" si="9"/>
        <v>0.99999968622049595</v>
      </c>
      <c r="F107" s="16">
        <f t="shared" si="10"/>
        <v>1</v>
      </c>
      <c r="G107" s="38">
        <f t="shared" si="11"/>
        <v>-3.137795532752286E-7</v>
      </c>
    </row>
    <row r="108" spans="1:7" x14ac:dyDescent="0.25">
      <c r="A108" s="42">
        <f>Regression_Excel!A148</f>
        <v>43982</v>
      </c>
      <c r="B108" s="16">
        <f>Regression_Excel!E148</f>
        <v>96</v>
      </c>
      <c r="C108" s="16">
        <f>IF(Regression_Excel!B148&gt;=$J$5,1,0)</f>
        <v>1</v>
      </c>
      <c r="D108" s="38">
        <f t="shared" si="8"/>
        <v>15.499998999999995</v>
      </c>
      <c r="E108" s="38">
        <f t="shared" si="9"/>
        <v>0.99999981446071251</v>
      </c>
      <c r="F108" s="16">
        <f t="shared" si="10"/>
        <v>1</v>
      </c>
      <c r="G108" s="38">
        <f t="shared" si="11"/>
        <v>-1.8553930470184922E-7</v>
      </c>
    </row>
    <row r="109" spans="1:7" x14ac:dyDescent="0.25">
      <c r="A109" s="42">
        <f>Regression_Excel!A149</f>
        <v>43983</v>
      </c>
      <c r="B109" s="16">
        <f>Regression_Excel!E149</f>
        <v>97</v>
      </c>
      <c r="C109" s="16">
        <f>IF(Regression_Excel!B149&gt;=$J$5,1,0)</f>
        <v>1</v>
      </c>
      <c r="D109" s="38">
        <f t="shared" si="8"/>
        <v>16.025422999999996</v>
      </c>
      <c r="E109" s="38">
        <f t="shared" ref="E109:E140" si="12">1/(1+EXP(-D109))</f>
        <v>0.999999890289758</v>
      </c>
      <c r="F109" s="16">
        <f t="shared" ref="F109:F140" si="13">IF(E109&gt;=$J$6,1,0)</f>
        <v>1</v>
      </c>
      <c r="G109" s="38">
        <f t="shared" si="11"/>
        <v>-1.0971024802040571E-7</v>
      </c>
    </row>
    <row r="110" spans="1:7" x14ac:dyDescent="0.25">
      <c r="A110" s="42">
        <f>Regression_Excel!A150</f>
        <v>43984</v>
      </c>
      <c r="B110" s="16">
        <f>Regression_Excel!E150</f>
        <v>98</v>
      </c>
      <c r="C110" s="16">
        <f>IF(Regression_Excel!B150&gt;=$J$5,1,0)</f>
        <v>1</v>
      </c>
      <c r="D110" s="38">
        <f t="shared" si="8"/>
        <v>16.550846999999997</v>
      </c>
      <c r="E110" s="38">
        <f t="shared" si="12"/>
        <v>0.99999993512782659</v>
      </c>
      <c r="F110" s="16">
        <f t="shared" si="13"/>
        <v>1</v>
      </c>
      <c r="G110" s="38">
        <f t="shared" si="11"/>
        <v>-6.4872175515089893E-8</v>
      </c>
    </row>
    <row r="111" spans="1:7" x14ac:dyDescent="0.25">
      <c r="A111" s="42">
        <f>Regression_Excel!A151</f>
        <v>43985</v>
      </c>
      <c r="B111" s="16">
        <f>Regression_Excel!E151</f>
        <v>99</v>
      </c>
      <c r="C111" s="16">
        <f>IF(Regression_Excel!B151&gt;=$J$5,1,0)</f>
        <v>1</v>
      </c>
      <c r="D111" s="38">
        <f t="shared" si="8"/>
        <v>17.076270999999998</v>
      </c>
      <c r="E111" s="38">
        <f t="shared" si="12"/>
        <v>0.99999996164078453</v>
      </c>
      <c r="F111" s="16">
        <f t="shared" si="13"/>
        <v>1</v>
      </c>
      <c r="G111" s="38">
        <f t="shared" si="11"/>
        <v>-3.8359216206399386E-8</v>
      </c>
    </row>
  </sheetData>
  <mergeCells count="1">
    <mergeCell ref="I39:L4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  <pageSetUpPr fitToPage="1"/>
  </sheetPr>
  <dimension ref="A1:G47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34" customWidth="1"/>
    <col min="3" max="3" width="16" customWidth="1"/>
    <col min="4" max="4" width="70" customWidth="1"/>
    <col min="5" max="7" width="18" customWidth="1"/>
  </cols>
  <sheetData>
    <row r="1" spans="1:6" ht="20.25" x14ac:dyDescent="0.3">
      <c r="A1" s="8" t="s">
        <v>257</v>
      </c>
    </row>
    <row r="2" spans="1:6" x14ac:dyDescent="0.25">
      <c r="A2" s="9" t="s">
        <v>258</v>
      </c>
    </row>
    <row r="4" spans="1:6" ht="15.75" x14ac:dyDescent="0.25">
      <c r="A4" s="10" t="s">
        <v>259</v>
      </c>
    </row>
    <row r="6" spans="1:6" ht="31.5" customHeight="1" x14ac:dyDescent="0.25">
      <c r="B6" s="11" t="s">
        <v>260</v>
      </c>
      <c r="C6" s="11" t="s">
        <v>240</v>
      </c>
      <c r="D6" s="11" t="s">
        <v>261</v>
      </c>
    </row>
    <row r="7" spans="1:6" ht="43.5" customHeight="1" x14ac:dyDescent="0.25">
      <c r="B7" s="36" t="s">
        <v>262</v>
      </c>
      <c r="C7" s="49">
        <v>1</v>
      </c>
      <c r="D7" s="50" t="s">
        <v>263</v>
      </c>
    </row>
    <row r="8" spans="1:6" ht="30" customHeight="1" x14ac:dyDescent="0.25">
      <c r="B8" s="36" t="s">
        <v>264</v>
      </c>
      <c r="C8" s="51">
        <v>3</v>
      </c>
      <c r="D8" s="50" t="s">
        <v>265</v>
      </c>
    </row>
    <row r="10" spans="1:6" ht="15.75" x14ac:dyDescent="0.25">
      <c r="A10" s="10" t="s">
        <v>266</v>
      </c>
    </row>
    <row r="11" spans="1:6" ht="31.5" customHeight="1" x14ac:dyDescent="0.25">
      <c r="B11" s="11" t="s">
        <v>267</v>
      </c>
      <c r="C11" s="11" t="s">
        <v>268</v>
      </c>
      <c r="D11" s="11" t="s">
        <v>269</v>
      </c>
      <c r="E11" s="11" t="s">
        <v>270</v>
      </c>
      <c r="F11" s="11" t="s">
        <v>52</v>
      </c>
    </row>
    <row r="12" spans="1:6" x14ac:dyDescent="0.25">
      <c r="B12" s="36" t="s">
        <v>271</v>
      </c>
      <c r="C12" s="13" t="s">
        <v>272</v>
      </c>
      <c r="D12" s="13" t="str">
        <f>KMeans_City!M5&amp;": "&amp;KMeans_City!N5&amp;"  |  "&amp;KMeans_City!M6&amp;": "&amp;KMeans_City!N6&amp;"  |  "&amp;KMeans_City!M7&amp;": "&amp;KMeans_City!N7</f>
        <v>High burden: 6  |  Low burden: 63  |  Medium burden: 48</v>
      </c>
      <c r="E12" s="39">
        <f>KMeans_City!$L$21</f>
        <v>95.707536984010261</v>
      </c>
      <c r="F12" s="13" t="str">
        <f>KMeans_City!$N$21</f>
        <v>Converged</v>
      </c>
    </row>
    <row r="13" spans="1:6" x14ac:dyDescent="0.25">
      <c r="B13" s="36" t="s">
        <v>273</v>
      </c>
      <c r="C13" s="13" t="s">
        <v>274</v>
      </c>
      <c r="D13" s="13" t="str">
        <f>KMeans_Province!M5&amp;": "&amp;KMeans_Province!N5&amp;"  |  "&amp;KMeans_Province!M6&amp;": "&amp;KMeans_Province!N6&amp;"  |  "&amp;KMeans_Province!M7&amp;": "&amp;KMeans_Province!N7</f>
        <v>High burden: 3  |  Low burden: 2  |  Medium burden: 3</v>
      </c>
      <c r="E13" s="39">
        <f>KMeans_Province!$L$21</f>
        <v>2.2736908550289954</v>
      </c>
      <c r="F13" s="13" t="str">
        <f>KMeans_Province!$N$21</f>
        <v>Converged</v>
      </c>
    </row>
    <row r="14" spans="1:6" x14ac:dyDescent="0.25">
      <c r="B14" s="36" t="s">
        <v>275</v>
      </c>
      <c r="C14" s="13" t="s">
        <v>276</v>
      </c>
      <c r="D14" s="13" t="str">
        <f>KMeans_Phase!M5&amp;": "&amp;KMeans_Phase!N5&amp;"  |  "&amp;KMeans_Phase!M6&amp;": "&amp;KMeans_Phase!N6&amp;"  |  "&amp;KMeans_Phase!M7&amp;": "&amp;KMeans_Phase!N7</f>
        <v>Low activity: 28  |  High activity: 30  |  Medium activity: 41</v>
      </c>
      <c r="E14" s="39">
        <f>KMeans_Phase!$L$21</f>
        <v>56.611927535139529</v>
      </c>
      <c r="F14" s="13" t="str">
        <f>KMeans_Phase!$N$21</f>
        <v>Converged</v>
      </c>
    </row>
    <row r="15" spans="1:6" x14ac:dyDescent="0.25">
      <c r="B15" s="36" t="s">
        <v>277</v>
      </c>
      <c r="C15" s="13" t="s">
        <v>278</v>
      </c>
      <c r="D15" s="13" t="str">
        <f>KMeans_Travel!M5&amp;": "&amp;KMeans_Travel!N5&amp;"  |  "&amp;KMeans_Travel!M6&amp;": "&amp;KMeans_Travel!N6&amp;"  |  "&amp;KMeans_Travel!M7&amp;": "&amp;KMeans_Travel!N7</f>
        <v>High impact: 1  |  Low impact: 11  |  Medium impact: 3</v>
      </c>
      <c r="E15" s="39">
        <f>KMeans_Travel!$L$21</f>
        <v>5.1911829140418568</v>
      </c>
      <c r="F15" s="13" t="str">
        <f>KMeans_Travel!$N$21</f>
        <v>Converged</v>
      </c>
    </row>
    <row r="16" spans="1:6" x14ac:dyDescent="0.25">
      <c r="B16" s="36" t="s">
        <v>279</v>
      </c>
      <c r="C16" s="13" t="s">
        <v>280</v>
      </c>
      <c r="D16" s="52">
        <f>Elbow_Silhouette!C11</f>
        <v>2</v>
      </c>
    </row>
    <row r="18" spans="1:7" ht="15.75" x14ac:dyDescent="0.25">
      <c r="A18" s="10" t="s">
        <v>281</v>
      </c>
    </row>
    <row r="19" spans="1:7" ht="43.5" customHeight="1" x14ac:dyDescent="0.25">
      <c r="B19" s="2" t="s">
        <v>282</v>
      </c>
      <c r="C19" s="2"/>
      <c r="D19" s="2"/>
      <c r="E19" s="2"/>
      <c r="F19" s="2"/>
      <c r="G19" s="2"/>
    </row>
    <row r="20" spans="1:7" ht="43.5" customHeight="1" x14ac:dyDescent="0.25">
      <c r="B20" s="2" t="s">
        <v>283</v>
      </c>
      <c r="C20" s="2"/>
      <c r="D20" s="2"/>
      <c r="E20" s="2"/>
      <c r="F20" s="2"/>
      <c r="G20" s="2"/>
    </row>
    <row r="22" spans="1:7" ht="15.75" x14ac:dyDescent="0.25">
      <c r="A22" s="10" t="s">
        <v>284</v>
      </c>
    </row>
    <row r="23" spans="1:7" ht="31.5" customHeight="1" x14ac:dyDescent="0.25">
      <c r="B23" s="11" t="s">
        <v>285</v>
      </c>
      <c r="C23" s="11" t="s">
        <v>286</v>
      </c>
      <c r="D23" s="11" t="s">
        <v>287</v>
      </c>
    </row>
    <row r="24" spans="1:7" x14ac:dyDescent="0.25">
      <c r="B24" s="36" t="s">
        <v>24</v>
      </c>
      <c r="C24" s="13" t="s">
        <v>24</v>
      </c>
      <c r="D24" s="13" t="s">
        <v>288</v>
      </c>
    </row>
    <row r="25" spans="1:7" x14ac:dyDescent="0.25">
      <c r="B25" s="36" t="s">
        <v>289</v>
      </c>
      <c r="C25" s="13" t="s">
        <v>290</v>
      </c>
      <c r="D25" s="13" t="s">
        <v>291</v>
      </c>
    </row>
    <row r="26" spans="1:7" x14ac:dyDescent="0.25">
      <c r="B26" s="36" t="s">
        <v>292</v>
      </c>
      <c r="C26" s="13" t="s">
        <v>293</v>
      </c>
      <c r="D26" s="13" t="s">
        <v>294</v>
      </c>
    </row>
    <row r="27" spans="1:7" x14ac:dyDescent="0.25">
      <c r="B27" s="36" t="s">
        <v>295</v>
      </c>
      <c r="C27" s="13" t="s">
        <v>293</v>
      </c>
      <c r="D27" s="13" t="s">
        <v>296</v>
      </c>
    </row>
    <row r="29" spans="1:7" ht="15.75" x14ac:dyDescent="0.25">
      <c r="A29" s="10" t="s">
        <v>297</v>
      </c>
    </row>
    <row r="30" spans="1:7" ht="31.5" customHeight="1" x14ac:dyDescent="0.25">
      <c r="B30" s="11" t="s">
        <v>298</v>
      </c>
      <c r="C30" s="11" t="s">
        <v>268</v>
      </c>
      <c r="D30" s="11" t="s">
        <v>299</v>
      </c>
    </row>
    <row r="31" spans="1:7" ht="43.5" customHeight="1" x14ac:dyDescent="0.25">
      <c r="B31" s="53" t="s">
        <v>300</v>
      </c>
      <c r="C31" s="50" t="s">
        <v>301</v>
      </c>
      <c r="D31" s="50" t="s">
        <v>302</v>
      </c>
    </row>
    <row r="32" spans="1:7" ht="43.5" customHeight="1" x14ac:dyDescent="0.25">
      <c r="B32" s="53" t="s">
        <v>303</v>
      </c>
      <c r="C32" s="50" t="s">
        <v>304</v>
      </c>
      <c r="D32" s="50" t="s">
        <v>305</v>
      </c>
    </row>
    <row r="33" spans="1:7" ht="43.5" customHeight="1" x14ac:dyDescent="0.25">
      <c r="B33" s="53" t="s">
        <v>306</v>
      </c>
      <c r="C33" s="50" t="s">
        <v>272</v>
      </c>
      <c r="D33" s="50" t="s">
        <v>307</v>
      </c>
    </row>
    <row r="34" spans="1:7" ht="43.5" customHeight="1" x14ac:dyDescent="0.25">
      <c r="B34" s="53" t="s">
        <v>308</v>
      </c>
      <c r="C34" s="50" t="s">
        <v>272</v>
      </c>
      <c r="D34" s="50" t="s">
        <v>309</v>
      </c>
    </row>
    <row r="35" spans="1:7" ht="43.5" customHeight="1" x14ac:dyDescent="0.25">
      <c r="B35" s="53" t="s">
        <v>310</v>
      </c>
      <c r="C35" s="50" t="s">
        <v>311</v>
      </c>
      <c r="D35" s="50" t="s">
        <v>312</v>
      </c>
    </row>
    <row r="36" spans="1:7" ht="43.5" customHeight="1" x14ac:dyDescent="0.25">
      <c r="B36" s="53" t="s">
        <v>313</v>
      </c>
      <c r="C36" s="50" t="s">
        <v>314</v>
      </c>
      <c r="D36" s="50" t="s">
        <v>315</v>
      </c>
    </row>
    <row r="37" spans="1:7" ht="43.5" customHeight="1" x14ac:dyDescent="0.25">
      <c r="B37" s="53" t="s">
        <v>316</v>
      </c>
      <c r="C37" s="50" t="s">
        <v>317</v>
      </c>
      <c r="D37" s="50" t="s">
        <v>318</v>
      </c>
    </row>
    <row r="38" spans="1:7" ht="43.5" customHeight="1" x14ac:dyDescent="0.25">
      <c r="B38" s="53" t="s">
        <v>319</v>
      </c>
      <c r="C38" s="50" t="s">
        <v>320</v>
      </c>
      <c r="D38" s="50" t="s">
        <v>321</v>
      </c>
    </row>
    <row r="40" spans="1:7" ht="15.75" x14ac:dyDescent="0.25">
      <c r="A40" s="10" t="s">
        <v>322</v>
      </c>
    </row>
    <row r="41" spans="1:7" ht="43.5" customHeight="1" x14ac:dyDescent="0.25">
      <c r="B41" s="2" t="str">
        <f>"Cities: with the log transform, "&amp;TEXT(KMeans_City!N5,"0")&amp;" / "&amp;TEXT(KMeans_City!N6,"0")&amp;" / "&amp;TEXT(KMeans_City!N7,"0")&amp;" cities fall in clusters 1 / 2 / 3. The high-burden cluster averages "&amp;TEXT(INDEX(KMeans_City!O5:O7,MATCH("High burden",KMeans_City!M5:M7,0)),"#,##0")&amp;" cases per city and holds "&amp;TEXT(INDEX(KMeans_City!S5:S7,MATCH("High burden",KMeans_City!M5:M7,0)),"0%")&amp;" of all cases."</f>
        <v>Cities: with the log transform, 6 / 63 / 48 cities fall in clusters 1 / 2 / 3. The high-burden cluster averages 11,979 cases per city and holds 86% of all cases.</v>
      </c>
      <c r="C41" s="2"/>
      <c r="D41" s="2"/>
      <c r="E41" s="2"/>
      <c r="F41" s="2"/>
      <c r="G41" s="2"/>
    </row>
    <row r="42" spans="1:7" ht="43.5" customHeight="1" x14ac:dyDescent="0.25">
      <c r="B42" s="2" t="s">
        <v>323</v>
      </c>
      <c r="C42" s="2"/>
      <c r="D42" s="2"/>
      <c r="E42" s="2"/>
      <c r="F42" s="2"/>
      <c r="G42" s="2"/>
    </row>
    <row r="43" spans="1:7" ht="30" customHeight="1" x14ac:dyDescent="0.25">
      <c r="B43" s="2" t="s">
        <v>324</v>
      </c>
      <c r="C43" s="2"/>
      <c r="D43" s="2"/>
      <c r="E43" s="2"/>
      <c r="F43" s="2"/>
      <c r="G43" s="2"/>
    </row>
    <row r="44" spans="1:7" ht="43.5" customHeight="1" x14ac:dyDescent="0.25">
      <c r="B44" s="2" t="s">
        <v>325</v>
      </c>
      <c r="C44" s="2"/>
      <c r="D44" s="2"/>
      <c r="E44" s="2"/>
      <c r="F44" s="2"/>
      <c r="G44" s="2"/>
    </row>
    <row r="45" spans="1:7" ht="43.5" customHeight="1" x14ac:dyDescent="0.25">
      <c r="B45" s="2" t="str">
        <f>"Choosing K: WCSS falls from "&amp;TEXT(Elbow_Silhouette!C5,"0")&amp;" (K = 2) to "&amp;TEXT(Elbow_Silhouette!C6,"0")&amp;" (K = 3) and "&amp;TEXT(Elbow_Silhouette!C7,"0")&amp;" (K = 4). The silhouette is highest at K = "&amp;Elbow_Silhouette!C11&amp;" ("&amp;TEXT(MAX(Elbow_Silhouette!E5:E9),"0.00")&amp;"), but K = 3 keeps a medium tier that K = 2 merges away and still scores "&amp;TEXT(Elbow_Silhouette!E6,"0.00")&amp;", so K = 3 is used."</f>
        <v>Choosing K: WCSS falls from 155 (K = 2) to 96 (K = 3) and 69 (K = 4). The silhouette is highest at K = 2 (0.51), but K = 3 keeps a medium tier that K = 2 merges away and still scores 0.48, so K = 3 is used.</v>
      </c>
      <c r="C45" s="2"/>
      <c r="D45" s="2"/>
      <c r="E45" s="2"/>
      <c r="F45" s="2"/>
      <c r="G45" s="2"/>
    </row>
    <row r="46" spans="1:7" ht="15.75" x14ac:dyDescent="0.25">
      <c r="A46" s="10" t="s">
        <v>326</v>
      </c>
    </row>
    <row r="47" spans="1:7" ht="43.5" customHeight="1" x14ac:dyDescent="0.25">
      <c r="B47" s="2" t="s">
        <v>327</v>
      </c>
      <c r="C47" s="2"/>
      <c r="D47" s="2"/>
      <c r="E47" s="2"/>
      <c r="F47" s="2"/>
      <c r="G47" s="2"/>
    </row>
  </sheetData>
  <mergeCells count="8">
    <mergeCell ref="B44:G44"/>
    <mergeCell ref="B45:G45"/>
    <mergeCell ref="B47:G47"/>
    <mergeCell ref="B19:G19"/>
    <mergeCell ref="B20:G20"/>
    <mergeCell ref="B41:G41"/>
    <mergeCell ref="B42:G42"/>
    <mergeCell ref="B43:G4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8235"/>
    <pageSetUpPr fitToPage="1"/>
  </sheetPr>
  <dimension ref="A1:G12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0" customWidth="1"/>
    <col min="2" max="2" width="26" customWidth="1"/>
    <col min="3" max="6" width="13" customWidth="1"/>
    <col min="7" max="7" width="11" customWidth="1"/>
    <col min="8" max="8" width="3" customWidth="1"/>
    <col min="9" max="10" width="12" customWidth="1"/>
    <col min="11" max="11" width="13" customWidth="1"/>
    <col min="12" max="13" width="12" customWidth="1"/>
    <col min="14" max="14" width="13" customWidth="1"/>
  </cols>
  <sheetData>
    <row r="1" spans="1:7" ht="20.25" x14ac:dyDescent="0.3">
      <c r="A1" s="8" t="s">
        <v>328</v>
      </c>
    </row>
    <row r="2" spans="1:7" x14ac:dyDescent="0.25">
      <c r="A2" s="9" t="s">
        <v>329</v>
      </c>
    </row>
    <row r="4" spans="1:7" ht="31.5" customHeight="1" x14ac:dyDescent="0.25">
      <c r="A4" s="11" t="s">
        <v>89</v>
      </c>
      <c r="B4" s="11" t="s">
        <v>63</v>
      </c>
      <c r="C4" s="11" t="s">
        <v>330</v>
      </c>
      <c r="D4" s="11" t="s">
        <v>331</v>
      </c>
      <c r="E4" s="11" t="s">
        <v>332</v>
      </c>
      <c r="F4" s="11" t="s">
        <v>333</v>
      </c>
      <c r="G4" s="11" t="s">
        <v>334</v>
      </c>
    </row>
    <row r="5" spans="1:7" x14ac:dyDescent="0.25">
      <c r="A5" s="36" t="s">
        <v>91</v>
      </c>
      <c r="B5" s="13" t="str">
        <f>INDEX(Data!$F$2:$F$2797,MATCH($A5,Data!$G$2:$G$2797,0))</f>
        <v>Sindh</v>
      </c>
      <c r="C5" s="14">
        <f>SUMIF(Data!$G$2:$G$2797,$A5,Data!$B$2:$B$2797)</f>
        <v>29346</v>
      </c>
      <c r="D5" s="14">
        <f>SUMIF(Data!$G$2:$G$2797,$A5,Data!$C$2:$C$2797)</f>
        <v>498</v>
      </c>
      <c r="E5" s="14">
        <f>SUMIF(Data!$G$2:$G$2797,$A5,Data!$D$2:$D$2797)</f>
        <v>13248</v>
      </c>
      <c r="F5" s="14">
        <f t="shared" ref="F5:F36" si="0">C5-D5-E5</f>
        <v>15600</v>
      </c>
      <c r="G5" s="26">
        <f t="shared" ref="G5:G36" si="1">IF(C5=0,0,D5/C5*100)</f>
        <v>1.696994479656512</v>
      </c>
    </row>
    <row r="6" spans="1:7" x14ac:dyDescent="0.25">
      <c r="A6" s="36" t="s">
        <v>92</v>
      </c>
      <c r="B6" s="13" t="str">
        <f>INDEX(Data!$F$2:$F$2797,MATCH($A6,Data!$G$2:$G$2797,0))</f>
        <v>Punjab</v>
      </c>
      <c r="C6" s="14">
        <f>SUMIF(Data!$G$2:$G$2797,$A6,Data!$B$2:$B$2797)</f>
        <v>28015</v>
      </c>
      <c r="D6" s="14">
        <f>SUMIF(Data!$G$2:$G$2797,$A6,Data!$C$2:$C$2797)</f>
        <v>582</v>
      </c>
      <c r="E6" s="14">
        <f>SUMIF(Data!$G$2:$G$2797,$A6,Data!$D$2:$D$2797)</f>
        <v>3853</v>
      </c>
      <c r="F6" s="14">
        <f t="shared" si="0"/>
        <v>23580</v>
      </c>
      <c r="G6" s="26">
        <f t="shared" si="1"/>
        <v>2.0774585043726574</v>
      </c>
    </row>
    <row r="7" spans="1:7" x14ac:dyDescent="0.25">
      <c r="A7" s="36" t="s">
        <v>93</v>
      </c>
      <c r="B7" s="13" t="str">
        <f>INDEX(Data!$F$2:$F$2797,MATCH($A7,Data!$G$2:$G$2797,0))</f>
        <v>Baluchistan</v>
      </c>
      <c r="C7" s="14">
        <f>SUMIF(Data!$G$2:$G$2797,$A7,Data!$B$2:$B$2797)</f>
        <v>5109</v>
      </c>
      <c r="D7" s="14">
        <f>SUMIF(Data!$G$2:$G$2797,$A7,Data!$C$2:$C$2797)</f>
        <v>49</v>
      </c>
      <c r="E7" s="14">
        <f>SUMIF(Data!$G$2:$G$2797,$A7,Data!$D$2:$D$2797)</f>
        <v>1981</v>
      </c>
      <c r="F7" s="14">
        <f t="shared" si="0"/>
        <v>3079</v>
      </c>
      <c r="G7" s="26">
        <f t="shared" si="1"/>
        <v>0.95909179878645534</v>
      </c>
    </row>
    <row r="8" spans="1:7" x14ac:dyDescent="0.25">
      <c r="A8" s="36" t="s">
        <v>94</v>
      </c>
      <c r="B8" s="13" t="str">
        <f>INDEX(Data!$F$2:$F$2797,MATCH($A8,Data!$G$2:$G$2797,0))</f>
        <v>Khyber Pakhtunkhwa</v>
      </c>
      <c r="C8" s="14">
        <f>SUMIF(Data!$G$2:$G$2797,$A8,Data!$B$2:$B$2797)</f>
        <v>4923</v>
      </c>
      <c r="D8" s="14">
        <f>SUMIF(Data!$G$2:$G$2797,$A8,Data!$C$2:$C$2797)</f>
        <v>265</v>
      </c>
      <c r="E8" s="14">
        <f>SUMIF(Data!$G$2:$G$2797,$A8,Data!$D$2:$D$2797)</f>
        <v>407</v>
      </c>
      <c r="F8" s="14">
        <f t="shared" si="0"/>
        <v>4251</v>
      </c>
      <c r="G8" s="26">
        <f t="shared" si="1"/>
        <v>5.3828966077594966</v>
      </c>
    </row>
    <row r="9" spans="1:7" x14ac:dyDescent="0.25">
      <c r="A9" s="36" t="s">
        <v>95</v>
      </c>
      <c r="B9" s="13" t="str">
        <f>INDEX(Data!$F$2:$F$2797,MATCH($A9,Data!$G$2:$G$2797,0))</f>
        <v>Islamabad Capital Territory</v>
      </c>
      <c r="C9" s="14">
        <f>SUMIF(Data!$G$2:$G$2797,$A9,Data!$B$2:$B$2797)</f>
        <v>3523</v>
      </c>
      <c r="D9" s="14">
        <f>SUMIF(Data!$G$2:$G$2797,$A9,Data!$C$2:$C$2797)</f>
        <v>36</v>
      </c>
      <c r="E9" s="14">
        <f>SUMIF(Data!$G$2:$G$2797,$A9,Data!$D$2:$D$2797)</f>
        <v>460</v>
      </c>
      <c r="F9" s="14">
        <f t="shared" si="0"/>
        <v>3027</v>
      </c>
      <c r="G9" s="26">
        <f t="shared" si="1"/>
        <v>1.0218563724098779</v>
      </c>
    </row>
    <row r="10" spans="1:7" x14ac:dyDescent="0.25">
      <c r="A10" s="36" t="s">
        <v>96</v>
      </c>
      <c r="B10" s="13" t="str">
        <f>INDEX(Data!$F$2:$F$2797,MATCH($A10,Data!$G$2:$G$2797,0))</f>
        <v>Khyber Pakhtunkhwa</v>
      </c>
      <c r="C10" s="14">
        <f>SUMIF(Data!$G$2:$G$2797,$A10,Data!$B$2:$B$2797)</f>
        <v>958</v>
      </c>
      <c r="D10" s="14">
        <f>SUMIF(Data!$G$2:$G$2797,$A10,Data!$C$2:$C$2797)</f>
        <v>45</v>
      </c>
      <c r="E10" s="14">
        <f>SUMIF(Data!$G$2:$G$2797,$A10,Data!$D$2:$D$2797)</f>
        <v>266</v>
      </c>
      <c r="F10" s="14">
        <f t="shared" si="0"/>
        <v>647</v>
      </c>
      <c r="G10" s="26">
        <f t="shared" si="1"/>
        <v>4.6972860125260958</v>
      </c>
    </row>
    <row r="11" spans="1:7" x14ac:dyDescent="0.25">
      <c r="A11" s="36" t="s">
        <v>97</v>
      </c>
      <c r="B11" s="13" t="str">
        <f>INDEX(Data!$F$2:$F$2797,MATCH($A11,Data!$G$2:$G$2797,0))</f>
        <v>Punjab</v>
      </c>
      <c r="C11" s="14">
        <f>SUMIF(Data!$G$2:$G$2797,$A11,Data!$B$2:$B$2797)</f>
        <v>712</v>
      </c>
      <c r="D11" s="14">
        <f>SUMIF(Data!$G$2:$G$2797,$A11,Data!$C$2:$C$2797)</f>
        <v>2</v>
      </c>
      <c r="E11" s="14">
        <f>SUMIF(Data!$G$2:$G$2797,$A11,Data!$D$2:$D$2797)</f>
        <v>1</v>
      </c>
      <c r="F11" s="14">
        <f t="shared" si="0"/>
        <v>709</v>
      </c>
      <c r="G11" s="26">
        <f t="shared" si="1"/>
        <v>0.2808988764044944</v>
      </c>
    </row>
    <row r="12" spans="1:7" x14ac:dyDescent="0.25">
      <c r="A12" s="36" t="s">
        <v>98</v>
      </c>
      <c r="B12" s="13" t="str">
        <f>INDEX(Data!$F$2:$F$2797,MATCH($A12,Data!$G$2:$G$2797,0))</f>
        <v>Sindh</v>
      </c>
      <c r="C12" s="14">
        <f>SUMIF(Data!$G$2:$G$2797,$A12,Data!$B$2:$B$2797)</f>
        <v>681</v>
      </c>
      <c r="D12" s="14">
        <f>SUMIF(Data!$G$2:$G$2797,$A12,Data!$C$2:$C$2797)</f>
        <v>5</v>
      </c>
      <c r="E12" s="14">
        <f>SUMIF(Data!$G$2:$G$2797,$A12,Data!$D$2:$D$2797)</f>
        <v>488</v>
      </c>
      <c r="F12" s="14">
        <f t="shared" si="0"/>
        <v>188</v>
      </c>
      <c r="G12" s="26">
        <f t="shared" si="1"/>
        <v>0.73421439060205573</v>
      </c>
    </row>
    <row r="13" spans="1:7" x14ac:dyDescent="0.25">
      <c r="A13" s="36" t="s">
        <v>99</v>
      </c>
      <c r="B13" s="13" t="str">
        <f>INDEX(Data!$F$2:$F$2797,MATCH($A13,Data!$G$2:$G$2797,0))</f>
        <v>Sindh</v>
      </c>
      <c r="C13" s="14">
        <f>SUMIF(Data!$G$2:$G$2797,$A13,Data!$B$2:$B$2797)</f>
        <v>610</v>
      </c>
      <c r="D13" s="14">
        <f>SUMIF(Data!$G$2:$G$2797,$A13,Data!$C$2:$C$2797)</f>
        <v>11</v>
      </c>
      <c r="E13" s="14">
        <f>SUMIF(Data!$G$2:$G$2797,$A13,Data!$D$2:$D$2797)</f>
        <v>459</v>
      </c>
      <c r="F13" s="14">
        <f t="shared" si="0"/>
        <v>140</v>
      </c>
      <c r="G13" s="26">
        <f t="shared" si="1"/>
        <v>1.8032786885245904</v>
      </c>
    </row>
    <row r="14" spans="1:7" x14ac:dyDescent="0.25">
      <c r="A14" s="36" t="s">
        <v>100</v>
      </c>
      <c r="B14" s="13" t="str">
        <f>INDEX(Data!$F$2:$F$2797,MATCH($A14,Data!$G$2:$G$2797,0))</f>
        <v>Punjab</v>
      </c>
      <c r="C14" s="14">
        <f>SUMIF(Data!$G$2:$G$2797,$A14,Data!$B$2:$B$2797)</f>
        <v>546</v>
      </c>
      <c r="D14" s="14">
        <f>SUMIF(Data!$G$2:$G$2797,$A14,Data!$C$2:$C$2797)</f>
        <v>1</v>
      </c>
      <c r="E14" s="14">
        <f>SUMIF(Data!$G$2:$G$2797,$A14,Data!$D$2:$D$2797)</f>
        <v>1</v>
      </c>
      <c r="F14" s="14">
        <f t="shared" si="0"/>
        <v>544</v>
      </c>
      <c r="G14" s="26">
        <f t="shared" si="1"/>
        <v>0.18315018315018314</v>
      </c>
    </row>
    <row r="15" spans="1:7" x14ac:dyDescent="0.25">
      <c r="A15" s="36" t="s">
        <v>101</v>
      </c>
      <c r="B15" s="13" t="str">
        <f>INDEX(Data!$F$2:$F$2797,MATCH($A15,Data!$G$2:$G$2797,0))</f>
        <v>Khyber Pakhtunkhwa</v>
      </c>
      <c r="C15" s="14">
        <f>SUMIF(Data!$G$2:$G$2797,$A15,Data!$B$2:$B$2797)</f>
        <v>486</v>
      </c>
      <c r="D15" s="14">
        <f>SUMIF(Data!$G$2:$G$2797,$A15,Data!$C$2:$C$2797)</f>
        <v>16</v>
      </c>
      <c r="E15" s="14">
        <f>SUMIF(Data!$G$2:$G$2797,$A15,Data!$D$2:$D$2797)</f>
        <v>99</v>
      </c>
      <c r="F15" s="14">
        <f t="shared" si="0"/>
        <v>371</v>
      </c>
      <c r="G15" s="26">
        <f t="shared" si="1"/>
        <v>3.2921810699588478</v>
      </c>
    </row>
    <row r="16" spans="1:7" x14ac:dyDescent="0.25">
      <c r="A16" s="36" t="s">
        <v>102</v>
      </c>
      <c r="B16" s="13" t="str">
        <f>INDEX(Data!$F$2:$F$2797,MATCH($A16,Data!$G$2:$G$2797,0))</f>
        <v>Khyber Pakhtunkhwa</v>
      </c>
      <c r="C16" s="14">
        <f>SUMIF(Data!$G$2:$G$2797,$A16,Data!$B$2:$B$2797)</f>
        <v>473</v>
      </c>
      <c r="D16" s="14">
        <f>SUMIF(Data!$G$2:$G$2797,$A16,Data!$C$2:$C$2797)</f>
        <v>24</v>
      </c>
      <c r="E16" s="14">
        <f>SUMIF(Data!$G$2:$G$2797,$A16,Data!$D$2:$D$2797)</f>
        <v>146</v>
      </c>
      <c r="F16" s="14">
        <f t="shared" si="0"/>
        <v>303</v>
      </c>
      <c r="G16" s="26">
        <f t="shared" si="1"/>
        <v>5.07399577167019</v>
      </c>
    </row>
    <row r="17" spans="1:7" x14ac:dyDescent="0.25">
      <c r="A17" s="36" t="s">
        <v>103</v>
      </c>
      <c r="B17" s="13" t="str">
        <f>INDEX(Data!$F$2:$F$2797,MATCH($A17,Data!$G$2:$G$2797,0))</f>
        <v>Gilgit-Baltistan</v>
      </c>
      <c r="C17" s="14">
        <f>SUMIF(Data!$G$2:$G$2797,$A17,Data!$B$2:$B$2797)</f>
        <v>402</v>
      </c>
      <c r="D17" s="14">
        <f>SUMIF(Data!$G$2:$G$2797,$A17,Data!$C$2:$C$2797)</f>
        <v>8</v>
      </c>
      <c r="E17" s="14">
        <f>SUMIF(Data!$G$2:$G$2797,$A17,Data!$D$2:$D$2797)</f>
        <v>121</v>
      </c>
      <c r="F17" s="14">
        <f t="shared" si="0"/>
        <v>273</v>
      </c>
      <c r="G17" s="26">
        <f t="shared" si="1"/>
        <v>1.9900497512437811</v>
      </c>
    </row>
    <row r="18" spans="1:7" x14ac:dyDescent="0.25">
      <c r="A18" s="36" t="s">
        <v>104</v>
      </c>
      <c r="B18" s="13" t="str">
        <f>INDEX(Data!$F$2:$F$2797,MATCH($A18,Data!$G$2:$G$2797,0))</f>
        <v>Sindh</v>
      </c>
      <c r="C18" s="14">
        <f>SUMIF(Data!$G$2:$G$2797,$A18,Data!$B$2:$B$2797)</f>
        <v>398</v>
      </c>
      <c r="D18" s="14">
        <f>SUMIF(Data!$G$2:$G$2797,$A18,Data!$C$2:$C$2797)</f>
        <v>3</v>
      </c>
      <c r="E18" s="14">
        <f>SUMIF(Data!$G$2:$G$2797,$A18,Data!$D$2:$D$2797)</f>
        <v>282</v>
      </c>
      <c r="F18" s="14">
        <f t="shared" si="0"/>
        <v>113</v>
      </c>
      <c r="G18" s="26">
        <f t="shared" si="1"/>
        <v>0.75376884422110546</v>
      </c>
    </row>
    <row r="19" spans="1:7" x14ac:dyDescent="0.25">
      <c r="A19" s="36" t="s">
        <v>105</v>
      </c>
      <c r="B19" s="13" t="str">
        <f>INDEX(Data!$F$2:$F$2797,MATCH($A19,Data!$G$2:$G$2797,0))</f>
        <v>Sindh</v>
      </c>
      <c r="C19" s="14">
        <f>SUMIF(Data!$G$2:$G$2797,$A19,Data!$B$2:$B$2797)</f>
        <v>376</v>
      </c>
      <c r="D19" s="14">
        <f>SUMIF(Data!$G$2:$G$2797,$A19,Data!$C$2:$C$2797)</f>
        <v>1</v>
      </c>
      <c r="E19" s="14">
        <f>SUMIF(Data!$G$2:$G$2797,$A19,Data!$D$2:$D$2797)</f>
        <v>146</v>
      </c>
      <c r="F19" s="14">
        <f t="shared" si="0"/>
        <v>229</v>
      </c>
      <c r="G19" s="26">
        <f t="shared" si="1"/>
        <v>0.26595744680851063</v>
      </c>
    </row>
    <row r="20" spans="1:7" x14ac:dyDescent="0.25">
      <c r="A20" s="36" t="s">
        <v>335</v>
      </c>
      <c r="B20" s="13" t="str">
        <f>INDEX(Data!$F$2:$F$2797,MATCH($A20,Data!$G$2:$G$2797,0))</f>
        <v>Khyber Pakhtunkhwa</v>
      </c>
      <c r="C20" s="14">
        <f>SUMIF(Data!$G$2:$G$2797,$A20,Data!$B$2:$B$2797)</f>
        <v>350</v>
      </c>
      <c r="D20" s="14">
        <f>SUMIF(Data!$G$2:$G$2797,$A20,Data!$C$2:$C$2797)</f>
        <v>8</v>
      </c>
      <c r="E20" s="14">
        <f>SUMIF(Data!$G$2:$G$2797,$A20,Data!$D$2:$D$2797)</f>
        <v>101</v>
      </c>
      <c r="F20" s="14">
        <f t="shared" si="0"/>
        <v>241</v>
      </c>
      <c r="G20" s="26">
        <f t="shared" si="1"/>
        <v>2.2857142857142856</v>
      </c>
    </row>
    <row r="21" spans="1:7" x14ac:dyDescent="0.25">
      <c r="A21" s="36" t="s">
        <v>336</v>
      </c>
      <c r="B21" s="13" t="str">
        <f>INDEX(Data!$F$2:$F$2797,MATCH($A21,Data!$G$2:$G$2797,0))</f>
        <v>Sindh</v>
      </c>
      <c r="C21" s="14">
        <f>SUMIF(Data!$G$2:$G$2797,$A21,Data!$B$2:$B$2797)</f>
        <v>294</v>
      </c>
      <c r="D21" s="14">
        <f>SUMIF(Data!$G$2:$G$2797,$A21,Data!$C$2:$C$2797)</f>
        <v>3</v>
      </c>
      <c r="E21" s="14">
        <f>SUMIF(Data!$G$2:$G$2797,$A21,Data!$D$2:$D$2797)</f>
        <v>360</v>
      </c>
      <c r="F21" s="14">
        <f t="shared" si="0"/>
        <v>-69</v>
      </c>
      <c r="G21" s="26">
        <f t="shared" si="1"/>
        <v>1.0204081632653061</v>
      </c>
    </row>
    <row r="22" spans="1:7" x14ac:dyDescent="0.25">
      <c r="A22" s="36" t="s">
        <v>337</v>
      </c>
      <c r="B22" s="13" t="str">
        <f>INDEX(Data!$F$2:$F$2797,MATCH($A22,Data!$G$2:$G$2797,0))</f>
        <v>Khyber Pakhtunkhwa</v>
      </c>
      <c r="C22" s="14">
        <f>SUMIF(Data!$G$2:$G$2797,$A22,Data!$B$2:$B$2797)</f>
        <v>279</v>
      </c>
      <c r="D22" s="14">
        <f>SUMIF(Data!$G$2:$G$2797,$A22,Data!$C$2:$C$2797)</f>
        <v>14</v>
      </c>
      <c r="E22" s="14">
        <f>SUMIF(Data!$G$2:$G$2797,$A22,Data!$D$2:$D$2797)</f>
        <v>44</v>
      </c>
      <c r="F22" s="14">
        <f t="shared" si="0"/>
        <v>221</v>
      </c>
      <c r="G22" s="26">
        <f t="shared" si="1"/>
        <v>5.0179211469534053</v>
      </c>
    </row>
    <row r="23" spans="1:7" x14ac:dyDescent="0.25">
      <c r="A23" s="36" t="s">
        <v>338</v>
      </c>
      <c r="B23" s="13" t="str">
        <f>INDEX(Data!$F$2:$F$2797,MATCH($A23,Data!$G$2:$G$2797,0))</f>
        <v>Khyber Pakhtunkhwa</v>
      </c>
      <c r="C23" s="14">
        <f>SUMIF(Data!$G$2:$G$2797,$A23,Data!$B$2:$B$2797)</f>
        <v>278</v>
      </c>
      <c r="D23" s="14">
        <f>SUMIF(Data!$G$2:$G$2797,$A23,Data!$C$2:$C$2797)</f>
        <v>14</v>
      </c>
      <c r="E23" s="14">
        <f>SUMIF(Data!$G$2:$G$2797,$A23,Data!$D$2:$D$2797)</f>
        <v>88</v>
      </c>
      <c r="F23" s="14">
        <f t="shared" si="0"/>
        <v>176</v>
      </c>
      <c r="G23" s="26">
        <f t="shared" si="1"/>
        <v>5.0359712230215825</v>
      </c>
    </row>
    <row r="24" spans="1:7" x14ac:dyDescent="0.25">
      <c r="A24" s="36" t="s">
        <v>339</v>
      </c>
      <c r="B24" s="13" t="str">
        <f>INDEX(Data!$F$2:$F$2797,MATCH($A24,Data!$G$2:$G$2797,0))</f>
        <v>Azad Jummu Kashmir</v>
      </c>
      <c r="C24" s="14">
        <f>SUMIF(Data!$G$2:$G$2797,$A24,Data!$B$2:$B$2797)</f>
        <v>273</v>
      </c>
      <c r="D24" s="14">
        <f>SUMIF(Data!$G$2:$G$2797,$A24,Data!$C$2:$C$2797)</f>
        <v>6</v>
      </c>
      <c r="E24" s="14">
        <f>SUMIF(Data!$G$2:$G$2797,$A24,Data!$D$2:$D$2797)</f>
        <v>110</v>
      </c>
      <c r="F24" s="14">
        <f t="shared" si="0"/>
        <v>157</v>
      </c>
      <c r="G24" s="26">
        <f t="shared" si="1"/>
        <v>2.197802197802198</v>
      </c>
    </row>
    <row r="25" spans="1:7" x14ac:dyDescent="0.25">
      <c r="A25" s="36" t="s">
        <v>340</v>
      </c>
      <c r="B25" s="13" t="str">
        <f>INDEX(Data!$F$2:$F$2797,MATCH($A25,Data!$G$2:$G$2797,0))</f>
        <v>Punjab</v>
      </c>
      <c r="C25" s="14">
        <f>SUMIF(Data!$G$2:$G$2797,$A25,Data!$B$2:$B$2797)</f>
        <v>247</v>
      </c>
      <c r="D25" s="14">
        <f>SUMIF(Data!$G$2:$G$2797,$A25,Data!$C$2:$C$2797)</f>
        <v>6</v>
      </c>
      <c r="E25" s="14">
        <f>SUMIF(Data!$G$2:$G$2797,$A25,Data!$D$2:$D$2797)</f>
        <v>182</v>
      </c>
      <c r="F25" s="14">
        <f t="shared" si="0"/>
        <v>59</v>
      </c>
      <c r="G25" s="26">
        <f t="shared" si="1"/>
        <v>2.42914979757085</v>
      </c>
    </row>
    <row r="26" spans="1:7" x14ac:dyDescent="0.25">
      <c r="A26" s="36" t="s">
        <v>341</v>
      </c>
      <c r="B26" s="13" t="str">
        <f>INDEX(Data!$F$2:$F$2797,MATCH($A26,Data!$G$2:$G$2797,0))</f>
        <v>Khyber Pakhtunkhwa</v>
      </c>
      <c r="C26" s="14">
        <f>SUMIF(Data!$G$2:$G$2797,$A26,Data!$B$2:$B$2797)</f>
        <v>245</v>
      </c>
      <c r="D26" s="14">
        <f>SUMIF(Data!$G$2:$G$2797,$A26,Data!$C$2:$C$2797)</f>
        <v>6</v>
      </c>
      <c r="E26" s="14">
        <f>SUMIF(Data!$G$2:$G$2797,$A26,Data!$D$2:$D$2797)</f>
        <v>44</v>
      </c>
      <c r="F26" s="14">
        <f t="shared" si="0"/>
        <v>195</v>
      </c>
      <c r="G26" s="26">
        <f t="shared" si="1"/>
        <v>2.4489795918367347</v>
      </c>
    </row>
    <row r="27" spans="1:7" x14ac:dyDescent="0.25">
      <c r="A27" s="36" t="s">
        <v>342</v>
      </c>
      <c r="B27" s="13" t="str">
        <f>INDEX(Data!$F$2:$F$2797,MATCH($A27,Data!$G$2:$G$2797,0))</f>
        <v>Khyber Pakhtunkhwa</v>
      </c>
      <c r="C27" s="14">
        <f>SUMIF(Data!$G$2:$G$2797,$A27,Data!$B$2:$B$2797)</f>
        <v>244</v>
      </c>
      <c r="D27" s="14">
        <f>SUMIF(Data!$G$2:$G$2797,$A27,Data!$C$2:$C$2797)</f>
        <v>2</v>
      </c>
      <c r="E27" s="14">
        <f>SUMIF(Data!$G$2:$G$2797,$A27,Data!$D$2:$D$2797)</f>
        <v>93</v>
      </c>
      <c r="F27" s="14">
        <f t="shared" si="0"/>
        <v>149</v>
      </c>
      <c r="G27" s="26">
        <f t="shared" si="1"/>
        <v>0.81967213114754101</v>
      </c>
    </row>
    <row r="28" spans="1:7" x14ac:dyDescent="0.25">
      <c r="A28" s="36" t="s">
        <v>343</v>
      </c>
      <c r="B28" s="13" t="str">
        <f>INDEX(Data!$F$2:$F$2797,MATCH($A28,Data!$G$2:$G$2797,0))</f>
        <v>Federal Administration Tribal Area</v>
      </c>
      <c r="C28" s="14">
        <f>SUMIF(Data!$G$2:$G$2797,$A28,Data!$B$2:$B$2797)</f>
        <v>244</v>
      </c>
      <c r="D28" s="14">
        <f>SUMIF(Data!$G$2:$G$2797,$A28,Data!$C$2:$C$2797)</f>
        <v>4</v>
      </c>
      <c r="E28" s="14">
        <f>SUMIF(Data!$G$2:$G$2797,$A28,Data!$D$2:$D$2797)</f>
        <v>49</v>
      </c>
      <c r="F28" s="14">
        <f t="shared" si="0"/>
        <v>191</v>
      </c>
      <c r="G28" s="26">
        <f t="shared" si="1"/>
        <v>1.639344262295082</v>
      </c>
    </row>
    <row r="29" spans="1:7" x14ac:dyDescent="0.25">
      <c r="A29" s="36" t="s">
        <v>344</v>
      </c>
      <c r="B29" s="13" t="str">
        <f>INDEX(Data!$F$2:$F$2797,MATCH($A29,Data!$G$2:$G$2797,0))</f>
        <v>Federal Administration Tribal Area</v>
      </c>
      <c r="C29" s="14">
        <f>SUMIF(Data!$G$2:$G$2797,$A29,Data!$B$2:$B$2797)</f>
        <v>234</v>
      </c>
      <c r="D29" s="14">
        <f>SUMIF(Data!$G$2:$G$2797,$A29,Data!$C$2:$C$2797)</f>
        <v>14</v>
      </c>
      <c r="E29" s="14">
        <f>SUMIF(Data!$G$2:$G$2797,$A29,Data!$D$2:$D$2797)</f>
        <v>56</v>
      </c>
      <c r="F29" s="14">
        <f t="shared" si="0"/>
        <v>164</v>
      </c>
      <c r="G29" s="26">
        <f t="shared" si="1"/>
        <v>5.982905982905983</v>
      </c>
    </row>
    <row r="30" spans="1:7" x14ac:dyDescent="0.25">
      <c r="A30" s="36" t="s">
        <v>345</v>
      </c>
      <c r="B30" s="13" t="str">
        <f>INDEX(Data!$F$2:$F$2797,MATCH($A30,Data!$G$2:$G$2797,0))</f>
        <v>Sindh</v>
      </c>
      <c r="C30" s="14">
        <f>SUMIF(Data!$G$2:$G$2797,$A30,Data!$B$2:$B$2797)</f>
        <v>211</v>
      </c>
      <c r="D30" s="14">
        <f>SUMIF(Data!$G$2:$G$2797,$A30,Data!$C$2:$C$2797)</f>
        <v>6</v>
      </c>
      <c r="E30" s="14">
        <f>SUMIF(Data!$G$2:$G$2797,$A30,Data!$D$2:$D$2797)</f>
        <v>186</v>
      </c>
      <c r="F30" s="14">
        <f t="shared" si="0"/>
        <v>19</v>
      </c>
      <c r="G30" s="26">
        <f t="shared" si="1"/>
        <v>2.8436018957345972</v>
      </c>
    </row>
    <row r="31" spans="1:7" x14ac:dyDescent="0.25">
      <c r="A31" s="36" t="s">
        <v>346</v>
      </c>
      <c r="B31" s="13" t="str">
        <f>INDEX(Data!$F$2:$F$2797,MATCH($A31,Data!$G$2:$G$2797,0))</f>
        <v>Punjab</v>
      </c>
      <c r="C31" s="14">
        <f>SUMIF(Data!$G$2:$G$2797,$A31,Data!$B$2:$B$2797)</f>
        <v>187</v>
      </c>
      <c r="D31" s="14">
        <f>SUMIF(Data!$G$2:$G$2797,$A31,Data!$C$2:$C$2797)</f>
        <v>1</v>
      </c>
      <c r="E31" s="14">
        <f>SUMIF(Data!$G$2:$G$2797,$A31,Data!$D$2:$D$2797)</f>
        <v>0</v>
      </c>
      <c r="F31" s="14">
        <f t="shared" si="0"/>
        <v>186</v>
      </c>
      <c r="G31" s="26">
        <f t="shared" si="1"/>
        <v>0.53475935828876997</v>
      </c>
    </row>
    <row r="32" spans="1:7" x14ac:dyDescent="0.25">
      <c r="A32" s="36" t="s">
        <v>347</v>
      </c>
      <c r="B32" s="13" t="str">
        <f>INDEX(Data!$F$2:$F$2797,MATCH($A32,Data!$G$2:$G$2797,0))</f>
        <v>Khyber Pakhtunkhwa</v>
      </c>
      <c r="C32" s="14">
        <f>SUMIF(Data!$G$2:$G$2797,$A32,Data!$B$2:$B$2797)</f>
        <v>172</v>
      </c>
      <c r="D32" s="14">
        <f>SUMIF(Data!$G$2:$G$2797,$A32,Data!$C$2:$C$2797)</f>
        <v>5</v>
      </c>
      <c r="E32" s="14">
        <f>SUMIF(Data!$G$2:$G$2797,$A32,Data!$D$2:$D$2797)</f>
        <v>77</v>
      </c>
      <c r="F32" s="14">
        <f t="shared" si="0"/>
        <v>90</v>
      </c>
      <c r="G32" s="26">
        <f t="shared" si="1"/>
        <v>2.9069767441860463</v>
      </c>
    </row>
    <row r="33" spans="1:7" x14ac:dyDescent="0.25">
      <c r="A33" s="36" t="s">
        <v>348</v>
      </c>
      <c r="B33" s="13" t="str">
        <f>INDEX(Data!$F$2:$F$2797,MATCH($A33,Data!$G$2:$G$2797,0))</f>
        <v>Punjab</v>
      </c>
      <c r="C33" s="14">
        <f>SUMIF(Data!$G$2:$G$2797,$A33,Data!$B$2:$B$2797)</f>
        <v>164</v>
      </c>
      <c r="D33" s="14">
        <f>SUMIF(Data!$G$2:$G$2797,$A33,Data!$C$2:$C$2797)</f>
        <v>0</v>
      </c>
      <c r="E33" s="14">
        <f>SUMIF(Data!$G$2:$G$2797,$A33,Data!$D$2:$D$2797)</f>
        <v>4</v>
      </c>
      <c r="F33" s="14">
        <f t="shared" si="0"/>
        <v>160</v>
      </c>
      <c r="G33" s="26">
        <f t="shared" si="1"/>
        <v>0</v>
      </c>
    </row>
    <row r="34" spans="1:7" x14ac:dyDescent="0.25">
      <c r="A34" s="36" t="s">
        <v>349</v>
      </c>
      <c r="B34" s="13" t="str">
        <f>INDEX(Data!$F$2:$F$2797,MATCH($A34,Data!$G$2:$G$2797,0))</f>
        <v>Sindh</v>
      </c>
      <c r="C34" s="14">
        <f>SUMIF(Data!$G$2:$G$2797,$A34,Data!$B$2:$B$2797)</f>
        <v>164</v>
      </c>
      <c r="D34" s="14">
        <f>SUMIF(Data!$G$2:$G$2797,$A34,Data!$C$2:$C$2797)</f>
        <v>2</v>
      </c>
      <c r="E34" s="14">
        <f>SUMIF(Data!$G$2:$G$2797,$A34,Data!$D$2:$D$2797)</f>
        <v>63</v>
      </c>
      <c r="F34" s="14">
        <f t="shared" si="0"/>
        <v>99</v>
      </c>
      <c r="G34" s="26">
        <f t="shared" si="1"/>
        <v>1.2195121951219512</v>
      </c>
    </row>
    <row r="35" spans="1:7" x14ac:dyDescent="0.25">
      <c r="A35" s="36" t="s">
        <v>350</v>
      </c>
      <c r="B35" s="13" t="str">
        <f>INDEX(Data!$F$2:$F$2797,MATCH($A35,Data!$G$2:$G$2797,0))</f>
        <v>Punjab</v>
      </c>
      <c r="C35" s="14">
        <f>SUMIF(Data!$G$2:$G$2797,$A35,Data!$B$2:$B$2797)</f>
        <v>163</v>
      </c>
      <c r="D35" s="14">
        <f>SUMIF(Data!$G$2:$G$2797,$A35,Data!$C$2:$C$2797)</f>
        <v>0</v>
      </c>
      <c r="E35" s="14">
        <f>SUMIF(Data!$G$2:$G$2797,$A35,Data!$D$2:$D$2797)</f>
        <v>4</v>
      </c>
      <c r="F35" s="14">
        <f t="shared" si="0"/>
        <v>159</v>
      </c>
      <c r="G35" s="26">
        <f t="shared" si="1"/>
        <v>0</v>
      </c>
    </row>
    <row r="36" spans="1:7" x14ac:dyDescent="0.25">
      <c r="A36" s="36" t="s">
        <v>351</v>
      </c>
      <c r="B36" s="13" t="str">
        <f>INDEX(Data!$F$2:$F$2797,MATCH($A36,Data!$G$2:$G$2797,0))</f>
        <v>Khyber Pakhtunkhwa</v>
      </c>
      <c r="C36" s="14">
        <f>SUMIF(Data!$G$2:$G$2797,$A36,Data!$B$2:$B$2797)</f>
        <v>161</v>
      </c>
      <c r="D36" s="14">
        <f>SUMIF(Data!$G$2:$G$2797,$A36,Data!$C$2:$C$2797)</f>
        <v>4</v>
      </c>
      <c r="E36" s="14">
        <f>SUMIF(Data!$G$2:$G$2797,$A36,Data!$D$2:$D$2797)</f>
        <v>130</v>
      </c>
      <c r="F36" s="14">
        <f t="shared" si="0"/>
        <v>27</v>
      </c>
      <c r="G36" s="26">
        <f t="shared" si="1"/>
        <v>2.4844720496894408</v>
      </c>
    </row>
    <row r="37" spans="1:7" x14ac:dyDescent="0.25">
      <c r="A37" s="36" t="s">
        <v>352</v>
      </c>
      <c r="B37" s="13" t="str">
        <f>INDEX(Data!$F$2:$F$2797,MATCH($A37,Data!$G$2:$G$2797,0))</f>
        <v>Khyber Pakhtunkhwa</v>
      </c>
      <c r="C37" s="14">
        <f>SUMIF(Data!$G$2:$G$2797,$A37,Data!$B$2:$B$2797)</f>
        <v>150</v>
      </c>
      <c r="D37" s="14">
        <f>SUMIF(Data!$G$2:$G$2797,$A37,Data!$C$2:$C$2797)</f>
        <v>3</v>
      </c>
      <c r="E37" s="14">
        <f>SUMIF(Data!$G$2:$G$2797,$A37,Data!$D$2:$D$2797)</f>
        <v>21</v>
      </c>
      <c r="F37" s="14">
        <f t="shared" ref="F37:F68" si="2">C37-D37-E37</f>
        <v>126</v>
      </c>
      <c r="G37" s="26">
        <f t="shared" ref="G37:G68" si="3">IF(C37=0,0,D37/C37*100)</f>
        <v>2</v>
      </c>
    </row>
    <row r="38" spans="1:7" x14ac:dyDescent="0.25">
      <c r="A38" s="36" t="s">
        <v>353</v>
      </c>
      <c r="B38" s="13" t="str">
        <f>INDEX(Data!$F$2:$F$2797,MATCH($A38,Data!$G$2:$G$2797,0))</f>
        <v>Khyber Pakhtunkhwa</v>
      </c>
      <c r="C38" s="14">
        <f>SUMIF(Data!$G$2:$G$2797,$A38,Data!$B$2:$B$2797)</f>
        <v>137</v>
      </c>
      <c r="D38" s="14">
        <f>SUMIF(Data!$G$2:$G$2797,$A38,Data!$C$2:$C$2797)</f>
        <v>1</v>
      </c>
      <c r="E38" s="14">
        <f>SUMIF(Data!$G$2:$G$2797,$A38,Data!$D$2:$D$2797)</f>
        <v>38</v>
      </c>
      <c r="F38" s="14">
        <f t="shared" si="2"/>
        <v>98</v>
      </c>
      <c r="G38" s="26">
        <f t="shared" si="3"/>
        <v>0.72992700729927007</v>
      </c>
    </row>
    <row r="39" spans="1:7" x14ac:dyDescent="0.25">
      <c r="A39" s="36" t="s">
        <v>354</v>
      </c>
      <c r="B39" s="13" t="str">
        <f>INDEX(Data!$F$2:$F$2797,MATCH($A39,Data!$G$2:$G$2797,0))</f>
        <v>Khyber Pakhtunkhwa</v>
      </c>
      <c r="C39" s="14">
        <f>SUMIF(Data!$G$2:$G$2797,$A39,Data!$B$2:$B$2797)</f>
        <v>137</v>
      </c>
      <c r="D39" s="14">
        <f>SUMIF(Data!$G$2:$G$2797,$A39,Data!$C$2:$C$2797)</f>
        <v>14</v>
      </c>
      <c r="E39" s="14">
        <f>SUMIF(Data!$G$2:$G$2797,$A39,Data!$D$2:$D$2797)</f>
        <v>22</v>
      </c>
      <c r="F39" s="14">
        <f t="shared" si="2"/>
        <v>101</v>
      </c>
      <c r="G39" s="26">
        <f t="shared" si="3"/>
        <v>10.218978102189782</v>
      </c>
    </row>
    <row r="40" spans="1:7" x14ac:dyDescent="0.25">
      <c r="A40" s="36" t="s">
        <v>355</v>
      </c>
      <c r="B40" s="13" t="str">
        <f>INDEX(Data!$F$2:$F$2797,MATCH($A40,Data!$G$2:$G$2797,0))</f>
        <v>Khyber Pakhtunkhwa</v>
      </c>
      <c r="C40" s="14">
        <f>SUMIF(Data!$G$2:$G$2797,$A40,Data!$B$2:$B$2797)</f>
        <v>129</v>
      </c>
      <c r="D40" s="14">
        <f>SUMIF(Data!$G$2:$G$2797,$A40,Data!$C$2:$C$2797)</f>
        <v>10</v>
      </c>
      <c r="E40" s="14">
        <f>SUMIF(Data!$G$2:$G$2797,$A40,Data!$D$2:$D$2797)</f>
        <v>55</v>
      </c>
      <c r="F40" s="14">
        <f t="shared" si="2"/>
        <v>64</v>
      </c>
      <c r="G40" s="26">
        <f t="shared" si="3"/>
        <v>7.7519379844961236</v>
      </c>
    </row>
    <row r="41" spans="1:7" x14ac:dyDescent="0.25">
      <c r="A41" s="36" t="s">
        <v>356</v>
      </c>
      <c r="B41" s="13" t="str">
        <f>INDEX(Data!$F$2:$F$2797,MATCH($A41,Data!$G$2:$G$2797,0))</f>
        <v>Khyber Pakhtunkhwa</v>
      </c>
      <c r="C41" s="14">
        <f>SUMIF(Data!$G$2:$G$2797,$A41,Data!$B$2:$B$2797)</f>
        <v>124</v>
      </c>
      <c r="D41" s="14">
        <f>SUMIF(Data!$G$2:$G$2797,$A41,Data!$C$2:$C$2797)</f>
        <v>3</v>
      </c>
      <c r="E41" s="14">
        <f>SUMIF(Data!$G$2:$G$2797,$A41,Data!$D$2:$D$2797)</f>
        <v>37</v>
      </c>
      <c r="F41" s="14">
        <f t="shared" si="2"/>
        <v>84</v>
      </c>
      <c r="G41" s="26">
        <f t="shared" si="3"/>
        <v>2.4193548387096775</v>
      </c>
    </row>
    <row r="42" spans="1:7" x14ac:dyDescent="0.25">
      <c r="A42" s="36" t="s">
        <v>357</v>
      </c>
      <c r="B42" s="13" t="str">
        <f>INDEX(Data!$F$2:$F$2797,MATCH($A42,Data!$G$2:$G$2797,0))</f>
        <v>Khyber Pakhtunkhwa</v>
      </c>
      <c r="C42" s="14">
        <f>SUMIF(Data!$G$2:$G$2797,$A42,Data!$B$2:$B$2797)</f>
        <v>123</v>
      </c>
      <c r="D42" s="14">
        <f>SUMIF(Data!$G$2:$G$2797,$A42,Data!$C$2:$C$2797)</f>
        <v>3</v>
      </c>
      <c r="E42" s="14">
        <f>SUMIF(Data!$G$2:$G$2797,$A42,Data!$D$2:$D$2797)</f>
        <v>31</v>
      </c>
      <c r="F42" s="14">
        <f t="shared" si="2"/>
        <v>89</v>
      </c>
      <c r="G42" s="26">
        <f t="shared" si="3"/>
        <v>2.4390243902439024</v>
      </c>
    </row>
    <row r="43" spans="1:7" x14ac:dyDescent="0.25">
      <c r="A43" s="36" t="s">
        <v>358</v>
      </c>
      <c r="B43" s="13" t="str">
        <f>INDEX(Data!$F$2:$F$2797,MATCH($A43,Data!$G$2:$G$2797,0))</f>
        <v>Khyber Pakhtunkhwa</v>
      </c>
      <c r="C43" s="14">
        <f>SUMIF(Data!$G$2:$G$2797,$A43,Data!$B$2:$B$2797)</f>
        <v>118</v>
      </c>
      <c r="D43" s="14">
        <f>SUMIF(Data!$G$2:$G$2797,$A43,Data!$C$2:$C$2797)</f>
        <v>12</v>
      </c>
      <c r="E43" s="14">
        <f>SUMIF(Data!$G$2:$G$2797,$A43,Data!$D$2:$D$2797)</f>
        <v>45</v>
      </c>
      <c r="F43" s="14">
        <f t="shared" si="2"/>
        <v>61</v>
      </c>
      <c r="G43" s="26">
        <f t="shared" si="3"/>
        <v>10.16949152542373</v>
      </c>
    </row>
    <row r="44" spans="1:7" x14ac:dyDescent="0.25">
      <c r="A44" s="36" t="s">
        <v>359</v>
      </c>
      <c r="B44" s="13" t="str">
        <f>INDEX(Data!$F$2:$F$2797,MATCH($A44,Data!$G$2:$G$2797,0))</f>
        <v>Federal Administration Tribal Area</v>
      </c>
      <c r="C44" s="14">
        <f>SUMIF(Data!$G$2:$G$2797,$A44,Data!$B$2:$B$2797)</f>
        <v>114</v>
      </c>
      <c r="D44" s="14">
        <f>SUMIF(Data!$G$2:$G$2797,$A44,Data!$C$2:$C$2797)</f>
        <v>2</v>
      </c>
      <c r="E44" s="14">
        <f>SUMIF(Data!$G$2:$G$2797,$A44,Data!$D$2:$D$2797)</f>
        <v>9</v>
      </c>
      <c r="F44" s="14">
        <f t="shared" si="2"/>
        <v>103</v>
      </c>
      <c r="G44" s="26">
        <f t="shared" si="3"/>
        <v>1.7543859649122806</v>
      </c>
    </row>
    <row r="45" spans="1:7" x14ac:dyDescent="0.25">
      <c r="A45" s="36" t="s">
        <v>360</v>
      </c>
      <c r="B45" s="13" t="str">
        <f>INDEX(Data!$F$2:$F$2797,MATCH($A45,Data!$G$2:$G$2797,0))</f>
        <v>Sindh</v>
      </c>
      <c r="C45" s="14">
        <f>SUMIF(Data!$G$2:$G$2797,$A45,Data!$B$2:$B$2797)</f>
        <v>99</v>
      </c>
      <c r="D45" s="14">
        <f>SUMIF(Data!$G$2:$G$2797,$A45,Data!$C$2:$C$2797)</f>
        <v>0</v>
      </c>
      <c r="E45" s="14">
        <f>SUMIF(Data!$G$2:$G$2797,$A45,Data!$D$2:$D$2797)</f>
        <v>104</v>
      </c>
      <c r="F45" s="14">
        <f t="shared" si="2"/>
        <v>-5</v>
      </c>
      <c r="G45" s="26">
        <f t="shared" si="3"/>
        <v>0</v>
      </c>
    </row>
    <row r="46" spans="1:7" x14ac:dyDescent="0.25">
      <c r="A46" s="36" t="s">
        <v>361</v>
      </c>
      <c r="B46" s="13" t="str">
        <f>INDEX(Data!$F$2:$F$2797,MATCH($A46,Data!$G$2:$G$2797,0))</f>
        <v>Gilgit-Baltistan</v>
      </c>
      <c r="C46" s="14">
        <f>SUMIF(Data!$G$2:$G$2797,$A46,Data!$B$2:$B$2797)</f>
        <v>91</v>
      </c>
      <c r="D46" s="14">
        <f>SUMIF(Data!$G$2:$G$2797,$A46,Data!$C$2:$C$2797)</f>
        <v>1</v>
      </c>
      <c r="E46" s="14">
        <f>SUMIF(Data!$G$2:$G$2797,$A46,Data!$D$2:$D$2797)</f>
        <v>62</v>
      </c>
      <c r="F46" s="14">
        <f t="shared" si="2"/>
        <v>28</v>
      </c>
      <c r="G46" s="26">
        <f t="shared" si="3"/>
        <v>1.098901098901099</v>
      </c>
    </row>
    <row r="47" spans="1:7" x14ac:dyDescent="0.25">
      <c r="A47" s="36" t="s">
        <v>362</v>
      </c>
      <c r="B47" s="13" t="str">
        <f>INDEX(Data!$F$2:$F$2797,MATCH($A47,Data!$G$2:$G$2797,0))</f>
        <v>Punjab</v>
      </c>
      <c r="C47" s="14">
        <f>SUMIF(Data!$G$2:$G$2797,$A47,Data!$B$2:$B$2797)</f>
        <v>89</v>
      </c>
      <c r="D47" s="14">
        <f>SUMIF(Data!$G$2:$G$2797,$A47,Data!$C$2:$C$2797)</f>
        <v>1</v>
      </c>
      <c r="E47" s="14">
        <f>SUMIF(Data!$G$2:$G$2797,$A47,Data!$D$2:$D$2797)</f>
        <v>2</v>
      </c>
      <c r="F47" s="14">
        <f t="shared" si="2"/>
        <v>86</v>
      </c>
      <c r="G47" s="26">
        <f t="shared" si="3"/>
        <v>1.1235955056179776</v>
      </c>
    </row>
    <row r="48" spans="1:7" x14ac:dyDescent="0.25">
      <c r="A48" s="36" t="s">
        <v>363</v>
      </c>
      <c r="B48" s="13" t="str">
        <f>INDEX(Data!$F$2:$F$2797,MATCH($A48,Data!$G$2:$G$2797,0))</f>
        <v>Sindh</v>
      </c>
      <c r="C48" s="14">
        <f>SUMIF(Data!$G$2:$G$2797,$A48,Data!$B$2:$B$2797)</f>
        <v>88</v>
      </c>
      <c r="D48" s="14">
        <f>SUMIF(Data!$G$2:$G$2797,$A48,Data!$C$2:$C$2797)</f>
        <v>0</v>
      </c>
      <c r="E48" s="14">
        <f>SUMIF(Data!$G$2:$G$2797,$A48,Data!$D$2:$D$2797)</f>
        <v>35</v>
      </c>
      <c r="F48" s="14">
        <f t="shared" si="2"/>
        <v>53</v>
      </c>
      <c r="G48" s="26">
        <f t="shared" si="3"/>
        <v>0</v>
      </c>
    </row>
    <row r="49" spans="1:7" x14ac:dyDescent="0.25">
      <c r="A49" s="36" t="s">
        <v>364</v>
      </c>
      <c r="B49" s="13" t="str">
        <f>INDEX(Data!$F$2:$F$2797,MATCH($A49,Data!$G$2:$G$2797,0))</f>
        <v>Punjab</v>
      </c>
      <c r="C49" s="14">
        <f>SUMIF(Data!$G$2:$G$2797,$A49,Data!$B$2:$B$2797)</f>
        <v>85</v>
      </c>
      <c r="D49" s="14">
        <f>SUMIF(Data!$G$2:$G$2797,$A49,Data!$C$2:$C$2797)</f>
        <v>0</v>
      </c>
      <c r="E49" s="14">
        <f>SUMIF(Data!$G$2:$G$2797,$A49,Data!$D$2:$D$2797)</f>
        <v>1</v>
      </c>
      <c r="F49" s="14">
        <f t="shared" si="2"/>
        <v>84</v>
      </c>
      <c r="G49" s="26">
        <f t="shared" si="3"/>
        <v>0</v>
      </c>
    </row>
    <row r="50" spans="1:7" x14ac:dyDescent="0.25">
      <c r="A50" s="36" t="s">
        <v>365</v>
      </c>
      <c r="B50" s="13" t="str">
        <f>INDEX(Data!$F$2:$F$2797,MATCH($A50,Data!$G$2:$G$2797,0))</f>
        <v>Khyber Pakhtunkhwa</v>
      </c>
      <c r="C50" s="14">
        <f>SUMIF(Data!$G$2:$G$2797,$A50,Data!$B$2:$B$2797)</f>
        <v>84</v>
      </c>
      <c r="D50" s="14">
        <f>SUMIF(Data!$G$2:$G$2797,$A50,Data!$C$2:$C$2797)</f>
        <v>2</v>
      </c>
      <c r="E50" s="14">
        <f>SUMIF(Data!$G$2:$G$2797,$A50,Data!$D$2:$D$2797)</f>
        <v>26</v>
      </c>
      <c r="F50" s="14">
        <f t="shared" si="2"/>
        <v>56</v>
      </c>
      <c r="G50" s="26">
        <f t="shared" si="3"/>
        <v>2.3809523809523809</v>
      </c>
    </row>
    <row r="51" spans="1:7" x14ac:dyDescent="0.25">
      <c r="A51" s="36" t="s">
        <v>366</v>
      </c>
      <c r="B51" s="13" t="str">
        <f>INDEX(Data!$F$2:$F$2797,MATCH($A51,Data!$G$2:$G$2797,0))</f>
        <v>Punjab</v>
      </c>
      <c r="C51" s="14">
        <f>SUMIF(Data!$G$2:$G$2797,$A51,Data!$B$2:$B$2797)</f>
        <v>79</v>
      </c>
      <c r="D51" s="14">
        <f>SUMIF(Data!$G$2:$G$2797,$A51,Data!$C$2:$C$2797)</f>
        <v>0</v>
      </c>
      <c r="E51" s="14">
        <f>SUMIF(Data!$G$2:$G$2797,$A51,Data!$D$2:$D$2797)</f>
        <v>0</v>
      </c>
      <c r="F51" s="14">
        <f t="shared" si="2"/>
        <v>79</v>
      </c>
      <c r="G51" s="26">
        <f t="shared" si="3"/>
        <v>0</v>
      </c>
    </row>
    <row r="52" spans="1:7" x14ac:dyDescent="0.25">
      <c r="A52" s="36" t="s">
        <v>367</v>
      </c>
      <c r="B52" s="13" t="str">
        <f>INDEX(Data!$F$2:$F$2797,MATCH($A52,Data!$G$2:$G$2797,0))</f>
        <v>Sindh</v>
      </c>
      <c r="C52" s="14">
        <f>SUMIF(Data!$G$2:$G$2797,$A52,Data!$B$2:$B$2797)</f>
        <v>79</v>
      </c>
      <c r="D52" s="14">
        <f>SUMIF(Data!$G$2:$G$2797,$A52,Data!$C$2:$C$2797)</f>
        <v>0</v>
      </c>
      <c r="E52" s="14">
        <f>SUMIF(Data!$G$2:$G$2797,$A52,Data!$D$2:$D$2797)</f>
        <v>109</v>
      </c>
      <c r="F52" s="14">
        <f t="shared" si="2"/>
        <v>-30</v>
      </c>
      <c r="G52" s="26">
        <f t="shared" si="3"/>
        <v>0</v>
      </c>
    </row>
    <row r="53" spans="1:7" x14ac:dyDescent="0.25">
      <c r="A53" s="36" t="s">
        <v>368</v>
      </c>
      <c r="B53" s="13" t="str">
        <f>INDEX(Data!$F$2:$F$2797,MATCH($A53,Data!$G$2:$G$2797,0))</f>
        <v>Gilgit-Baltistan</v>
      </c>
      <c r="C53" s="14">
        <f>SUMIF(Data!$G$2:$G$2797,$A53,Data!$B$2:$B$2797)</f>
        <v>78</v>
      </c>
      <c r="D53" s="14">
        <f>SUMIF(Data!$G$2:$G$2797,$A53,Data!$C$2:$C$2797)</f>
        <v>1</v>
      </c>
      <c r="E53" s="14">
        <f>SUMIF(Data!$G$2:$G$2797,$A53,Data!$D$2:$D$2797)</f>
        <v>65</v>
      </c>
      <c r="F53" s="14">
        <f t="shared" si="2"/>
        <v>12</v>
      </c>
      <c r="G53" s="26">
        <f t="shared" si="3"/>
        <v>1.2820512820512819</v>
      </c>
    </row>
    <row r="54" spans="1:7" x14ac:dyDescent="0.25">
      <c r="A54" s="36" t="s">
        <v>369</v>
      </c>
      <c r="B54" s="13" t="str">
        <f>INDEX(Data!$F$2:$F$2797,MATCH($A54,Data!$G$2:$G$2797,0))</f>
        <v>Punjab</v>
      </c>
      <c r="C54" s="14">
        <f>SUMIF(Data!$G$2:$G$2797,$A54,Data!$B$2:$B$2797)</f>
        <v>78</v>
      </c>
      <c r="D54" s="14">
        <f>SUMIF(Data!$G$2:$G$2797,$A54,Data!$C$2:$C$2797)</f>
        <v>0</v>
      </c>
      <c r="E54" s="14">
        <f>SUMIF(Data!$G$2:$G$2797,$A54,Data!$D$2:$D$2797)</f>
        <v>0</v>
      </c>
      <c r="F54" s="14">
        <f t="shared" si="2"/>
        <v>78</v>
      </c>
      <c r="G54" s="26">
        <f t="shared" si="3"/>
        <v>0</v>
      </c>
    </row>
    <row r="55" spans="1:7" x14ac:dyDescent="0.25">
      <c r="A55" s="36" t="s">
        <v>370</v>
      </c>
      <c r="B55" s="13" t="str">
        <f>INDEX(Data!$F$2:$F$2797,MATCH($A55,Data!$G$2:$G$2797,0))</f>
        <v>Punjab</v>
      </c>
      <c r="C55" s="14">
        <f>SUMIF(Data!$G$2:$G$2797,$A55,Data!$B$2:$B$2797)</f>
        <v>77</v>
      </c>
      <c r="D55" s="14">
        <f>SUMIF(Data!$G$2:$G$2797,$A55,Data!$C$2:$C$2797)</f>
        <v>0</v>
      </c>
      <c r="E55" s="14">
        <f>SUMIF(Data!$G$2:$G$2797,$A55,Data!$D$2:$D$2797)</f>
        <v>0</v>
      </c>
      <c r="F55" s="14">
        <f t="shared" si="2"/>
        <v>77</v>
      </c>
      <c r="G55" s="26">
        <f t="shared" si="3"/>
        <v>0</v>
      </c>
    </row>
    <row r="56" spans="1:7" x14ac:dyDescent="0.25">
      <c r="A56" s="36" t="s">
        <v>371</v>
      </c>
      <c r="B56" s="13" t="str">
        <f>INDEX(Data!$F$2:$F$2797,MATCH($A56,Data!$G$2:$G$2797,0))</f>
        <v>Punjab</v>
      </c>
      <c r="C56" s="14">
        <f>SUMIF(Data!$G$2:$G$2797,$A56,Data!$B$2:$B$2797)</f>
        <v>74</v>
      </c>
      <c r="D56" s="14">
        <f>SUMIF(Data!$G$2:$G$2797,$A56,Data!$C$2:$C$2797)</f>
        <v>0</v>
      </c>
      <c r="E56" s="14">
        <f>SUMIF(Data!$G$2:$G$2797,$A56,Data!$D$2:$D$2797)</f>
        <v>3</v>
      </c>
      <c r="F56" s="14">
        <f t="shared" si="2"/>
        <v>71</v>
      </c>
      <c r="G56" s="26">
        <f t="shared" si="3"/>
        <v>0</v>
      </c>
    </row>
    <row r="57" spans="1:7" x14ac:dyDescent="0.25">
      <c r="A57" s="36" t="s">
        <v>372</v>
      </c>
      <c r="B57" s="13" t="str">
        <f>INDEX(Data!$F$2:$F$2797,MATCH($A57,Data!$G$2:$G$2797,0))</f>
        <v>Punjab</v>
      </c>
      <c r="C57" s="14">
        <f>SUMIF(Data!$G$2:$G$2797,$A57,Data!$B$2:$B$2797)</f>
        <v>72</v>
      </c>
      <c r="D57" s="14">
        <f>SUMIF(Data!$G$2:$G$2797,$A57,Data!$C$2:$C$2797)</f>
        <v>0</v>
      </c>
      <c r="E57" s="14">
        <f>SUMIF(Data!$G$2:$G$2797,$A57,Data!$D$2:$D$2797)</f>
        <v>6</v>
      </c>
      <c r="F57" s="14">
        <f t="shared" si="2"/>
        <v>66</v>
      </c>
      <c r="G57" s="26">
        <f t="shared" si="3"/>
        <v>0</v>
      </c>
    </row>
    <row r="58" spans="1:7" x14ac:dyDescent="0.25">
      <c r="A58" s="36" t="s">
        <v>373</v>
      </c>
      <c r="B58" s="13" t="str">
        <f>INDEX(Data!$F$2:$F$2797,MATCH($A58,Data!$G$2:$G$2797,0))</f>
        <v>Gilgit-Baltistan</v>
      </c>
      <c r="C58" s="14">
        <f>SUMIF(Data!$G$2:$G$2797,$A58,Data!$B$2:$B$2797)</f>
        <v>69</v>
      </c>
      <c r="D58" s="14">
        <f>SUMIF(Data!$G$2:$G$2797,$A58,Data!$C$2:$C$2797)</f>
        <v>14</v>
      </c>
      <c r="E58" s="14">
        <f>SUMIF(Data!$G$2:$G$2797,$A58,Data!$D$2:$D$2797)</f>
        <v>62</v>
      </c>
      <c r="F58" s="14">
        <f t="shared" si="2"/>
        <v>-7</v>
      </c>
      <c r="G58" s="26">
        <f t="shared" si="3"/>
        <v>20.289855072463769</v>
      </c>
    </row>
    <row r="59" spans="1:7" x14ac:dyDescent="0.25">
      <c r="A59" s="36" t="s">
        <v>374</v>
      </c>
      <c r="B59" s="13" t="str">
        <f>INDEX(Data!$F$2:$F$2797,MATCH($A59,Data!$G$2:$G$2797,0))</f>
        <v>Sindh</v>
      </c>
      <c r="C59" s="14">
        <f>SUMIF(Data!$G$2:$G$2797,$A59,Data!$B$2:$B$2797)</f>
        <v>65</v>
      </c>
      <c r="D59" s="14">
        <f>SUMIF(Data!$G$2:$G$2797,$A59,Data!$C$2:$C$2797)</f>
        <v>1</v>
      </c>
      <c r="E59" s="14">
        <f>SUMIF(Data!$G$2:$G$2797,$A59,Data!$D$2:$D$2797)</f>
        <v>44</v>
      </c>
      <c r="F59" s="14">
        <f t="shared" si="2"/>
        <v>20</v>
      </c>
      <c r="G59" s="26">
        <f t="shared" si="3"/>
        <v>1.5384615384615385</v>
      </c>
    </row>
    <row r="60" spans="1:7" x14ac:dyDescent="0.25">
      <c r="A60" s="36" t="s">
        <v>375</v>
      </c>
      <c r="B60" s="13" t="str">
        <f>INDEX(Data!$F$2:$F$2797,MATCH($A60,Data!$G$2:$G$2797,0))</f>
        <v>Punjab</v>
      </c>
      <c r="C60" s="14">
        <f>SUMIF(Data!$G$2:$G$2797,$A60,Data!$B$2:$B$2797)</f>
        <v>63</v>
      </c>
      <c r="D60" s="14">
        <f>SUMIF(Data!$G$2:$G$2797,$A60,Data!$C$2:$C$2797)</f>
        <v>0</v>
      </c>
      <c r="E60" s="14">
        <f>SUMIF(Data!$G$2:$G$2797,$A60,Data!$D$2:$D$2797)</f>
        <v>0</v>
      </c>
      <c r="F60" s="14">
        <f t="shared" si="2"/>
        <v>63</v>
      </c>
      <c r="G60" s="26">
        <f t="shared" si="3"/>
        <v>0</v>
      </c>
    </row>
    <row r="61" spans="1:7" x14ac:dyDescent="0.25">
      <c r="A61" s="36" t="s">
        <v>376</v>
      </c>
      <c r="B61" s="13" t="str">
        <f>INDEX(Data!$F$2:$F$2797,MATCH($A61,Data!$G$2:$G$2797,0))</f>
        <v>Punjab</v>
      </c>
      <c r="C61" s="14">
        <f>SUMIF(Data!$G$2:$G$2797,$A61,Data!$B$2:$B$2797)</f>
        <v>61</v>
      </c>
      <c r="D61" s="14">
        <f>SUMIF(Data!$G$2:$G$2797,$A61,Data!$C$2:$C$2797)</f>
        <v>0</v>
      </c>
      <c r="E61" s="14">
        <f>SUMIF(Data!$G$2:$G$2797,$A61,Data!$D$2:$D$2797)</f>
        <v>0</v>
      </c>
      <c r="F61" s="14">
        <f t="shared" si="2"/>
        <v>61</v>
      </c>
      <c r="G61" s="26">
        <f t="shared" si="3"/>
        <v>0</v>
      </c>
    </row>
    <row r="62" spans="1:7" x14ac:dyDescent="0.25">
      <c r="A62" s="36" t="s">
        <v>377</v>
      </c>
      <c r="B62" s="13" t="str">
        <f>INDEX(Data!$F$2:$F$2797,MATCH($A62,Data!$G$2:$G$2797,0))</f>
        <v>Sindh</v>
      </c>
      <c r="C62" s="14">
        <f>SUMIF(Data!$G$2:$G$2797,$A62,Data!$B$2:$B$2797)</f>
        <v>56</v>
      </c>
      <c r="D62" s="14">
        <f>SUMIF(Data!$G$2:$G$2797,$A62,Data!$C$2:$C$2797)</f>
        <v>4</v>
      </c>
      <c r="E62" s="14">
        <f>SUMIF(Data!$G$2:$G$2797,$A62,Data!$D$2:$D$2797)</f>
        <v>11</v>
      </c>
      <c r="F62" s="14">
        <f t="shared" si="2"/>
        <v>41</v>
      </c>
      <c r="G62" s="26">
        <f t="shared" si="3"/>
        <v>7.1428571428571423</v>
      </c>
    </row>
    <row r="63" spans="1:7" x14ac:dyDescent="0.25">
      <c r="A63" s="36" t="s">
        <v>378</v>
      </c>
      <c r="B63" s="13" t="str">
        <f>INDEX(Data!$F$2:$F$2797,MATCH($A63,Data!$G$2:$G$2797,0))</f>
        <v>Punjab</v>
      </c>
      <c r="C63" s="14">
        <f>SUMIF(Data!$G$2:$G$2797,$A63,Data!$B$2:$B$2797)</f>
        <v>54</v>
      </c>
      <c r="D63" s="14">
        <f>SUMIF(Data!$G$2:$G$2797,$A63,Data!$C$2:$C$2797)</f>
        <v>0</v>
      </c>
      <c r="E63" s="14">
        <f>SUMIF(Data!$G$2:$G$2797,$A63,Data!$D$2:$D$2797)</f>
        <v>4</v>
      </c>
      <c r="F63" s="14">
        <f t="shared" si="2"/>
        <v>50</v>
      </c>
      <c r="G63" s="26">
        <f t="shared" si="3"/>
        <v>0</v>
      </c>
    </row>
    <row r="64" spans="1:7" x14ac:dyDescent="0.25">
      <c r="A64" s="36" t="s">
        <v>379</v>
      </c>
      <c r="B64" s="13" t="str">
        <f>INDEX(Data!$F$2:$F$2797,MATCH($A64,Data!$G$2:$G$2797,0))</f>
        <v>Sindh</v>
      </c>
      <c r="C64" s="14">
        <f>SUMIF(Data!$G$2:$G$2797,$A64,Data!$B$2:$B$2797)</f>
        <v>53</v>
      </c>
      <c r="D64" s="14">
        <f>SUMIF(Data!$G$2:$G$2797,$A64,Data!$C$2:$C$2797)</f>
        <v>0</v>
      </c>
      <c r="E64" s="14">
        <f>SUMIF(Data!$G$2:$G$2797,$A64,Data!$D$2:$D$2797)</f>
        <v>25</v>
      </c>
      <c r="F64" s="14">
        <f t="shared" si="2"/>
        <v>28</v>
      </c>
      <c r="G64" s="26">
        <f t="shared" si="3"/>
        <v>0</v>
      </c>
    </row>
    <row r="65" spans="1:7" x14ac:dyDescent="0.25">
      <c r="A65" s="36" t="s">
        <v>380</v>
      </c>
      <c r="B65" s="13" t="str">
        <f>INDEX(Data!$F$2:$F$2797,MATCH($A65,Data!$G$2:$G$2797,0))</f>
        <v>Sindh</v>
      </c>
      <c r="C65" s="14">
        <f>SUMIF(Data!$G$2:$G$2797,$A65,Data!$B$2:$B$2797)</f>
        <v>50</v>
      </c>
      <c r="D65" s="14">
        <f>SUMIF(Data!$G$2:$G$2797,$A65,Data!$C$2:$C$2797)</f>
        <v>4</v>
      </c>
      <c r="E65" s="14">
        <f>SUMIF(Data!$G$2:$G$2797,$A65,Data!$D$2:$D$2797)</f>
        <v>34</v>
      </c>
      <c r="F65" s="14">
        <f t="shared" si="2"/>
        <v>12</v>
      </c>
      <c r="G65" s="26">
        <f t="shared" si="3"/>
        <v>8</v>
      </c>
    </row>
    <row r="66" spans="1:7" x14ac:dyDescent="0.25">
      <c r="A66" s="36" t="s">
        <v>381</v>
      </c>
      <c r="B66" s="13" t="str">
        <f>INDEX(Data!$F$2:$F$2797,MATCH($A66,Data!$G$2:$G$2797,0))</f>
        <v>Sindh</v>
      </c>
      <c r="C66" s="14">
        <f>SUMIF(Data!$G$2:$G$2797,$A66,Data!$B$2:$B$2797)</f>
        <v>49</v>
      </c>
      <c r="D66" s="14">
        <f>SUMIF(Data!$G$2:$G$2797,$A66,Data!$C$2:$C$2797)</f>
        <v>2</v>
      </c>
      <c r="E66" s="14">
        <f>SUMIF(Data!$G$2:$G$2797,$A66,Data!$D$2:$D$2797)</f>
        <v>12</v>
      </c>
      <c r="F66" s="14">
        <f t="shared" si="2"/>
        <v>35</v>
      </c>
      <c r="G66" s="26">
        <f t="shared" si="3"/>
        <v>4.0816326530612246</v>
      </c>
    </row>
    <row r="67" spans="1:7" x14ac:dyDescent="0.25">
      <c r="A67" s="36" t="s">
        <v>382</v>
      </c>
      <c r="B67" s="13" t="str">
        <f>INDEX(Data!$F$2:$F$2797,MATCH($A67,Data!$G$2:$G$2797,0))</f>
        <v>Punjab</v>
      </c>
      <c r="C67" s="14">
        <f>SUMIF(Data!$G$2:$G$2797,$A67,Data!$B$2:$B$2797)</f>
        <v>47</v>
      </c>
      <c r="D67" s="14">
        <f>SUMIF(Data!$G$2:$G$2797,$A67,Data!$C$2:$C$2797)</f>
        <v>0</v>
      </c>
      <c r="E67" s="14">
        <f>SUMIF(Data!$G$2:$G$2797,$A67,Data!$D$2:$D$2797)</f>
        <v>1</v>
      </c>
      <c r="F67" s="14">
        <f t="shared" si="2"/>
        <v>46</v>
      </c>
      <c r="G67" s="26">
        <f t="shared" si="3"/>
        <v>0</v>
      </c>
    </row>
    <row r="68" spans="1:7" x14ac:dyDescent="0.25">
      <c r="A68" s="36" t="s">
        <v>383</v>
      </c>
      <c r="B68" s="13" t="str">
        <f>INDEX(Data!$F$2:$F$2797,MATCH($A68,Data!$G$2:$G$2797,0))</f>
        <v>Sindh</v>
      </c>
      <c r="C68" s="14">
        <f>SUMIF(Data!$G$2:$G$2797,$A68,Data!$B$2:$B$2797)</f>
        <v>44</v>
      </c>
      <c r="D68" s="14">
        <f>SUMIF(Data!$G$2:$G$2797,$A68,Data!$C$2:$C$2797)</f>
        <v>2</v>
      </c>
      <c r="E68" s="14">
        <f>SUMIF(Data!$G$2:$G$2797,$A68,Data!$D$2:$D$2797)</f>
        <v>20</v>
      </c>
      <c r="F68" s="14">
        <f t="shared" si="2"/>
        <v>22</v>
      </c>
      <c r="G68" s="26">
        <f t="shared" si="3"/>
        <v>4.5454545454545459</v>
      </c>
    </row>
    <row r="69" spans="1:7" x14ac:dyDescent="0.25">
      <c r="A69" s="36" t="s">
        <v>384</v>
      </c>
      <c r="B69" s="13" t="str">
        <f>INDEX(Data!$F$2:$F$2797,MATCH($A69,Data!$G$2:$G$2797,0))</f>
        <v>Sindh</v>
      </c>
      <c r="C69" s="14">
        <f>SUMIF(Data!$G$2:$G$2797,$A69,Data!$B$2:$B$2797)</f>
        <v>43</v>
      </c>
      <c r="D69" s="14">
        <f>SUMIF(Data!$G$2:$G$2797,$A69,Data!$C$2:$C$2797)</f>
        <v>1</v>
      </c>
      <c r="E69" s="14">
        <f>SUMIF(Data!$G$2:$G$2797,$A69,Data!$D$2:$D$2797)</f>
        <v>26</v>
      </c>
      <c r="F69" s="14">
        <f t="shared" ref="F69:F100" si="4">C69-D69-E69</f>
        <v>16</v>
      </c>
      <c r="G69" s="26">
        <f t="shared" ref="G69:G100" si="5">IF(C69=0,0,D69/C69*100)</f>
        <v>2.3255813953488373</v>
      </c>
    </row>
    <row r="70" spans="1:7" x14ac:dyDescent="0.25">
      <c r="A70" s="36" t="s">
        <v>385</v>
      </c>
      <c r="B70" s="13" t="str">
        <f>INDEX(Data!$F$2:$F$2797,MATCH($A70,Data!$G$2:$G$2797,0))</f>
        <v>Sindh</v>
      </c>
      <c r="C70" s="14">
        <f>SUMIF(Data!$G$2:$G$2797,$A70,Data!$B$2:$B$2797)</f>
        <v>41</v>
      </c>
      <c r="D70" s="14">
        <f>SUMIF(Data!$G$2:$G$2797,$A70,Data!$C$2:$C$2797)</f>
        <v>1</v>
      </c>
      <c r="E70" s="14">
        <f>SUMIF(Data!$G$2:$G$2797,$A70,Data!$D$2:$D$2797)</f>
        <v>29</v>
      </c>
      <c r="F70" s="14">
        <f t="shared" si="4"/>
        <v>11</v>
      </c>
      <c r="G70" s="26">
        <f t="shared" si="5"/>
        <v>2.4390243902439024</v>
      </c>
    </row>
    <row r="71" spans="1:7" x14ac:dyDescent="0.25">
      <c r="A71" s="36" t="s">
        <v>386</v>
      </c>
      <c r="B71" s="13" t="str">
        <f>INDEX(Data!$F$2:$F$2797,MATCH($A71,Data!$G$2:$G$2797,0))</f>
        <v>Sindh</v>
      </c>
      <c r="C71" s="14">
        <f>SUMIF(Data!$G$2:$G$2797,$A71,Data!$B$2:$B$2797)</f>
        <v>38</v>
      </c>
      <c r="D71" s="14">
        <f>SUMIF(Data!$G$2:$G$2797,$A71,Data!$C$2:$C$2797)</f>
        <v>0</v>
      </c>
      <c r="E71" s="14">
        <f>SUMIF(Data!$G$2:$G$2797,$A71,Data!$D$2:$D$2797)</f>
        <v>42</v>
      </c>
      <c r="F71" s="14">
        <f t="shared" si="4"/>
        <v>-4</v>
      </c>
      <c r="G71" s="26">
        <f t="shared" si="5"/>
        <v>0</v>
      </c>
    </row>
    <row r="72" spans="1:7" x14ac:dyDescent="0.25">
      <c r="A72" s="36" t="s">
        <v>387</v>
      </c>
      <c r="B72" s="13" t="str">
        <f>INDEX(Data!$F$2:$F$2797,MATCH($A72,Data!$G$2:$G$2797,0))</f>
        <v>Khyber Pakhtunkhwa</v>
      </c>
      <c r="C72" s="14">
        <f>SUMIF(Data!$G$2:$G$2797,$A72,Data!$B$2:$B$2797)</f>
        <v>35</v>
      </c>
      <c r="D72" s="14">
        <f>SUMIF(Data!$G$2:$G$2797,$A72,Data!$C$2:$C$2797)</f>
        <v>0</v>
      </c>
      <c r="E72" s="14">
        <f>SUMIF(Data!$G$2:$G$2797,$A72,Data!$D$2:$D$2797)</f>
        <v>17</v>
      </c>
      <c r="F72" s="14">
        <f t="shared" si="4"/>
        <v>18</v>
      </c>
      <c r="G72" s="26">
        <f t="shared" si="5"/>
        <v>0</v>
      </c>
    </row>
    <row r="73" spans="1:7" x14ac:dyDescent="0.25">
      <c r="A73" s="36" t="s">
        <v>388</v>
      </c>
      <c r="B73" s="13" t="str">
        <f>INDEX(Data!$F$2:$F$2797,MATCH($A73,Data!$G$2:$G$2797,0))</f>
        <v>Sindh</v>
      </c>
      <c r="C73" s="14">
        <f>SUMIF(Data!$G$2:$G$2797,$A73,Data!$B$2:$B$2797)</f>
        <v>35</v>
      </c>
      <c r="D73" s="14">
        <f>SUMIF(Data!$G$2:$G$2797,$A73,Data!$C$2:$C$2797)</f>
        <v>0</v>
      </c>
      <c r="E73" s="14">
        <f>SUMIF(Data!$G$2:$G$2797,$A73,Data!$D$2:$D$2797)</f>
        <v>14</v>
      </c>
      <c r="F73" s="14">
        <f t="shared" si="4"/>
        <v>21</v>
      </c>
      <c r="G73" s="26">
        <f t="shared" si="5"/>
        <v>0</v>
      </c>
    </row>
    <row r="74" spans="1:7" x14ac:dyDescent="0.25">
      <c r="A74" s="36" t="s">
        <v>389</v>
      </c>
      <c r="B74" s="13" t="str">
        <f>INDEX(Data!$F$2:$F$2797,MATCH($A74,Data!$G$2:$G$2797,0))</f>
        <v>Punjab</v>
      </c>
      <c r="C74" s="14">
        <f>SUMIF(Data!$G$2:$G$2797,$A74,Data!$B$2:$B$2797)</f>
        <v>32</v>
      </c>
      <c r="D74" s="14">
        <f>SUMIF(Data!$G$2:$G$2797,$A74,Data!$C$2:$C$2797)</f>
        <v>0</v>
      </c>
      <c r="E74" s="14">
        <f>SUMIF(Data!$G$2:$G$2797,$A74,Data!$D$2:$D$2797)</f>
        <v>0</v>
      </c>
      <c r="F74" s="14">
        <f t="shared" si="4"/>
        <v>32</v>
      </c>
      <c r="G74" s="26">
        <f t="shared" si="5"/>
        <v>0</v>
      </c>
    </row>
    <row r="75" spans="1:7" x14ac:dyDescent="0.25">
      <c r="A75" s="36" t="s">
        <v>390</v>
      </c>
      <c r="B75" s="13" t="str">
        <f>INDEX(Data!$F$2:$F$2797,MATCH($A75,Data!$G$2:$G$2797,0))</f>
        <v>Gilgit-Baltistan</v>
      </c>
      <c r="C75" s="14">
        <f>SUMIF(Data!$G$2:$G$2797,$A75,Data!$B$2:$B$2797)</f>
        <v>31</v>
      </c>
      <c r="D75" s="14">
        <f>SUMIF(Data!$G$2:$G$2797,$A75,Data!$C$2:$C$2797)</f>
        <v>0</v>
      </c>
      <c r="E75" s="14">
        <f>SUMIF(Data!$G$2:$G$2797,$A75,Data!$D$2:$D$2797)</f>
        <v>21</v>
      </c>
      <c r="F75" s="14">
        <f t="shared" si="4"/>
        <v>10</v>
      </c>
      <c r="G75" s="26">
        <f t="shared" si="5"/>
        <v>0</v>
      </c>
    </row>
    <row r="76" spans="1:7" x14ac:dyDescent="0.25">
      <c r="A76" s="36" t="s">
        <v>391</v>
      </c>
      <c r="B76" s="13" t="str">
        <f>INDEX(Data!$F$2:$F$2797,MATCH($A76,Data!$G$2:$G$2797,0))</f>
        <v>Punjab</v>
      </c>
      <c r="C76" s="14">
        <f>SUMIF(Data!$G$2:$G$2797,$A76,Data!$B$2:$B$2797)</f>
        <v>31</v>
      </c>
      <c r="D76" s="14">
        <f>SUMIF(Data!$G$2:$G$2797,$A76,Data!$C$2:$C$2797)</f>
        <v>0</v>
      </c>
      <c r="E76" s="14">
        <f>SUMIF(Data!$G$2:$G$2797,$A76,Data!$D$2:$D$2797)</f>
        <v>0</v>
      </c>
      <c r="F76" s="14">
        <f t="shared" si="4"/>
        <v>31</v>
      </c>
      <c r="G76" s="26">
        <f t="shared" si="5"/>
        <v>0</v>
      </c>
    </row>
    <row r="77" spans="1:7" x14ac:dyDescent="0.25">
      <c r="A77" s="36" t="s">
        <v>392</v>
      </c>
      <c r="B77" s="13" t="str">
        <f>INDEX(Data!$F$2:$F$2797,MATCH($A77,Data!$G$2:$G$2797,0))</f>
        <v>Punjab</v>
      </c>
      <c r="C77" s="14">
        <f>SUMIF(Data!$G$2:$G$2797,$A77,Data!$B$2:$B$2797)</f>
        <v>29</v>
      </c>
      <c r="D77" s="14">
        <f>SUMIF(Data!$G$2:$G$2797,$A77,Data!$C$2:$C$2797)</f>
        <v>0</v>
      </c>
      <c r="E77" s="14">
        <f>SUMIF(Data!$G$2:$G$2797,$A77,Data!$D$2:$D$2797)</f>
        <v>7</v>
      </c>
      <c r="F77" s="14">
        <f t="shared" si="4"/>
        <v>22</v>
      </c>
      <c r="G77" s="26">
        <f t="shared" si="5"/>
        <v>0</v>
      </c>
    </row>
    <row r="78" spans="1:7" x14ac:dyDescent="0.25">
      <c r="A78" s="36" t="s">
        <v>393</v>
      </c>
      <c r="B78" s="13" t="str">
        <f>INDEX(Data!$F$2:$F$2797,MATCH($A78,Data!$G$2:$G$2797,0))</f>
        <v>Gilgit-Baltistan</v>
      </c>
      <c r="C78" s="14">
        <f>SUMIF(Data!$G$2:$G$2797,$A78,Data!$B$2:$B$2797)</f>
        <v>28</v>
      </c>
      <c r="D78" s="14">
        <f>SUMIF(Data!$G$2:$G$2797,$A78,Data!$C$2:$C$2797)</f>
        <v>0</v>
      </c>
      <c r="E78" s="14">
        <f>SUMIF(Data!$G$2:$G$2797,$A78,Data!$D$2:$D$2797)</f>
        <v>6</v>
      </c>
      <c r="F78" s="14">
        <f t="shared" si="4"/>
        <v>22</v>
      </c>
      <c r="G78" s="26">
        <f t="shared" si="5"/>
        <v>0</v>
      </c>
    </row>
    <row r="79" spans="1:7" x14ac:dyDescent="0.25">
      <c r="A79" s="36" t="s">
        <v>394</v>
      </c>
      <c r="B79" s="13" t="str">
        <f>INDEX(Data!$F$2:$F$2797,MATCH($A79,Data!$G$2:$G$2797,0))</f>
        <v>Gilgit-Baltistan</v>
      </c>
      <c r="C79" s="14">
        <f>SUMIF(Data!$G$2:$G$2797,$A79,Data!$B$2:$B$2797)</f>
        <v>28</v>
      </c>
      <c r="D79" s="14">
        <f>SUMIF(Data!$G$2:$G$2797,$A79,Data!$C$2:$C$2797)</f>
        <v>0</v>
      </c>
      <c r="E79" s="14">
        <f>SUMIF(Data!$G$2:$G$2797,$A79,Data!$D$2:$D$2797)</f>
        <v>0</v>
      </c>
      <c r="F79" s="14">
        <f t="shared" si="4"/>
        <v>28</v>
      </c>
      <c r="G79" s="26">
        <f t="shared" si="5"/>
        <v>0</v>
      </c>
    </row>
    <row r="80" spans="1:7" x14ac:dyDescent="0.25">
      <c r="A80" s="36" t="s">
        <v>395</v>
      </c>
      <c r="B80" s="13" t="str">
        <f>INDEX(Data!$F$2:$F$2797,MATCH($A80,Data!$G$2:$G$2797,0))</f>
        <v>Punjab</v>
      </c>
      <c r="C80" s="14">
        <f>SUMIF(Data!$G$2:$G$2797,$A80,Data!$B$2:$B$2797)</f>
        <v>27</v>
      </c>
      <c r="D80" s="14">
        <f>SUMIF(Data!$G$2:$G$2797,$A80,Data!$C$2:$C$2797)</f>
        <v>0</v>
      </c>
      <c r="E80" s="14">
        <f>SUMIF(Data!$G$2:$G$2797,$A80,Data!$D$2:$D$2797)</f>
        <v>6</v>
      </c>
      <c r="F80" s="14">
        <f t="shared" si="4"/>
        <v>21</v>
      </c>
      <c r="G80" s="26">
        <f t="shared" si="5"/>
        <v>0</v>
      </c>
    </row>
    <row r="81" spans="1:7" x14ac:dyDescent="0.25">
      <c r="A81" s="36" t="s">
        <v>396</v>
      </c>
      <c r="B81" s="13" t="str">
        <f>INDEX(Data!$F$2:$F$2797,MATCH($A81,Data!$G$2:$G$2797,0))</f>
        <v>Punjab</v>
      </c>
      <c r="C81" s="14">
        <f>SUMIF(Data!$G$2:$G$2797,$A81,Data!$B$2:$B$2797)</f>
        <v>27</v>
      </c>
      <c r="D81" s="14">
        <f>SUMIF(Data!$G$2:$G$2797,$A81,Data!$C$2:$C$2797)</f>
        <v>0</v>
      </c>
      <c r="E81" s="14">
        <f>SUMIF(Data!$G$2:$G$2797,$A81,Data!$D$2:$D$2797)</f>
        <v>0</v>
      </c>
      <c r="F81" s="14">
        <f t="shared" si="4"/>
        <v>27</v>
      </c>
      <c r="G81" s="26">
        <f t="shared" si="5"/>
        <v>0</v>
      </c>
    </row>
    <row r="82" spans="1:7" x14ac:dyDescent="0.25">
      <c r="A82" s="36" t="s">
        <v>397</v>
      </c>
      <c r="B82" s="13" t="str">
        <f>INDEX(Data!$F$2:$F$2797,MATCH($A82,Data!$G$2:$G$2797,0))</f>
        <v>Punjab</v>
      </c>
      <c r="C82" s="14">
        <f>SUMIF(Data!$G$2:$G$2797,$A82,Data!$B$2:$B$2797)</f>
        <v>25</v>
      </c>
      <c r="D82" s="14">
        <f>SUMIF(Data!$G$2:$G$2797,$A82,Data!$C$2:$C$2797)</f>
        <v>0</v>
      </c>
      <c r="E82" s="14">
        <f>SUMIF(Data!$G$2:$G$2797,$A82,Data!$D$2:$D$2797)</f>
        <v>0</v>
      </c>
      <c r="F82" s="14">
        <f t="shared" si="4"/>
        <v>25</v>
      </c>
      <c r="G82" s="26">
        <f t="shared" si="5"/>
        <v>0</v>
      </c>
    </row>
    <row r="83" spans="1:7" x14ac:dyDescent="0.25">
      <c r="A83" s="36" t="s">
        <v>398</v>
      </c>
      <c r="B83" s="13" t="str">
        <f>INDEX(Data!$F$2:$F$2797,MATCH($A83,Data!$G$2:$G$2797,0))</f>
        <v>Gilgit-Baltistan</v>
      </c>
      <c r="C83" s="14">
        <f>SUMIF(Data!$G$2:$G$2797,$A83,Data!$B$2:$B$2797)</f>
        <v>24</v>
      </c>
      <c r="D83" s="14">
        <f>SUMIF(Data!$G$2:$G$2797,$A83,Data!$C$2:$C$2797)</f>
        <v>0</v>
      </c>
      <c r="E83" s="14">
        <f>SUMIF(Data!$G$2:$G$2797,$A83,Data!$D$2:$D$2797)</f>
        <v>12</v>
      </c>
      <c r="F83" s="14">
        <f t="shared" si="4"/>
        <v>12</v>
      </c>
      <c r="G83" s="26">
        <f t="shared" si="5"/>
        <v>0</v>
      </c>
    </row>
    <row r="84" spans="1:7" x14ac:dyDescent="0.25">
      <c r="A84" s="36" t="s">
        <v>399</v>
      </c>
      <c r="B84" s="13" t="str">
        <f>INDEX(Data!$F$2:$F$2797,MATCH($A84,Data!$G$2:$G$2797,0))</f>
        <v>Khyber Pakhtunkhwa</v>
      </c>
      <c r="C84" s="14">
        <f>SUMIF(Data!$G$2:$G$2797,$A84,Data!$B$2:$B$2797)</f>
        <v>24</v>
      </c>
      <c r="D84" s="14">
        <f>SUMIF(Data!$G$2:$G$2797,$A84,Data!$C$2:$C$2797)</f>
        <v>1</v>
      </c>
      <c r="E84" s="14">
        <f>SUMIF(Data!$G$2:$G$2797,$A84,Data!$D$2:$D$2797)</f>
        <v>15</v>
      </c>
      <c r="F84" s="14">
        <f t="shared" si="4"/>
        <v>8</v>
      </c>
      <c r="G84" s="26">
        <f t="shared" si="5"/>
        <v>4.1666666666666661</v>
      </c>
    </row>
    <row r="85" spans="1:7" x14ac:dyDescent="0.25">
      <c r="A85" s="36" t="s">
        <v>400</v>
      </c>
      <c r="B85" s="13" t="str">
        <f>INDEX(Data!$F$2:$F$2797,MATCH($A85,Data!$G$2:$G$2797,0))</f>
        <v>Khyber Pakhtunkhwa</v>
      </c>
      <c r="C85" s="14">
        <f>SUMIF(Data!$G$2:$G$2797,$A85,Data!$B$2:$B$2797)</f>
        <v>21</v>
      </c>
      <c r="D85" s="14">
        <f>SUMIF(Data!$G$2:$G$2797,$A85,Data!$C$2:$C$2797)</f>
        <v>1</v>
      </c>
      <c r="E85" s="14">
        <f>SUMIF(Data!$G$2:$G$2797,$A85,Data!$D$2:$D$2797)</f>
        <v>4</v>
      </c>
      <c r="F85" s="14">
        <f t="shared" si="4"/>
        <v>16</v>
      </c>
      <c r="G85" s="26">
        <f t="shared" si="5"/>
        <v>4.7619047619047619</v>
      </c>
    </row>
    <row r="86" spans="1:7" x14ac:dyDescent="0.25">
      <c r="A86" s="36" t="s">
        <v>401</v>
      </c>
      <c r="B86" s="13" t="str">
        <f>INDEX(Data!$F$2:$F$2797,MATCH($A86,Data!$G$2:$G$2797,0))</f>
        <v>Punjab</v>
      </c>
      <c r="C86" s="14">
        <f>SUMIF(Data!$G$2:$G$2797,$A86,Data!$B$2:$B$2797)</f>
        <v>21</v>
      </c>
      <c r="D86" s="14">
        <f>SUMIF(Data!$G$2:$G$2797,$A86,Data!$C$2:$C$2797)</f>
        <v>0</v>
      </c>
      <c r="E86" s="14">
        <f>SUMIF(Data!$G$2:$G$2797,$A86,Data!$D$2:$D$2797)</f>
        <v>4</v>
      </c>
      <c r="F86" s="14">
        <f t="shared" si="4"/>
        <v>17</v>
      </c>
      <c r="G86" s="26">
        <f t="shared" si="5"/>
        <v>0</v>
      </c>
    </row>
    <row r="87" spans="1:7" x14ac:dyDescent="0.25">
      <c r="A87" s="36" t="s">
        <v>402</v>
      </c>
      <c r="B87" s="13" t="str">
        <f>INDEX(Data!$F$2:$F$2797,MATCH($A87,Data!$G$2:$G$2797,0))</f>
        <v>Gilgit-Baltistan</v>
      </c>
      <c r="C87" s="14">
        <f>SUMIF(Data!$G$2:$G$2797,$A87,Data!$B$2:$B$2797)</f>
        <v>19</v>
      </c>
      <c r="D87" s="14">
        <f>SUMIF(Data!$G$2:$G$2797,$A87,Data!$C$2:$C$2797)</f>
        <v>0</v>
      </c>
      <c r="E87" s="14">
        <f>SUMIF(Data!$G$2:$G$2797,$A87,Data!$D$2:$D$2797)</f>
        <v>3</v>
      </c>
      <c r="F87" s="14">
        <f t="shared" si="4"/>
        <v>16</v>
      </c>
      <c r="G87" s="26">
        <f t="shared" si="5"/>
        <v>0</v>
      </c>
    </row>
    <row r="88" spans="1:7" x14ac:dyDescent="0.25">
      <c r="A88" s="36" t="s">
        <v>403</v>
      </c>
      <c r="B88" s="13" t="str">
        <f>INDEX(Data!$F$2:$F$2797,MATCH($A88,Data!$G$2:$G$2797,0))</f>
        <v>Punjab</v>
      </c>
      <c r="C88" s="14">
        <f>SUMIF(Data!$G$2:$G$2797,$A88,Data!$B$2:$B$2797)</f>
        <v>18</v>
      </c>
      <c r="D88" s="14">
        <f>SUMIF(Data!$G$2:$G$2797,$A88,Data!$C$2:$C$2797)</f>
        <v>0</v>
      </c>
      <c r="E88" s="14">
        <f>SUMIF(Data!$G$2:$G$2797,$A88,Data!$D$2:$D$2797)</f>
        <v>1</v>
      </c>
      <c r="F88" s="14">
        <f t="shared" si="4"/>
        <v>17</v>
      </c>
      <c r="G88" s="26">
        <f t="shared" si="5"/>
        <v>0</v>
      </c>
    </row>
    <row r="89" spans="1:7" x14ac:dyDescent="0.25">
      <c r="A89" s="36" t="s">
        <v>404</v>
      </c>
      <c r="B89" s="13" t="str">
        <f>INDEX(Data!$F$2:$F$2797,MATCH($A89,Data!$G$2:$G$2797,0))</f>
        <v>Gilgit-Baltistan</v>
      </c>
      <c r="C89" s="14">
        <f>SUMIF(Data!$G$2:$G$2797,$A89,Data!$B$2:$B$2797)</f>
        <v>16</v>
      </c>
      <c r="D89" s="14">
        <f>SUMIF(Data!$G$2:$G$2797,$A89,Data!$C$2:$C$2797)</f>
        <v>0</v>
      </c>
      <c r="E89" s="14">
        <f>SUMIF(Data!$G$2:$G$2797,$A89,Data!$D$2:$D$2797)</f>
        <v>10</v>
      </c>
      <c r="F89" s="14">
        <f t="shared" si="4"/>
        <v>6</v>
      </c>
      <c r="G89" s="26">
        <f t="shared" si="5"/>
        <v>0</v>
      </c>
    </row>
    <row r="90" spans="1:7" x14ac:dyDescent="0.25">
      <c r="A90" s="36" t="s">
        <v>405</v>
      </c>
      <c r="B90" s="13" t="str">
        <f>INDEX(Data!$F$2:$F$2797,MATCH($A90,Data!$G$2:$G$2797,0))</f>
        <v>Punjab</v>
      </c>
      <c r="C90" s="14">
        <f>SUMIF(Data!$G$2:$G$2797,$A90,Data!$B$2:$B$2797)</f>
        <v>15</v>
      </c>
      <c r="D90" s="14">
        <f>SUMIF(Data!$G$2:$G$2797,$A90,Data!$C$2:$C$2797)</f>
        <v>0</v>
      </c>
      <c r="E90" s="14">
        <f>SUMIF(Data!$G$2:$G$2797,$A90,Data!$D$2:$D$2797)</f>
        <v>0</v>
      </c>
      <c r="F90" s="14">
        <f t="shared" si="4"/>
        <v>15</v>
      </c>
      <c r="G90" s="26">
        <f t="shared" si="5"/>
        <v>0</v>
      </c>
    </row>
    <row r="91" spans="1:7" x14ac:dyDescent="0.25">
      <c r="A91" s="36" t="s">
        <v>406</v>
      </c>
      <c r="B91" s="13" t="str">
        <f>INDEX(Data!$F$2:$F$2797,MATCH($A91,Data!$G$2:$G$2797,0))</f>
        <v>Khyber Pakhtunkhwa</v>
      </c>
      <c r="C91" s="14">
        <f>SUMIF(Data!$G$2:$G$2797,$A91,Data!$B$2:$B$2797)</f>
        <v>15</v>
      </c>
      <c r="D91" s="14">
        <f>SUMIF(Data!$G$2:$G$2797,$A91,Data!$C$2:$C$2797)</f>
        <v>0</v>
      </c>
      <c r="E91" s="14">
        <f>SUMIF(Data!$G$2:$G$2797,$A91,Data!$D$2:$D$2797)</f>
        <v>5</v>
      </c>
      <c r="F91" s="14">
        <f t="shared" si="4"/>
        <v>10</v>
      </c>
      <c r="G91" s="26">
        <f t="shared" si="5"/>
        <v>0</v>
      </c>
    </row>
    <row r="92" spans="1:7" x14ac:dyDescent="0.25">
      <c r="A92" s="36" t="s">
        <v>407</v>
      </c>
      <c r="B92" s="13" t="str">
        <f>INDEX(Data!$F$2:$F$2797,MATCH($A92,Data!$G$2:$G$2797,0))</f>
        <v>Sindh</v>
      </c>
      <c r="C92" s="14">
        <f>SUMIF(Data!$G$2:$G$2797,$A92,Data!$B$2:$B$2797)</f>
        <v>13</v>
      </c>
      <c r="D92" s="14">
        <f>SUMIF(Data!$G$2:$G$2797,$A92,Data!$C$2:$C$2797)</f>
        <v>1</v>
      </c>
      <c r="E92" s="14">
        <f>SUMIF(Data!$G$2:$G$2797,$A92,Data!$D$2:$D$2797)</f>
        <v>45</v>
      </c>
      <c r="F92" s="14">
        <f t="shared" si="4"/>
        <v>-33</v>
      </c>
      <c r="G92" s="26">
        <f t="shared" si="5"/>
        <v>7.6923076923076925</v>
      </c>
    </row>
    <row r="93" spans="1:7" x14ac:dyDescent="0.25">
      <c r="A93" s="36" t="s">
        <v>408</v>
      </c>
      <c r="B93" s="13" t="str">
        <f>INDEX(Data!$F$2:$F$2797,MATCH($A93,Data!$G$2:$G$2797,0))</f>
        <v>Khyber Pakhtunkhwa</v>
      </c>
      <c r="C93" s="14">
        <f>SUMIF(Data!$G$2:$G$2797,$A93,Data!$B$2:$B$2797)</f>
        <v>12</v>
      </c>
      <c r="D93" s="14">
        <f>SUMIF(Data!$G$2:$G$2797,$A93,Data!$C$2:$C$2797)</f>
        <v>1</v>
      </c>
      <c r="E93" s="14">
        <f>SUMIF(Data!$G$2:$G$2797,$A93,Data!$D$2:$D$2797)</f>
        <v>7</v>
      </c>
      <c r="F93" s="14">
        <f t="shared" si="4"/>
        <v>4</v>
      </c>
      <c r="G93" s="26">
        <f t="shared" si="5"/>
        <v>8.3333333333333321</v>
      </c>
    </row>
    <row r="94" spans="1:7" x14ac:dyDescent="0.25">
      <c r="A94" s="36" t="s">
        <v>409</v>
      </c>
      <c r="B94" s="13" t="str">
        <f>INDEX(Data!$F$2:$F$2797,MATCH($A94,Data!$G$2:$G$2797,0))</f>
        <v>Baluchistan</v>
      </c>
      <c r="C94" s="14">
        <f>SUMIF(Data!$G$2:$G$2797,$A94,Data!$B$2:$B$2797)</f>
        <v>12</v>
      </c>
      <c r="D94" s="14">
        <f>SUMIF(Data!$G$2:$G$2797,$A94,Data!$C$2:$C$2797)</f>
        <v>0</v>
      </c>
      <c r="E94" s="14">
        <f>SUMIF(Data!$G$2:$G$2797,$A94,Data!$D$2:$D$2797)</f>
        <v>0</v>
      </c>
      <c r="F94" s="14">
        <f t="shared" si="4"/>
        <v>12</v>
      </c>
      <c r="G94" s="26">
        <f t="shared" si="5"/>
        <v>0</v>
      </c>
    </row>
    <row r="95" spans="1:7" x14ac:dyDescent="0.25">
      <c r="A95" s="36" t="s">
        <v>410</v>
      </c>
      <c r="B95" s="13" t="str">
        <f>INDEX(Data!$F$2:$F$2797,MATCH($A95,Data!$G$2:$G$2797,0))</f>
        <v>Khyber Pakhtunkhwa</v>
      </c>
      <c r="C95" s="14">
        <f>SUMIF(Data!$G$2:$G$2797,$A95,Data!$B$2:$B$2797)</f>
        <v>11</v>
      </c>
      <c r="D95" s="14">
        <f>SUMIF(Data!$G$2:$G$2797,$A95,Data!$C$2:$C$2797)</f>
        <v>0</v>
      </c>
      <c r="E95" s="14">
        <f>SUMIF(Data!$G$2:$G$2797,$A95,Data!$D$2:$D$2797)</f>
        <v>4</v>
      </c>
      <c r="F95" s="14">
        <f t="shared" si="4"/>
        <v>7</v>
      </c>
      <c r="G95" s="26">
        <f t="shared" si="5"/>
        <v>0</v>
      </c>
    </row>
    <row r="96" spans="1:7" x14ac:dyDescent="0.25">
      <c r="A96" s="36" t="s">
        <v>411</v>
      </c>
      <c r="B96" s="13" t="str">
        <f>INDEX(Data!$F$2:$F$2797,MATCH($A96,Data!$G$2:$G$2797,0))</f>
        <v>Federal Administration Tribal Area</v>
      </c>
      <c r="C96" s="14">
        <f>SUMIF(Data!$G$2:$G$2797,$A96,Data!$B$2:$B$2797)</f>
        <v>10</v>
      </c>
      <c r="D96" s="14">
        <f>SUMIF(Data!$G$2:$G$2797,$A96,Data!$C$2:$C$2797)</f>
        <v>0</v>
      </c>
      <c r="E96" s="14">
        <f>SUMIF(Data!$G$2:$G$2797,$A96,Data!$D$2:$D$2797)</f>
        <v>5</v>
      </c>
      <c r="F96" s="14">
        <f t="shared" si="4"/>
        <v>5</v>
      </c>
      <c r="G96" s="26">
        <f t="shared" si="5"/>
        <v>0</v>
      </c>
    </row>
    <row r="97" spans="1:7" x14ac:dyDescent="0.25">
      <c r="A97" s="36" t="s">
        <v>412</v>
      </c>
      <c r="B97" s="13" t="str">
        <f>INDEX(Data!$F$2:$F$2797,MATCH($A97,Data!$G$2:$G$2797,0))</f>
        <v>Punjab</v>
      </c>
      <c r="C97" s="14">
        <f>SUMIF(Data!$G$2:$G$2797,$A97,Data!$B$2:$B$2797)</f>
        <v>10</v>
      </c>
      <c r="D97" s="14">
        <f>SUMIF(Data!$G$2:$G$2797,$A97,Data!$C$2:$C$2797)</f>
        <v>0</v>
      </c>
      <c r="E97" s="14">
        <f>SUMIF(Data!$G$2:$G$2797,$A97,Data!$D$2:$D$2797)</f>
        <v>0</v>
      </c>
      <c r="F97" s="14">
        <f t="shared" si="4"/>
        <v>10</v>
      </c>
      <c r="G97" s="26">
        <f t="shared" si="5"/>
        <v>0</v>
      </c>
    </row>
    <row r="98" spans="1:7" x14ac:dyDescent="0.25">
      <c r="A98" s="36" t="s">
        <v>413</v>
      </c>
      <c r="B98" s="13" t="str">
        <f>INDEX(Data!$F$2:$F$2797,MATCH($A98,Data!$G$2:$G$2797,0))</f>
        <v>Punjab</v>
      </c>
      <c r="C98" s="14">
        <f>SUMIF(Data!$G$2:$G$2797,$A98,Data!$B$2:$B$2797)</f>
        <v>9</v>
      </c>
      <c r="D98" s="14">
        <f>SUMIF(Data!$G$2:$G$2797,$A98,Data!$C$2:$C$2797)</f>
        <v>0</v>
      </c>
      <c r="E98" s="14">
        <f>SUMIF(Data!$G$2:$G$2797,$A98,Data!$D$2:$D$2797)</f>
        <v>0</v>
      </c>
      <c r="F98" s="14">
        <f t="shared" si="4"/>
        <v>9</v>
      </c>
      <c r="G98" s="26">
        <f t="shared" si="5"/>
        <v>0</v>
      </c>
    </row>
    <row r="99" spans="1:7" x14ac:dyDescent="0.25">
      <c r="A99" s="36" t="s">
        <v>414</v>
      </c>
      <c r="B99" s="13" t="str">
        <f>INDEX(Data!$F$2:$F$2797,MATCH($A99,Data!$G$2:$G$2797,0))</f>
        <v>Sindh</v>
      </c>
      <c r="C99" s="14">
        <f>SUMIF(Data!$G$2:$G$2797,$A99,Data!$B$2:$B$2797)</f>
        <v>9</v>
      </c>
      <c r="D99" s="14">
        <f>SUMIF(Data!$G$2:$G$2797,$A99,Data!$C$2:$C$2797)</f>
        <v>1</v>
      </c>
      <c r="E99" s="14">
        <f>SUMIF(Data!$G$2:$G$2797,$A99,Data!$D$2:$D$2797)</f>
        <v>1</v>
      </c>
      <c r="F99" s="14">
        <f t="shared" si="4"/>
        <v>7</v>
      </c>
      <c r="G99" s="26">
        <f t="shared" si="5"/>
        <v>11.111111111111111</v>
      </c>
    </row>
    <row r="100" spans="1:7" x14ac:dyDescent="0.25">
      <c r="A100" s="36" t="s">
        <v>415</v>
      </c>
      <c r="B100" s="13" t="str">
        <f>INDEX(Data!$F$2:$F$2797,MATCH($A100,Data!$G$2:$G$2797,0))</f>
        <v>Sindh</v>
      </c>
      <c r="C100" s="14">
        <f>SUMIF(Data!$G$2:$G$2797,$A100,Data!$B$2:$B$2797)</f>
        <v>9</v>
      </c>
      <c r="D100" s="14">
        <f>SUMIF(Data!$G$2:$G$2797,$A100,Data!$C$2:$C$2797)</f>
        <v>0</v>
      </c>
      <c r="E100" s="14">
        <f>SUMIF(Data!$G$2:$G$2797,$A100,Data!$D$2:$D$2797)</f>
        <v>20</v>
      </c>
      <c r="F100" s="14">
        <f t="shared" si="4"/>
        <v>-11</v>
      </c>
      <c r="G100" s="26">
        <f t="shared" si="5"/>
        <v>0</v>
      </c>
    </row>
    <row r="101" spans="1:7" x14ac:dyDescent="0.25">
      <c r="A101" s="36" t="s">
        <v>416</v>
      </c>
      <c r="B101" s="13" t="str">
        <f>INDEX(Data!$F$2:$F$2797,MATCH($A101,Data!$G$2:$G$2797,0))</f>
        <v>Azad Jummu Kashmir</v>
      </c>
      <c r="C101" s="14">
        <f>SUMIF(Data!$G$2:$G$2797,$A101,Data!$B$2:$B$2797)</f>
        <v>9</v>
      </c>
      <c r="D101" s="14">
        <f>SUMIF(Data!$G$2:$G$2797,$A101,Data!$C$2:$C$2797)</f>
        <v>0</v>
      </c>
      <c r="E101" s="14">
        <f>SUMIF(Data!$G$2:$G$2797,$A101,Data!$D$2:$D$2797)</f>
        <v>0</v>
      </c>
      <c r="F101" s="14">
        <f t="shared" ref="F101:F132" si="6">C101-D101-E101</f>
        <v>9</v>
      </c>
      <c r="G101" s="26">
        <f t="shared" ref="G101:G122" si="7">IF(C101=0,0,D101/C101*100)</f>
        <v>0</v>
      </c>
    </row>
    <row r="102" spans="1:7" x14ac:dyDescent="0.25">
      <c r="A102" s="36" t="s">
        <v>417</v>
      </c>
      <c r="B102" s="13" t="str">
        <f>INDEX(Data!$F$2:$F$2797,MATCH($A102,Data!$G$2:$G$2797,0))</f>
        <v>Khyber Pakhtunkhwa</v>
      </c>
      <c r="C102" s="14">
        <f>SUMIF(Data!$G$2:$G$2797,$A102,Data!$B$2:$B$2797)</f>
        <v>8</v>
      </c>
      <c r="D102" s="14">
        <f>SUMIF(Data!$G$2:$G$2797,$A102,Data!$C$2:$C$2797)</f>
        <v>0</v>
      </c>
      <c r="E102" s="14">
        <f>SUMIF(Data!$G$2:$G$2797,$A102,Data!$D$2:$D$2797)</f>
        <v>10</v>
      </c>
      <c r="F102" s="14">
        <f t="shared" si="6"/>
        <v>-2</v>
      </c>
      <c r="G102" s="26">
        <f t="shared" si="7"/>
        <v>0</v>
      </c>
    </row>
    <row r="103" spans="1:7" x14ac:dyDescent="0.25">
      <c r="A103" s="36" t="s">
        <v>418</v>
      </c>
      <c r="B103" s="13" t="str">
        <f>INDEX(Data!$F$2:$F$2797,MATCH($A103,Data!$G$2:$G$2797,0))</f>
        <v>Punjab</v>
      </c>
      <c r="C103" s="14">
        <f>SUMIF(Data!$G$2:$G$2797,$A103,Data!$B$2:$B$2797)</f>
        <v>8</v>
      </c>
      <c r="D103" s="14">
        <f>SUMIF(Data!$G$2:$G$2797,$A103,Data!$C$2:$C$2797)</f>
        <v>0</v>
      </c>
      <c r="E103" s="14">
        <f>SUMIF(Data!$G$2:$G$2797,$A103,Data!$D$2:$D$2797)</f>
        <v>0</v>
      </c>
      <c r="F103" s="14">
        <f t="shared" si="6"/>
        <v>8</v>
      </c>
      <c r="G103" s="26">
        <f t="shared" si="7"/>
        <v>0</v>
      </c>
    </row>
    <row r="104" spans="1:7" x14ac:dyDescent="0.25">
      <c r="A104" s="36" t="s">
        <v>419</v>
      </c>
      <c r="B104" s="13" t="str">
        <f>INDEX(Data!$F$2:$F$2797,MATCH($A104,Data!$G$2:$G$2797,0))</f>
        <v>Punjab</v>
      </c>
      <c r="C104" s="14">
        <f>SUMIF(Data!$G$2:$G$2797,$A104,Data!$B$2:$B$2797)</f>
        <v>8</v>
      </c>
      <c r="D104" s="14">
        <f>SUMIF(Data!$G$2:$G$2797,$A104,Data!$C$2:$C$2797)</f>
        <v>0</v>
      </c>
      <c r="E104" s="14">
        <f>SUMIF(Data!$G$2:$G$2797,$A104,Data!$D$2:$D$2797)</f>
        <v>0</v>
      </c>
      <c r="F104" s="14">
        <f t="shared" si="6"/>
        <v>8</v>
      </c>
      <c r="G104" s="26">
        <f t="shared" si="7"/>
        <v>0</v>
      </c>
    </row>
    <row r="105" spans="1:7" x14ac:dyDescent="0.25">
      <c r="A105" s="36" t="s">
        <v>420</v>
      </c>
      <c r="B105" s="13" t="str">
        <f>INDEX(Data!$F$2:$F$2797,MATCH($A105,Data!$G$2:$G$2797,0))</f>
        <v>Federal Administration Tribal Area</v>
      </c>
      <c r="C105" s="14">
        <f>SUMIF(Data!$G$2:$G$2797,$A105,Data!$B$2:$B$2797)</f>
        <v>8</v>
      </c>
      <c r="D105" s="14">
        <f>SUMIF(Data!$G$2:$G$2797,$A105,Data!$C$2:$C$2797)</f>
        <v>0</v>
      </c>
      <c r="E105" s="14">
        <f>SUMIF(Data!$G$2:$G$2797,$A105,Data!$D$2:$D$2797)</f>
        <v>3</v>
      </c>
      <c r="F105" s="14">
        <f t="shared" si="6"/>
        <v>5</v>
      </c>
      <c r="G105" s="26">
        <f t="shared" si="7"/>
        <v>0</v>
      </c>
    </row>
    <row r="106" spans="1:7" x14ac:dyDescent="0.25">
      <c r="A106" s="36" t="s">
        <v>421</v>
      </c>
      <c r="B106" s="13" t="str">
        <f>INDEX(Data!$F$2:$F$2797,MATCH($A106,Data!$G$2:$G$2797,0))</f>
        <v>Punjab</v>
      </c>
      <c r="C106" s="14">
        <f>SUMIF(Data!$G$2:$G$2797,$A106,Data!$B$2:$B$2797)</f>
        <v>7</v>
      </c>
      <c r="D106" s="14">
        <f>SUMIF(Data!$G$2:$G$2797,$A106,Data!$C$2:$C$2797)</f>
        <v>0</v>
      </c>
      <c r="E106" s="14">
        <f>SUMIF(Data!$G$2:$G$2797,$A106,Data!$D$2:$D$2797)</f>
        <v>0</v>
      </c>
      <c r="F106" s="14">
        <f t="shared" si="6"/>
        <v>7</v>
      </c>
      <c r="G106" s="26">
        <f t="shared" si="7"/>
        <v>0</v>
      </c>
    </row>
    <row r="107" spans="1:7" x14ac:dyDescent="0.25">
      <c r="A107" s="36" t="s">
        <v>422</v>
      </c>
      <c r="B107" s="13" t="str">
        <f>INDEX(Data!$F$2:$F$2797,MATCH($A107,Data!$G$2:$G$2797,0))</f>
        <v>Punjab</v>
      </c>
      <c r="C107" s="14">
        <f>SUMIF(Data!$G$2:$G$2797,$A107,Data!$B$2:$B$2797)</f>
        <v>7</v>
      </c>
      <c r="D107" s="14">
        <f>SUMIF(Data!$G$2:$G$2797,$A107,Data!$C$2:$C$2797)</f>
        <v>0</v>
      </c>
      <c r="E107" s="14">
        <f>SUMIF(Data!$G$2:$G$2797,$A107,Data!$D$2:$D$2797)</f>
        <v>0</v>
      </c>
      <c r="F107" s="14">
        <f t="shared" si="6"/>
        <v>7</v>
      </c>
      <c r="G107" s="26">
        <f t="shared" si="7"/>
        <v>0</v>
      </c>
    </row>
    <row r="108" spans="1:7" x14ac:dyDescent="0.25">
      <c r="A108" s="36" t="s">
        <v>423</v>
      </c>
      <c r="B108" s="13" t="str">
        <f>INDEX(Data!$F$2:$F$2797,MATCH($A108,Data!$G$2:$G$2797,0))</f>
        <v>Sindh</v>
      </c>
      <c r="C108" s="14">
        <f>SUMIF(Data!$G$2:$G$2797,$A108,Data!$B$2:$B$2797)</f>
        <v>7</v>
      </c>
      <c r="D108" s="14">
        <f>SUMIF(Data!$G$2:$G$2797,$A108,Data!$C$2:$C$2797)</f>
        <v>0</v>
      </c>
      <c r="E108" s="14">
        <f>SUMIF(Data!$G$2:$G$2797,$A108,Data!$D$2:$D$2797)</f>
        <v>2</v>
      </c>
      <c r="F108" s="14">
        <f t="shared" si="6"/>
        <v>5</v>
      </c>
      <c r="G108" s="26">
        <f t="shared" si="7"/>
        <v>0</v>
      </c>
    </row>
    <row r="109" spans="1:7" x14ac:dyDescent="0.25">
      <c r="A109" s="36" t="s">
        <v>424</v>
      </c>
      <c r="B109" s="13" t="str">
        <f>INDEX(Data!$F$2:$F$2797,MATCH($A109,Data!$G$2:$G$2797,0))</f>
        <v>Punjab</v>
      </c>
      <c r="C109" s="14">
        <f>SUMIF(Data!$G$2:$G$2797,$A109,Data!$B$2:$B$2797)</f>
        <v>5</v>
      </c>
      <c r="D109" s="14">
        <f>SUMIF(Data!$G$2:$G$2797,$A109,Data!$C$2:$C$2797)</f>
        <v>0</v>
      </c>
      <c r="E109" s="14">
        <f>SUMIF(Data!$G$2:$G$2797,$A109,Data!$D$2:$D$2797)</f>
        <v>1</v>
      </c>
      <c r="F109" s="14">
        <f t="shared" si="6"/>
        <v>4</v>
      </c>
      <c r="G109" s="26">
        <f t="shared" si="7"/>
        <v>0</v>
      </c>
    </row>
    <row r="110" spans="1:7" x14ac:dyDescent="0.25">
      <c r="A110" s="36" t="s">
        <v>425</v>
      </c>
      <c r="B110" s="13" t="str">
        <f>INDEX(Data!$F$2:$F$2797,MATCH($A110,Data!$G$2:$G$2797,0))</f>
        <v>Baluchistan</v>
      </c>
      <c r="C110" s="14">
        <f>SUMIF(Data!$G$2:$G$2797,$A110,Data!$B$2:$B$2797)</f>
        <v>3</v>
      </c>
      <c r="D110" s="14">
        <f>SUMIF(Data!$G$2:$G$2797,$A110,Data!$C$2:$C$2797)</f>
        <v>0</v>
      </c>
      <c r="E110" s="14">
        <f>SUMIF(Data!$G$2:$G$2797,$A110,Data!$D$2:$D$2797)</f>
        <v>0</v>
      </c>
      <c r="F110" s="14">
        <f t="shared" si="6"/>
        <v>3</v>
      </c>
      <c r="G110" s="26">
        <f t="shared" si="7"/>
        <v>0</v>
      </c>
    </row>
    <row r="111" spans="1:7" x14ac:dyDescent="0.25">
      <c r="A111" s="36" t="s">
        <v>426</v>
      </c>
      <c r="B111" s="13" t="str">
        <f>INDEX(Data!$F$2:$F$2797,MATCH($A111,Data!$G$2:$G$2797,0))</f>
        <v>Khyber Pakhtunkhwa</v>
      </c>
      <c r="C111" s="14">
        <f>SUMIF(Data!$G$2:$G$2797,$A111,Data!$B$2:$B$2797)</f>
        <v>2</v>
      </c>
      <c r="D111" s="14">
        <f>SUMIF(Data!$G$2:$G$2797,$A111,Data!$C$2:$C$2797)</f>
        <v>0</v>
      </c>
      <c r="E111" s="14">
        <f>SUMIF(Data!$G$2:$G$2797,$A111,Data!$D$2:$D$2797)</f>
        <v>0</v>
      </c>
      <c r="F111" s="14">
        <f t="shared" si="6"/>
        <v>2</v>
      </c>
      <c r="G111" s="26">
        <f t="shared" si="7"/>
        <v>0</v>
      </c>
    </row>
    <row r="112" spans="1:7" x14ac:dyDescent="0.25">
      <c r="A112" s="36" t="s">
        <v>427</v>
      </c>
      <c r="B112" s="13" t="str">
        <f>INDEX(Data!$F$2:$F$2797,MATCH($A112,Data!$G$2:$G$2797,0))</f>
        <v>Azad Jummu Kashmir</v>
      </c>
      <c r="C112" s="14">
        <f>SUMIF(Data!$G$2:$G$2797,$A112,Data!$B$2:$B$2797)</f>
        <v>2</v>
      </c>
      <c r="D112" s="14">
        <f>SUMIF(Data!$G$2:$G$2797,$A112,Data!$C$2:$C$2797)</f>
        <v>0</v>
      </c>
      <c r="E112" s="14">
        <f>SUMIF(Data!$G$2:$G$2797,$A112,Data!$D$2:$D$2797)</f>
        <v>0</v>
      </c>
      <c r="F112" s="14">
        <f t="shared" si="6"/>
        <v>2</v>
      </c>
      <c r="G112" s="26">
        <f t="shared" si="7"/>
        <v>0</v>
      </c>
    </row>
    <row r="113" spans="1:7" x14ac:dyDescent="0.25">
      <c r="A113" s="36" t="s">
        <v>428</v>
      </c>
      <c r="B113" s="13" t="str">
        <f>INDEX(Data!$F$2:$F$2797,MATCH($A113,Data!$G$2:$G$2797,0))</f>
        <v>Punjab</v>
      </c>
      <c r="C113" s="14">
        <f>SUMIF(Data!$G$2:$G$2797,$A113,Data!$B$2:$B$2797)</f>
        <v>2</v>
      </c>
      <c r="D113" s="14">
        <f>SUMIF(Data!$G$2:$G$2797,$A113,Data!$C$2:$C$2797)</f>
        <v>0</v>
      </c>
      <c r="E113" s="14">
        <f>SUMIF(Data!$G$2:$G$2797,$A113,Data!$D$2:$D$2797)</f>
        <v>0</v>
      </c>
      <c r="F113" s="14">
        <f t="shared" si="6"/>
        <v>2</v>
      </c>
      <c r="G113" s="26">
        <f t="shared" si="7"/>
        <v>0</v>
      </c>
    </row>
    <row r="114" spans="1:7" x14ac:dyDescent="0.25">
      <c r="A114" s="36" t="s">
        <v>429</v>
      </c>
      <c r="B114" s="13" t="str">
        <f>INDEX(Data!$F$2:$F$2797,MATCH($A114,Data!$G$2:$G$2797,0))</f>
        <v>Khyber Pakhtunkhwa</v>
      </c>
      <c r="C114" s="14">
        <f>SUMIF(Data!$G$2:$G$2797,$A114,Data!$B$2:$B$2797)</f>
        <v>2</v>
      </c>
      <c r="D114" s="14">
        <f>SUMIF(Data!$G$2:$G$2797,$A114,Data!$C$2:$C$2797)</f>
        <v>0</v>
      </c>
      <c r="E114" s="14">
        <f>SUMIF(Data!$G$2:$G$2797,$A114,Data!$D$2:$D$2797)</f>
        <v>0</v>
      </c>
      <c r="F114" s="14">
        <f t="shared" si="6"/>
        <v>2</v>
      </c>
      <c r="G114" s="26">
        <f t="shared" si="7"/>
        <v>0</v>
      </c>
    </row>
    <row r="115" spans="1:7" x14ac:dyDescent="0.25">
      <c r="A115" s="36" t="s">
        <v>430</v>
      </c>
      <c r="B115" s="13" t="str">
        <f>INDEX(Data!$F$2:$F$2797,MATCH($A115,Data!$G$2:$G$2797,0))</f>
        <v>Azad Jummu Kashmir</v>
      </c>
      <c r="C115" s="14">
        <f>SUMIF(Data!$G$2:$G$2797,$A115,Data!$B$2:$B$2797)</f>
        <v>1</v>
      </c>
      <c r="D115" s="14">
        <f>SUMIF(Data!$G$2:$G$2797,$A115,Data!$C$2:$C$2797)</f>
        <v>0</v>
      </c>
      <c r="E115" s="14">
        <f>SUMIF(Data!$G$2:$G$2797,$A115,Data!$D$2:$D$2797)</f>
        <v>0</v>
      </c>
      <c r="F115" s="14">
        <f t="shared" si="6"/>
        <v>1</v>
      </c>
      <c r="G115" s="26">
        <f t="shared" si="7"/>
        <v>0</v>
      </c>
    </row>
    <row r="116" spans="1:7" x14ac:dyDescent="0.25">
      <c r="A116" s="36" t="s">
        <v>431</v>
      </c>
      <c r="B116" s="13" t="str">
        <f>INDEX(Data!$F$2:$F$2797,MATCH($A116,Data!$G$2:$G$2797,0))</f>
        <v>Khyber Pakhtunkhwa</v>
      </c>
      <c r="C116" s="14">
        <f>SUMIF(Data!$G$2:$G$2797,$A116,Data!$B$2:$B$2797)</f>
        <v>1</v>
      </c>
      <c r="D116" s="14">
        <f>SUMIF(Data!$G$2:$G$2797,$A116,Data!$C$2:$C$2797)</f>
        <v>0</v>
      </c>
      <c r="E116" s="14">
        <f>SUMIF(Data!$G$2:$G$2797,$A116,Data!$D$2:$D$2797)</f>
        <v>0</v>
      </c>
      <c r="F116" s="14">
        <f t="shared" si="6"/>
        <v>1</v>
      </c>
      <c r="G116" s="26">
        <f t="shared" si="7"/>
        <v>0</v>
      </c>
    </row>
    <row r="117" spans="1:7" x14ac:dyDescent="0.25">
      <c r="A117" s="36" t="s">
        <v>432</v>
      </c>
      <c r="B117" s="13" t="str">
        <f>INDEX(Data!$F$2:$F$2797,MATCH($A117,Data!$G$2:$G$2797,0))</f>
        <v>Punjab</v>
      </c>
      <c r="C117" s="14">
        <f>SUMIF(Data!$G$2:$G$2797,$A117,Data!$B$2:$B$2797)</f>
        <v>1</v>
      </c>
      <c r="D117" s="14">
        <f>SUMIF(Data!$G$2:$G$2797,$A117,Data!$C$2:$C$2797)</f>
        <v>0</v>
      </c>
      <c r="E117" s="14">
        <f>SUMIF(Data!$G$2:$G$2797,$A117,Data!$D$2:$D$2797)</f>
        <v>0</v>
      </c>
      <c r="F117" s="14">
        <f t="shared" si="6"/>
        <v>1</v>
      </c>
      <c r="G117" s="26">
        <f t="shared" si="7"/>
        <v>0</v>
      </c>
    </row>
    <row r="118" spans="1:7" x14ac:dyDescent="0.25">
      <c r="A118" s="36" t="s">
        <v>433</v>
      </c>
      <c r="B118" s="13" t="str">
        <f>INDEX(Data!$F$2:$F$2797,MATCH($A118,Data!$G$2:$G$2797,0))</f>
        <v>Baluchistan</v>
      </c>
      <c r="C118" s="14">
        <f>SUMIF(Data!$G$2:$G$2797,$A118,Data!$B$2:$B$2797)</f>
        <v>1</v>
      </c>
      <c r="D118" s="14">
        <f>SUMIF(Data!$G$2:$G$2797,$A118,Data!$C$2:$C$2797)</f>
        <v>0</v>
      </c>
      <c r="E118" s="14">
        <f>SUMIF(Data!$G$2:$G$2797,$A118,Data!$D$2:$D$2797)</f>
        <v>0</v>
      </c>
      <c r="F118" s="14">
        <f t="shared" si="6"/>
        <v>1</v>
      </c>
      <c r="G118" s="26">
        <f t="shared" si="7"/>
        <v>0</v>
      </c>
    </row>
    <row r="119" spans="1:7" x14ac:dyDescent="0.25">
      <c r="A119" s="36" t="s">
        <v>434</v>
      </c>
      <c r="B119" s="13" t="str">
        <f>INDEX(Data!$F$2:$F$2797,MATCH($A119,Data!$G$2:$G$2797,0))</f>
        <v>Punjab</v>
      </c>
      <c r="C119" s="14">
        <f>SUMIF(Data!$G$2:$G$2797,$A119,Data!$B$2:$B$2797)</f>
        <v>1</v>
      </c>
      <c r="D119" s="14">
        <f>SUMIF(Data!$G$2:$G$2797,$A119,Data!$C$2:$C$2797)</f>
        <v>0</v>
      </c>
      <c r="E119" s="14">
        <f>SUMIF(Data!$G$2:$G$2797,$A119,Data!$D$2:$D$2797)</f>
        <v>0</v>
      </c>
      <c r="F119" s="14">
        <f t="shared" si="6"/>
        <v>1</v>
      </c>
      <c r="G119" s="26">
        <f t="shared" si="7"/>
        <v>0</v>
      </c>
    </row>
    <row r="120" spans="1:7" x14ac:dyDescent="0.25">
      <c r="A120" s="36" t="s">
        <v>435</v>
      </c>
      <c r="B120" s="13" t="str">
        <f>INDEX(Data!$F$2:$F$2797,MATCH($A120,Data!$G$2:$G$2797,0))</f>
        <v>Khyber Pakhtunkhwa</v>
      </c>
      <c r="C120" s="14">
        <f>SUMIF(Data!$G$2:$G$2797,$A120,Data!$B$2:$B$2797)</f>
        <v>0</v>
      </c>
      <c r="D120" s="14">
        <f>SUMIF(Data!$G$2:$G$2797,$A120,Data!$C$2:$C$2797)</f>
        <v>0</v>
      </c>
      <c r="E120" s="14">
        <f>SUMIF(Data!$G$2:$G$2797,$A120,Data!$D$2:$D$2797)</f>
        <v>0</v>
      </c>
      <c r="F120" s="14">
        <f t="shared" si="6"/>
        <v>0</v>
      </c>
      <c r="G120" s="26">
        <f t="shared" si="7"/>
        <v>0</v>
      </c>
    </row>
    <row r="121" spans="1:7" x14ac:dyDescent="0.25">
      <c r="A121" s="36" t="s">
        <v>436</v>
      </c>
      <c r="B121" s="13" t="str">
        <f>INDEX(Data!$F$2:$F$2797,MATCH($A121,Data!$G$2:$G$2797,0))</f>
        <v>Khyber Pakhtunkhwa</v>
      </c>
      <c r="C121" s="14">
        <f>SUMIF(Data!$G$2:$G$2797,$A121,Data!$B$2:$B$2797)</f>
        <v>0</v>
      </c>
      <c r="D121" s="14">
        <f>SUMIF(Data!$G$2:$G$2797,$A121,Data!$C$2:$C$2797)</f>
        <v>0</v>
      </c>
      <c r="E121" s="14">
        <f>SUMIF(Data!$G$2:$G$2797,$A121,Data!$D$2:$D$2797)</f>
        <v>0</v>
      </c>
      <c r="F121" s="14">
        <f t="shared" si="6"/>
        <v>0</v>
      </c>
      <c r="G121" s="26">
        <f t="shared" si="7"/>
        <v>0</v>
      </c>
    </row>
    <row r="122" spans="1:7" x14ac:dyDescent="0.25">
      <c r="A122" s="20" t="s">
        <v>53</v>
      </c>
      <c r="B122" s="20"/>
      <c r="C122" s="22">
        <f>SUM(C5:C121)</f>
        <v>83985</v>
      </c>
      <c r="D122" s="22">
        <f>SUM(D5:D121)</f>
        <v>1728</v>
      </c>
      <c r="E122" s="22">
        <f>SUM(E5:E121)</f>
        <v>24753</v>
      </c>
      <c r="F122" s="22">
        <f>SUM(F5:F121)</f>
        <v>57504</v>
      </c>
      <c r="G122" s="27">
        <f t="shared" si="7"/>
        <v>2.0575102696910164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235"/>
    <pageSetUpPr fitToPage="1"/>
  </sheetPr>
  <dimension ref="A1:J121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28" customWidth="1"/>
    <col min="2" max="7" width="13" customWidth="1"/>
    <col min="8" max="9" width="12" customWidth="1"/>
    <col min="10" max="10" width="13" customWidth="1"/>
  </cols>
  <sheetData>
    <row r="1" spans="1:10" ht="20.25" x14ac:dyDescent="0.3">
      <c r="A1" s="8" t="s">
        <v>437</v>
      </c>
    </row>
    <row r="2" spans="1:10" x14ac:dyDescent="0.25">
      <c r="A2" s="9" t="s">
        <v>438</v>
      </c>
    </row>
    <row r="4" spans="1:10" ht="31.5" customHeight="1" x14ac:dyDescent="0.25">
      <c r="A4" s="11" t="s">
        <v>89</v>
      </c>
      <c r="B4" s="11" t="s">
        <v>439</v>
      </c>
      <c r="C4" s="11" t="s">
        <v>440</v>
      </c>
      <c r="D4" s="11" t="s">
        <v>441</v>
      </c>
      <c r="E4" s="11" t="s">
        <v>442</v>
      </c>
      <c r="F4" s="11" t="s">
        <v>443</v>
      </c>
      <c r="G4" s="11" t="s">
        <v>444</v>
      </c>
      <c r="H4" s="11" t="s">
        <v>445</v>
      </c>
      <c r="I4" s="11" t="s">
        <v>446</v>
      </c>
      <c r="J4" s="11" t="s">
        <v>447</v>
      </c>
    </row>
    <row r="5" spans="1:10" x14ac:dyDescent="0.25">
      <c r="A5" s="36" t="str">
        <f>City_Agg!A5</f>
        <v>Karachi</v>
      </c>
      <c r="B5" s="14">
        <f>City_Agg!C5</f>
        <v>29346</v>
      </c>
      <c r="C5" s="14">
        <f>City_Agg!D5</f>
        <v>498</v>
      </c>
      <c r="D5" s="14">
        <f>City_Agg!E5</f>
        <v>13248</v>
      </c>
      <c r="E5" s="38">
        <f>IF(Clustering_Guide!$C$7=1,LN(1+MAX(B5,0)),B5)</f>
        <v>10.286945605381202</v>
      </c>
      <c r="F5" s="38">
        <f>IF(Clustering_Guide!$C$7=1,LN(1+MAX(C5,0)),C5)</f>
        <v>6.2126060957515188</v>
      </c>
      <c r="G5" s="38">
        <f>IF(Clustering_Guide!$C$7=1,LN(1+MAX(D5,0)),D5)</f>
        <v>9.4916773568681236</v>
      </c>
      <c r="H5" s="38">
        <f t="shared" ref="H5:H36" si="0">(E5-AVERAGE(E$5:E$121))/STDEV(E$5:E$121)</f>
        <v>3.2743087782752069</v>
      </c>
      <c r="I5" s="38">
        <f t="shared" ref="I5:I36" si="1">(F5-AVERAGE(F$5:F$121))/STDEV(F$5:F$121)</f>
        <v>4.0388517969113016</v>
      </c>
      <c r="J5" s="38">
        <f t="shared" ref="J5:J36" si="2">(G5-AVERAGE(G$5:G$121))/STDEV(G$5:G$121)</f>
        <v>3.2527128596020467</v>
      </c>
    </row>
    <row r="6" spans="1:10" x14ac:dyDescent="0.25">
      <c r="A6" s="36" t="str">
        <f>City_Agg!A6</f>
        <v>Lahore</v>
      </c>
      <c r="B6" s="14">
        <f>City_Agg!C6</f>
        <v>28015</v>
      </c>
      <c r="C6" s="14">
        <f>City_Agg!D6</f>
        <v>582</v>
      </c>
      <c r="D6" s="14">
        <f>City_Agg!E6</f>
        <v>3853</v>
      </c>
      <c r="E6" s="38">
        <f>IF(Clustering_Guide!$C$7=1,LN(1+MAX(B6,0)),B6)</f>
        <v>10.240531054525633</v>
      </c>
      <c r="F6" s="38">
        <f>IF(Clustering_Guide!$C$7=1,LN(1+MAX(C6,0)),C6)</f>
        <v>6.3681871863504922</v>
      </c>
      <c r="G6" s="38">
        <f>IF(Clustering_Guide!$C$7=1,LN(1+MAX(D6,0)),D6)</f>
        <v>8.2568668489743118</v>
      </c>
      <c r="H6" s="38">
        <f t="shared" si="0"/>
        <v>3.2501513961754349</v>
      </c>
      <c r="I6" s="38">
        <f t="shared" si="1"/>
        <v>4.1568410370911772</v>
      </c>
      <c r="J6" s="38">
        <f t="shared" si="2"/>
        <v>2.680512898820258</v>
      </c>
    </row>
    <row r="7" spans="1:10" x14ac:dyDescent="0.25">
      <c r="A7" s="36" t="str">
        <f>City_Agg!A7</f>
        <v>Quetta</v>
      </c>
      <c r="B7" s="14">
        <f>City_Agg!C7</f>
        <v>5109</v>
      </c>
      <c r="C7" s="14">
        <f>City_Agg!D7</f>
        <v>49</v>
      </c>
      <c r="D7" s="14">
        <f>City_Agg!E7</f>
        <v>1981</v>
      </c>
      <c r="E7" s="38">
        <f>IF(Clustering_Guide!$C$7=1,LN(1+MAX(B7,0)),B7)</f>
        <v>8.5389546831977494</v>
      </c>
      <c r="F7" s="38">
        <f>IF(Clustering_Guide!$C$7=1,LN(1+MAX(C7,0)),C7)</f>
        <v>3.912023005428146</v>
      </c>
      <c r="G7" s="38">
        <f>IF(Clustering_Guide!$C$7=1,LN(1+MAX(D7,0)),D7)</f>
        <v>7.5918617148899337</v>
      </c>
      <c r="H7" s="38">
        <f t="shared" si="0"/>
        <v>2.3645319122764876</v>
      </c>
      <c r="I7" s="38">
        <f t="shared" si="1"/>
        <v>2.2941407285360271</v>
      </c>
      <c r="J7" s="38">
        <f t="shared" si="2"/>
        <v>2.3723555668164944</v>
      </c>
    </row>
    <row r="8" spans="1:10" x14ac:dyDescent="0.25">
      <c r="A8" s="36" t="str">
        <f>City_Agg!A8</f>
        <v>Peshawar</v>
      </c>
      <c r="B8" s="14">
        <f>City_Agg!C8</f>
        <v>4923</v>
      </c>
      <c r="C8" s="14">
        <f>City_Agg!D8</f>
        <v>265</v>
      </c>
      <c r="D8" s="14">
        <f>City_Agg!E8</f>
        <v>407</v>
      </c>
      <c r="E8" s="38">
        <f>IF(Clustering_Guide!$C$7=1,LN(1+MAX(B8,0)),B8)</f>
        <v>8.5018764873043438</v>
      </c>
      <c r="F8" s="38">
        <f>IF(Clustering_Guide!$C$7=1,LN(1+MAX(C8,0)),C8)</f>
        <v>5.5834963087816991</v>
      </c>
      <c r="G8" s="38">
        <f>IF(Clustering_Guide!$C$7=1,LN(1+MAX(D8,0)),D8)</f>
        <v>6.0112671744041615</v>
      </c>
      <c r="H8" s="38">
        <f t="shared" si="0"/>
        <v>2.3452338230080074</v>
      </c>
      <c r="I8" s="38">
        <f t="shared" si="1"/>
        <v>3.5617489210507416</v>
      </c>
      <c r="J8" s="38">
        <f t="shared" si="2"/>
        <v>1.6399224296702051</v>
      </c>
    </row>
    <row r="9" spans="1:10" x14ac:dyDescent="0.25">
      <c r="A9" s="36" t="str">
        <f>City_Agg!A9</f>
        <v>Islamabad</v>
      </c>
      <c r="B9" s="14">
        <f>City_Agg!C9</f>
        <v>3523</v>
      </c>
      <c r="C9" s="14">
        <f>City_Agg!D9</f>
        <v>36</v>
      </c>
      <c r="D9" s="14">
        <f>City_Agg!E9</f>
        <v>460</v>
      </c>
      <c r="E9" s="38">
        <f>IF(Clustering_Guide!$C$7=1,LN(1+MAX(B9,0)),B9)</f>
        <v>8.1673519870560707</v>
      </c>
      <c r="F9" s="38">
        <f>IF(Clustering_Guide!$C$7=1,LN(1+MAX(C9,0)),C9)</f>
        <v>3.6109179126442243</v>
      </c>
      <c r="G9" s="38">
        <f>IF(Clustering_Guide!$C$7=1,LN(1+MAX(D9,0)),D9)</f>
        <v>6.1333980429966486</v>
      </c>
      <c r="H9" s="38">
        <f t="shared" si="0"/>
        <v>2.1711238504828065</v>
      </c>
      <c r="I9" s="38">
        <f t="shared" si="1"/>
        <v>2.0657893204369486</v>
      </c>
      <c r="J9" s="38">
        <f t="shared" si="2"/>
        <v>1.6965167635960359</v>
      </c>
    </row>
    <row r="10" spans="1:10" x14ac:dyDescent="0.25">
      <c r="A10" s="36" t="str">
        <f>City_Agg!A10</f>
        <v>Swat</v>
      </c>
      <c r="B10" s="14">
        <f>City_Agg!C10</f>
        <v>958</v>
      </c>
      <c r="C10" s="14">
        <f>City_Agg!D10</f>
        <v>45</v>
      </c>
      <c r="D10" s="14">
        <f>City_Agg!E10</f>
        <v>266</v>
      </c>
      <c r="E10" s="38">
        <f>IF(Clustering_Guide!$C$7=1,LN(1+MAX(B10,0)),B10)</f>
        <v>6.8658910748834385</v>
      </c>
      <c r="F10" s="38">
        <f>IF(Clustering_Guide!$C$7=1,LN(1+MAX(C10,0)),C10)</f>
        <v>3.8286413964890951</v>
      </c>
      <c r="G10" s="38">
        <f>IF(Clustering_Guide!$C$7=1,LN(1+MAX(D10,0)),D10)</f>
        <v>5.5872486584002496</v>
      </c>
      <c r="H10" s="38">
        <f t="shared" si="0"/>
        <v>1.4937524666444724</v>
      </c>
      <c r="I10" s="38">
        <f t="shared" si="1"/>
        <v>2.2309059700842244</v>
      </c>
      <c r="J10" s="38">
        <f t="shared" si="2"/>
        <v>1.4434361051069102</v>
      </c>
    </row>
    <row r="11" spans="1:10" x14ac:dyDescent="0.25">
      <c r="A11" s="36" t="str">
        <f>City_Agg!A11</f>
        <v>Multan</v>
      </c>
      <c r="B11" s="14">
        <f>City_Agg!C11</f>
        <v>712</v>
      </c>
      <c r="C11" s="14">
        <f>City_Agg!D11</f>
        <v>2</v>
      </c>
      <c r="D11" s="14">
        <f>City_Agg!E11</f>
        <v>1</v>
      </c>
      <c r="E11" s="38">
        <f>IF(Clustering_Guide!$C$7=1,LN(1+MAX(B11,0)),B11)</f>
        <v>6.5694814204142959</v>
      </c>
      <c r="F11" s="38">
        <f>IF(Clustering_Guide!$C$7=1,LN(1+MAX(C11,0)),C11)</f>
        <v>1.0986122886681098</v>
      </c>
      <c r="G11" s="38">
        <f>IF(Clustering_Guide!$C$7=1,LN(1+MAX(D11,0)),D11)</f>
        <v>0.69314718055994529</v>
      </c>
      <c r="H11" s="38">
        <f t="shared" si="0"/>
        <v>1.3394801285719993</v>
      </c>
      <c r="I11" s="38">
        <f t="shared" si="1"/>
        <v>0.16051258962499582</v>
      </c>
      <c r="J11" s="38">
        <f t="shared" si="2"/>
        <v>-0.82444601589876665</v>
      </c>
    </row>
    <row r="12" spans="1:10" x14ac:dyDescent="0.25">
      <c r="A12" s="36" t="str">
        <f>City_Agg!A12</f>
        <v>Sukkur</v>
      </c>
      <c r="B12" s="14">
        <f>City_Agg!C12</f>
        <v>681</v>
      </c>
      <c r="C12" s="14">
        <f>City_Agg!D12</f>
        <v>5</v>
      </c>
      <c r="D12" s="14">
        <f>City_Agg!E12</f>
        <v>488</v>
      </c>
      <c r="E12" s="38">
        <f>IF(Clustering_Guide!$C$7=1,LN(1+MAX(B12,0)),B12)</f>
        <v>6.5250296578434623</v>
      </c>
      <c r="F12" s="38">
        <f>IF(Clustering_Guide!$C$7=1,LN(1+MAX(C12,0)),C12)</f>
        <v>1.791759469228055</v>
      </c>
      <c r="G12" s="38">
        <f>IF(Clustering_Guide!$C$7=1,LN(1+MAX(D12,0)),D12)</f>
        <v>6.1923624894748723</v>
      </c>
      <c r="H12" s="38">
        <f t="shared" si="0"/>
        <v>1.3163443189252899</v>
      </c>
      <c r="I12" s="38">
        <f t="shared" si="1"/>
        <v>0.68618000108374222</v>
      </c>
      <c r="J12" s="38">
        <f t="shared" si="2"/>
        <v>1.7238403519091188</v>
      </c>
    </row>
    <row r="13" spans="1:10" x14ac:dyDescent="0.25">
      <c r="A13" s="36" t="str">
        <f>City_Agg!A13</f>
        <v>Hyderabad</v>
      </c>
      <c r="B13" s="14">
        <f>City_Agg!C13</f>
        <v>610</v>
      </c>
      <c r="C13" s="14">
        <f>City_Agg!D13</f>
        <v>11</v>
      </c>
      <c r="D13" s="14">
        <f>City_Agg!E13</f>
        <v>459</v>
      </c>
      <c r="E13" s="38">
        <f>IF(Clustering_Guide!$C$7=1,LN(1+MAX(B13,0)),B13)</f>
        <v>6.4150969591715956</v>
      </c>
      <c r="F13" s="38">
        <f>IF(Clustering_Guide!$C$7=1,LN(1+MAX(C13,0)),C13)</f>
        <v>2.4849066497880004</v>
      </c>
      <c r="G13" s="38">
        <f>IF(Clustering_Guide!$C$7=1,LN(1+MAX(D13,0)),D13)</f>
        <v>6.131226489483141</v>
      </c>
      <c r="H13" s="38">
        <f t="shared" si="0"/>
        <v>1.2591276453149129</v>
      </c>
      <c r="I13" s="38">
        <f t="shared" si="1"/>
        <v>1.2118474125424887</v>
      </c>
      <c r="J13" s="38">
        <f t="shared" si="2"/>
        <v>1.6955104854445937</v>
      </c>
    </row>
    <row r="14" spans="1:10" x14ac:dyDescent="0.25">
      <c r="A14" s="36" t="str">
        <f>City_Agg!A14</f>
        <v>Raiwind</v>
      </c>
      <c r="B14" s="14">
        <f>City_Agg!C14</f>
        <v>546</v>
      </c>
      <c r="C14" s="14">
        <f>City_Agg!D14</f>
        <v>1</v>
      </c>
      <c r="D14" s="14">
        <f>City_Agg!E14</f>
        <v>1</v>
      </c>
      <c r="E14" s="38">
        <f>IF(Clustering_Guide!$C$7=1,LN(1+MAX(B14,0)),B14)</f>
        <v>6.3044488024219811</v>
      </c>
      <c r="F14" s="38">
        <f>IF(Clustering_Guide!$C$7=1,LN(1+MAX(C14,0)),C14)</f>
        <v>0.69314718055994529</v>
      </c>
      <c r="G14" s="38">
        <f>IF(Clustering_Guide!$C$7=1,LN(1+MAX(D14,0)),D14)</f>
        <v>0.69314718055994529</v>
      </c>
      <c r="H14" s="38">
        <f t="shared" si="0"/>
        <v>1.2015385972262329</v>
      </c>
      <c r="I14" s="38">
        <f t="shared" si="1"/>
        <v>-0.14698313392952958</v>
      </c>
      <c r="J14" s="38">
        <f t="shared" si="2"/>
        <v>-0.82444601589876665</v>
      </c>
    </row>
    <row r="15" spans="1:10" x14ac:dyDescent="0.25">
      <c r="A15" s="36" t="str">
        <f>City_Agg!A15</f>
        <v>Malakand</v>
      </c>
      <c r="B15" s="14">
        <f>City_Agg!C15</f>
        <v>486</v>
      </c>
      <c r="C15" s="14">
        <f>City_Agg!D15</f>
        <v>16</v>
      </c>
      <c r="D15" s="14">
        <f>City_Agg!E15</f>
        <v>99</v>
      </c>
      <c r="E15" s="38">
        <f>IF(Clustering_Guide!$C$7=1,LN(1+MAX(B15,0)),B15)</f>
        <v>6.1882641230825897</v>
      </c>
      <c r="F15" s="38">
        <f>IF(Clustering_Guide!$C$7=1,LN(1+MAX(C15,0)),C15)</f>
        <v>2.8332133440562162</v>
      </c>
      <c r="G15" s="38">
        <f>IF(Clustering_Guide!$C$7=1,LN(1+MAX(D15,0)),D15)</f>
        <v>4.6051701859880918</v>
      </c>
      <c r="H15" s="38">
        <f t="shared" si="0"/>
        <v>1.1410679551279186</v>
      </c>
      <c r="I15" s="38">
        <f t="shared" si="1"/>
        <v>1.4759954658056031</v>
      </c>
      <c r="J15" s="38">
        <f t="shared" si="2"/>
        <v>0.98834987138399455</v>
      </c>
    </row>
    <row r="16" spans="1:10" x14ac:dyDescent="0.25">
      <c r="A16" s="36" t="str">
        <f>City_Agg!A16</f>
        <v>Mardan</v>
      </c>
      <c r="B16" s="14">
        <f>City_Agg!C16</f>
        <v>473</v>
      </c>
      <c r="C16" s="14">
        <f>City_Agg!D16</f>
        <v>24</v>
      </c>
      <c r="D16" s="14">
        <f>City_Agg!E16</f>
        <v>146</v>
      </c>
      <c r="E16" s="38">
        <f>IF(Clustering_Guide!$C$7=1,LN(1+MAX(B16,0)),B16)</f>
        <v>6.1612073216950769</v>
      </c>
      <c r="F16" s="38">
        <f>IF(Clustering_Guide!$C$7=1,LN(1+MAX(C16,0)),C16)</f>
        <v>3.2188758248682006</v>
      </c>
      <c r="G16" s="38">
        <f>IF(Clustering_Guide!$C$7=1,LN(1+MAX(D16,0)),D16)</f>
        <v>4.990432586778736</v>
      </c>
      <c r="H16" s="38">
        <f t="shared" si="0"/>
        <v>1.126985701234098</v>
      </c>
      <c r="I16" s="38">
        <f t="shared" si="1"/>
        <v>1.7684733170772808</v>
      </c>
      <c r="J16" s="38">
        <f t="shared" si="2"/>
        <v>1.1668769645807604</v>
      </c>
    </row>
    <row r="17" spans="1:10" x14ac:dyDescent="0.25">
      <c r="A17" s="36" t="str">
        <f>City_Agg!A17</f>
        <v>Gilgit</v>
      </c>
      <c r="B17" s="14">
        <f>City_Agg!C17</f>
        <v>402</v>
      </c>
      <c r="C17" s="14">
        <f>City_Agg!D17</f>
        <v>8</v>
      </c>
      <c r="D17" s="14">
        <f>City_Agg!E17</f>
        <v>121</v>
      </c>
      <c r="E17" s="38">
        <f>IF(Clustering_Guide!$C$7=1,LN(1+MAX(B17,0)),B17)</f>
        <v>5.9989365619466826</v>
      </c>
      <c r="F17" s="38">
        <f>IF(Clustering_Guide!$C$7=1,LN(1+MAX(C17,0)),C17)</f>
        <v>2.1972245773362196</v>
      </c>
      <c r="G17" s="38">
        <f>IF(Clustering_Guide!$C$7=1,LN(1+MAX(D17,0)),D17)</f>
        <v>4.8040210447332568</v>
      </c>
      <c r="H17" s="38">
        <f t="shared" si="0"/>
        <v>1.0425286360551109</v>
      </c>
      <c r="I17" s="38">
        <f t="shared" si="1"/>
        <v>0.99367572463826759</v>
      </c>
      <c r="J17" s="38">
        <f t="shared" si="2"/>
        <v>1.0804955511041037</v>
      </c>
    </row>
    <row r="18" spans="1:10" x14ac:dyDescent="0.25">
      <c r="A18" s="36" t="str">
        <f>City_Agg!A18</f>
        <v>Larkana</v>
      </c>
      <c r="B18" s="14">
        <f>City_Agg!C18</f>
        <v>398</v>
      </c>
      <c r="C18" s="14">
        <f>City_Agg!D18</f>
        <v>3</v>
      </c>
      <c r="D18" s="14">
        <f>City_Agg!E18</f>
        <v>282</v>
      </c>
      <c r="E18" s="38">
        <f>IF(Clustering_Guide!$C$7=1,LN(1+MAX(B18,0)),B18)</f>
        <v>5.9889614168898637</v>
      </c>
      <c r="F18" s="38">
        <f>IF(Clustering_Guide!$C$7=1,LN(1+MAX(C18,0)),C18)</f>
        <v>1.3862943611198906</v>
      </c>
      <c r="G18" s="38">
        <f>IF(Clustering_Guide!$C$7=1,LN(1+MAX(D18,0)),D18)</f>
        <v>5.6454468976432377</v>
      </c>
      <c r="H18" s="38">
        <f t="shared" si="0"/>
        <v>1.0373368721320242</v>
      </c>
      <c r="I18" s="38">
        <f t="shared" si="1"/>
        <v>0.37868427752921691</v>
      </c>
      <c r="J18" s="38">
        <f t="shared" si="2"/>
        <v>1.4704046399545831</v>
      </c>
    </row>
    <row r="19" spans="1:10" x14ac:dyDescent="0.25">
      <c r="A19" s="36" t="str">
        <f>City_Agg!A19</f>
        <v>Ghotki</v>
      </c>
      <c r="B19" s="14">
        <f>City_Agg!C19</f>
        <v>376</v>
      </c>
      <c r="C19" s="14">
        <f>City_Agg!D19</f>
        <v>1</v>
      </c>
      <c r="D19" s="14">
        <f>City_Agg!E19</f>
        <v>146</v>
      </c>
      <c r="E19" s="38">
        <f>IF(Clustering_Guide!$C$7=1,LN(1+MAX(B19,0)),B19)</f>
        <v>5.9322451874480109</v>
      </c>
      <c r="F19" s="38">
        <f>IF(Clustering_Guide!$C$7=1,LN(1+MAX(C19,0)),C19)</f>
        <v>0.69314718055994529</v>
      </c>
      <c r="G19" s="38">
        <f>IF(Clustering_Guide!$C$7=1,LN(1+MAX(D19,0)),D19)</f>
        <v>4.990432586778736</v>
      </c>
      <c r="H19" s="38">
        <f t="shared" si="0"/>
        <v>1.0078177751973447</v>
      </c>
      <c r="I19" s="38">
        <f t="shared" si="1"/>
        <v>-0.14698313392952958</v>
      </c>
      <c r="J19" s="38">
        <f t="shared" si="2"/>
        <v>1.1668769645807604</v>
      </c>
    </row>
    <row r="20" spans="1:10" x14ac:dyDescent="0.25">
      <c r="A20" s="36" t="str">
        <f>City_Agg!A20</f>
        <v>Dir Lower</v>
      </c>
      <c r="B20" s="14">
        <f>City_Agg!C20</f>
        <v>350</v>
      </c>
      <c r="C20" s="14">
        <f>City_Agg!D20</f>
        <v>8</v>
      </c>
      <c r="D20" s="14">
        <f>City_Agg!E20</f>
        <v>101</v>
      </c>
      <c r="E20" s="38">
        <f>IF(Clustering_Guide!$C$7=1,LN(1+MAX(B20,0)),B20)</f>
        <v>5.8607862234658654</v>
      </c>
      <c r="F20" s="38">
        <f>IF(Clustering_Guide!$C$7=1,LN(1+MAX(C20,0)),C20)</f>
        <v>2.1972245773362196</v>
      </c>
      <c r="G20" s="38">
        <f>IF(Clustering_Guide!$C$7=1,LN(1+MAX(D20,0)),D20)</f>
        <v>4.6249728132842707</v>
      </c>
      <c r="H20" s="38">
        <f t="shared" si="0"/>
        <v>0.97062552695729998</v>
      </c>
      <c r="I20" s="38">
        <f t="shared" si="1"/>
        <v>0.99367572463826759</v>
      </c>
      <c r="J20" s="38">
        <f t="shared" si="2"/>
        <v>0.99752622880062936</v>
      </c>
    </row>
    <row r="21" spans="1:10" x14ac:dyDescent="0.25">
      <c r="A21" s="36" t="str">
        <f>City_Agg!A21</f>
        <v>Khairpur</v>
      </c>
      <c r="B21" s="14">
        <f>City_Agg!C21</f>
        <v>294</v>
      </c>
      <c r="C21" s="14">
        <f>City_Agg!D21</f>
        <v>3</v>
      </c>
      <c r="D21" s="14">
        <f>City_Agg!E21</f>
        <v>360</v>
      </c>
      <c r="E21" s="38">
        <f>IF(Clustering_Guide!$C$7=1,LN(1+MAX(B21,0)),B21)</f>
        <v>5.6869753563398202</v>
      </c>
      <c r="F21" s="38">
        <f>IF(Clustering_Guide!$C$7=1,LN(1+MAX(C21,0)),C21)</f>
        <v>1.3862943611198906</v>
      </c>
      <c r="G21" s="38">
        <f>IF(Clustering_Guide!$C$7=1,LN(1+MAX(D21,0)),D21)</f>
        <v>5.8888779583328805</v>
      </c>
      <c r="H21" s="38">
        <f t="shared" si="0"/>
        <v>0.88016218188859063</v>
      </c>
      <c r="I21" s="38">
        <f t="shared" si="1"/>
        <v>0.37868427752921691</v>
      </c>
      <c r="J21" s="38">
        <f t="shared" si="2"/>
        <v>1.5832083798719481</v>
      </c>
    </row>
    <row r="22" spans="1:10" x14ac:dyDescent="0.25">
      <c r="A22" s="36" t="str">
        <f>City_Agg!A22</f>
        <v>Abbottabad</v>
      </c>
      <c r="B22" s="14">
        <f>City_Agg!C22</f>
        <v>279</v>
      </c>
      <c r="C22" s="14">
        <f>City_Agg!D22</f>
        <v>14</v>
      </c>
      <c r="D22" s="14">
        <f>City_Agg!E22</f>
        <v>44</v>
      </c>
      <c r="E22" s="38">
        <f>IF(Clustering_Guide!$C$7=1,LN(1+MAX(B22,0)),B22)</f>
        <v>5.6347896031692493</v>
      </c>
      <c r="F22" s="38">
        <f>IF(Clustering_Guide!$C$7=1,LN(1+MAX(C22,0)),C22)</f>
        <v>2.7080502011022101</v>
      </c>
      <c r="G22" s="38">
        <f>IF(Clustering_Guide!$C$7=1,LN(1+MAX(D22,0)),D22)</f>
        <v>3.8066624897703196</v>
      </c>
      <c r="H22" s="38">
        <f t="shared" si="0"/>
        <v>0.85300106201847159</v>
      </c>
      <c r="I22" s="38">
        <f t="shared" si="1"/>
        <v>1.3810745208577742</v>
      </c>
      <c r="J22" s="38">
        <f t="shared" si="2"/>
        <v>0.61832866607444492</v>
      </c>
    </row>
    <row r="23" spans="1:10" x14ac:dyDescent="0.25">
      <c r="A23" s="36" t="str">
        <f>City_Agg!A23</f>
        <v>Nowshera</v>
      </c>
      <c r="B23" s="14">
        <f>City_Agg!C23</f>
        <v>278</v>
      </c>
      <c r="C23" s="14">
        <f>City_Agg!D23</f>
        <v>14</v>
      </c>
      <c r="D23" s="14">
        <f>City_Agg!E23</f>
        <v>88</v>
      </c>
      <c r="E23" s="38">
        <f>IF(Clustering_Guide!$C$7=1,LN(1+MAX(B23,0)),B23)</f>
        <v>5.6312117818213654</v>
      </c>
      <c r="F23" s="38">
        <f>IF(Clustering_Guide!$C$7=1,LN(1+MAX(C23,0)),C23)</f>
        <v>2.7080502011022101</v>
      </c>
      <c r="G23" s="38">
        <f>IF(Clustering_Guide!$C$7=1,LN(1+MAX(D23,0)),D23)</f>
        <v>4.4886363697321396</v>
      </c>
      <c r="H23" s="38">
        <f t="shared" si="0"/>
        <v>0.85113891327863989</v>
      </c>
      <c r="I23" s="38">
        <f t="shared" si="1"/>
        <v>1.3810745208577742</v>
      </c>
      <c r="J23" s="38">
        <f t="shared" si="2"/>
        <v>0.9343491606149037</v>
      </c>
    </row>
    <row r="24" spans="1:10" x14ac:dyDescent="0.25">
      <c r="A24" s="36" t="str">
        <f>City_Agg!A24</f>
        <v>Muzaffarabad</v>
      </c>
      <c r="B24" s="14">
        <f>City_Agg!C24</f>
        <v>273</v>
      </c>
      <c r="C24" s="14">
        <f>City_Agg!D24</f>
        <v>6</v>
      </c>
      <c r="D24" s="14">
        <f>City_Agg!E24</f>
        <v>110</v>
      </c>
      <c r="E24" s="38">
        <f>IF(Clustering_Guide!$C$7=1,LN(1+MAX(B24,0)),B24)</f>
        <v>5.6131281063880705</v>
      </c>
      <c r="F24" s="38">
        <f>IF(Clustering_Guide!$C$7=1,LN(1+MAX(C24,0)),C24)</f>
        <v>1.9459101490553132</v>
      </c>
      <c r="G24" s="38">
        <f>IF(Clustering_Guide!$C$7=1,LN(1+MAX(D24,0)),D24)</f>
        <v>4.7095302013123339</v>
      </c>
      <c r="H24" s="38">
        <f t="shared" si="0"/>
        <v>0.84172690240795967</v>
      </c>
      <c r="I24" s="38">
        <f t="shared" si="1"/>
        <v>0.80308444953571578</v>
      </c>
      <c r="J24" s="38">
        <f t="shared" si="2"/>
        <v>1.0367093535020828</v>
      </c>
    </row>
    <row r="25" spans="1:10" x14ac:dyDescent="0.25">
      <c r="A25" s="36" t="str">
        <f>City_Agg!A25</f>
        <v>Dera Ghazi Khan</v>
      </c>
      <c r="B25" s="14">
        <f>City_Agg!C25</f>
        <v>247</v>
      </c>
      <c r="C25" s="14">
        <f>City_Agg!D25</f>
        <v>6</v>
      </c>
      <c r="D25" s="14">
        <f>City_Agg!E25</f>
        <v>182</v>
      </c>
      <c r="E25" s="38">
        <f>IF(Clustering_Guide!$C$7=1,LN(1+MAX(B25,0)),B25)</f>
        <v>5.5134287461649825</v>
      </c>
      <c r="F25" s="38">
        <f>IF(Clustering_Guide!$C$7=1,LN(1+MAX(C25,0)),C25)</f>
        <v>1.9459101490553132</v>
      </c>
      <c r="G25" s="38">
        <f>IF(Clustering_Guide!$C$7=1,LN(1+MAX(D25,0)),D25)</f>
        <v>5.2094861528414214</v>
      </c>
      <c r="H25" s="38">
        <f t="shared" si="0"/>
        <v>0.78983637463992185</v>
      </c>
      <c r="I25" s="38">
        <f t="shared" si="1"/>
        <v>0.80308444953571578</v>
      </c>
      <c r="J25" s="38">
        <f t="shared" si="2"/>
        <v>1.2683843951613223</v>
      </c>
    </row>
    <row r="26" spans="1:10" x14ac:dyDescent="0.25">
      <c r="A26" s="36" t="str">
        <f>City_Agg!A26</f>
        <v>Charsadda</v>
      </c>
      <c r="B26" s="14">
        <f>City_Agg!C26</f>
        <v>245</v>
      </c>
      <c r="C26" s="14">
        <f>City_Agg!D26</f>
        <v>6</v>
      </c>
      <c r="D26" s="14">
        <f>City_Agg!E26</f>
        <v>44</v>
      </c>
      <c r="E26" s="38">
        <f>IF(Clustering_Guide!$C$7=1,LN(1+MAX(B26,0)),B26)</f>
        <v>5.5053315359323625</v>
      </c>
      <c r="F26" s="38">
        <f>IF(Clustering_Guide!$C$7=1,LN(1+MAX(C26,0)),C26)</f>
        <v>1.9459101490553132</v>
      </c>
      <c r="G26" s="38">
        <f>IF(Clustering_Guide!$C$7=1,LN(1+MAX(D26,0)),D26)</f>
        <v>3.8066624897703196</v>
      </c>
      <c r="H26" s="38">
        <f t="shared" si="0"/>
        <v>0.78562201948780019</v>
      </c>
      <c r="I26" s="38">
        <f t="shared" si="1"/>
        <v>0.80308444953571578</v>
      </c>
      <c r="J26" s="38">
        <f t="shared" si="2"/>
        <v>0.61832866607444492</v>
      </c>
    </row>
    <row r="27" spans="1:10" x14ac:dyDescent="0.25">
      <c r="A27" s="36" t="str">
        <f>City_Agg!A27</f>
        <v>Dir Upper</v>
      </c>
      <c r="B27" s="14">
        <f>City_Agg!C27</f>
        <v>244</v>
      </c>
      <c r="C27" s="14">
        <f>City_Agg!D27</f>
        <v>2</v>
      </c>
      <c r="D27" s="14">
        <f>City_Agg!E27</f>
        <v>93</v>
      </c>
      <c r="E27" s="38">
        <f>IF(Clustering_Guide!$C$7=1,LN(1+MAX(B27,0)),B27)</f>
        <v>5.5012582105447274</v>
      </c>
      <c r="F27" s="38">
        <f>IF(Clustering_Guide!$C$7=1,LN(1+MAX(C27,0)),C27)</f>
        <v>1.0986122886681098</v>
      </c>
      <c r="G27" s="38">
        <f>IF(Clustering_Guide!$C$7=1,LN(1+MAX(D27,0)),D27)</f>
        <v>4.5432947822700038</v>
      </c>
      <c r="H27" s="38">
        <f t="shared" si="0"/>
        <v>0.78350197575168823</v>
      </c>
      <c r="I27" s="38">
        <f t="shared" si="1"/>
        <v>0.16051258962499582</v>
      </c>
      <c r="J27" s="38">
        <f t="shared" si="2"/>
        <v>0.95967737195633995</v>
      </c>
    </row>
    <row r="28" spans="1:10" x14ac:dyDescent="0.25">
      <c r="A28" s="36" t="str">
        <f>City_Agg!A28</f>
        <v>Khyber</v>
      </c>
      <c r="B28" s="14">
        <f>City_Agg!C28</f>
        <v>244</v>
      </c>
      <c r="C28" s="14">
        <f>City_Agg!D28</f>
        <v>4</v>
      </c>
      <c r="D28" s="14">
        <f>City_Agg!E28</f>
        <v>49</v>
      </c>
      <c r="E28" s="38">
        <f>IF(Clustering_Guide!$C$7=1,LN(1+MAX(B28,0)),B28)</f>
        <v>5.5012582105447274</v>
      </c>
      <c r="F28" s="38">
        <f>IF(Clustering_Guide!$C$7=1,LN(1+MAX(C28,0)),C28)</f>
        <v>1.6094379124341003</v>
      </c>
      <c r="G28" s="38">
        <f>IF(Clustering_Guide!$C$7=1,LN(1+MAX(D28,0)),D28)</f>
        <v>3.912023005428146</v>
      </c>
      <c r="H28" s="38">
        <f t="shared" si="0"/>
        <v>0.78350197575168823</v>
      </c>
      <c r="I28" s="38">
        <f t="shared" si="1"/>
        <v>0.54791138584450239</v>
      </c>
      <c r="J28" s="38">
        <f t="shared" si="2"/>
        <v>0.66715177094920652</v>
      </c>
    </row>
    <row r="29" spans="1:10" x14ac:dyDescent="0.25">
      <c r="A29" s="36" t="str">
        <f>City_Agg!A29</f>
        <v>Bajaur</v>
      </c>
      <c r="B29" s="14">
        <f>City_Agg!C29</f>
        <v>234</v>
      </c>
      <c r="C29" s="14">
        <f>City_Agg!D29</f>
        <v>14</v>
      </c>
      <c r="D29" s="14">
        <f>City_Agg!E29</f>
        <v>56</v>
      </c>
      <c r="E29" s="38">
        <f>IF(Clustering_Guide!$C$7=1,LN(1+MAX(B29,0)),B29)</f>
        <v>5.4595855141441589</v>
      </c>
      <c r="F29" s="38">
        <f>IF(Clustering_Guide!$C$7=1,LN(1+MAX(C29,0)),C29)</f>
        <v>2.7080502011022101</v>
      </c>
      <c r="G29" s="38">
        <f>IF(Clustering_Guide!$C$7=1,LN(1+MAX(D29,0)),D29)</f>
        <v>4.0430512678345503</v>
      </c>
      <c r="H29" s="38">
        <f t="shared" si="0"/>
        <v>0.76181258672347318</v>
      </c>
      <c r="I29" s="38">
        <f t="shared" si="1"/>
        <v>1.3810745208577742</v>
      </c>
      <c r="J29" s="38">
        <f t="shared" si="2"/>
        <v>0.72786907626120334</v>
      </c>
    </row>
    <row r="30" spans="1:10" x14ac:dyDescent="0.25">
      <c r="A30" s="36" t="str">
        <f>City_Agg!A30</f>
        <v>Shikarpur</v>
      </c>
      <c r="B30" s="14">
        <f>City_Agg!C30</f>
        <v>211</v>
      </c>
      <c r="C30" s="14">
        <f>City_Agg!D30</f>
        <v>6</v>
      </c>
      <c r="D30" s="14">
        <f>City_Agg!E30</f>
        <v>186</v>
      </c>
      <c r="E30" s="38">
        <f>IF(Clustering_Guide!$C$7=1,LN(1+MAX(B30,0)),B30)</f>
        <v>5.3565862746720123</v>
      </c>
      <c r="F30" s="38">
        <f>IF(Clustering_Guide!$C$7=1,LN(1+MAX(C30,0)),C30)</f>
        <v>1.9459101490553132</v>
      </c>
      <c r="G30" s="38">
        <f>IF(Clustering_Guide!$C$7=1,LN(1+MAX(D30,0)),D30)</f>
        <v>5.2311086168545868</v>
      </c>
      <c r="H30" s="38">
        <f t="shared" si="0"/>
        <v>0.70820457074466558</v>
      </c>
      <c r="I30" s="38">
        <f t="shared" si="1"/>
        <v>0.80308444953571578</v>
      </c>
      <c r="J30" s="38">
        <f t="shared" si="2"/>
        <v>1.2784040483641788</v>
      </c>
    </row>
    <row r="31" spans="1:10" x14ac:dyDescent="0.25">
      <c r="A31" s="36" t="str">
        <f>City_Agg!A31</f>
        <v>Rawalpindi</v>
      </c>
      <c r="B31" s="14">
        <f>City_Agg!C31</f>
        <v>187</v>
      </c>
      <c r="C31" s="14">
        <f>City_Agg!D31</f>
        <v>1</v>
      </c>
      <c r="D31" s="14">
        <f>City_Agg!E31</f>
        <v>0</v>
      </c>
      <c r="E31" s="38">
        <f>IF(Clustering_Guide!$C$7=1,LN(1+MAX(B31,0)),B31)</f>
        <v>5.2364419628299492</v>
      </c>
      <c r="F31" s="38">
        <f>IF(Clustering_Guide!$C$7=1,LN(1+MAX(C31,0)),C31)</f>
        <v>0.69314718055994529</v>
      </c>
      <c r="G31" s="38">
        <f>IF(Clustering_Guide!$C$7=1,LN(1+MAX(D31,0)),D31)</f>
        <v>0</v>
      </c>
      <c r="H31" s="38">
        <f t="shared" si="0"/>
        <v>0.64567305864807512</v>
      </c>
      <c r="I31" s="38">
        <f t="shared" si="1"/>
        <v>-0.14698313392952958</v>
      </c>
      <c r="J31" s="38">
        <f t="shared" si="2"/>
        <v>-1.1456441163335547</v>
      </c>
    </row>
    <row r="32" spans="1:10" x14ac:dyDescent="0.25">
      <c r="A32" s="36" t="str">
        <f>City_Agg!A32</f>
        <v>Buner</v>
      </c>
      <c r="B32" s="14">
        <f>City_Agg!C32</f>
        <v>172</v>
      </c>
      <c r="C32" s="14">
        <f>City_Agg!D32</f>
        <v>5</v>
      </c>
      <c r="D32" s="14">
        <f>City_Agg!E32</f>
        <v>77</v>
      </c>
      <c r="E32" s="38">
        <f>IF(Clustering_Guide!$C$7=1,LN(1+MAX(B32,0)),B32)</f>
        <v>5.1532915944977793</v>
      </c>
      <c r="F32" s="38">
        <f>IF(Clustering_Guide!$C$7=1,LN(1+MAX(C32,0)),C32)</f>
        <v>1.791759469228055</v>
      </c>
      <c r="G32" s="38">
        <f>IF(Clustering_Guide!$C$7=1,LN(1+MAX(D32,0)),D32)</f>
        <v>4.3567088266895917</v>
      </c>
      <c r="H32" s="38">
        <f t="shared" si="0"/>
        <v>0.60239578498043678</v>
      </c>
      <c r="I32" s="38">
        <f t="shared" si="1"/>
        <v>0.68618000108374222</v>
      </c>
      <c r="J32" s="38">
        <f t="shared" si="2"/>
        <v>0.8732151368336003</v>
      </c>
    </row>
    <row r="33" spans="1:10" x14ac:dyDescent="0.25">
      <c r="A33" s="36" t="str">
        <f>City_Agg!A33</f>
        <v>Sargodha</v>
      </c>
      <c r="B33" s="14">
        <f>City_Agg!C33</f>
        <v>164</v>
      </c>
      <c r="C33" s="14">
        <f>City_Agg!D33</f>
        <v>0</v>
      </c>
      <c r="D33" s="14">
        <f>City_Agg!E33</f>
        <v>4</v>
      </c>
      <c r="E33" s="38">
        <f>IF(Clustering_Guide!$C$7=1,LN(1+MAX(B33,0)),B33)</f>
        <v>5.1059454739005803</v>
      </c>
      <c r="F33" s="38">
        <f>IF(Clustering_Guide!$C$7=1,LN(1+MAX(C33,0)),C33)</f>
        <v>0</v>
      </c>
      <c r="G33" s="38">
        <f>IF(Clustering_Guide!$C$7=1,LN(1+MAX(D33,0)),D33)</f>
        <v>1.6094379124341003</v>
      </c>
      <c r="H33" s="38">
        <f t="shared" si="0"/>
        <v>0.57775354876086193</v>
      </c>
      <c r="I33" s="38">
        <f t="shared" si="1"/>
        <v>-0.67265054538827607</v>
      </c>
      <c r="J33" s="38">
        <f t="shared" si="2"/>
        <v>-0.39984522290956798</v>
      </c>
    </row>
    <row r="34" spans="1:10" x14ac:dyDescent="0.25">
      <c r="A34" s="36" t="str">
        <f>City_Agg!A34</f>
        <v>Shaheed Benazirabad</v>
      </c>
      <c r="B34" s="14">
        <f>City_Agg!C34</f>
        <v>164</v>
      </c>
      <c r="C34" s="14">
        <f>City_Agg!D34</f>
        <v>2</v>
      </c>
      <c r="D34" s="14">
        <f>City_Agg!E34</f>
        <v>63</v>
      </c>
      <c r="E34" s="38">
        <f>IF(Clustering_Guide!$C$7=1,LN(1+MAX(B34,0)),B34)</f>
        <v>5.1059454739005803</v>
      </c>
      <c r="F34" s="38">
        <f>IF(Clustering_Guide!$C$7=1,LN(1+MAX(C34,0)),C34)</f>
        <v>1.0986122886681098</v>
      </c>
      <c r="G34" s="38">
        <f>IF(Clustering_Guide!$C$7=1,LN(1+MAX(D34,0)),D34)</f>
        <v>4.1588830833596715</v>
      </c>
      <c r="H34" s="38">
        <f t="shared" si="0"/>
        <v>0.57775354876086193</v>
      </c>
      <c r="I34" s="38">
        <f t="shared" si="1"/>
        <v>0.16051258962499582</v>
      </c>
      <c r="J34" s="38">
        <f t="shared" si="2"/>
        <v>0.78154448627517237</v>
      </c>
    </row>
    <row r="35" spans="1:10" x14ac:dyDescent="0.25">
      <c r="A35" s="36" t="str">
        <f>City_Agg!A35</f>
        <v>Gujrat</v>
      </c>
      <c r="B35" s="14">
        <f>City_Agg!C35</f>
        <v>163</v>
      </c>
      <c r="C35" s="14">
        <f>City_Agg!D35</f>
        <v>0</v>
      </c>
      <c r="D35" s="14">
        <f>City_Agg!E35</f>
        <v>4</v>
      </c>
      <c r="E35" s="38">
        <f>IF(Clustering_Guide!$C$7=1,LN(1+MAX(B35,0)),B35)</f>
        <v>5.0998664278241987</v>
      </c>
      <c r="F35" s="38">
        <f>IF(Clustering_Guide!$C$7=1,LN(1+MAX(C35,0)),C35)</f>
        <v>0</v>
      </c>
      <c r="G35" s="38">
        <f>IF(Clustering_Guide!$C$7=1,LN(1+MAX(D35,0)),D35)</f>
        <v>1.6094379124341003</v>
      </c>
      <c r="H35" s="38">
        <f t="shared" si="0"/>
        <v>0.57458958754261724</v>
      </c>
      <c r="I35" s="38">
        <f t="shared" si="1"/>
        <v>-0.67265054538827607</v>
      </c>
      <c r="J35" s="38">
        <f t="shared" si="2"/>
        <v>-0.39984522290956798</v>
      </c>
    </row>
    <row r="36" spans="1:10" x14ac:dyDescent="0.25">
      <c r="A36" s="36" t="str">
        <f>City_Agg!A36</f>
        <v>Dera Ismail Khan</v>
      </c>
      <c r="B36" s="14">
        <f>City_Agg!C36</f>
        <v>161</v>
      </c>
      <c r="C36" s="14">
        <f>City_Agg!D36</f>
        <v>4</v>
      </c>
      <c r="D36" s="14">
        <f>City_Agg!E36</f>
        <v>130</v>
      </c>
      <c r="E36" s="38">
        <f>IF(Clustering_Guide!$C$7=1,LN(1+MAX(B36,0)),B36)</f>
        <v>5.0875963352323836</v>
      </c>
      <c r="F36" s="38">
        <f>IF(Clustering_Guide!$C$7=1,LN(1+MAX(C36,0)),C36)</f>
        <v>1.6094379124341003</v>
      </c>
      <c r="G36" s="38">
        <f>IF(Clustering_Guide!$C$7=1,LN(1+MAX(D36,0)),D36)</f>
        <v>4.8751973232011512</v>
      </c>
      <c r="H36" s="38">
        <f t="shared" si="0"/>
        <v>0.56820337223564554</v>
      </c>
      <c r="I36" s="38">
        <f t="shared" si="1"/>
        <v>0.54791138584450239</v>
      </c>
      <c r="J36" s="38">
        <f t="shared" si="2"/>
        <v>1.1134779913146182</v>
      </c>
    </row>
    <row r="37" spans="1:10" x14ac:dyDescent="0.25">
      <c r="A37" s="36" t="str">
        <f>City_Agg!A37</f>
        <v>Karak</v>
      </c>
      <c r="B37" s="14">
        <f>City_Agg!C37</f>
        <v>150</v>
      </c>
      <c r="C37" s="14">
        <f>City_Agg!D37</f>
        <v>3</v>
      </c>
      <c r="D37" s="14">
        <f>City_Agg!E37</f>
        <v>21</v>
      </c>
      <c r="E37" s="38">
        <f>IF(Clustering_Guide!$C$7=1,LN(1+MAX(B37,0)),B37)</f>
        <v>5.0172798368149243</v>
      </c>
      <c r="F37" s="38">
        <f>IF(Clustering_Guide!$C$7=1,LN(1+MAX(C37,0)),C37)</f>
        <v>1.3862943611198906</v>
      </c>
      <c r="G37" s="38">
        <f>IF(Clustering_Guide!$C$7=1,LN(1+MAX(D37,0)),D37)</f>
        <v>3.0910424533583161</v>
      </c>
      <c r="H37" s="38">
        <f t="shared" ref="H37:H68" si="3">(E37-AVERAGE(E$5:E$121))/STDEV(E$5:E$121)</f>
        <v>0.53160574306813768</v>
      </c>
      <c r="I37" s="38">
        <f t="shared" ref="I37:I68" si="4">(F37-AVERAGE(F$5:F$121))/STDEV(F$5:F$121)</f>
        <v>0.37868427752921691</v>
      </c>
      <c r="J37" s="38">
        <f t="shared" ref="J37:J68" si="5">(G37-AVERAGE(G$5:G$121))/STDEV(G$5:G$121)</f>
        <v>0.2867168485915767</v>
      </c>
    </row>
    <row r="38" spans="1:10" x14ac:dyDescent="0.25">
      <c r="A38" s="36" t="str">
        <f>City_Agg!A38</f>
        <v>Shangla</v>
      </c>
      <c r="B38" s="14">
        <f>City_Agg!C38</f>
        <v>137</v>
      </c>
      <c r="C38" s="14">
        <f>City_Agg!D38</f>
        <v>1</v>
      </c>
      <c r="D38" s="14">
        <f>City_Agg!E38</f>
        <v>38</v>
      </c>
      <c r="E38" s="38">
        <f>IF(Clustering_Guide!$C$7=1,LN(1+MAX(B38,0)),B38)</f>
        <v>4.9272536851572051</v>
      </c>
      <c r="F38" s="38">
        <f>IF(Clustering_Guide!$C$7=1,LN(1+MAX(C38,0)),C38)</f>
        <v>0.69314718055994529</v>
      </c>
      <c r="G38" s="38">
        <f>IF(Clustering_Guide!$C$7=1,LN(1+MAX(D38,0)),D38)</f>
        <v>3.6635616461296463</v>
      </c>
      <c r="H38" s="38">
        <f t="shared" si="3"/>
        <v>0.48474983033217361</v>
      </c>
      <c r="I38" s="38">
        <f t="shared" si="4"/>
        <v>-0.14698313392952958</v>
      </c>
      <c r="J38" s="38">
        <f t="shared" si="5"/>
        <v>0.55201703639881239</v>
      </c>
    </row>
    <row r="39" spans="1:10" x14ac:dyDescent="0.25">
      <c r="A39" s="36" t="str">
        <f>City_Agg!A39</f>
        <v>Mansehra</v>
      </c>
      <c r="B39" s="14">
        <f>City_Agg!C39</f>
        <v>137</v>
      </c>
      <c r="C39" s="14">
        <f>City_Agg!D39</f>
        <v>14</v>
      </c>
      <c r="D39" s="14">
        <f>City_Agg!E39</f>
        <v>22</v>
      </c>
      <c r="E39" s="38">
        <f>IF(Clustering_Guide!$C$7=1,LN(1+MAX(B39,0)),B39)</f>
        <v>4.9272536851572051</v>
      </c>
      <c r="F39" s="38">
        <f>IF(Clustering_Guide!$C$7=1,LN(1+MAX(C39,0)),C39)</f>
        <v>2.7080502011022101</v>
      </c>
      <c r="G39" s="38">
        <f>IF(Clustering_Guide!$C$7=1,LN(1+MAX(D39,0)),D39)</f>
        <v>3.1354942159291497</v>
      </c>
      <c r="H39" s="38">
        <f t="shared" si="3"/>
        <v>0.48474983033217361</v>
      </c>
      <c r="I39" s="38">
        <f t="shared" si="4"/>
        <v>1.3810745208577742</v>
      </c>
      <c r="J39" s="38">
        <f t="shared" si="5"/>
        <v>0.30731539115103124</v>
      </c>
    </row>
    <row r="40" spans="1:10" x14ac:dyDescent="0.25">
      <c r="A40" s="36" t="str">
        <f>City_Agg!A40</f>
        <v>Swabi</v>
      </c>
      <c r="B40" s="14">
        <f>City_Agg!C40</f>
        <v>129</v>
      </c>
      <c r="C40" s="14">
        <f>City_Agg!D40</f>
        <v>10</v>
      </c>
      <c r="D40" s="14">
        <f>City_Agg!E40</f>
        <v>55</v>
      </c>
      <c r="E40" s="38">
        <f>IF(Clustering_Guide!$C$7=1,LN(1+MAX(B40,0)),B40)</f>
        <v>4.8675344504555822</v>
      </c>
      <c r="F40" s="38">
        <f>IF(Clustering_Guide!$C$7=1,LN(1+MAX(C40,0)),C40)</f>
        <v>2.3978952727983707</v>
      </c>
      <c r="G40" s="38">
        <f>IF(Clustering_Guide!$C$7=1,LN(1+MAX(D40,0)),D40)</f>
        <v>4.0253516907351496</v>
      </c>
      <c r="H40" s="38">
        <f t="shared" si="3"/>
        <v>0.45366775919714841</v>
      </c>
      <c r="I40" s="38">
        <f t="shared" si="4"/>
        <v>1.1458599186993335</v>
      </c>
      <c r="J40" s="38">
        <f t="shared" si="5"/>
        <v>0.71966725318196356</v>
      </c>
    </row>
    <row r="41" spans="1:10" x14ac:dyDescent="0.25">
      <c r="A41" s="36" t="str">
        <f>City_Agg!A41</f>
        <v>Haripur</v>
      </c>
      <c r="B41" s="14">
        <f>City_Agg!C41</f>
        <v>124</v>
      </c>
      <c r="C41" s="14">
        <f>City_Agg!D41</f>
        <v>3</v>
      </c>
      <c r="D41" s="14">
        <f>City_Agg!E41</f>
        <v>37</v>
      </c>
      <c r="E41" s="38">
        <f>IF(Clustering_Guide!$C$7=1,LN(1+MAX(B41,0)),B41)</f>
        <v>4.8283137373023015</v>
      </c>
      <c r="F41" s="38">
        <f>IF(Clustering_Guide!$C$7=1,LN(1+MAX(C41,0)),C41)</f>
        <v>1.3862943611198906</v>
      </c>
      <c r="G41" s="38">
        <f>IF(Clustering_Guide!$C$7=1,LN(1+MAX(D41,0)),D41)</f>
        <v>3.6375861597263857</v>
      </c>
      <c r="H41" s="38">
        <f t="shared" si="3"/>
        <v>0.43325455393275542</v>
      </c>
      <c r="I41" s="38">
        <f t="shared" si="4"/>
        <v>0.37868427752921691</v>
      </c>
      <c r="J41" s="38">
        <f t="shared" si="5"/>
        <v>0.53998023220398461</v>
      </c>
    </row>
    <row r="42" spans="1:10" x14ac:dyDescent="0.25">
      <c r="A42" s="36" t="str">
        <f>City_Agg!A42</f>
        <v>Battagram</v>
      </c>
      <c r="B42" s="14">
        <f>City_Agg!C42</f>
        <v>123</v>
      </c>
      <c r="C42" s="14">
        <f>City_Agg!D42</f>
        <v>3</v>
      </c>
      <c r="D42" s="14">
        <f>City_Agg!E42</f>
        <v>31</v>
      </c>
      <c r="E42" s="38">
        <f>IF(Clustering_Guide!$C$7=1,LN(1+MAX(B42,0)),B42)</f>
        <v>4.8202815656050371</v>
      </c>
      <c r="F42" s="38">
        <f>IF(Clustering_Guide!$C$7=1,LN(1+MAX(C42,0)),C42)</f>
        <v>1.3862943611198906</v>
      </c>
      <c r="G42" s="38">
        <f>IF(Clustering_Guide!$C$7=1,LN(1+MAX(D42,0)),D42)</f>
        <v>3.4657359027997265</v>
      </c>
      <c r="H42" s="38">
        <f t="shared" si="3"/>
        <v>0.42907404938827359</v>
      </c>
      <c r="I42" s="38">
        <f t="shared" si="4"/>
        <v>0.37868427752921691</v>
      </c>
      <c r="J42" s="38">
        <f t="shared" si="5"/>
        <v>0.46034638584038468</v>
      </c>
    </row>
    <row r="43" spans="1:10" x14ac:dyDescent="0.25">
      <c r="A43" s="36" t="str">
        <f>City_Agg!A43</f>
        <v>Kohat</v>
      </c>
      <c r="B43" s="14">
        <f>City_Agg!C43</f>
        <v>118</v>
      </c>
      <c r="C43" s="14">
        <f>City_Agg!D43</f>
        <v>12</v>
      </c>
      <c r="D43" s="14">
        <f>City_Agg!E43</f>
        <v>45</v>
      </c>
      <c r="E43" s="38">
        <f>IF(Clustering_Guide!$C$7=1,LN(1+MAX(B43,0)),B43)</f>
        <v>4.7791234931115296</v>
      </c>
      <c r="F43" s="38">
        <f>IF(Clustering_Guide!$C$7=1,LN(1+MAX(C43,0)),C43)</f>
        <v>2.5649493574615367</v>
      </c>
      <c r="G43" s="38">
        <f>IF(Clustering_Guide!$C$7=1,LN(1+MAX(D43,0)),D43)</f>
        <v>3.8286413964890951</v>
      </c>
      <c r="H43" s="38">
        <f t="shared" si="3"/>
        <v>0.40765250667401376</v>
      </c>
      <c r="I43" s="38">
        <f t="shared" si="4"/>
        <v>1.2725500225060853</v>
      </c>
      <c r="J43" s="38">
        <f t="shared" si="5"/>
        <v>0.62851349158581915</v>
      </c>
    </row>
    <row r="44" spans="1:10" x14ac:dyDescent="0.25">
      <c r="A44" s="36" t="str">
        <f>City_Agg!A44</f>
        <v>Kurram</v>
      </c>
      <c r="B44" s="14">
        <f>City_Agg!C44</f>
        <v>114</v>
      </c>
      <c r="C44" s="14">
        <f>City_Agg!D44</f>
        <v>2</v>
      </c>
      <c r="D44" s="14">
        <f>City_Agg!E44</f>
        <v>9</v>
      </c>
      <c r="E44" s="38">
        <f>IF(Clustering_Guide!$C$7=1,LN(1+MAX(B44,0)),B44)</f>
        <v>4.7449321283632502</v>
      </c>
      <c r="F44" s="38">
        <f>IF(Clustering_Guide!$C$7=1,LN(1+MAX(C44,0)),C44)</f>
        <v>1.0986122886681098</v>
      </c>
      <c r="G44" s="38">
        <f>IF(Clustering_Guide!$C$7=1,LN(1+MAX(D44,0)),D44)</f>
        <v>2.3025850929940459</v>
      </c>
      <c r="H44" s="38">
        <f t="shared" si="3"/>
        <v>0.38985692646238834</v>
      </c>
      <c r="I44" s="38">
        <f t="shared" si="4"/>
        <v>0.16051258962499582</v>
      </c>
      <c r="J44" s="38">
        <f t="shared" si="5"/>
        <v>-7.8647122474779993E-2</v>
      </c>
    </row>
    <row r="45" spans="1:10" x14ac:dyDescent="0.25">
      <c r="A45" s="36" t="str">
        <f>City_Agg!A45</f>
        <v>Kambar Shahdadkot</v>
      </c>
      <c r="B45" s="14">
        <f>City_Agg!C45</f>
        <v>99</v>
      </c>
      <c r="C45" s="14">
        <f>City_Agg!D45</f>
        <v>0</v>
      </c>
      <c r="D45" s="14">
        <f>City_Agg!E45</f>
        <v>104</v>
      </c>
      <c r="E45" s="38">
        <f>IF(Clustering_Guide!$C$7=1,LN(1+MAX(B45,0)),B45)</f>
        <v>4.6051701859880918</v>
      </c>
      <c r="F45" s="38">
        <f>IF(Clustering_Guide!$C$7=1,LN(1+MAX(C45,0)),C45)</f>
        <v>0</v>
      </c>
      <c r="G45" s="38">
        <f>IF(Clustering_Guide!$C$7=1,LN(1+MAX(D45,0)),D45)</f>
        <v>4.6539603501575231</v>
      </c>
      <c r="H45" s="38">
        <f t="shared" si="3"/>
        <v>0.31711502585735735</v>
      </c>
      <c r="I45" s="38">
        <f t="shared" si="4"/>
        <v>-0.67265054538827607</v>
      </c>
      <c r="J45" s="38">
        <f t="shared" si="5"/>
        <v>1.0109587897935928</v>
      </c>
    </row>
    <row r="46" spans="1:10" x14ac:dyDescent="0.25">
      <c r="A46" s="36" t="str">
        <f>City_Agg!A46</f>
        <v>Nagar</v>
      </c>
      <c r="B46" s="14">
        <f>City_Agg!C46</f>
        <v>91</v>
      </c>
      <c r="C46" s="14">
        <f>City_Agg!D46</f>
        <v>1</v>
      </c>
      <c r="D46" s="14">
        <f>City_Agg!E46</f>
        <v>62</v>
      </c>
      <c r="E46" s="38">
        <f>IF(Clustering_Guide!$C$7=1,LN(1+MAX(B46,0)),B46)</f>
        <v>4.5217885770490405</v>
      </c>
      <c r="F46" s="38">
        <f>IF(Clustering_Guide!$C$7=1,LN(1+MAX(C46,0)),C46)</f>
        <v>0.69314718055994529</v>
      </c>
      <c r="G46" s="38">
        <f>IF(Clustering_Guide!$C$7=1,LN(1+MAX(D46,0)),D46)</f>
        <v>4.1431347263915326</v>
      </c>
      <c r="H46" s="38">
        <f t="shared" si="3"/>
        <v>0.27371739838699027</v>
      </c>
      <c r="I46" s="38">
        <f t="shared" si="4"/>
        <v>-0.14698313392952958</v>
      </c>
      <c r="J46" s="38">
        <f t="shared" si="5"/>
        <v>0.77424684086161255</v>
      </c>
    </row>
    <row r="47" spans="1:10" x14ac:dyDescent="0.25">
      <c r="A47" s="36" t="str">
        <f>City_Agg!A47</f>
        <v>Rahim Yar Khan</v>
      </c>
      <c r="B47" s="14">
        <f>City_Agg!C47</f>
        <v>89</v>
      </c>
      <c r="C47" s="14">
        <f>City_Agg!D47</f>
        <v>1</v>
      </c>
      <c r="D47" s="14">
        <f>City_Agg!E47</f>
        <v>2</v>
      </c>
      <c r="E47" s="38">
        <f>IF(Clustering_Guide!$C$7=1,LN(1+MAX(B47,0)),B47)</f>
        <v>4.499809670330265</v>
      </c>
      <c r="F47" s="38">
        <f>IF(Clustering_Guide!$C$7=1,LN(1+MAX(C47,0)),C47)</f>
        <v>0.69314718055994529</v>
      </c>
      <c r="G47" s="38">
        <f>IF(Clustering_Guide!$C$7=1,LN(1+MAX(D47,0)),D47)</f>
        <v>1.0986122886681098</v>
      </c>
      <c r="H47" s="38">
        <f t="shared" si="3"/>
        <v>0.26227803642067726</v>
      </c>
      <c r="I47" s="38">
        <f t="shared" si="4"/>
        <v>-0.14698313392952958</v>
      </c>
      <c r="J47" s="38">
        <f t="shared" si="5"/>
        <v>-0.63655717184154814</v>
      </c>
    </row>
    <row r="48" spans="1:10" x14ac:dyDescent="0.25">
      <c r="A48" s="36" t="str">
        <f>City_Agg!A48</f>
        <v>Jamshoro</v>
      </c>
      <c r="B48" s="14">
        <f>City_Agg!C48</f>
        <v>88</v>
      </c>
      <c r="C48" s="14">
        <f>City_Agg!D48</f>
        <v>0</v>
      </c>
      <c r="D48" s="14">
        <f>City_Agg!E48</f>
        <v>35</v>
      </c>
      <c r="E48" s="38">
        <f>IF(Clustering_Guide!$C$7=1,LN(1+MAX(B48,0)),B48)</f>
        <v>4.4886363697321396</v>
      </c>
      <c r="F48" s="38">
        <f>IF(Clustering_Guide!$C$7=1,LN(1+MAX(C48,0)),C48)</f>
        <v>0</v>
      </c>
      <c r="G48" s="38">
        <f>IF(Clustering_Guide!$C$7=1,LN(1+MAX(D48,0)),D48)</f>
        <v>3.5835189384561099</v>
      </c>
      <c r="H48" s="38">
        <f t="shared" si="3"/>
        <v>0.25646266846194293</v>
      </c>
      <c r="I48" s="38">
        <f t="shared" si="4"/>
        <v>-0.67265054538827607</v>
      </c>
      <c r="J48" s="38">
        <f t="shared" si="5"/>
        <v>0.514925973520034</v>
      </c>
    </row>
    <row r="49" spans="1:10" x14ac:dyDescent="0.25">
      <c r="A49" s="36" t="str">
        <f>City_Agg!A49</f>
        <v>Gujranwala</v>
      </c>
      <c r="B49" s="14">
        <f>City_Agg!C49</f>
        <v>85</v>
      </c>
      <c r="C49" s="14">
        <f>City_Agg!D49</f>
        <v>0</v>
      </c>
      <c r="D49" s="14">
        <f>City_Agg!E49</f>
        <v>1</v>
      </c>
      <c r="E49" s="38">
        <f>IF(Clustering_Guide!$C$7=1,LN(1+MAX(B49,0)),B49)</f>
        <v>4.4543472962535073</v>
      </c>
      <c r="F49" s="38">
        <f>IF(Clustering_Guide!$C$7=1,LN(1+MAX(C49,0)),C49)</f>
        <v>0</v>
      </c>
      <c r="G49" s="38">
        <f>IF(Clustering_Guide!$C$7=1,LN(1+MAX(D49,0)),D49)</f>
        <v>0.69314718055994529</v>
      </c>
      <c r="H49" s="38">
        <f t="shared" si="3"/>
        <v>0.23861623378571303</v>
      </c>
      <c r="I49" s="38">
        <f t="shared" si="4"/>
        <v>-0.67265054538827607</v>
      </c>
      <c r="J49" s="38">
        <f t="shared" si="5"/>
        <v>-0.82444601589876665</v>
      </c>
    </row>
    <row r="50" spans="1:10" x14ac:dyDescent="0.25">
      <c r="A50" s="36" t="str">
        <f>City_Agg!A50</f>
        <v>Bannu</v>
      </c>
      <c r="B50" s="14">
        <f>City_Agg!C50</f>
        <v>84</v>
      </c>
      <c r="C50" s="14">
        <f>City_Agg!D50</f>
        <v>2</v>
      </c>
      <c r="D50" s="14">
        <f>City_Agg!E50</f>
        <v>26</v>
      </c>
      <c r="E50" s="38">
        <f>IF(Clustering_Guide!$C$7=1,LN(1+MAX(B50,0)),B50)</f>
        <v>4.4426512564903167</v>
      </c>
      <c r="F50" s="38">
        <f>IF(Clustering_Guide!$C$7=1,LN(1+MAX(C50,0)),C50)</f>
        <v>1.0986122886681098</v>
      </c>
      <c r="G50" s="38">
        <f>IF(Clustering_Guide!$C$7=1,LN(1+MAX(D50,0)),D50)</f>
        <v>3.2958368660043291</v>
      </c>
      <c r="H50" s="38">
        <f t="shared" si="3"/>
        <v>0.23252879576454735</v>
      </c>
      <c r="I50" s="38">
        <f t="shared" si="4"/>
        <v>0.16051258962499582</v>
      </c>
      <c r="J50" s="38">
        <f t="shared" si="5"/>
        <v>0.38161671714246476</v>
      </c>
    </row>
    <row r="51" spans="1:10" x14ac:dyDescent="0.25">
      <c r="A51" s="36" t="str">
        <f>City_Agg!A51</f>
        <v>Lodhran</v>
      </c>
      <c r="B51" s="14">
        <f>City_Agg!C51</f>
        <v>79</v>
      </c>
      <c r="C51" s="14">
        <f>City_Agg!D51</f>
        <v>0</v>
      </c>
      <c r="D51" s="14">
        <f>City_Agg!E51</f>
        <v>0</v>
      </c>
      <c r="E51" s="38">
        <f>IF(Clustering_Guide!$C$7=1,LN(1+MAX(B51,0)),B51)</f>
        <v>4.3820266346738812</v>
      </c>
      <c r="F51" s="38">
        <f>IF(Clustering_Guide!$C$7=1,LN(1+MAX(C51,0)),C51)</f>
        <v>0</v>
      </c>
      <c r="G51" s="38">
        <f>IF(Clustering_Guide!$C$7=1,LN(1+MAX(D51,0)),D51)</f>
        <v>0</v>
      </c>
      <c r="H51" s="38">
        <f t="shared" si="3"/>
        <v>0.20097549778195881</v>
      </c>
      <c r="I51" s="38">
        <f t="shared" si="4"/>
        <v>-0.67265054538827607</v>
      </c>
      <c r="J51" s="38">
        <f t="shared" si="5"/>
        <v>-1.1456441163335547</v>
      </c>
    </row>
    <row r="52" spans="1:10" x14ac:dyDescent="0.25">
      <c r="A52" s="36" t="str">
        <f>City_Agg!A52</f>
        <v>Jacobabad</v>
      </c>
      <c r="B52" s="14">
        <f>City_Agg!C52</f>
        <v>79</v>
      </c>
      <c r="C52" s="14">
        <f>City_Agg!D52</f>
        <v>0</v>
      </c>
      <c r="D52" s="14">
        <f>City_Agg!E52</f>
        <v>109</v>
      </c>
      <c r="E52" s="38">
        <f>IF(Clustering_Guide!$C$7=1,LN(1+MAX(B52,0)),B52)</f>
        <v>4.3820266346738812</v>
      </c>
      <c r="F52" s="38">
        <f>IF(Clustering_Guide!$C$7=1,LN(1+MAX(C52,0)),C52)</f>
        <v>0</v>
      </c>
      <c r="G52" s="38">
        <f>IF(Clustering_Guide!$C$7=1,LN(1+MAX(D52,0)),D52)</f>
        <v>4.7004803657924166</v>
      </c>
      <c r="H52" s="38">
        <f t="shared" si="3"/>
        <v>0.20097549778195881</v>
      </c>
      <c r="I52" s="38">
        <f t="shared" si="4"/>
        <v>-0.67265054538827607</v>
      </c>
      <c r="J52" s="38">
        <f t="shared" si="5"/>
        <v>1.0325157420155633</v>
      </c>
    </row>
    <row r="53" spans="1:10" x14ac:dyDescent="0.25">
      <c r="A53" s="36" t="str">
        <f>City_Agg!A53</f>
        <v>Skardu</v>
      </c>
      <c r="B53" s="14">
        <f>City_Agg!C53</f>
        <v>78</v>
      </c>
      <c r="C53" s="14">
        <f>City_Agg!D53</f>
        <v>1</v>
      </c>
      <c r="D53" s="14">
        <f>City_Agg!E53</f>
        <v>65</v>
      </c>
      <c r="E53" s="38">
        <f>IF(Clustering_Guide!$C$7=1,LN(1+MAX(B53,0)),B53)</f>
        <v>4.3694478524670215</v>
      </c>
      <c r="F53" s="38">
        <f>IF(Clustering_Guide!$C$7=1,LN(1+MAX(C53,0)),C53)</f>
        <v>0.69314718055994529</v>
      </c>
      <c r="G53" s="38">
        <f>IF(Clustering_Guide!$C$7=1,LN(1+MAX(D53,0)),D53)</f>
        <v>4.1896547420264252</v>
      </c>
      <c r="H53" s="38">
        <f t="shared" si="3"/>
        <v>0.19442861878561798</v>
      </c>
      <c r="I53" s="38">
        <f t="shared" si="4"/>
        <v>-0.14698313392952958</v>
      </c>
      <c r="J53" s="38">
        <f t="shared" si="5"/>
        <v>0.79580379308358284</v>
      </c>
    </row>
    <row r="54" spans="1:10" x14ac:dyDescent="0.25">
      <c r="A54" s="36" t="str">
        <f>City_Agg!A54</f>
        <v>Sialkot</v>
      </c>
      <c r="B54" s="14">
        <f>City_Agg!C54</f>
        <v>78</v>
      </c>
      <c r="C54" s="14">
        <f>City_Agg!D54</f>
        <v>0</v>
      </c>
      <c r="D54" s="14">
        <f>City_Agg!E54</f>
        <v>0</v>
      </c>
      <c r="E54" s="38">
        <f>IF(Clustering_Guide!$C$7=1,LN(1+MAX(B54,0)),B54)</f>
        <v>4.3694478524670215</v>
      </c>
      <c r="F54" s="38">
        <f>IF(Clustering_Guide!$C$7=1,LN(1+MAX(C54,0)),C54)</f>
        <v>0</v>
      </c>
      <c r="G54" s="38">
        <f>IF(Clustering_Guide!$C$7=1,LN(1+MAX(D54,0)),D54)</f>
        <v>0</v>
      </c>
      <c r="H54" s="38">
        <f t="shared" si="3"/>
        <v>0.19442861878561798</v>
      </c>
      <c r="I54" s="38">
        <f t="shared" si="4"/>
        <v>-0.67265054538827607</v>
      </c>
      <c r="J54" s="38">
        <f t="shared" si="5"/>
        <v>-1.1456441163335547</v>
      </c>
    </row>
    <row r="55" spans="1:10" x14ac:dyDescent="0.25">
      <c r="A55" s="36" t="str">
        <f>City_Agg!A55</f>
        <v>Faisalabad</v>
      </c>
      <c r="B55" s="14">
        <f>City_Agg!C55</f>
        <v>77</v>
      </c>
      <c r="C55" s="14">
        <f>City_Agg!D55</f>
        <v>0</v>
      </c>
      <c r="D55" s="14">
        <f>City_Agg!E55</f>
        <v>0</v>
      </c>
      <c r="E55" s="38">
        <f>IF(Clustering_Guide!$C$7=1,LN(1+MAX(B55,0)),B55)</f>
        <v>4.3567088266895917</v>
      </c>
      <c r="F55" s="38">
        <f>IF(Clustering_Guide!$C$7=1,LN(1+MAX(C55,0)),C55)</f>
        <v>0</v>
      </c>
      <c r="G55" s="38">
        <f>IF(Clustering_Guide!$C$7=1,LN(1+MAX(D55,0)),D55)</f>
        <v>0</v>
      </c>
      <c r="H55" s="38">
        <f t="shared" si="3"/>
        <v>0.18779833781528543</v>
      </c>
      <c r="I55" s="38">
        <f t="shared" si="4"/>
        <v>-0.67265054538827607</v>
      </c>
      <c r="J55" s="38">
        <f t="shared" si="5"/>
        <v>-1.1456441163335547</v>
      </c>
    </row>
    <row r="56" spans="1:10" x14ac:dyDescent="0.25">
      <c r="A56" s="36" t="str">
        <f>City_Agg!A56</f>
        <v>Jhelum</v>
      </c>
      <c r="B56" s="14">
        <f>City_Agg!C56</f>
        <v>74</v>
      </c>
      <c r="C56" s="14">
        <f>City_Agg!D56</f>
        <v>0</v>
      </c>
      <c r="D56" s="14">
        <f>City_Agg!E56</f>
        <v>3</v>
      </c>
      <c r="E56" s="38">
        <f>IF(Clustering_Guide!$C$7=1,LN(1+MAX(B56,0)),B56)</f>
        <v>4.3174881135363101</v>
      </c>
      <c r="F56" s="38">
        <f>IF(Clustering_Guide!$C$7=1,LN(1+MAX(C56,0)),C56)</f>
        <v>0</v>
      </c>
      <c r="G56" s="38">
        <f>IF(Clustering_Guide!$C$7=1,LN(1+MAX(D56,0)),D56)</f>
        <v>1.3862943611198906</v>
      </c>
      <c r="H56" s="38">
        <f t="shared" si="3"/>
        <v>0.16738513255089196</v>
      </c>
      <c r="I56" s="38">
        <f t="shared" si="4"/>
        <v>-0.67265054538827607</v>
      </c>
      <c r="J56" s="38">
        <f t="shared" si="5"/>
        <v>-0.50324791546397885</v>
      </c>
    </row>
    <row r="57" spans="1:10" x14ac:dyDescent="0.25">
      <c r="A57" s="36" t="str">
        <f>City_Agg!A57</f>
        <v>Vehari</v>
      </c>
      <c r="B57" s="14">
        <f>City_Agg!C57</f>
        <v>72</v>
      </c>
      <c r="C57" s="14">
        <f>City_Agg!D57</f>
        <v>0</v>
      </c>
      <c r="D57" s="14">
        <f>City_Agg!E57</f>
        <v>6</v>
      </c>
      <c r="E57" s="38">
        <f>IF(Clustering_Guide!$C$7=1,LN(1+MAX(B57,0)),B57)</f>
        <v>4.290459441148391</v>
      </c>
      <c r="F57" s="38">
        <f>IF(Clustering_Guide!$C$7=1,LN(1+MAX(C57,0)),C57)</f>
        <v>0</v>
      </c>
      <c r="G57" s="38">
        <f>IF(Clustering_Guide!$C$7=1,LN(1+MAX(D57,0)),D57)</f>
        <v>1.9459101490553132</v>
      </c>
      <c r="H57" s="38">
        <f t="shared" si="3"/>
        <v>0.15331751895798426</v>
      </c>
      <c r="I57" s="38">
        <f t="shared" si="4"/>
        <v>-0.67265054538827607</v>
      </c>
      <c r="J57" s="38">
        <f t="shared" si="5"/>
        <v>-0.24392704812240026</v>
      </c>
    </row>
    <row r="58" spans="1:10" x14ac:dyDescent="0.25">
      <c r="A58" s="36" t="str">
        <f>City_Agg!A58</f>
        <v>Astore</v>
      </c>
      <c r="B58" s="14">
        <f>City_Agg!C58</f>
        <v>69</v>
      </c>
      <c r="C58" s="14">
        <f>City_Agg!D58</f>
        <v>14</v>
      </c>
      <c r="D58" s="14">
        <f>City_Agg!E58</f>
        <v>62</v>
      </c>
      <c r="E58" s="38">
        <f>IF(Clustering_Guide!$C$7=1,LN(1+MAX(B58,0)),B58)</f>
        <v>4.2484952420493594</v>
      </c>
      <c r="F58" s="38">
        <f>IF(Clustering_Guide!$C$7=1,LN(1+MAX(C58,0)),C58)</f>
        <v>2.7080502011022101</v>
      </c>
      <c r="G58" s="38">
        <f>IF(Clustering_Guide!$C$7=1,LN(1+MAX(D58,0)),D58)</f>
        <v>4.1431347263915326</v>
      </c>
      <c r="H58" s="38">
        <f t="shared" si="3"/>
        <v>0.13147641151517545</v>
      </c>
      <c r="I58" s="38">
        <f t="shared" si="4"/>
        <v>1.3810745208577742</v>
      </c>
      <c r="J58" s="38">
        <f t="shared" si="5"/>
        <v>0.77424684086161255</v>
      </c>
    </row>
    <row r="59" spans="1:10" x14ac:dyDescent="0.25">
      <c r="A59" s="36" t="str">
        <f>City_Agg!A59</f>
        <v>Sanghar</v>
      </c>
      <c r="B59" s="14">
        <f>City_Agg!C59</f>
        <v>65</v>
      </c>
      <c r="C59" s="14">
        <f>City_Agg!D59</f>
        <v>1</v>
      </c>
      <c r="D59" s="14">
        <f>City_Agg!E59</f>
        <v>44</v>
      </c>
      <c r="E59" s="38">
        <f>IF(Clustering_Guide!$C$7=1,LN(1+MAX(B59,0)),B59)</f>
        <v>4.1896547420264252</v>
      </c>
      <c r="F59" s="38">
        <f>IF(Clustering_Guide!$C$7=1,LN(1+MAX(C59,0)),C59)</f>
        <v>0.69314718055994529</v>
      </c>
      <c r="G59" s="38">
        <f>IF(Clustering_Guide!$C$7=1,LN(1+MAX(D59,0)),D59)</f>
        <v>3.8066624897703196</v>
      </c>
      <c r="H59" s="38">
        <f t="shared" si="3"/>
        <v>0.10085169543381561</v>
      </c>
      <c r="I59" s="38">
        <f t="shared" si="4"/>
        <v>-0.14698313392952958</v>
      </c>
      <c r="J59" s="38">
        <f t="shared" si="5"/>
        <v>0.61832866607444492</v>
      </c>
    </row>
    <row r="60" spans="1:10" x14ac:dyDescent="0.25">
      <c r="A60" s="36" t="str">
        <f>City_Agg!A60</f>
        <v>Bhakkar</v>
      </c>
      <c r="B60" s="14">
        <f>City_Agg!C60</f>
        <v>63</v>
      </c>
      <c r="C60" s="14">
        <f>City_Agg!D60</f>
        <v>0</v>
      </c>
      <c r="D60" s="14">
        <f>City_Agg!E60</f>
        <v>0</v>
      </c>
      <c r="E60" s="38">
        <f>IF(Clustering_Guide!$C$7=1,LN(1+MAX(B60,0)),B60)</f>
        <v>4.1588830833596715</v>
      </c>
      <c r="F60" s="38">
        <f>IF(Clustering_Guide!$C$7=1,LN(1+MAX(C60,0)),C60)</f>
        <v>0</v>
      </c>
      <c r="G60" s="38">
        <f>IF(Clustering_Guide!$C$7=1,LN(1+MAX(D60,0)),D60)</f>
        <v>0</v>
      </c>
      <c r="H60" s="38">
        <f t="shared" si="3"/>
        <v>8.4835969706560738E-2</v>
      </c>
      <c r="I60" s="38">
        <f t="shared" si="4"/>
        <v>-0.67265054538827607</v>
      </c>
      <c r="J60" s="38">
        <f t="shared" si="5"/>
        <v>-1.1456441163335547</v>
      </c>
    </row>
    <row r="61" spans="1:10" x14ac:dyDescent="0.25">
      <c r="A61" s="36" t="str">
        <f>City_Agg!A61</f>
        <v>Muzaffargar</v>
      </c>
      <c r="B61" s="14">
        <f>City_Agg!C61</f>
        <v>61</v>
      </c>
      <c r="C61" s="14">
        <f>City_Agg!D61</f>
        <v>0</v>
      </c>
      <c r="D61" s="14">
        <f>City_Agg!E61</f>
        <v>0</v>
      </c>
      <c r="E61" s="38">
        <f>IF(Clustering_Guide!$C$7=1,LN(1+MAX(B61,0)),B61)</f>
        <v>4.1271343850450917</v>
      </c>
      <c r="F61" s="38">
        <f>IF(Clustering_Guide!$C$7=1,LN(1+MAX(C61,0)),C61)</f>
        <v>0</v>
      </c>
      <c r="G61" s="38">
        <f>IF(Clustering_Guide!$C$7=1,LN(1+MAX(D61,0)),D61)</f>
        <v>0</v>
      </c>
      <c r="H61" s="38">
        <f t="shared" si="3"/>
        <v>6.8311724136625313E-2</v>
      </c>
      <c r="I61" s="38">
        <f t="shared" si="4"/>
        <v>-0.67265054538827607</v>
      </c>
      <c r="J61" s="38">
        <f t="shared" si="5"/>
        <v>-1.1456441163335547</v>
      </c>
    </row>
    <row r="62" spans="1:10" x14ac:dyDescent="0.25">
      <c r="A62" s="36" t="str">
        <f>City_Agg!A62</f>
        <v>Badin</v>
      </c>
      <c r="B62" s="14">
        <f>City_Agg!C62</f>
        <v>56</v>
      </c>
      <c r="C62" s="14">
        <f>City_Agg!D62</f>
        <v>4</v>
      </c>
      <c r="D62" s="14">
        <f>City_Agg!E62</f>
        <v>11</v>
      </c>
      <c r="E62" s="38">
        <f>IF(Clustering_Guide!$C$7=1,LN(1+MAX(B62,0)),B62)</f>
        <v>4.0430512678345503</v>
      </c>
      <c r="F62" s="38">
        <f>IF(Clustering_Guide!$C$7=1,LN(1+MAX(C62,0)),C62)</f>
        <v>1.6094379124341003</v>
      </c>
      <c r="G62" s="38">
        <f>IF(Clustering_Guide!$C$7=1,LN(1+MAX(D62,0)),D62)</f>
        <v>2.4849066497880004</v>
      </c>
      <c r="H62" s="38">
        <f t="shared" si="3"/>
        <v>2.4548982643863189E-2</v>
      </c>
      <c r="I62" s="38">
        <f t="shared" si="4"/>
        <v>0.54791138584450239</v>
      </c>
      <c r="J62" s="38">
        <f t="shared" si="5"/>
        <v>5.8390290280275915E-3</v>
      </c>
    </row>
    <row r="63" spans="1:10" x14ac:dyDescent="0.25">
      <c r="A63" s="36" t="str">
        <f>City_Agg!A63</f>
        <v>Bahawalpur</v>
      </c>
      <c r="B63" s="14">
        <f>City_Agg!C63</f>
        <v>54</v>
      </c>
      <c r="C63" s="14">
        <f>City_Agg!D63</f>
        <v>0</v>
      </c>
      <c r="D63" s="14">
        <f>City_Agg!E63</f>
        <v>4</v>
      </c>
      <c r="E63" s="38">
        <f>IF(Clustering_Guide!$C$7=1,LN(1+MAX(B63,0)),B63)</f>
        <v>4.0073331852324712</v>
      </c>
      <c r="F63" s="38">
        <f>IF(Clustering_Guide!$C$7=1,LN(1+MAX(C63,0)),C63)</f>
        <v>0</v>
      </c>
      <c r="G63" s="38">
        <f>IF(Clustering_Guide!$C$7=1,LN(1+MAX(D63,0)),D63)</f>
        <v>1.6094379124341003</v>
      </c>
      <c r="H63" s="38">
        <f t="shared" si="3"/>
        <v>5.9587915640307559E-3</v>
      </c>
      <c r="I63" s="38">
        <f t="shared" si="4"/>
        <v>-0.67265054538827607</v>
      </c>
      <c r="J63" s="38">
        <f t="shared" si="5"/>
        <v>-0.39984522290956798</v>
      </c>
    </row>
    <row r="64" spans="1:10" x14ac:dyDescent="0.25">
      <c r="A64" s="36" t="str">
        <f>City_Agg!A64</f>
        <v>Dadu</v>
      </c>
      <c r="B64" s="14">
        <f>City_Agg!C64</f>
        <v>53</v>
      </c>
      <c r="C64" s="14">
        <f>City_Agg!D64</f>
        <v>0</v>
      </c>
      <c r="D64" s="14">
        <f>City_Agg!E64</f>
        <v>25</v>
      </c>
      <c r="E64" s="38">
        <f>IF(Clustering_Guide!$C$7=1,LN(1+MAX(B64,0)),B64)</f>
        <v>3.9889840465642745</v>
      </c>
      <c r="F64" s="38">
        <f>IF(Clustering_Guide!$C$7=1,LN(1+MAX(C64,0)),C64)</f>
        <v>0</v>
      </c>
      <c r="G64" s="38">
        <f>IF(Clustering_Guide!$C$7=1,LN(1+MAX(D64,0)),D64)</f>
        <v>3.2580965380214821</v>
      </c>
      <c r="H64" s="38">
        <f t="shared" si="3"/>
        <v>-3.5913849611856918E-3</v>
      </c>
      <c r="I64" s="38">
        <f t="shared" si="4"/>
        <v>-0.67265054538827607</v>
      </c>
      <c r="J64" s="38">
        <f t="shared" si="5"/>
        <v>0.36412819234159388</v>
      </c>
    </row>
    <row r="65" spans="1:10" x14ac:dyDescent="0.25">
      <c r="A65" s="36" t="str">
        <f>City_Agg!A65</f>
        <v>Other</v>
      </c>
      <c r="B65" s="14">
        <f>City_Agg!C65</f>
        <v>50</v>
      </c>
      <c r="C65" s="14">
        <f>City_Agg!D65</f>
        <v>4</v>
      </c>
      <c r="D65" s="14">
        <f>City_Agg!E65</f>
        <v>34</v>
      </c>
      <c r="E65" s="38">
        <f>IF(Clustering_Guide!$C$7=1,LN(1+MAX(B65,0)),B65)</f>
        <v>3.9318256327243257</v>
      </c>
      <c r="F65" s="38">
        <f>IF(Clustering_Guide!$C$7=1,LN(1+MAX(C65,0)),C65)</f>
        <v>1.6094379124341003</v>
      </c>
      <c r="G65" s="38">
        <f>IF(Clustering_Guide!$C$7=1,LN(1+MAX(D65,0)),D65)</f>
        <v>3.5553480614894135</v>
      </c>
      <c r="H65" s="38">
        <f t="shared" si="3"/>
        <v>-3.3340625617315857E-2</v>
      </c>
      <c r="I65" s="38">
        <f t="shared" si="4"/>
        <v>0.54791138584450239</v>
      </c>
      <c r="J65" s="38">
        <f t="shared" si="5"/>
        <v>0.50187184530158635</v>
      </c>
    </row>
    <row r="66" spans="1:10" x14ac:dyDescent="0.25">
      <c r="A66" s="36" t="str">
        <f>City_Agg!A66</f>
        <v>Thatta</v>
      </c>
      <c r="B66" s="14">
        <f>City_Agg!C66</f>
        <v>49</v>
      </c>
      <c r="C66" s="14">
        <f>City_Agg!D66</f>
        <v>2</v>
      </c>
      <c r="D66" s="14">
        <f>City_Agg!E66</f>
        <v>12</v>
      </c>
      <c r="E66" s="38">
        <f>IF(Clustering_Guide!$C$7=1,LN(1+MAX(B66,0)),B66)</f>
        <v>3.912023005428146</v>
      </c>
      <c r="F66" s="38">
        <f>IF(Clustering_Guide!$C$7=1,LN(1+MAX(C66,0)),C66)</f>
        <v>1.0986122886681098</v>
      </c>
      <c r="G66" s="38">
        <f>IF(Clustering_Guide!$C$7=1,LN(1+MAX(D66,0)),D66)</f>
        <v>2.5649493574615367</v>
      </c>
      <c r="H66" s="38">
        <f t="shared" si="3"/>
        <v>-4.3647299394291184E-2</v>
      </c>
      <c r="I66" s="38">
        <f t="shared" si="4"/>
        <v>0.16051258962499582</v>
      </c>
      <c r="J66" s="38">
        <f t="shared" si="5"/>
        <v>4.2930091906806002E-2</v>
      </c>
    </row>
    <row r="67" spans="1:10" x14ac:dyDescent="0.25">
      <c r="A67" s="36" t="str">
        <f>City_Agg!A67</f>
        <v>Hafizabad</v>
      </c>
      <c r="B67" s="14">
        <f>City_Agg!C67</f>
        <v>47</v>
      </c>
      <c r="C67" s="14">
        <f>City_Agg!D67</f>
        <v>0</v>
      </c>
      <c r="D67" s="14">
        <f>City_Agg!E67</f>
        <v>1</v>
      </c>
      <c r="E67" s="38">
        <f>IF(Clustering_Guide!$C$7=1,LN(1+MAX(B67,0)),B67)</f>
        <v>3.8712010109078911</v>
      </c>
      <c r="F67" s="38">
        <f>IF(Clustering_Guide!$C$7=1,LN(1+MAX(C67,0)),C67)</f>
        <v>0</v>
      </c>
      <c r="G67" s="38">
        <f>IF(Clustering_Guide!$C$7=1,LN(1+MAX(D67,0)),D67)</f>
        <v>0.69314718055994529</v>
      </c>
      <c r="H67" s="38">
        <f t="shared" si="3"/>
        <v>-6.4893923599903938E-2</v>
      </c>
      <c r="I67" s="38">
        <f t="shared" si="4"/>
        <v>-0.67265054538827607</v>
      </c>
      <c r="J67" s="38">
        <f t="shared" si="5"/>
        <v>-0.82444601589876665</v>
      </c>
    </row>
    <row r="68" spans="1:10" x14ac:dyDescent="0.25">
      <c r="A68" s="36" t="str">
        <f>City_Agg!A68</f>
        <v>Mirpurkhas</v>
      </c>
      <c r="B68" s="14">
        <f>City_Agg!C68</f>
        <v>44</v>
      </c>
      <c r="C68" s="14">
        <f>City_Agg!D68</f>
        <v>2</v>
      </c>
      <c r="D68" s="14">
        <f>City_Agg!E68</f>
        <v>20</v>
      </c>
      <c r="E68" s="38">
        <f>IF(Clustering_Guide!$C$7=1,LN(1+MAX(B68,0)),B68)</f>
        <v>3.8066624897703196</v>
      </c>
      <c r="F68" s="38">
        <f>IF(Clustering_Guide!$C$7=1,LN(1+MAX(C68,0)),C68)</f>
        <v>1.0986122886681098</v>
      </c>
      <c r="G68" s="38">
        <f>IF(Clustering_Guide!$C$7=1,LN(1+MAX(D68,0)),D68)</f>
        <v>3.044522437723423</v>
      </c>
      <c r="H68" s="38">
        <f t="shared" si="3"/>
        <v>-9.8484288830971004E-2</v>
      </c>
      <c r="I68" s="38">
        <f t="shared" si="4"/>
        <v>0.16051258962499582</v>
      </c>
      <c r="J68" s="38">
        <f t="shared" si="5"/>
        <v>0.26515989636960624</v>
      </c>
    </row>
    <row r="69" spans="1:10" x14ac:dyDescent="0.25">
      <c r="A69" s="36" t="str">
        <f>City_Agg!A69</f>
        <v>Kashmore</v>
      </c>
      <c r="B69" s="14">
        <f>City_Agg!C69</f>
        <v>43</v>
      </c>
      <c r="C69" s="14">
        <f>City_Agg!D69</f>
        <v>1</v>
      </c>
      <c r="D69" s="14">
        <f>City_Agg!E69</f>
        <v>26</v>
      </c>
      <c r="E69" s="38">
        <f>IF(Clustering_Guide!$C$7=1,LN(1+MAX(B69,0)),B69)</f>
        <v>3.784189633918261</v>
      </c>
      <c r="F69" s="38">
        <f>IF(Clustering_Guide!$C$7=1,LN(1+MAX(C69,0)),C69)</f>
        <v>0.69314718055994529</v>
      </c>
      <c r="G69" s="38">
        <f>IF(Clustering_Guide!$C$7=1,LN(1+MAX(D69,0)),D69)</f>
        <v>3.2958368660043291</v>
      </c>
      <c r="H69" s="38">
        <f t="shared" ref="H69:H100" si="6">(E69-AVERAGE(E$5:E$121))/STDEV(E$5:E$121)</f>
        <v>-0.11018073651136755</v>
      </c>
      <c r="I69" s="38">
        <f t="shared" ref="I69:I100" si="7">(F69-AVERAGE(F$5:F$121))/STDEV(F$5:F$121)</f>
        <v>-0.14698313392952958</v>
      </c>
      <c r="J69" s="38">
        <f t="shared" ref="J69:J100" si="8">(G69-AVERAGE(G$5:G$121))/STDEV(G$5:G$121)</f>
        <v>0.38161671714246476</v>
      </c>
    </row>
    <row r="70" spans="1:10" x14ac:dyDescent="0.25">
      <c r="A70" s="36" t="str">
        <f>City_Agg!A70</f>
        <v>Naushero Feroz</v>
      </c>
      <c r="B70" s="14">
        <f>City_Agg!C70</f>
        <v>41</v>
      </c>
      <c r="C70" s="14">
        <f>City_Agg!D70</f>
        <v>1</v>
      </c>
      <c r="D70" s="14">
        <f>City_Agg!E70</f>
        <v>29</v>
      </c>
      <c r="E70" s="38">
        <f>IF(Clustering_Guide!$C$7=1,LN(1+MAX(B70,0)),B70)</f>
        <v>3.7376696182833684</v>
      </c>
      <c r="F70" s="38">
        <f>IF(Clustering_Guide!$C$7=1,LN(1+MAX(C70,0)),C70)</f>
        <v>0.69314718055994529</v>
      </c>
      <c r="G70" s="38">
        <f>IF(Clustering_Guide!$C$7=1,LN(1+MAX(D70,0)),D70)</f>
        <v>3.4011973816621555</v>
      </c>
      <c r="H70" s="38">
        <f t="shared" si="6"/>
        <v>-0.13439300986668776</v>
      </c>
      <c r="I70" s="38">
        <f t="shared" si="7"/>
        <v>-0.14698313392952958</v>
      </c>
      <c r="J70" s="38">
        <f t="shared" si="8"/>
        <v>0.43043982201722641</v>
      </c>
    </row>
    <row r="71" spans="1:10" x14ac:dyDescent="0.25">
      <c r="A71" s="36" t="str">
        <f>City_Agg!A71</f>
        <v>Tando M. Khan</v>
      </c>
      <c r="B71" s="14">
        <f>City_Agg!C71</f>
        <v>38</v>
      </c>
      <c r="C71" s="14">
        <f>City_Agg!D71</f>
        <v>0</v>
      </c>
      <c r="D71" s="14">
        <f>City_Agg!E71</f>
        <v>42</v>
      </c>
      <c r="E71" s="38">
        <f>IF(Clustering_Guide!$C$7=1,LN(1+MAX(B71,0)),B71)</f>
        <v>3.6635616461296463</v>
      </c>
      <c r="F71" s="38">
        <f>IF(Clustering_Guide!$C$7=1,LN(1+MAX(C71,0)),C71)</f>
        <v>0</v>
      </c>
      <c r="G71" s="38">
        <f>IF(Clustering_Guide!$C$7=1,LN(1+MAX(D71,0)),D71)</f>
        <v>3.7612001156935624</v>
      </c>
      <c r="H71" s="38">
        <f t="shared" si="6"/>
        <v>-0.17296398743636285</v>
      </c>
      <c r="I71" s="38">
        <f t="shared" si="7"/>
        <v>-0.67265054538827607</v>
      </c>
      <c r="J71" s="38">
        <f t="shared" si="8"/>
        <v>0.59726181533299938</v>
      </c>
    </row>
    <row r="72" spans="1:10" x14ac:dyDescent="0.25">
      <c r="A72" s="36" t="str">
        <f>City_Agg!A72</f>
        <v>Chitral Lower</v>
      </c>
      <c r="B72" s="14">
        <f>City_Agg!C72</f>
        <v>35</v>
      </c>
      <c r="C72" s="14">
        <f>City_Agg!D72</f>
        <v>0</v>
      </c>
      <c r="D72" s="14">
        <f>City_Agg!E72</f>
        <v>17</v>
      </c>
      <c r="E72" s="38">
        <f>IF(Clustering_Guide!$C$7=1,LN(1+MAX(B72,0)),B72)</f>
        <v>3.5835189384561099</v>
      </c>
      <c r="F72" s="38">
        <f>IF(Clustering_Guide!$C$7=1,LN(1+MAX(C72,0)),C72)</f>
        <v>0</v>
      </c>
      <c r="G72" s="38">
        <f>IF(Clustering_Guide!$C$7=1,LN(1+MAX(D72,0)),D72)</f>
        <v>2.8903717578961645</v>
      </c>
      <c r="H72" s="38">
        <f t="shared" si="6"/>
        <v>-0.21462381690636909</v>
      </c>
      <c r="I72" s="38">
        <f t="shared" si="7"/>
        <v>-0.67265054538827607</v>
      </c>
      <c r="J72" s="38">
        <f t="shared" si="8"/>
        <v>0.19372787308524608</v>
      </c>
    </row>
    <row r="73" spans="1:10" x14ac:dyDescent="0.25">
      <c r="A73" s="36" t="str">
        <f>City_Agg!A73</f>
        <v>Sujawal</v>
      </c>
      <c r="B73" s="14">
        <f>City_Agg!C73</f>
        <v>35</v>
      </c>
      <c r="C73" s="14">
        <f>City_Agg!D73</f>
        <v>0</v>
      </c>
      <c r="D73" s="14">
        <f>City_Agg!E73</f>
        <v>14</v>
      </c>
      <c r="E73" s="38">
        <f>IF(Clustering_Guide!$C$7=1,LN(1+MAX(B73,0)),B73)</f>
        <v>3.5835189384561099</v>
      </c>
      <c r="F73" s="38">
        <f>IF(Clustering_Guide!$C$7=1,LN(1+MAX(C73,0)),C73)</f>
        <v>0</v>
      </c>
      <c r="G73" s="38">
        <f>IF(Clustering_Guide!$C$7=1,LN(1+MAX(D73,0)),D73)</f>
        <v>2.7080502011022101</v>
      </c>
      <c r="H73" s="38">
        <f t="shared" si="6"/>
        <v>-0.21462381690636909</v>
      </c>
      <c r="I73" s="38">
        <f t="shared" si="7"/>
        <v>-0.67265054538827607</v>
      </c>
      <c r="J73" s="38">
        <f t="shared" si="8"/>
        <v>0.1092417215824385</v>
      </c>
    </row>
    <row r="74" spans="1:10" x14ac:dyDescent="0.25">
      <c r="A74" s="36" t="str">
        <f>City_Agg!A74</f>
        <v>Laiya</v>
      </c>
      <c r="B74" s="14">
        <f>City_Agg!C74</f>
        <v>32</v>
      </c>
      <c r="C74" s="14">
        <f>City_Agg!D74</f>
        <v>0</v>
      </c>
      <c r="D74" s="14">
        <f>City_Agg!E74</f>
        <v>0</v>
      </c>
      <c r="E74" s="38">
        <f>IF(Clustering_Guide!$C$7=1,LN(1+MAX(B74,0)),B74)</f>
        <v>3.4965075614664802</v>
      </c>
      <c r="F74" s="38">
        <f>IF(Clustering_Guide!$C$7=1,LN(1+MAX(C74,0)),C74)</f>
        <v>0</v>
      </c>
      <c r="G74" s="38">
        <f>IF(Clustering_Guide!$C$7=1,LN(1+MAX(D74,0)),D74)</f>
        <v>0</v>
      </c>
      <c r="H74" s="38">
        <f t="shared" si="6"/>
        <v>-0.25991062981783247</v>
      </c>
      <c r="I74" s="38">
        <f t="shared" si="7"/>
        <v>-0.67265054538827607</v>
      </c>
      <c r="J74" s="38">
        <f t="shared" si="8"/>
        <v>-1.1456441163335547</v>
      </c>
    </row>
    <row r="75" spans="1:10" x14ac:dyDescent="0.25">
      <c r="A75" s="36" t="str">
        <f>City_Agg!A75</f>
        <v>Shigar</v>
      </c>
      <c r="B75" s="14">
        <f>City_Agg!C75</f>
        <v>31</v>
      </c>
      <c r="C75" s="14">
        <f>City_Agg!D75</f>
        <v>0</v>
      </c>
      <c r="D75" s="14">
        <f>City_Agg!E75</f>
        <v>21</v>
      </c>
      <c r="E75" s="38">
        <f>IF(Clustering_Guide!$C$7=1,LN(1+MAX(B75,0)),B75)</f>
        <v>3.4657359027997265</v>
      </c>
      <c r="F75" s="38">
        <f>IF(Clustering_Guide!$C$7=1,LN(1+MAX(C75,0)),C75)</f>
        <v>0</v>
      </c>
      <c r="G75" s="38">
        <f>IF(Clustering_Guide!$C$7=1,LN(1+MAX(D75,0)),D75)</f>
        <v>3.0910424533583161</v>
      </c>
      <c r="H75" s="38">
        <f t="shared" si="6"/>
        <v>-0.27592635554508732</v>
      </c>
      <c r="I75" s="38">
        <f t="shared" si="7"/>
        <v>-0.67265054538827607</v>
      </c>
      <c r="J75" s="38">
        <f t="shared" si="8"/>
        <v>0.2867168485915767</v>
      </c>
    </row>
    <row r="76" spans="1:10" x14ac:dyDescent="0.25">
      <c r="A76" s="36" t="str">
        <f>City_Agg!A76</f>
        <v>Narowal</v>
      </c>
      <c r="B76" s="14">
        <f>City_Agg!C76</f>
        <v>31</v>
      </c>
      <c r="C76" s="14">
        <f>City_Agg!D76</f>
        <v>0</v>
      </c>
      <c r="D76" s="14">
        <f>City_Agg!E76</f>
        <v>0</v>
      </c>
      <c r="E76" s="38">
        <f>IF(Clustering_Guide!$C$7=1,LN(1+MAX(B76,0)),B76)</f>
        <v>3.4657359027997265</v>
      </c>
      <c r="F76" s="38">
        <f>IF(Clustering_Guide!$C$7=1,LN(1+MAX(C76,0)),C76)</f>
        <v>0</v>
      </c>
      <c r="G76" s="38">
        <f>IF(Clustering_Guide!$C$7=1,LN(1+MAX(D76,0)),D76)</f>
        <v>0</v>
      </c>
      <c r="H76" s="38">
        <f t="shared" si="6"/>
        <v>-0.27592635554508732</v>
      </c>
      <c r="I76" s="38">
        <f t="shared" si="7"/>
        <v>-0.67265054538827607</v>
      </c>
      <c r="J76" s="38">
        <f t="shared" si="8"/>
        <v>-1.1456441163335547</v>
      </c>
    </row>
    <row r="77" spans="1:10" x14ac:dyDescent="0.25">
      <c r="A77" s="36" t="str">
        <f>City_Agg!A77</f>
        <v>Mandi Bahauddin</v>
      </c>
      <c r="B77" s="14">
        <f>City_Agg!C77</f>
        <v>29</v>
      </c>
      <c r="C77" s="14">
        <f>City_Agg!D77</f>
        <v>0</v>
      </c>
      <c r="D77" s="14">
        <f>City_Agg!E77</f>
        <v>7</v>
      </c>
      <c r="E77" s="38">
        <f>IF(Clustering_Guide!$C$7=1,LN(1+MAX(B77,0)),B77)</f>
        <v>3.4011973816621555</v>
      </c>
      <c r="F77" s="38">
        <f>IF(Clustering_Guide!$C$7=1,LN(1+MAX(C77,0)),C77)</f>
        <v>0</v>
      </c>
      <c r="G77" s="38">
        <f>IF(Clustering_Guide!$C$7=1,LN(1+MAX(D77,0)),D77)</f>
        <v>2.0794415416798357</v>
      </c>
      <c r="H77" s="38">
        <f t="shared" si="6"/>
        <v>-0.30951672077615416</v>
      </c>
      <c r="I77" s="38">
        <f t="shared" si="7"/>
        <v>-0.67265054538827607</v>
      </c>
      <c r="J77" s="38">
        <f t="shared" si="8"/>
        <v>-0.1820498150291911</v>
      </c>
    </row>
    <row r="78" spans="1:10" x14ac:dyDescent="0.25">
      <c r="A78" s="36" t="str">
        <f>City_Agg!A78</f>
        <v>Ghanche</v>
      </c>
      <c r="B78" s="14">
        <f>City_Agg!C78</f>
        <v>28</v>
      </c>
      <c r="C78" s="14">
        <f>City_Agg!D78</f>
        <v>0</v>
      </c>
      <c r="D78" s="14">
        <f>City_Agg!E78</f>
        <v>6</v>
      </c>
      <c r="E78" s="38">
        <f>IF(Clustering_Guide!$C$7=1,LN(1+MAX(B78,0)),B78)</f>
        <v>3.3672958299864741</v>
      </c>
      <c r="F78" s="38">
        <f>IF(Clustering_Guide!$C$7=1,LN(1+MAX(C78,0)),C78)</f>
        <v>0</v>
      </c>
      <c r="G78" s="38">
        <f>IF(Clustering_Guide!$C$7=1,LN(1+MAX(D78,0)),D78)</f>
        <v>1.9459101490553132</v>
      </c>
      <c r="H78" s="38">
        <f t="shared" si="6"/>
        <v>-0.3271614619727895</v>
      </c>
      <c r="I78" s="38">
        <f t="shared" si="7"/>
        <v>-0.67265054538827607</v>
      </c>
      <c r="J78" s="38">
        <f t="shared" si="8"/>
        <v>-0.24392704812240026</v>
      </c>
    </row>
    <row r="79" spans="1:10" x14ac:dyDescent="0.25">
      <c r="A79" s="36" t="str">
        <f>City_Agg!A79</f>
        <v>Hunza</v>
      </c>
      <c r="B79" s="14">
        <f>City_Agg!C79</f>
        <v>28</v>
      </c>
      <c r="C79" s="14">
        <f>City_Agg!D79</f>
        <v>0</v>
      </c>
      <c r="D79" s="14">
        <f>City_Agg!E79</f>
        <v>0</v>
      </c>
      <c r="E79" s="38">
        <f>IF(Clustering_Guide!$C$7=1,LN(1+MAX(B79,0)),B79)</f>
        <v>3.3672958299864741</v>
      </c>
      <c r="F79" s="38">
        <f>IF(Clustering_Guide!$C$7=1,LN(1+MAX(C79,0)),C79)</f>
        <v>0</v>
      </c>
      <c r="G79" s="38">
        <f>IF(Clustering_Guide!$C$7=1,LN(1+MAX(D79,0)),D79)</f>
        <v>0</v>
      </c>
      <c r="H79" s="38">
        <f t="shared" si="6"/>
        <v>-0.3271614619727895</v>
      </c>
      <c r="I79" s="38">
        <f t="shared" si="7"/>
        <v>-0.67265054538827607</v>
      </c>
      <c r="J79" s="38">
        <f t="shared" si="8"/>
        <v>-1.1456441163335547</v>
      </c>
    </row>
    <row r="80" spans="1:10" x14ac:dyDescent="0.25">
      <c r="A80" s="36" t="str">
        <f>City_Agg!A80</f>
        <v>Nankana Sahib</v>
      </c>
      <c r="B80" s="14">
        <f>City_Agg!C80</f>
        <v>27</v>
      </c>
      <c r="C80" s="14">
        <f>City_Agg!D80</f>
        <v>0</v>
      </c>
      <c r="D80" s="14">
        <f>City_Agg!E80</f>
        <v>6</v>
      </c>
      <c r="E80" s="38">
        <f>IF(Clustering_Guide!$C$7=1,LN(1+MAX(B80,0)),B80)</f>
        <v>3.3322045101752038</v>
      </c>
      <c r="F80" s="38">
        <f>IF(Clustering_Guide!$C$7=1,LN(1+MAX(C80,0)),C80)</f>
        <v>0</v>
      </c>
      <c r="G80" s="38">
        <f>IF(Clustering_Guide!$C$7=1,LN(1+MAX(D80,0)),D80)</f>
        <v>1.9459101490553132</v>
      </c>
      <c r="H80" s="38">
        <f t="shared" si="6"/>
        <v>-0.34542544181187113</v>
      </c>
      <c r="I80" s="38">
        <f t="shared" si="7"/>
        <v>-0.67265054538827607</v>
      </c>
      <c r="J80" s="38">
        <f t="shared" si="8"/>
        <v>-0.24392704812240026</v>
      </c>
    </row>
    <row r="81" spans="1:10" x14ac:dyDescent="0.25">
      <c r="A81" s="36" t="str">
        <f>City_Agg!A81</f>
        <v>Khushab</v>
      </c>
      <c r="B81" s="14">
        <f>City_Agg!C81</f>
        <v>27</v>
      </c>
      <c r="C81" s="14">
        <f>City_Agg!D81</f>
        <v>0</v>
      </c>
      <c r="D81" s="14">
        <f>City_Agg!E81</f>
        <v>0</v>
      </c>
      <c r="E81" s="38">
        <f>IF(Clustering_Guide!$C$7=1,LN(1+MAX(B81,0)),B81)</f>
        <v>3.3322045101752038</v>
      </c>
      <c r="F81" s="38">
        <f>IF(Clustering_Guide!$C$7=1,LN(1+MAX(C81,0)),C81)</f>
        <v>0</v>
      </c>
      <c r="G81" s="38">
        <f>IF(Clustering_Guide!$C$7=1,LN(1+MAX(D81,0)),D81)</f>
        <v>0</v>
      </c>
      <c r="H81" s="38">
        <f t="shared" si="6"/>
        <v>-0.34542544181187113</v>
      </c>
      <c r="I81" s="38">
        <f t="shared" si="7"/>
        <v>-0.67265054538827607</v>
      </c>
      <c r="J81" s="38">
        <f t="shared" si="8"/>
        <v>-1.1456441163335547</v>
      </c>
    </row>
    <row r="82" spans="1:10" x14ac:dyDescent="0.25">
      <c r="A82" s="36" t="str">
        <f>City_Agg!A82</f>
        <v>Sheikhupura</v>
      </c>
      <c r="B82" s="14">
        <f>City_Agg!C82</f>
        <v>25</v>
      </c>
      <c r="C82" s="14">
        <f>City_Agg!D82</f>
        <v>0</v>
      </c>
      <c r="D82" s="14">
        <f>City_Agg!E82</f>
        <v>0</v>
      </c>
      <c r="E82" s="38">
        <f>IF(Clustering_Guide!$C$7=1,LN(1+MAX(B82,0)),B82)</f>
        <v>3.2580965380214821</v>
      </c>
      <c r="F82" s="38">
        <f>IF(Clustering_Guide!$C$7=1,LN(1+MAX(C82,0)),C82)</f>
        <v>0</v>
      </c>
      <c r="G82" s="38">
        <f>IF(Clustering_Guide!$C$7=1,LN(1+MAX(D82,0)),D82)</f>
        <v>0</v>
      </c>
      <c r="H82" s="38">
        <f t="shared" si="6"/>
        <v>-0.38399641938154599</v>
      </c>
      <c r="I82" s="38">
        <f t="shared" si="7"/>
        <v>-0.67265054538827607</v>
      </c>
      <c r="J82" s="38">
        <f t="shared" si="8"/>
        <v>-1.1456441163335547</v>
      </c>
    </row>
    <row r="83" spans="1:10" x14ac:dyDescent="0.25">
      <c r="A83" s="36" t="str">
        <f>City_Agg!A83</f>
        <v>Diamer</v>
      </c>
      <c r="B83" s="14">
        <f>City_Agg!C83</f>
        <v>24</v>
      </c>
      <c r="C83" s="14">
        <f>City_Agg!D83</f>
        <v>0</v>
      </c>
      <c r="D83" s="14">
        <f>City_Agg!E83</f>
        <v>12</v>
      </c>
      <c r="E83" s="38">
        <f>IF(Clustering_Guide!$C$7=1,LN(1+MAX(B83,0)),B83)</f>
        <v>3.2188758248682006</v>
      </c>
      <c r="F83" s="38">
        <f>IF(Clustering_Guide!$C$7=1,LN(1+MAX(C83,0)),C83)</f>
        <v>0</v>
      </c>
      <c r="G83" s="38">
        <f>IF(Clustering_Guide!$C$7=1,LN(1+MAX(D83,0)),D83)</f>
        <v>2.5649493574615367</v>
      </c>
      <c r="H83" s="38">
        <f t="shared" si="6"/>
        <v>-0.40440962464593949</v>
      </c>
      <c r="I83" s="38">
        <f t="shared" si="7"/>
        <v>-0.67265054538827607</v>
      </c>
      <c r="J83" s="38">
        <f t="shared" si="8"/>
        <v>4.2930091906806002E-2</v>
      </c>
    </row>
    <row r="84" spans="1:10" x14ac:dyDescent="0.25">
      <c r="A84" s="36" t="str">
        <f>City_Agg!A84</f>
        <v>Hangu</v>
      </c>
      <c r="B84" s="14">
        <f>City_Agg!C84</f>
        <v>24</v>
      </c>
      <c r="C84" s="14">
        <f>City_Agg!D84</f>
        <v>1</v>
      </c>
      <c r="D84" s="14">
        <f>City_Agg!E84</f>
        <v>15</v>
      </c>
      <c r="E84" s="38">
        <f>IF(Clustering_Guide!$C$7=1,LN(1+MAX(B84,0)),B84)</f>
        <v>3.2188758248682006</v>
      </c>
      <c r="F84" s="38">
        <f>IF(Clustering_Guide!$C$7=1,LN(1+MAX(C84,0)),C84)</f>
        <v>0.69314718055994529</v>
      </c>
      <c r="G84" s="38">
        <f>IF(Clustering_Guide!$C$7=1,LN(1+MAX(D84,0)),D84)</f>
        <v>2.7725887222397811</v>
      </c>
      <c r="H84" s="38">
        <f t="shared" si="6"/>
        <v>-0.40440962464593949</v>
      </c>
      <c r="I84" s="38">
        <f t="shared" si="7"/>
        <v>-0.14698313392952958</v>
      </c>
      <c r="J84" s="38">
        <f t="shared" si="8"/>
        <v>0.13914828540559679</v>
      </c>
    </row>
    <row r="85" spans="1:10" x14ac:dyDescent="0.25">
      <c r="A85" s="36" t="str">
        <f>City_Agg!A85</f>
        <v>Mohmand</v>
      </c>
      <c r="B85" s="14">
        <f>City_Agg!C85</f>
        <v>21</v>
      </c>
      <c r="C85" s="14">
        <f>City_Agg!D85</f>
        <v>1</v>
      </c>
      <c r="D85" s="14">
        <f>City_Agg!E85</f>
        <v>4</v>
      </c>
      <c r="E85" s="38">
        <f>IF(Clustering_Guide!$C$7=1,LN(1+MAX(B85,0)),B85)</f>
        <v>3.0910424533583161</v>
      </c>
      <c r="F85" s="38">
        <f>IF(Clustering_Guide!$C$7=1,LN(1+MAX(C85,0)),C85)</f>
        <v>0.69314718055994529</v>
      </c>
      <c r="G85" s="38">
        <f>IF(Clustering_Guide!$C$7=1,LN(1+MAX(D85,0)),D85)</f>
        <v>1.6094379124341003</v>
      </c>
      <c r="H85" s="38">
        <f t="shared" si="6"/>
        <v>-0.47094306176301559</v>
      </c>
      <c r="I85" s="38">
        <f t="shared" si="7"/>
        <v>-0.14698313392952958</v>
      </c>
      <c r="J85" s="38">
        <f t="shared" si="8"/>
        <v>-0.39984522290956798</v>
      </c>
    </row>
    <row r="86" spans="1:10" x14ac:dyDescent="0.25">
      <c r="A86" s="36" t="str">
        <f>City_Agg!A86</f>
        <v>Bahawal Nagar</v>
      </c>
      <c r="B86" s="14">
        <f>City_Agg!C86</f>
        <v>21</v>
      </c>
      <c r="C86" s="14">
        <f>City_Agg!D86</f>
        <v>0</v>
      </c>
      <c r="D86" s="14">
        <f>City_Agg!E86</f>
        <v>4</v>
      </c>
      <c r="E86" s="38">
        <f>IF(Clustering_Guide!$C$7=1,LN(1+MAX(B86,0)),B86)</f>
        <v>3.0910424533583161</v>
      </c>
      <c r="F86" s="38">
        <f>IF(Clustering_Guide!$C$7=1,LN(1+MAX(C86,0)),C86)</f>
        <v>0</v>
      </c>
      <c r="G86" s="38">
        <f>IF(Clustering_Guide!$C$7=1,LN(1+MAX(D86,0)),D86)</f>
        <v>1.6094379124341003</v>
      </c>
      <c r="H86" s="38">
        <f t="shared" si="6"/>
        <v>-0.47094306176301559</v>
      </c>
      <c r="I86" s="38">
        <f t="shared" si="7"/>
        <v>-0.67265054538827607</v>
      </c>
      <c r="J86" s="38">
        <f t="shared" si="8"/>
        <v>-0.39984522290956798</v>
      </c>
    </row>
    <row r="87" spans="1:10" x14ac:dyDescent="0.25">
      <c r="A87" s="36" t="str">
        <f>City_Agg!A87</f>
        <v>Ghizer</v>
      </c>
      <c r="B87" s="14">
        <f>City_Agg!C87</f>
        <v>19</v>
      </c>
      <c r="C87" s="14">
        <f>City_Agg!D87</f>
        <v>0</v>
      </c>
      <c r="D87" s="14">
        <f>City_Agg!E87</f>
        <v>3</v>
      </c>
      <c r="E87" s="38">
        <f>IF(Clustering_Guide!$C$7=1,LN(1+MAX(B87,0)),B87)</f>
        <v>2.9957322735539909</v>
      </c>
      <c r="F87" s="38">
        <f>IF(Clustering_Guide!$C$7=1,LN(1+MAX(C87,0)),C87)</f>
        <v>0</v>
      </c>
      <c r="G87" s="38">
        <f>IF(Clustering_Guide!$C$7=1,LN(1+MAX(D87,0)),D87)</f>
        <v>1.3862943611198906</v>
      </c>
      <c r="H87" s="38">
        <f t="shared" si="6"/>
        <v>-0.5205491527213375</v>
      </c>
      <c r="I87" s="38">
        <f t="shared" si="7"/>
        <v>-0.67265054538827607</v>
      </c>
      <c r="J87" s="38">
        <f t="shared" si="8"/>
        <v>-0.50324791546397885</v>
      </c>
    </row>
    <row r="88" spans="1:10" x14ac:dyDescent="0.25">
      <c r="A88" s="36" t="str">
        <f>City_Agg!A88</f>
        <v>Mianwali</v>
      </c>
      <c r="B88" s="14">
        <f>City_Agg!C88</f>
        <v>18</v>
      </c>
      <c r="C88" s="14">
        <f>City_Agg!D88</f>
        <v>0</v>
      </c>
      <c r="D88" s="14">
        <f>City_Agg!E88</f>
        <v>1</v>
      </c>
      <c r="E88" s="38">
        <f>IF(Clustering_Guide!$C$7=1,LN(1+MAX(B88,0)),B88)</f>
        <v>2.9444389791664403</v>
      </c>
      <c r="F88" s="38">
        <f>IF(Clustering_Guide!$C$7=1,LN(1+MAX(C88,0)),C88)</f>
        <v>0</v>
      </c>
      <c r="G88" s="38">
        <f>IF(Clustering_Guide!$C$7=1,LN(1+MAX(D88,0)),D88)</f>
        <v>0.69314718055994529</v>
      </c>
      <c r="H88" s="38">
        <f t="shared" si="6"/>
        <v>-0.54724577455296852</v>
      </c>
      <c r="I88" s="38">
        <f t="shared" si="7"/>
        <v>-0.67265054538827607</v>
      </c>
      <c r="J88" s="38">
        <f t="shared" si="8"/>
        <v>-0.82444601589876665</v>
      </c>
    </row>
    <row r="89" spans="1:10" x14ac:dyDescent="0.25">
      <c r="A89" s="36" t="str">
        <f>City_Agg!A89</f>
        <v>Kharmang</v>
      </c>
      <c r="B89" s="14">
        <f>City_Agg!C89</f>
        <v>16</v>
      </c>
      <c r="C89" s="14">
        <f>City_Agg!D89</f>
        <v>0</v>
      </c>
      <c r="D89" s="14">
        <f>City_Agg!E89</f>
        <v>10</v>
      </c>
      <c r="E89" s="38">
        <f>IF(Clustering_Guide!$C$7=1,LN(1+MAX(B89,0)),B89)</f>
        <v>2.8332133440562162</v>
      </c>
      <c r="F89" s="38">
        <f>IF(Clustering_Guide!$C$7=1,LN(1+MAX(C89,0)),C89)</f>
        <v>0</v>
      </c>
      <c r="G89" s="38">
        <f>IF(Clustering_Guide!$C$7=1,LN(1+MAX(D89,0)),D89)</f>
        <v>2.3978952727983707</v>
      </c>
      <c r="H89" s="38">
        <f t="shared" si="6"/>
        <v>-0.60513538281414725</v>
      </c>
      <c r="I89" s="38">
        <f t="shared" si="7"/>
        <v>-0.67265054538827607</v>
      </c>
      <c r="J89" s="38">
        <f t="shared" si="8"/>
        <v>-3.44812518432112E-2</v>
      </c>
    </row>
    <row r="90" spans="1:10" x14ac:dyDescent="0.25">
      <c r="A90" s="36" t="str">
        <f>City_Agg!A90</f>
        <v>Attock</v>
      </c>
      <c r="B90" s="14">
        <f>City_Agg!C90</f>
        <v>15</v>
      </c>
      <c r="C90" s="14">
        <f>City_Agg!D90</f>
        <v>0</v>
      </c>
      <c r="D90" s="14">
        <f>City_Agg!E90</f>
        <v>0</v>
      </c>
      <c r="E90" s="38">
        <f>IF(Clustering_Guide!$C$7=1,LN(1+MAX(B90,0)),B90)</f>
        <v>2.7725887222397811</v>
      </c>
      <c r="F90" s="38">
        <f>IF(Clustering_Guide!$C$7=1,LN(1+MAX(C90,0)),C90)</f>
        <v>0</v>
      </c>
      <c r="G90" s="38">
        <f>IF(Clustering_Guide!$C$7=1,LN(1+MAX(D90,0)),D90)</f>
        <v>0</v>
      </c>
      <c r="H90" s="38">
        <f t="shared" si="6"/>
        <v>-0.63668868079673557</v>
      </c>
      <c r="I90" s="38">
        <f t="shared" si="7"/>
        <v>-0.67265054538827607</v>
      </c>
      <c r="J90" s="38">
        <f t="shared" si="8"/>
        <v>-1.1456441163335547</v>
      </c>
    </row>
    <row r="91" spans="1:10" x14ac:dyDescent="0.25">
      <c r="A91" s="36" t="str">
        <f>City_Agg!A91</f>
        <v>Chitral Upper</v>
      </c>
      <c r="B91" s="14">
        <f>City_Agg!C91</f>
        <v>15</v>
      </c>
      <c r="C91" s="14">
        <f>City_Agg!D91</f>
        <v>0</v>
      </c>
      <c r="D91" s="14">
        <f>City_Agg!E91</f>
        <v>5</v>
      </c>
      <c r="E91" s="38">
        <f>IF(Clustering_Guide!$C$7=1,LN(1+MAX(B91,0)),B91)</f>
        <v>2.7725887222397811</v>
      </c>
      <c r="F91" s="38">
        <f>IF(Clustering_Guide!$C$7=1,LN(1+MAX(C91,0)),C91)</f>
        <v>0</v>
      </c>
      <c r="G91" s="38">
        <f>IF(Clustering_Guide!$C$7=1,LN(1+MAX(D91,0)),D91)</f>
        <v>1.791759469228055</v>
      </c>
      <c r="H91" s="38">
        <f t="shared" si="6"/>
        <v>-0.63668868079673557</v>
      </c>
      <c r="I91" s="38">
        <f t="shared" si="7"/>
        <v>-0.67265054538827607</v>
      </c>
      <c r="J91" s="38">
        <f t="shared" si="8"/>
        <v>-0.31535907140676028</v>
      </c>
    </row>
    <row r="92" spans="1:10" x14ac:dyDescent="0.25">
      <c r="A92" s="36" t="str">
        <f>City_Agg!A92</f>
        <v>Matiari</v>
      </c>
      <c r="B92" s="14">
        <f>City_Agg!C92</f>
        <v>13</v>
      </c>
      <c r="C92" s="14">
        <f>City_Agg!D92</f>
        <v>1</v>
      </c>
      <c r="D92" s="14">
        <f>City_Agg!E92</f>
        <v>45</v>
      </c>
      <c r="E92" s="38">
        <f>IF(Clustering_Guide!$C$7=1,LN(1+MAX(B92,0)),B92)</f>
        <v>2.6390573296152584</v>
      </c>
      <c r="F92" s="38">
        <f>IF(Clustering_Guide!$C$7=1,LN(1+MAX(C92,0)),C92)</f>
        <v>0.69314718055994529</v>
      </c>
      <c r="G92" s="38">
        <f>IF(Clustering_Guide!$C$7=1,LN(1+MAX(D92,0)),D92)</f>
        <v>3.8286413964890951</v>
      </c>
      <c r="H92" s="38">
        <f t="shared" si="6"/>
        <v>-0.70618776706351938</v>
      </c>
      <c r="I92" s="38">
        <f t="shared" si="7"/>
        <v>-0.14698313392952958</v>
      </c>
      <c r="J92" s="38">
        <f t="shared" si="8"/>
        <v>0.62851349158581915</v>
      </c>
    </row>
    <row r="93" spans="1:10" x14ac:dyDescent="0.25">
      <c r="A93" s="36" t="str">
        <f>City_Agg!A93</f>
        <v>Lakki Marwat</v>
      </c>
      <c r="B93" s="14">
        <f>City_Agg!C93</f>
        <v>12</v>
      </c>
      <c r="C93" s="14">
        <f>City_Agg!D93</f>
        <v>1</v>
      </c>
      <c r="D93" s="14">
        <f>City_Agg!E93</f>
        <v>7</v>
      </c>
      <c r="E93" s="38">
        <f>IF(Clustering_Guide!$C$7=1,LN(1+MAX(B93,0)),B93)</f>
        <v>2.5649493574615367</v>
      </c>
      <c r="F93" s="38">
        <f>IF(Clustering_Guide!$C$7=1,LN(1+MAX(C93,0)),C93)</f>
        <v>0.69314718055994529</v>
      </c>
      <c r="G93" s="38">
        <f>IF(Clustering_Guide!$C$7=1,LN(1+MAX(D93,0)),D93)</f>
        <v>2.0794415416798357</v>
      </c>
      <c r="H93" s="38">
        <f t="shared" si="6"/>
        <v>-0.74475874463319425</v>
      </c>
      <c r="I93" s="38">
        <f t="shared" si="7"/>
        <v>-0.14698313392952958</v>
      </c>
      <c r="J93" s="38">
        <f t="shared" si="8"/>
        <v>-0.1820498150291911</v>
      </c>
    </row>
    <row r="94" spans="1:10" x14ac:dyDescent="0.25">
      <c r="A94" s="36" t="str">
        <f>City_Agg!A94</f>
        <v>Taftan</v>
      </c>
      <c r="B94" s="14">
        <f>City_Agg!C94</f>
        <v>12</v>
      </c>
      <c r="C94" s="14">
        <f>City_Agg!D94</f>
        <v>0</v>
      </c>
      <c r="D94" s="14">
        <f>City_Agg!E94</f>
        <v>0</v>
      </c>
      <c r="E94" s="38">
        <f>IF(Clustering_Guide!$C$7=1,LN(1+MAX(B94,0)),B94)</f>
        <v>2.5649493574615367</v>
      </c>
      <c r="F94" s="38">
        <f>IF(Clustering_Guide!$C$7=1,LN(1+MAX(C94,0)),C94)</f>
        <v>0</v>
      </c>
      <c r="G94" s="38">
        <f>IF(Clustering_Guide!$C$7=1,LN(1+MAX(D94,0)),D94)</f>
        <v>0</v>
      </c>
      <c r="H94" s="38">
        <f t="shared" si="6"/>
        <v>-0.74475874463319425</v>
      </c>
      <c r="I94" s="38">
        <f t="shared" si="7"/>
        <v>-0.67265054538827607</v>
      </c>
      <c r="J94" s="38">
        <f t="shared" si="8"/>
        <v>-1.1456441163335547</v>
      </c>
    </row>
    <row r="95" spans="1:10" x14ac:dyDescent="0.25">
      <c r="A95" s="36" t="str">
        <f>City_Agg!A95</f>
        <v>Orakzai</v>
      </c>
      <c r="B95" s="14">
        <f>City_Agg!C95</f>
        <v>11</v>
      </c>
      <c r="C95" s="14">
        <f>City_Agg!D95</f>
        <v>0</v>
      </c>
      <c r="D95" s="14">
        <f>City_Agg!E95</f>
        <v>4</v>
      </c>
      <c r="E95" s="38">
        <f>IF(Clustering_Guide!$C$7=1,LN(1+MAX(B95,0)),B95)</f>
        <v>2.4849066497880004</v>
      </c>
      <c r="F95" s="38">
        <f>IF(Clustering_Guide!$C$7=1,LN(1+MAX(C95,0)),C95)</f>
        <v>0</v>
      </c>
      <c r="G95" s="38">
        <f>IF(Clustering_Guide!$C$7=1,LN(1+MAX(D95,0)),D95)</f>
        <v>1.6094379124341003</v>
      </c>
      <c r="H95" s="38">
        <f t="shared" si="6"/>
        <v>-0.78641857410320049</v>
      </c>
      <c r="I95" s="38">
        <f t="shared" si="7"/>
        <v>-0.67265054538827607</v>
      </c>
      <c r="J95" s="38">
        <f t="shared" si="8"/>
        <v>-0.39984522290956798</v>
      </c>
    </row>
    <row r="96" spans="1:10" x14ac:dyDescent="0.25">
      <c r="A96" s="36" t="str">
        <f>City_Agg!A96</f>
        <v>North Waziristan</v>
      </c>
      <c r="B96" s="14">
        <f>City_Agg!C96</f>
        <v>10</v>
      </c>
      <c r="C96" s="14">
        <f>City_Agg!D96</f>
        <v>0</v>
      </c>
      <c r="D96" s="14">
        <f>City_Agg!E96</f>
        <v>5</v>
      </c>
      <c r="E96" s="38">
        <f>IF(Clustering_Guide!$C$7=1,LN(1+MAX(B96,0)),B96)</f>
        <v>2.3978952727983707</v>
      </c>
      <c r="F96" s="38">
        <f>IF(Clustering_Guide!$C$7=1,LN(1+MAX(C96,0)),C96)</f>
        <v>0</v>
      </c>
      <c r="G96" s="38">
        <f>IF(Clustering_Guide!$C$7=1,LN(1+MAX(D96,0)),D96)</f>
        <v>1.791759469228055</v>
      </c>
      <c r="H96" s="38">
        <f t="shared" si="6"/>
        <v>-0.8317053870146639</v>
      </c>
      <c r="I96" s="38">
        <f t="shared" si="7"/>
        <v>-0.67265054538827607</v>
      </c>
      <c r="J96" s="38">
        <f t="shared" si="8"/>
        <v>-0.31535907140676028</v>
      </c>
    </row>
    <row r="97" spans="1:10" x14ac:dyDescent="0.25">
      <c r="A97" s="36" t="str">
        <f>City_Agg!A97</f>
        <v>Kasur</v>
      </c>
      <c r="B97" s="14">
        <f>City_Agg!C97</f>
        <v>10</v>
      </c>
      <c r="C97" s="14">
        <f>City_Agg!D97</f>
        <v>0</v>
      </c>
      <c r="D97" s="14">
        <f>City_Agg!E97</f>
        <v>0</v>
      </c>
      <c r="E97" s="38">
        <f>IF(Clustering_Guide!$C$7=1,LN(1+MAX(B97,0)),B97)</f>
        <v>2.3978952727983707</v>
      </c>
      <c r="F97" s="38">
        <f>IF(Clustering_Guide!$C$7=1,LN(1+MAX(C97,0)),C97)</f>
        <v>0</v>
      </c>
      <c r="G97" s="38">
        <f>IF(Clustering_Guide!$C$7=1,LN(1+MAX(D97,0)),D97)</f>
        <v>0</v>
      </c>
      <c r="H97" s="38">
        <f t="shared" si="6"/>
        <v>-0.8317053870146639</v>
      </c>
      <c r="I97" s="38">
        <f t="shared" si="7"/>
        <v>-0.67265054538827607</v>
      </c>
      <c r="J97" s="38">
        <f t="shared" si="8"/>
        <v>-1.1456441163335547</v>
      </c>
    </row>
    <row r="98" spans="1:10" x14ac:dyDescent="0.25">
      <c r="A98" s="36" t="str">
        <f>City_Agg!A98</f>
        <v>Rajanpur</v>
      </c>
      <c r="B98" s="14">
        <f>City_Agg!C98</f>
        <v>9</v>
      </c>
      <c r="C98" s="14">
        <f>City_Agg!D98</f>
        <v>0</v>
      </c>
      <c r="D98" s="14">
        <f>City_Agg!E98</f>
        <v>0</v>
      </c>
      <c r="E98" s="38">
        <f>IF(Clustering_Guide!$C$7=1,LN(1+MAX(B98,0)),B98)</f>
        <v>2.3025850929940459</v>
      </c>
      <c r="F98" s="38">
        <f>IF(Clustering_Guide!$C$7=1,LN(1+MAX(C98,0)),C98)</f>
        <v>0</v>
      </c>
      <c r="G98" s="38">
        <f>IF(Clustering_Guide!$C$7=1,LN(1+MAX(D98,0)),D98)</f>
        <v>0</v>
      </c>
      <c r="H98" s="38">
        <f t="shared" si="6"/>
        <v>-0.88131147797298559</v>
      </c>
      <c r="I98" s="38">
        <f t="shared" si="7"/>
        <v>-0.67265054538827607</v>
      </c>
      <c r="J98" s="38">
        <f t="shared" si="8"/>
        <v>-1.1456441163335547</v>
      </c>
    </row>
    <row r="99" spans="1:10" x14ac:dyDescent="0.25">
      <c r="A99" s="36" t="str">
        <f>City_Agg!A99</f>
        <v>Umerkot</v>
      </c>
      <c r="B99" s="14">
        <f>City_Agg!C99</f>
        <v>9</v>
      </c>
      <c r="C99" s="14">
        <f>City_Agg!D99</f>
        <v>1</v>
      </c>
      <c r="D99" s="14">
        <f>City_Agg!E99</f>
        <v>1</v>
      </c>
      <c r="E99" s="38">
        <f>IF(Clustering_Guide!$C$7=1,LN(1+MAX(B99,0)),B99)</f>
        <v>2.3025850929940459</v>
      </c>
      <c r="F99" s="38">
        <f>IF(Clustering_Guide!$C$7=1,LN(1+MAX(C99,0)),C99)</f>
        <v>0.69314718055994529</v>
      </c>
      <c r="G99" s="38">
        <f>IF(Clustering_Guide!$C$7=1,LN(1+MAX(D99,0)),D99)</f>
        <v>0.69314718055994529</v>
      </c>
      <c r="H99" s="38">
        <f t="shared" si="6"/>
        <v>-0.88131147797298559</v>
      </c>
      <c r="I99" s="38">
        <f t="shared" si="7"/>
        <v>-0.14698313392952958</v>
      </c>
      <c r="J99" s="38">
        <f t="shared" si="8"/>
        <v>-0.82444601589876665</v>
      </c>
    </row>
    <row r="100" spans="1:10" x14ac:dyDescent="0.25">
      <c r="A100" s="36" t="str">
        <f>City_Agg!A100</f>
        <v>Tando Allahyar</v>
      </c>
      <c r="B100" s="14">
        <f>City_Agg!C100</f>
        <v>9</v>
      </c>
      <c r="C100" s="14">
        <f>City_Agg!D100</f>
        <v>0</v>
      </c>
      <c r="D100" s="14">
        <f>City_Agg!E100</f>
        <v>20</v>
      </c>
      <c r="E100" s="38">
        <f>IF(Clustering_Guide!$C$7=1,LN(1+MAX(B100,0)),B100)</f>
        <v>2.3025850929940459</v>
      </c>
      <c r="F100" s="38">
        <f>IF(Clustering_Guide!$C$7=1,LN(1+MAX(C100,0)),C100)</f>
        <v>0</v>
      </c>
      <c r="G100" s="38">
        <f>IF(Clustering_Guide!$C$7=1,LN(1+MAX(D100,0)),D100)</f>
        <v>3.044522437723423</v>
      </c>
      <c r="H100" s="38">
        <f t="shared" si="6"/>
        <v>-0.88131147797298559</v>
      </c>
      <c r="I100" s="38">
        <f t="shared" si="7"/>
        <v>-0.67265054538827607</v>
      </c>
      <c r="J100" s="38">
        <f t="shared" si="8"/>
        <v>0.26515989636960624</v>
      </c>
    </row>
    <row r="101" spans="1:10" x14ac:dyDescent="0.25">
      <c r="A101" s="36" t="str">
        <f>City_Agg!A101</f>
        <v>Mirpur</v>
      </c>
      <c r="B101" s="14">
        <f>City_Agg!C101</f>
        <v>9</v>
      </c>
      <c r="C101" s="14">
        <f>City_Agg!D101</f>
        <v>0</v>
      </c>
      <c r="D101" s="14">
        <f>City_Agg!E101</f>
        <v>0</v>
      </c>
      <c r="E101" s="38">
        <f>IF(Clustering_Guide!$C$7=1,LN(1+MAX(B101,0)),B101)</f>
        <v>2.3025850929940459</v>
      </c>
      <c r="F101" s="38">
        <f>IF(Clustering_Guide!$C$7=1,LN(1+MAX(C101,0)),C101)</f>
        <v>0</v>
      </c>
      <c r="G101" s="38">
        <f>IF(Clustering_Guide!$C$7=1,LN(1+MAX(D101,0)),D101)</f>
        <v>0</v>
      </c>
      <c r="H101" s="38">
        <f t="shared" ref="H101:H121" si="9">(E101-AVERAGE(E$5:E$121))/STDEV(E$5:E$121)</f>
        <v>-0.88131147797298559</v>
      </c>
      <c r="I101" s="38">
        <f t="shared" ref="I101:I121" si="10">(F101-AVERAGE(F$5:F$121))/STDEV(F$5:F$121)</f>
        <v>-0.67265054538827607</v>
      </c>
      <c r="J101" s="38">
        <f t="shared" ref="J101:J121" si="11">(G101-AVERAGE(G$5:G$121))/STDEV(G$5:G$121)</f>
        <v>-1.1456441163335547</v>
      </c>
    </row>
    <row r="102" spans="1:10" x14ac:dyDescent="0.25">
      <c r="A102" s="36" t="str">
        <f>City_Agg!A102</f>
        <v>Tank</v>
      </c>
      <c r="B102" s="14">
        <f>City_Agg!C102</f>
        <v>8</v>
      </c>
      <c r="C102" s="14">
        <f>City_Agg!D102</f>
        <v>0</v>
      </c>
      <c r="D102" s="14">
        <f>City_Agg!E102</f>
        <v>10</v>
      </c>
      <c r="E102" s="38">
        <f>IF(Clustering_Guide!$C$7=1,LN(1+MAX(B102,0)),B102)</f>
        <v>2.1972245773362196</v>
      </c>
      <c r="F102" s="38">
        <f>IF(Clustering_Guide!$C$7=1,LN(1+MAX(C102,0)),C102)</f>
        <v>0</v>
      </c>
      <c r="G102" s="38">
        <f>IF(Clustering_Guide!$C$7=1,LN(1+MAX(D102,0)),D102)</f>
        <v>2.3978952727983707</v>
      </c>
      <c r="H102" s="38">
        <f t="shared" si="9"/>
        <v>-0.9361484674096654</v>
      </c>
      <c r="I102" s="38">
        <f t="shared" si="10"/>
        <v>-0.67265054538827607</v>
      </c>
      <c r="J102" s="38">
        <f t="shared" si="11"/>
        <v>-3.44812518432112E-2</v>
      </c>
    </row>
    <row r="103" spans="1:10" x14ac:dyDescent="0.25">
      <c r="A103" s="36" t="str">
        <f>City_Agg!A103</f>
        <v>Sahiwal</v>
      </c>
      <c r="B103" s="14">
        <f>City_Agg!C103</f>
        <v>8</v>
      </c>
      <c r="C103" s="14">
        <f>City_Agg!D103</f>
        <v>0</v>
      </c>
      <c r="D103" s="14">
        <f>City_Agg!E103</f>
        <v>0</v>
      </c>
      <c r="E103" s="38">
        <f>IF(Clustering_Guide!$C$7=1,LN(1+MAX(B103,0)),B103)</f>
        <v>2.1972245773362196</v>
      </c>
      <c r="F103" s="38">
        <f>IF(Clustering_Guide!$C$7=1,LN(1+MAX(C103,0)),C103)</f>
        <v>0</v>
      </c>
      <c r="G103" s="38">
        <f>IF(Clustering_Guide!$C$7=1,LN(1+MAX(D103,0)),D103)</f>
        <v>0</v>
      </c>
      <c r="H103" s="38">
        <f t="shared" si="9"/>
        <v>-0.9361484674096654</v>
      </c>
      <c r="I103" s="38">
        <f t="shared" si="10"/>
        <v>-0.67265054538827607</v>
      </c>
      <c r="J103" s="38">
        <f t="shared" si="11"/>
        <v>-1.1456441163335547</v>
      </c>
    </row>
    <row r="104" spans="1:10" x14ac:dyDescent="0.25">
      <c r="A104" s="36" t="str">
        <f>City_Agg!A104</f>
        <v>Chiniot</v>
      </c>
      <c r="B104" s="14">
        <f>City_Agg!C104</f>
        <v>8</v>
      </c>
      <c r="C104" s="14">
        <f>City_Agg!D104</f>
        <v>0</v>
      </c>
      <c r="D104" s="14">
        <f>City_Agg!E104</f>
        <v>0</v>
      </c>
      <c r="E104" s="38">
        <f>IF(Clustering_Guide!$C$7=1,LN(1+MAX(B104,0)),B104)</f>
        <v>2.1972245773362196</v>
      </c>
      <c r="F104" s="38">
        <f>IF(Clustering_Guide!$C$7=1,LN(1+MAX(C104,0)),C104)</f>
        <v>0</v>
      </c>
      <c r="G104" s="38">
        <f>IF(Clustering_Guide!$C$7=1,LN(1+MAX(D104,0)),D104)</f>
        <v>0</v>
      </c>
      <c r="H104" s="38">
        <f t="shared" si="9"/>
        <v>-0.9361484674096654</v>
      </c>
      <c r="I104" s="38">
        <f t="shared" si="10"/>
        <v>-0.67265054538827607</v>
      </c>
      <c r="J104" s="38">
        <f t="shared" si="11"/>
        <v>-1.1456441163335547</v>
      </c>
    </row>
    <row r="105" spans="1:10" x14ac:dyDescent="0.25">
      <c r="A105" s="36" t="str">
        <f>City_Agg!A105</f>
        <v>South Waziristan</v>
      </c>
      <c r="B105" s="14">
        <f>City_Agg!C105</f>
        <v>8</v>
      </c>
      <c r="C105" s="14">
        <f>City_Agg!D105</f>
        <v>0</v>
      </c>
      <c r="D105" s="14">
        <f>City_Agg!E105</f>
        <v>3</v>
      </c>
      <c r="E105" s="38">
        <f>IF(Clustering_Guide!$C$7=1,LN(1+MAX(B105,0)),B105)</f>
        <v>2.1972245773362196</v>
      </c>
      <c r="F105" s="38">
        <f>IF(Clustering_Guide!$C$7=1,LN(1+MAX(C105,0)),C105)</f>
        <v>0</v>
      </c>
      <c r="G105" s="38">
        <f>IF(Clustering_Guide!$C$7=1,LN(1+MAX(D105,0)),D105)</f>
        <v>1.3862943611198906</v>
      </c>
      <c r="H105" s="38">
        <f t="shared" si="9"/>
        <v>-0.9361484674096654</v>
      </c>
      <c r="I105" s="38">
        <f t="shared" si="10"/>
        <v>-0.67265054538827607</v>
      </c>
      <c r="J105" s="38">
        <f t="shared" si="11"/>
        <v>-0.50324791546397885</v>
      </c>
    </row>
    <row r="106" spans="1:10" x14ac:dyDescent="0.25">
      <c r="A106" s="36" t="str">
        <f>City_Agg!A106</f>
        <v>Toba Tek Singh</v>
      </c>
      <c r="B106" s="14">
        <f>City_Agg!C106</f>
        <v>7</v>
      </c>
      <c r="C106" s="14">
        <f>City_Agg!D106</f>
        <v>0</v>
      </c>
      <c r="D106" s="14">
        <f>City_Agg!E106</f>
        <v>0</v>
      </c>
      <c r="E106" s="38">
        <f>IF(Clustering_Guide!$C$7=1,LN(1+MAX(B106,0)),B106)</f>
        <v>2.0794415416798357</v>
      </c>
      <c r="F106" s="38">
        <f>IF(Clustering_Guide!$C$7=1,LN(1+MAX(C106,0)),C106)</f>
        <v>0</v>
      </c>
      <c r="G106" s="38">
        <f>IF(Clustering_Guide!$C$7=1,LN(1+MAX(D106,0)),D106)</f>
        <v>0</v>
      </c>
      <c r="H106" s="38">
        <f t="shared" si="9"/>
        <v>-0.99745100604838388</v>
      </c>
      <c r="I106" s="38">
        <f t="shared" si="10"/>
        <v>-0.67265054538827607</v>
      </c>
      <c r="J106" s="38">
        <f t="shared" si="11"/>
        <v>-1.1456441163335547</v>
      </c>
    </row>
    <row r="107" spans="1:10" x14ac:dyDescent="0.25">
      <c r="A107" s="36" t="str">
        <f>City_Agg!A107</f>
        <v>Khanewal</v>
      </c>
      <c r="B107" s="14">
        <f>City_Agg!C107</f>
        <v>7</v>
      </c>
      <c r="C107" s="14">
        <f>City_Agg!D107</f>
        <v>0</v>
      </c>
      <c r="D107" s="14">
        <f>City_Agg!E107</f>
        <v>0</v>
      </c>
      <c r="E107" s="38">
        <f>IF(Clustering_Guide!$C$7=1,LN(1+MAX(B107,0)),B107)</f>
        <v>2.0794415416798357</v>
      </c>
      <c r="F107" s="38">
        <f>IF(Clustering_Guide!$C$7=1,LN(1+MAX(C107,0)),C107)</f>
        <v>0</v>
      </c>
      <c r="G107" s="38">
        <f>IF(Clustering_Guide!$C$7=1,LN(1+MAX(D107,0)),D107)</f>
        <v>0</v>
      </c>
      <c r="H107" s="38">
        <f t="shared" si="9"/>
        <v>-0.99745100604838388</v>
      </c>
      <c r="I107" s="38">
        <f t="shared" si="10"/>
        <v>-0.67265054538827607</v>
      </c>
      <c r="J107" s="38">
        <f t="shared" si="11"/>
        <v>-1.1456441163335547</v>
      </c>
    </row>
    <row r="108" spans="1:10" x14ac:dyDescent="0.25">
      <c r="A108" s="36" t="str">
        <f>City_Agg!A108</f>
        <v>Tharparkar</v>
      </c>
      <c r="B108" s="14">
        <f>City_Agg!C108</f>
        <v>7</v>
      </c>
      <c r="C108" s="14">
        <f>City_Agg!D108</f>
        <v>0</v>
      </c>
      <c r="D108" s="14">
        <f>City_Agg!E108</f>
        <v>2</v>
      </c>
      <c r="E108" s="38">
        <f>IF(Clustering_Guide!$C$7=1,LN(1+MAX(B108,0)),B108)</f>
        <v>2.0794415416798357</v>
      </c>
      <c r="F108" s="38">
        <f>IF(Clustering_Guide!$C$7=1,LN(1+MAX(C108,0)),C108)</f>
        <v>0</v>
      </c>
      <c r="G108" s="38">
        <f>IF(Clustering_Guide!$C$7=1,LN(1+MAX(D108,0)),D108)</f>
        <v>1.0986122886681098</v>
      </c>
      <c r="H108" s="38">
        <f t="shared" si="9"/>
        <v>-0.99745100604838388</v>
      </c>
      <c r="I108" s="38">
        <f t="shared" si="10"/>
        <v>-0.67265054538827607</v>
      </c>
      <c r="J108" s="38">
        <f t="shared" si="11"/>
        <v>-0.63655717184154814</v>
      </c>
    </row>
    <row r="109" spans="1:10" x14ac:dyDescent="0.25">
      <c r="A109" s="36" t="str">
        <f>City_Agg!A109</f>
        <v>Chakwal</v>
      </c>
      <c r="B109" s="14">
        <f>City_Agg!C109</f>
        <v>5</v>
      </c>
      <c r="C109" s="14">
        <f>City_Agg!D109</f>
        <v>0</v>
      </c>
      <c r="D109" s="14">
        <f>City_Agg!E109</f>
        <v>1</v>
      </c>
      <c r="E109" s="38">
        <f>IF(Clustering_Guide!$C$7=1,LN(1+MAX(B109,0)),B109)</f>
        <v>1.791759469228055</v>
      </c>
      <c r="F109" s="38">
        <f>IF(Clustering_Guide!$C$7=1,LN(1+MAX(C109,0)),C109)</f>
        <v>0</v>
      </c>
      <c r="G109" s="38">
        <f>IF(Clustering_Guide!$C$7=1,LN(1+MAX(D109,0)),D109)</f>
        <v>0.69314718055994529</v>
      </c>
      <c r="H109" s="38">
        <f t="shared" si="9"/>
        <v>-1.1471808993548489</v>
      </c>
      <c r="I109" s="38">
        <f t="shared" si="10"/>
        <v>-0.67265054538827607</v>
      </c>
      <c r="J109" s="38">
        <f t="shared" si="11"/>
        <v>-0.82444601589876665</v>
      </c>
    </row>
    <row r="110" spans="1:10" x14ac:dyDescent="0.25">
      <c r="A110" s="36" t="str">
        <f>City_Agg!A110</f>
        <v>Pishin</v>
      </c>
      <c r="B110" s="14">
        <f>City_Agg!C110</f>
        <v>3</v>
      </c>
      <c r="C110" s="14">
        <f>City_Agg!D110</f>
        <v>0</v>
      </c>
      <c r="D110" s="14">
        <f>City_Agg!E110</f>
        <v>0</v>
      </c>
      <c r="E110" s="38">
        <f>IF(Clustering_Guide!$C$7=1,LN(1+MAX(B110,0)),B110)</f>
        <v>1.3862943611198906</v>
      </c>
      <c r="F110" s="38">
        <f>IF(Clustering_Guide!$C$7=1,LN(1+MAX(C110,0)),C110)</f>
        <v>0</v>
      </c>
      <c r="G110" s="38">
        <f>IF(Clustering_Guide!$C$7=1,LN(1+MAX(D110,0)),D110)</f>
        <v>0</v>
      </c>
      <c r="H110" s="38">
        <f t="shared" si="9"/>
        <v>-1.3582133313000322</v>
      </c>
      <c r="I110" s="38">
        <f t="shared" si="10"/>
        <v>-0.67265054538827607</v>
      </c>
      <c r="J110" s="38">
        <f t="shared" si="11"/>
        <v>-1.1456441163335547</v>
      </c>
    </row>
    <row r="111" spans="1:10" x14ac:dyDescent="0.25">
      <c r="A111" s="36" t="str">
        <f>City_Agg!A111</f>
        <v>Kohistan Lower</v>
      </c>
      <c r="B111" s="14">
        <f>City_Agg!C111</f>
        <v>2</v>
      </c>
      <c r="C111" s="14">
        <f>City_Agg!D111</f>
        <v>0</v>
      </c>
      <c r="D111" s="14">
        <f>City_Agg!E111</f>
        <v>0</v>
      </c>
      <c r="E111" s="38">
        <f>IF(Clustering_Guide!$C$7=1,LN(1+MAX(B111,0)),B111)</f>
        <v>1.0986122886681098</v>
      </c>
      <c r="F111" s="38">
        <f>IF(Clustering_Guide!$C$7=1,LN(1+MAX(C111,0)),C111)</f>
        <v>0</v>
      </c>
      <c r="G111" s="38">
        <f>IF(Clustering_Guide!$C$7=1,LN(1+MAX(D111,0)),D111)</f>
        <v>0</v>
      </c>
      <c r="H111" s="38">
        <f t="shared" si="9"/>
        <v>-1.507943224606497</v>
      </c>
      <c r="I111" s="38">
        <f t="shared" si="10"/>
        <v>-0.67265054538827607</v>
      </c>
      <c r="J111" s="38">
        <f t="shared" si="11"/>
        <v>-1.1456441163335547</v>
      </c>
    </row>
    <row r="112" spans="1:10" x14ac:dyDescent="0.25">
      <c r="A112" s="36" t="str">
        <f>City_Agg!A112</f>
        <v>Bhambore</v>
      </c>
      <c r="B112" s="14">
        <f>City_Agg!C112</f>
        <v>2</v>
      </c>
      <c r="C112" s="14">
        <f>City_Agg!D112</f>
        <v>0</v>
      </c>
      <c r="D112" s="14">
        <f>City_Agg!E112</f>
        <v>0</v>
      </c>
      <c r="E112" s="38">
        <f>IF(Clustering_Guide!$C$7=1,LN(1+MAX(B112,0)),B112)</f>
        <v>1.0986122886681098</v>
      </c>
      <c r="F112" s="38">
        <f>IF(Clustering_Guide!$C$7=1,LN(1+MAX(C112,0)),C112)</f>
        <v>0</v>
      </c>
      <c r="G112" s="38">
        <f>IF(Clustering_Guide!$C$7=1,LN(1+MAX(D112,0)),D112)</f>
        <v>0</v>
      </c>
      <c r="H112" s="38">
        <f t="shared" si="9"/>
        <v>-1.507943224606497</v>
      </c>
      <c r="I112" s="38">
        <f t="shared" si="10"/>
        <v>-0.67265054538827607</v>
      </c>
      <c r="J112" s="38">
        <f t="shared" si="11"/>
        <v>-1.1456441163335547</v>
      </c>
    </row>
    <row r="113" spans="1:10" x14ac:dyDescent="0.25">
      <c r="A113" s="36" t="str">
        <f>City_Agg!A113</f>
        <v>Jhang</v>
      </c>
      <c r="B113" s="14">
        <f>City_Agg!C113</f>
        <v>2</v>
      </c>
      <c r="C113" s="14">
        <f>City_Agg!D113</f>
        <v>0</v>
      </c>
      <c r="D113" s="14">
        <f>City_Agg!E113</f>
        <v>0</v>
      </c>
      <c r="E113" s="38">
        <f>IF(Clustering_Guide!$C$7=1,LN(1+MAX(B113,0)),B113)</f>
        <v>1.0986122886681098</v>
      </c>
      <c r="F113" s="38">
        <f>IF(Clustering_Guide!$C$7=1,LN(1+MAX(C113,0)),C113)</f>
        <v>0</v>
      </c>
      <c r="G113" s="38">
        <f>IF(Clustering_Guide!$C$7=1,LN(1+MAX(D113,0)),D113)</f>
        <v>0</v>
      </c>
      <c r="H113" s="38">
        <f t="shared" si="9"/>
        <v>-1.507943224606497</v>
      </c>
      <c r="I113" s="38">
        <f t="shared" si="10"/>
        <v>-0.67265054538827607</v>
      </c>
      <c r="J113" s="38">
        <f t="shared" si="11"/>
        <v>-1.1456441163335547</v>
      </c>
    </row>
    <row r="114" spans="1:10" x14ac:dyDescent="0.25">
      <c r="A114" s="36" t="str">
        <f>City_Agg!A114</f>
        <v>Tor Ghar</v>
      </c>
      <c r="B114" s="14">
        <f>City_Agg!C114</f>
        <v>2</v>
      </c>
      <c r="C114" s="14">
        <f>City_Agg!D114</f>
        <v>0</v>
      </c>
      <c r="D114" s="14">
        <f>City_Agg!E114</f>
        <v>0</v>
      </c>
      <c r="E114" s="38">
        <f>IF(Clustering_Guide!$C$7=1,LN(1+MAX(B114,0)),B114)</f>
        <v>1.0986122886681098</v>
      </c>
      <c r="F114" s="38">
        <f>IF(Clustering_Guide!$C$7=1,LN(1+MAX(C114,0)),C114)</f>
        <v>0</v>
      </c>
      <c r="G114" s="38">
        <f>IF(Clustering_Guide!$C$7=1,LN(1+MAX(D114,0)),D114)</f>
        <v>0</v>
      </c>
      <c r="H114" s="38">
        <f t="shared" si="9"/>
        <v>-1.507943224606497</v>
      </c>
      <c r="I114" s="38">
        <f t="shared" si="10"/>
        <v>-0.67265054538827607</v>
      </c>
      <c r="J114" s="38">
        <f t="shared" si="11"/>
        <v>-1.1456441163335547</v>
      </c>
    </row>
    <row r="115" spans="1:10" x14ac:dyDescent="0.25">
      <c r="A115" s="36" t="str">
        <f>City_Agg!A115</f>
        <v>Trarkhel</v>
      </c>
      <c r="B115" s="14">
        <f>City_Agg!C115</f>
        <v>1</v>
      </c>
      <c r="C115" s="14">
        <f>City_Agg!D115</f>
        <v>0</v>
      </c>
      <c r="D115" s="14">
        <f>City_Agg!E115</f>
        <v>0</v>
      </c>
      <c r="E115" s="38">
        <f>IF(Clustering_Guide!$C$7=1,LN(1+MAX(B115,0)),B115)</f>
        <v>0.69314718055994529</v>
      </c>
      <c r="F115" s="38">
        <f>IF(Clustering_Guide!$C$7=1,LN(1+MAX(C115,0)),C115)</f>
        <v>0</v>
      </c>
      <c r="G115" s="38">
        <f>IF(Clustering_Guide!$C$7=1,LN(1+MAX(D115,0)),D115)</f>
        <v>0</v>
      </c>
      <c r="H115" s="38">
        <f t="shared" si="9"/>
        <v>-1.7189756565516803</v>
      </c>
      <c r="I115" s="38">
        <f t="shared" si="10"/>
        <v>-0.67265054538827607</v>
      </c>
      <c r="J115" s="38">
        <f t="shared" si="11"/>
        <v>-1.1456441163335547</v>
      </c>
    </row>
    <row r="116" spans="1:10" x14ac:dyDescent="0.25">
      <c r="A116" s="36" t="str">
        <f>City_Agg!A116</f>
        <v>Kohistan Upper</v>
      </c>
      <c r="B116" s="14">
        <f>City_Agg!C116</f>
        <v>1</v>
      </c>
      <c r="C116" s="14">
        <f>City_Agg!D116</f>
        <v>0</v>
      </c>
      <c r="D116" s="14">
        <f>City_Agg!E116</f>
        <v>0</v>
      </c>
      <c r="E116" s="38">
        <f>IF(Clustering_Guide!$C$7=1,LN(1+MAX(B116,0)),B116)</f>
        <v>0.69314718055994529</v>
      </c>
      <c r="F116" s="38">
        <f>IF(Clustering_Guide!$C$7=1,LN(1+MAX(C116,0)),C116)</f>
        <v>0</v>
      </c>
      <c r="G116" s="38">
        <f>IF(Clustering_Guide!$C$7=1,LN(1+MAX(D116,0)),D116)</f>
        <v>0</v>
      </c>
      <c r="H116" s="38">
        <f t="shared" si="9"/>
        <v>-1.7189756565516803</v>
      </c>
      <c r="I116" s="38">
        <f t="shared" si="10"/>
        <v>-0.67265054538827607</v>
      </c>
      <c r="J116" s="38">
        <f t="shared" si="11"/>
        <v>-1.1456441163335547</v>
      </c>
    </row>
    <row r="117" spans="1:10" x14ac:dyDescent="0.25">
      <c r="A117" s="36" t="str">
        <f>City_Agg!A117</f>
        <v>Okara</v>
      </c>
      <c r="B117" s="14">
        <f>City_Agg!C117</f>
        <v>1</v>
      </c>
      <c r="C117" s="14">
        <f>City_Agg!D117</f>
        <v>0</v>
      </c>
      <c r="D117" s="14">
        <f>City_Agg!E117</f>
        <v>0</v>
      </c>
      <c r="E117" s="38">
        <f>IF(Clustering_Guide!$C$7=1,LN(1+MAX(B117,0)),B117)</f>
        <v>0.69314718055994529</v>
      </c>
      <c r="F117" s="38">
        <f>IF(Clustering_Guide!$C$7=1,LN(1+MAX(C117,0)),C117)</f>
        <v>0</v>
      </c>
      <c r="G117" s="38">
        <f>IF(Clustering_Guide!$C$7=1,LN(1+MAX(D117,0)),D117)</f>
        <v>0</v>
      </c>
      <c r="H117" s="38">
        <f t="shared" si="9"/>
        <v>-1.7189756565516803</v>
      </c>
      <c r="I117" s="38">
        <f t="shared" si="10"/>
        <v>-0.67265054538827607</v>
      </c>
      <c r="J117" s="38">
        <f t="shared" si="11"/>
        <v>-1.1456441163335547</v>
      </c>
    </row>
    <row r="118" spans="1:10" x14ac:dyDescent="0.25">
      <c r="A118" s="36" t="str">
        <f>City_Agg!A118</f>
        <v>Ziarat</v>
      </c>
      <c r="B118" s="14">
        <f>City_Agg!C118</f>
        <v>1</v>
      </c>
      <c r="C118" s="14">
        <f>City_Agg!D118</f>
        <v>0</v>
      </c>
      <c r="D118" s="14">
        <f>City_Agg!E118</f>
        <v>0</v>
      </c>
      <c r="E118" s="38">
        <f>IF(Clustering_Guide!$C$7=1,LN(1+MAX(B118,0)),B118)</f>
        <v>0.69314718055994529</v>
      </c>
      <c r="F118" s="38">
        <f>IF(Clustering_Guide!$C$7=1,LN(1+MAX(C118,0)),C118)</f>
        <v>0</v>
      </c>
      <c r="G118" s="38">
        <f>IF(Clustering_Guide!$C$7=1,LN(1+MAX(D118,0)),D118)</f>
        <v>0</v>
      </c>
      <c r="H118" s="38">
        <f t="shared" si="9"/>
        <v>-1.7189756565516803</v>
      </c>
      <c r="I118" s="38">
        <f t="shared" si="10"/>
        <v>-0.67265054538827607</v>
      </c>
      <c r="J118" s="38">
        <f t="shared" si="11"/>
        <v>-1.1456441163335547</v>
      </c>
    </row>
    <row r="119" spans="1:10" x14ac:dyDescent="0.25">
      <c r="A119" s="36" t="str">
        <f>City_Agg!A119</f>
        <v>Pakpatan</v>
      </c>
      <c r="B119" s="14">
        <f>City_Agg!C119</f>
        <v>1</v>
      </c>
      <c r="C119" s="14">
        <f>City_Agg!D119</f>
        <v>0</v>
      </c>
      <c r="D119" s="14">
        <f>City_Agg!E119</f>
        <v>0</v>
      </c>
      <c r="E119" s="38">
        <f>IF(Clustering_Guide!$C$7=1,LN(1+MAX(B119,0)),B119)</f>
        <v>0.69314718055994529</v>
      </c>
      <c r="F119" s="38">
        <f>IF(Clustering_Guide!$C$7=1,LN(1+MAX(C119,0)),C119)</f>
        <v>0</v>
      </c>
      <c r="G119" s="38">
        <f>IF(Clustering_Guide!$C$7=1,LN(1+MAX(D119,0)),D119)</f>
        <v>0</v>
      </c>
      <c r="H119" s="38">
        <f t="shared" si="9"/>
        <v>-1.7189756565516803</v>
      </c>
      <c r="I119" s="38">
        <f t="shared" si="10"/>
        <v>-0.67265054538827607</v>
      </c>
      <c r="J119" s="38">
        <f t="shared" si="11"/>
        <v>-1.1456441163335547</v>
      </c>
    </row>
    <row r="120" spans="1:10" x14ac:dyDescent="0.25">
      <c r="A120" s="36" t="str">
        <f>City_Agg!A120</f>
        <v>Chitral</v>
      </c>
      <c r="B120" s="14">
        <f>City_Agg!C120</f>
        <v>0</v>
      </c>
      <c r="C120" s="14">
        <f>City_Agg!D120</f>
        <v>0</v>
      </c>
      <c r="D120" s="14">
        <f>City_Agg!E120</f>
        <v>0</v>
      </c>
      <c r="E120" s="38">
        <f>IF(Clustering_Guide!$C$7=1,LN(1+MAX(B120,0)),B120)</f>
        <v>0</v>
      </c>
      <c r="F120" s="38">
        <f>IF(Clustering_Guide!$C$7=1,LN(1+MAX(C120,0)),C120)</f>
        <v>0</v>
      </c>
      <c r="G120" s="38">
        <f>IF(Clustering_Guide!$C$7=1,LN(1+MAX(D120,0)),D120)</f>
        <v>0</v>
      </c>
      <c r="H120" s="38">
        <f t="shared" si="9"/>
        <v>-2.0797379818033286</v>
      </c>
      <c r="I120" s="38">
        <f t="shared" si="10"/>
        <v>-0.67265054538827607</v>
      </c>
      <c r="J120" s="38">
        <f t="shared" si="11"/>
        <v>-1.1456441163335547</v>
      </c>
    </row>
    <row r="121" spans="1:10" x14ac:dyDescent="0.25">
      <c r="A121" s="36" t="str">
        <f>City_Agg!A121</f>
        <v>Kolai Pallas</v>
      </c>
      <c r="B121" s="14">
        <f>City_Agg!C121</f>
        <v>0</v>
      </c>
      <c r="C121" s="14">
        <f>City_Agg!D121</f>
        <v>0</v>
      </c>
      <c r="D121" s="14">
        <f>City_Agg!E121</f>
        <v>0</v>
      </c>
      <c r="E121" s="38">
        <f>IF(Clustering_Guide!$C$7=1,LN(1+MAX(B121,0)),B121)</f>
        <v>0</v>
      </c>
      <c r="F121" s="38">
        <f>IF(Clustering_Guide!$C$7=1,LN(1+MAX(C121,0)),C121)</f>
        <v>0</v>
      </c>
      <c r="G121" s="38">
        <f>IF(Clustering_Guide!$C$7=1,LN(1+MAX(D121,0)),D121)</f>
        <v>0</v>
      </c>
      <c r="H121" s="38">
        <f t="shared" si="9"/>
        <v>-2.0797379818033286</v>
      </c>
      <c r="I121" s="38">
        <f t="shared" si="10"/>
        <v>-0.67265054538827607</v>
      </c>
      <c r="J121" s="38">
        <f t="shared" si="11"/>
        <v>-1.1456441163335547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48235"/>
    <pageSetUpPr fitToPage="1"/>
  </sheetPr>
  <dimension ref="A1:CD139"/>
  <sheetViews>
    <sheetView showGridLines="0" zoomScaleNormal="100" workbookViewId="0">
      <pane xSplit="1" ySplit="22" topLeftCell="B23" activePane="bottomRight" state="frozen"/>
      <selection pane="topRight" activeCell="B1" sqref="B1"/>
      <selection pane="bottomLeft" activeCell="A23" sqref="A23"/>
      <selection pane="bottomRight"/>
    </sheetView>
  </sheetViews>
  <sheetFormatPr defaultColWidth="8.7109375" defaultRowHeight="15" x14ac:dyDescent="0.25"/>
  <cols>
    <col min="1" max="1" width="28" customWidth="1"/>
    <col min="2" max="4" width="11" customWidth="1"/>
    <col min="5" max="5" width="10" customWidth="1"/>
    <col min="6" max="6" width="14" customWidth="1"/>
    <col min="7" max="7" width="16" customWidth="1"/>
    <col min="8" max="8" width="10" customWidth="1"/>
    <col min="9" max="10" width="11" customWidth="1"/>
    <col min="11" max="11" width="3" customWidth="1"/>
    <col min="12" max="14" width="10" customWidth="1"/>
    <col min="15" max="21" width="11" customWidth="1"/>
    <col min="23" max="23" width="13" customWidth="1"/>
    <col min="24" max="26" width="10" customWidth="1"/>
    <col min="27" max="27" width="9" customWidth="1"/>
    <col min="28" max="28" width="2" customWidth="1"/>
    <col min="29" max="31" width="10" customWidth="1"/>
    <col min="32" max="32" width="9" customWidth="1"/>
    <col min="33" max="33" width="2" customWidth="1"/>
    <col min="34" max="36" width="10" customWidth="1"/>
    <col min="37" max="37" width="9" customWidth="1"/>
    <col min="38" max="38" width="2" customWidth="1"/>
    <col min="39" max="41" width="10" customWidth="1"/>
    <col min="42" max="42" width="9" customWidth="1"/>
    <col min="43" max="43" width="2" customWidth="1"/>
    <col min="44" max="46" width="10" customWidth="1"/>
    <col min="47" max="47" width="9" customWidth="1"/>
    <col min="48" max="48" width="2" customWidth="1"/>
    <col min="49" max="51" width="10" customWidth="1"/>
    <col min="52" max="52" width="9" customWidth="1"/>
    <col min="53" max="53" width="2" customWidth="1"/>
    <col min="54" max="56" width="10" customWidth="1"/>
    <col min="57" max="57" width="9" customWidth="1"/>
    <col min="58" max="58" width="2" customWidth="1"/>
    <col min="59" max="61" width="10" customWidth="1"/>
    <col min="62" max="62" width="9" customWidth="1"/>
    <col min="63" max="63" width="2" customWidth="1"/>
    <col min="64" max="66" width="10" customWidth="1"/>
    <col min="67" max="67" width="9" customWidth="1"/>
    <col min="68" max="68" width="2" customWidth="1"/>
    <col min="69" max="71" width="10" customWidth="1"/>
    <col min="72" max="72" width="9" customWidth="1"/>
    <col min="73" max="73" width="2" customWidth="1"/>
    <col min="74" max="76" width="10" customWidth="1"/>
    <col min="77" max="77" width="9" customWidth="1"/>
    <col min="78" max="78" width="2" customWidth="1"/>
    <col min="79" max="81" width="10" customWidth="1"/>
    <col min="82" max="82" width="9" customWidth="1"/>
    <col min="83" max="83" width="2" customWidth="1"/>
  </cols>
  <sheetData>
    <row r="1" spans="1:81" ht="20.25" x14ac:dyDescent="0.3">
      <c r="A1" s="8" t="s">
        <v>448</v>
      </c>
    </row>
    <row r="2" spans="1:81" x14ac:dyDescent="0.25">
      <c r="A2" s="9" t="s">
        <v>449</v>
      </c>
    </row>
    <row r="4" spans="1:81" ht="31.5" customHeight="1" x14ac:dyDescent="0.25">
      <c r="A4" s="54" t="s">
        <v>450</v>
      </c>
      <c r="B4" s="55"/>
      <c r="L4" s="11" t="s">
        <v>451</v>
      </c>
      <c r="M4" s="11" t="s">
        <v>452</v>
      </c>
      <c r="N4" s="11" t="s">
        <v>453</v>
      </c>
      <c r="O4" s="11" t="s">
        <v>156</v>
      </c>
      <c r="P4" s="11" t="s">
        <v>158</v>
      </c>
      <c r="Q4" s="11" t="s">
        <v>454</v>
      </c>
      <c r="R4" s="11" t="s">
        <v>334</v>
      </c>
      <c r="S4" s="11" t="s">
        <v>66</v>
      </c>
    </row>
    <row r="5" spans="1:81" x14ac:dyDescent="0.25">
      <c r="A5" s="40" t="s">
        <v>455</v>
      </c>
      <c r="B5" s="16">
        <v>3</v>
      </c>
      <c r="L5" s="56">
        <v>1</v>
      </c>
      <c r="M5" s="36" t="str">
        <f>CHOOSE(RANK(O5,$O$5:$O$7,0),"High burden","Medium burden","Low burden")</f>
        <v>High burden</v>
      </c>
      <c r="N5" s="16">
        <f>COUNTIF($E$23:$E$139,L5)</f>
        <v>6</v>
      </c>
      <c r="O5" s="17">
        <f>IFERROR(AVERAGEIF($E$23:$E$139,L5,KMeans_Data!$B$5:$B$121),0)</f>
        <v>11979</v>
      </c>
      <c r="P5" s="17">
        <f>IFERROR(AVERAGEIF($E$23:$E$139,L5,KMeans_Data!$C$5:$C$121),0)</f>
        <v>245.83333333333334</v>
      </c>
      <c r="Q5" s="17">
        <f>IFERROR(AVERAGEIF($E$23:$E$139,L5,KMeans_Data!$D$5:$D$121),0)</f>
        <v>3369.1666666666665</v>
      </c>
      <c r="R5" s="26">
        <f>IFERROR(SUMIF($E$23:$E$139,L5,KMeans_Data!$C$5:$C$121)/SUMIF($E$23:$E$139,L5,KMeans_Data!$B$5:$B$121)*100,0)</f>
        <v>2.0522024654256059</v>
      </c>
      <c r="S5" s="15">
        <f>SUMIF($E$23:$E$139,L5,KMeans_Data!$B$5:$B$121)/SUM(KMeans_Data!$B$5:$B$121)</f>
        <v>0.85579567779960708</v>
      </c>
    </row>
    <row r="6" spans="1:81" x14ac:dyDescent="0.25">
      <c r="A6" s="40" t="s">
        <v>456</v>
      </c>
      <c r="B6" s="16">
        <f>Clustering_Guide!$C$7</f>
        <v>1</v>
      </c>
      <c r="L6" s="56">
        <v>2</v>
      </c>
      <c r="M6" s="36" t="str">
        <f>CHOOSE(RANK(O6,$O$5:$O$7,0),"High burden","Medium burden","Low burden")</f>
        <v>Low burden</v>
      </c>
      <c r="N6" s="16">
        <f>COUNTIF($E$23:$E$139,L6)</f>
        <v>63</v>
      </c>
      <c r="O6" s="17">
        <f>IFERROR(AVERAGEIF($E$23:$E$139,L6,KMeans_Data!$B$5:$B$121),0)</f>
        <v>31.095238095238095</v>
      </c>
      <c r="P6" s="17">
        <f>IFERROR(AVERAGEIF($E$23:$E$139,L6,KMeans_Data!$C$5:$C$121),0)</f>
        <v>9.5238095238095233E-2</v>
      </c>
      <c r="Q6" s="17">
        <f>IFERROR(AVERAGEIF($E$23:$E$139,L6,KMeans_Data!$D$5:$D$121),0)</f>
        <v>3.2222222222222223</v>
      </c>
      <c r="R6" s="26">
        <f>IFERROR(SUMIF($E$23:$E$139,L6,KMeans_Data!$C$5:$C$121)/SUMIF($E$23:$E$139,L6,KMeans_Data!$B$5:$B$121)*100,0)</f>
        <v>0.30627871362940279</v>
      </c>
      <c r="S6" s="15">
        <f>SUMIF($E$23:$E$139,L6,KMeans_Data!$B$5:$B$121)/SUM(KMeans_Data!$B$5:$B$121)</f>
        <v>2.3325593856045723E-2</v>
      </c>
    </row>
    <row r="7" spans="1:81" x14ac:dyDescent="0.25">
      <c r="A7" s="54" t="s">
        <v>457</v>
      </c>
      <c r="B7" s="55"/>
      <c r="L7" s="56">
        <v>3</v>
      </c>
      <c r="M7" s="36" t="str">
        <f>CHOOSE(RANK(O7,$O$5:$O$7,0),"High burden","Medium burden","Low burden")</f>
        <v>Medium burden</v>
      </c>
      <c r="N7" s="16">
        <f>COUNTIF($E$23:$E$139,L7)</f>
        <v>48</v>
      </c>
      <c r="O7" s="17">
        <f>IFERROR(AVERAGEIF($E$23:$E$139,L7,KMeans_Data!$B$5:$B$121),0)</f>
        <v>211.5</v>
      </c>
      <c r="P7" s="17">
        <f>IFERROR(AVERAGEIF($E$23:$E$139,L7,KMeans_Data!$C$5:$C$121),0)</f>
        <v>5.145833333333333</v>
      </c>
      <c r="Q7" s="17">
        <f>IFERROR(AVERAGEIF($E$23:$E$139,L7,KMeans_Data!$D$5:$D$121),0)</f>
        <v>90.3125</v>
      </c>
      <c r="R7" s="26">
        <f>IFERROR(SUMIF($E$23:$E$139,L7,KMeans_Data!$C$5:$C$121)/SUMIF($E$23:$E$139,L7,KMeans_Data!$B$5:$B$121)*100,0)</f>
        <v>2.4330181245074862</v>
      </c>
      <c r="S7" s="15">
        <f>SUMIF($E$23:$E$139,L7,KMeans_Data!$B$5:$B$121)/SUM(KMeans_Data!$B$5:$B$121)</f>
        <v>0.12087872834434721</v>
      </c>
    </row>
    <row r="8" spans="1:81" x14ac:dyDescent="0.25">
      <c r="A8" s="40" t="s">
        <v>458</v>
      </c>
      <c r="B8" s="32" t="s">
        <v>91</v>
      </c>
      <c r="L8" s="20" t="s">
        <v>53</v>
      </c>
      <c r="M8" s="20"/>
      <c r="N8" s="21">
        <f>SUM(N5:N7)</f>
        <v>117</v>
      </c>
      <c r="O8" s="20"/>
      <c r="P8" s="20"/>
      <c r="Q8" s="20"/>
      <c r="R8" s="20"/>
      <c r="S8" s="25">
        <f>SUM(S5:S7)</f>
        <v>1</v>
      </c>
    </row>
    <row r="9" spans="1:81" x14ac:dyDescent="0.25">
      <c r="A9" s="40" t="s">
        <v>459</v>
      </c>
      <c r="B9" s="32" t="s">
        <v>435</v>
      </c>
    </row>
    <row r="10" spans="1:81" x14ac:dyDescent="0.25">
      <c r="A10" s="40" t="s">
        <v>460</v>
      </c>
      <c r="B10" s="32" t="s">
        <v>104</v>
      </c>
    </row>
    <row r="11" spans="1:81" x14ac:dyDescent="0.25">
      <c r="A11" s="46" t="s">
        <v>461</v>
      </c>
    </row>
    <row r="15" spans="1:81" x14ac:dyDescent="0.25">
      <c r="L15" s="54" t="s">
        <v>462</v>
      </c>
      <c r="M15" s="55"/>
      <c r="N15" s="55"/>
      <c r="X15" s="54" t="s">
        <v>463</v>
      </c>
      <c r="Y15" s="55"/>
      <c r="Z15" s="55"/>
      <c r="AC15" s="54" t="s">
        <v>464</v>
      </c>
      <c r="AD15" s="55"/>
      <c r="AE15" s="55"/>
      <c r="AH15" s="54" t="s">
        <v>465</v>
      </c>
      <c r="AI15" s="55"/>
      <c r="AJ15" s="55"/>
      <c r="AM15" s="54" t="s">
        <v>466</v>
      </c>
      <c r="AN15" s="55"/>
      <c r="AO15" s="55"/>
      <c r="AR15" s="54" t="s">
        <v>467</v>
      </c>
      <c r="AS15" s="55"/>
      <c r="AT15" s="55"/>
      <c r="AW15" s="54" t="s">
        <v>468</v>
      </c>
      <c r="AX15" s="55"/>
      <c r="AY15" s="55"/>
      <c r="BB15" s="54" t="s">
        <v>469</v>
      </c>
      <c r="BC15" s="55"/>
      <c r="BD15" s="55"/>
      <c r="BG15" s="54" t="s">
        <v>470</v>
      </c>
      <c r="BH15" s="55"/>
      <c r="BI15" s="55"/>
      <c r="BL15" s="54" t="s">
        <v>471</v>
      </c>
      <c r="BM15" s="55"/>
      <c r="BN15" s="55"/>
      <c r="BQ15" s="54" t="s">
        <v>472</v>
      </c>
      <c r="BR15" s="55"/>
      <c r="BS15" s="55"/>
      <c r="BV15" s="54" t="s">
        <v>473</v>
      </c>
      <c r="BW15" s="55"/>
      <c r="BX15" s="55"/>
      <c r="CA15" s="54" t="s">
        <v>474</v>
      </c>
      <c r="CB15" s="55"/>
      <c r="CC15" s="55"/>
    </row>
    <row r="16" spans="1:81" x14ac:dyDescent="0.25">
      <c r="A16" s="40"/>
      <c r="K16" s="40" t="s">
        <v>445</v>
      </c>
      <c r="L16" s="18">
        <f>IFERROR(AVERAGEIF($E$23:$E$139,1,$B$23:$B$139),0)</f>
        <v>2.483183704477069</v>
      </c>
      <c r="M16" s="18">
        <f>IFERROR(AVERAGEIF($E$23:$E$139,2,$B$23:$B$139),0)</f>
        <v>-0.63766260073986025</v>
      </c>
      <c r="N16" s="18">
        <f>IFERROR(AVERAGEIF($E$23:$E$139,3,$B$23:$B$139),0)</f>
        <v>0.5265342004114314</v>
      </c>
      <c r="W16" s="40" t="s">
        <v>445</v>
      </c>
      <c r="X16" s="18">
        <f>INDEX($B$23:$B$139,MATCH($B$8,$A$23:$A$139,0))</f>
        <v>3.2743087782752069</v>
      </c>
      <c r="Y16" s="18">
        <f>INDEX($B$23:$B$139,MATCH($B$9,$A$23:$A$139,0))</f>
        <v>-2.0797379818033286</v>
      </c>
      <c r="Z16" s="18">
        <f>INDEX($B$23:$B$139,MATCH($B$10,$A$23:$A$139,0))</f>
        <v>1.0373368721320242</v>
      </c>
      <c r="AC16" s="18">
        <f>IFERROR(AVERAGEIF($AA$23:$AA$139,1,$B$23:$B$139),X16)</f>
        <v>2.8085564774337839</v>
      </c>
      <c r="AD16" s="18">
        <f>IFERROR(AVERAGEIF($AA$23:$AA$139,2,$B$23:$B$139),Y16)</f>
        <v>-0.76438466635069713</v>
      </c>
      <c r="AE16" s="18">
        <f>IFERROR(AVERAGEIF($AA$23:$AA$139,3,$B$23:$B$139),Z16)</f>
        <v>0.5091956961559736</v>
      </c>
      <c r="AH16" s="18">
        <f>IFERROR(AVERAGEIF($AF$23:$AF$139,1,$B$23:$B$139),AC16)</f>
        <v>2.483183704477069</v>
      </c>
      <c r="AI16" s="18">
        <f>IFERROR(AVERAGEIF($AF$23:$AF$139,2,$B$23:$B$139),AD16)</f>
        <v>-0.64142474551556861</v>
      </c>
      <c r="AJ16" s="18">
        <f>IFERROR(AVERAGEIF($AF$23:$AF$139,3,$B$23:$B$139),AE16)</f>
        <v>0.50753534683883195</v>
      </c>
      <c r="AM16" s="18">
        <f>IFERROR(AVERAGEIF($AK$23:$AK$139,1,$B$23:$B$139),AH16)</f>
        <v>2.483183704477069</v>
      </c>
      <c r="AN16" s="18">
        <f>IFERROR(AVERAGEIF($AK$23:$AK$139,2,$B$23:$B$139),AI16)</f>
        <v>-0.63766260073986025</v>
      </c>
      <c r="AO16" s="18">
        <f>IFERROR(AVERAGEIF($AK$23:$AK$139,3,$B$23:$B$139),AJ16)</f>
        <v>0.5265342004114314</v>
      </c>
      <c r="AR16" s="18">
        <f>IFERROR(AVERAGEIF($AP$23:$AP$139,1,$B$23:$B$139),AM16)</f>
        <v>2.483183704477069</v>
      </c>
      <c r="AS16" s="18">
        <f>IFERROR(AVERAGEIF($AP$23:$AP$139,2,$B$23:$B$139),AN16)</f>
        <v>-0.63766260073986025</v>
      </c>
      <c r="AT16" s="18">
        <f>IFERROR(AVERAGEIF($AP$23:$AP$139,3,$B$23:$B$139),AO16)</f>
        <v>0.5265342004114314</v>
      </c>
      <c r="AW16" s="18">
        <f>IFERROR(AVERAGEIF($AU$23:$AU$139,1,$B$23:$B$139),AR16)</f>
        <v>2.483183704477069</v>
      </c>
      <c r="AX16" s="18">
        <f>IFERROR(AVERAGEIF($AU$23:$AU$139,2,$B$23:$B$139),AS16)</f>
        <v>-0.63766260073986025</v>
      </c>
      <c r="AY16" s="18">
        <f>IFERROR(AVERAGEIF($AU$23:$AU$139,3,$B$23:$B$139),AT16)</f>
        <v>0.5265342004114314</v>
      </c>
      <c r="BB16" s="18">
        <f>IFERROR(AVERAGEIF($AZ$23:$AZ$139,1,$B$23:$B$139),AW16)</f>
        <v>2.483183704477069</v>
      </c>
      <c r="BC16" s="18">
        <f>IFERROR(AVERAGEIF($AZ$23:$AZ$139,2,$B$23:$B$139),AX16)</f>
        <v>-0.63766260073986025</v>
      </c>
      <c r="BD16" s="18">
        <f>IFERROR(AVERAGEIF($AZ$23:$AZ$139,3,$B$23:$B$139),AY16)</f>
        <v>0.5265342004114314</v>
      </c>
      <c r="BG16" s="18">
        <f>IFERROR(AVERAGEIF($BE$23:$BE$139,1,$B$23:$B$139),BB16)</f>
        <v>2.483183704477069</v>
      </c>
      <c r="BH16" s="18">
        <f>IFERROR(AVERAGEIF($BE$23:$BE$139,2,$B$23:$B$139),BC16)</f>
        <v>-0.63766260073986025</v>
      </c>
      <c r="BI16" s="18">
        <f>IFERROR(AVERAGEIF($BE$23:$BE$139,3,$B$23:$B$139),BD16)</f>
        <v>0.5265342004114314</v>
      </c>
      <c r="BL16" s="18">
        <f>IFERROR(AVERAGEIF($BJ$23:$BJ$139,1,$B$23:$B$139),BG16)</f>
        <v>2.483183704477069</v>
      </c>
      <c r="BM16" s="18">
        <f>IFERROR(AVERAGEIF($BJ$23:$BJ$139,2,$B$23:$B$139),BH16)</f>
        <v>-0.63766260073986025</v>
      </c>
      <c r="BN16" s="18">
        <f>IFERROR(AVERAGEIF($BJ$23:$BJ$139,3,$B$23:$B$139),BI16)</f>
        <v>0.5265342004114314</v>
      </c>
      <c r="BQ16" s="18">
        <f>IFERROR(AVERAGEIF($BO$23:$BO$139,1,$B$23:$B$139),BL16)</f>
        <v>2.483183704477069</v>
      </c>
      <c r="BR16" s="18">
        <f>IFERROR(AVERAGEIF($BO$23:$BO$139,2,$B$23:$B$139),BM16)</f>
        <v>-0.63766260073986025</v>
      </c>
      <c r="BS16" s="18">
        <f>IFERROR(AVERAGEIF($BO$23:$BO$139,3,$B$23:$B$139),BN16)</f>
        <v>0.5265342004114314</v>
      </c>
      <c r="BV16" s="18">
        <f>IFERROR(AVERAGEIF($BT$23:$BT$139,1,$B$23:$B$139),BQ16)</f>
        <v>2.483183704477069</v>
      </c>
      <c r="BW16" s="18">
        <f>IFERROR(AVERAGEIF($BT$23:$BT$139,2,$B$23:$B$139),BR16)</f>
        <v>-0.63766260073986025</v>
      </c>
      <c r="BX16" s="18">
        <f>IFERROR(AVERAGEIF($BT$23:$BT$139,3,$B$23:$B$139),BS16)</f>
        <v>0.5265342004114314</v>
      </c>
      <c r="CA16" s="18">
        <f>IFERROR(AVERAGEIF($BY$23:$BY$139,1,$B$23:$B$139),BV16)</f>
        <v>2.483183704477069</v>
      </c>
      <c r="CB16" s="18">
        <f>IFERROR(AVERAGEIF($BY$23:$BY$139,2,$B$23:$B$139),BW16)</f>
        <v>-0.63766260073986025</v>
      </c>
      <c r="CC16" s="18">
        <f>IFERROR(AVERAGEIF($BY$23:$BY$139,3,$B$23:$B$139),BX16)</f>
        <v>0.5265342004114314</v>
      </c>
    </row>
    <row r="17" spans="1:82" x14ac:dyDescent="0.25">
      <c r="K17" s="40" t="s">
        <v>446</v>
      </c>
      <c r="L17" s="18">
        <f>IFERROR(AVERAGEIF($E$23:$E$139,1,$C$23:$C$139),0)</f>
        <v>3.0580462956850702</v>
      </c>
      <c r="M17" s="18">
        <f>IFERROR(AVERAGEIF($E$23:$E$139,2,$C$23:$C$139),0)</f>
        <v>-0.62258698239220556</v>
      </c>
      <c r="N17" s="18">
        <f>IFERROR(AVERAGEIF($E$23:$E$139,3,$C$23:$C$139),0)</f>
        <v>0.43488962742913456</v>
      </c>
      <c r="W17" s="40" t="s">
        <v>446</v>
      </c>
      <c r="X17" s="18">
        <f>INDEX($C$23:$C$139,MATCH($B$8,$A$23:$A$139,0))</f>
        <v>4.0388517969113016</v>
      </c>
      <c r="Y17" s="18">
        <f>INDEX($C$23:$C$139,MATCH($B$9,$A$23:$A$139,0))</f>
        <v>-0.67265054538827607</v>
      </c>
      <c r="Z17" s="18">
        <f>INDEX($C$23:$C$139,MATCH($B$10,$A$23:$A$139,0))</f>
        <v>0.37868427752921691</v>
      </c>
      <c r="AC17" s="18">
        <f>IFERROR(AVERAGEIF($AA$23:$AA$139,1,$C$23:$C$139),X17)</f>
        <v>3.5128956208973117</v>
      </c>
      <c r="AD17" s="18">
        <f>IFERROR(AVERAGEIF($AA$23:$AA$139,2,$C$23:$C$139),Y17)</f>
        <v>-0.64344680030723478</v>
      </c>
      <c r="AE17" s="18">
        <f>IFERROR(AVERAGEIF($AA$23:$AA$139,3,$C$23:$C$139),Z17)</f>
        <v>0.35075499547459982</v>
      </c>
      <c r="AH17" s="18">
        <f>IFERROR(AVERAGEIF($AF$23:$AF$139,1,$C$23:$C$139),AC17)</f>
        <v>3.0580462956850702</v>
      </c>
      <c r="AI17" s="18">
        <f>IFERROR(AVERAGEIF($AF$23:$AF$139,2,$C$23:$C$139),AD17)</f>
        <v>-0.63025801220611966</v>
      </c>
      <c r="AJ17" s="18">
        <f>IFERROR(AVERAGEIF($AF$23:$AF$139,3,$C$23:$C$139),AE17)</f>
        <v>0.42301467311569241</v>
      </c>
      <c r="AM17" s="18">
        <f>IFERROR(AVERAGEIF($AK$23:$AK$139,1,$C$23:$C$139),AH17)</f>
        <v>3.0580462956850702</v>
      </c>
      <c r="AN17" s="18">
        <f>IFERROR(AVERAGEIF($AK$23:$AK$139,2,$C$23:$C$139),AI17)</f>
        <v>-0.62258698239220556</v>
      </c>
      <c r="AO17" s="18">
        <f>IFERROR(AVERAGEIF($AK$23:$AK$139,3,$C$23:$C$139),AJ17)</f>
        <v>0.43488962742913456</v>
      </c>
      <c r="AR17" s="18">
        <f>IFERROR(AVERAGEIF($AP$23:$AP$139,1,$C$23:$C$139),AM17)</f>
        <v>3.0580462956850702</v>
      </c>
      <c r="AS17" s="18">
        <f>IFERROR(AVERAGEIF($AP$23:$AP$139,2,$C$23:$C$139),AN17)</f>
        <v>-0.62258698239220556</v>
      </c>
      <c r="AT17" s="18">
        <f>IFERROR(AVERAGEIF($AP$23:$AP$139,3,$C$23:$C$139),AO17)</f>
        <v>0.43488962742913456</v>
      </c>
      <c r="AW17" s="18">
        <f>IFERROR(AVERAGEIF($AU$23:$AU$139,1,$C$23:$C$139),AR17)</f>
        <v>3.0580462956850702</v>
      </c>
      <c r="AX17" s="18">
        <f>IFERROR(AVERAGEIF($AU$23:$AU$139,2,$C$23:$C$139),AS17)</f>
        <v>-0.62258698239220556</v>
      </c>
      <c r="AY17" s="18">
        <f>IFERROR(AVERAGEIF($AU$23:$AU$139,3,$C$23:$C$139),AT17)</f>
        <v>0.43488962742913456</v>
      </c>
      <c r="BB17" s="18">
        <f>IFERROR(AVERAGEIF($AZ$23:$AZ$139,1,$C$23:$C$139),AW17)</f>
        <v>3.0580462956850702</v>
      </c>
      <c r="BC17" s="18">
        <f>IFERROR(AVERAGEIF($AZ$23:$AZ$139,2,$C$23:$C$139),AX17)</f>
        <v>-0.62258698239220556</v>
      </c>
      <c r="BD17" s="18">
        <f>IFERROR(AVERAGEIF($AZ$23:$AZ$139,3,$C$23:$C$139),AY17)</f>
        <v>0.43488962742913456</v>
      </c>
      <c r="BG17" s="18">
        <f>IFERROR(AVERAGEIF($BE$23:$BE$139,1,$C$23:$C$139),BB17)</f>
        <v>3.0580462956850702</v>
      </c>
      <c r="BH17" s="18">
        <f>IFERROR(AVERAGEIF($BE$23:$BE$139,2,$C$23:$C$139),BC17)</f>
        <v>-0.62258698239220556</v>
      </c>
      <c r="BI17" s="18">
        <f>IFERROR(AVERAGEIF($BE$23:$BE$139,3,$C$23:$C$139),BD17)</f>
        <v>0.43488962742913456</v>
      </c>
      <c r="BL17" s="18">
        <f>IFERROR(AVERAGEIF($BJ$23:$BJ$139,1,$C$23:$C$139),BG17)</f>
        <v>3.0580462956850702</v>
      </c>
      <c r="BM17" s="18">
        <f>IFERROR(AVERAGEIF($BJ$23:$BJ$139,2,$C$23:$C$139),BH17)</f>
        <v>-0.62258698239220556</v>
      </c>
      <c r="BN17" s="18">
        <f>IFERROR(AVERAGEIF($BJ$23:$BJ$139,3,$C$23:$C$139),BI17)</f>
        <v>0.43488962742913456</v>
      </c>
      <c r="BQ17" s="18">
        <f>IFERROR(AVERAGEIF($BO$23:$BO$139,1,$C$23:$C$139),BL17)</f>
        <v>3.0580462956850702</v>
      </c>
      <c r="BR17" s="18">
        <f>IFERROR(AVERAGEIF($BO$23:$BO$139,2,$C$23:$C$139),BM17)</f>
        <v>-0.62258698239220556</v>
      </c>
      <c r="BS17" s="18">
        <f>IFERROR(AVERAGEIF($BO$23:$BO$139,3,$C$23:$C$139),BN17)</f>
        <v>0.43488962742913456</v>
      </c>
      <c r="BV17" s="18">
        <f>IFERROR(AVERAGEIF($BT$23:$BT$139,1,$C$23:$C$139),BQ17)</f>
        <v>3.0580462956850702</v>
      </c>
      <c r="BW17" s="18">
        <f>IFERROR(AVERAGEIF($BT$23:$BT$139,2,$C$23:$C$139),BR17)</f>
        <v>-0.62258698239220556</v>
      </c>
      <c r="BX17" s="18">
        <f>IFERROR(AVERAGEIF($BT$23:$BT$139,3,$C$23:$C$139),BS17)</f>
        <v>0.43488962742913456</v>
      </c>
      <c r="CA17" s="18">
        <f>IFERROR(AVERAGEIF($BY$23:$BY$139,1,$C$23:$C$139),BV17)</f>
        <v>3.0580462956850702</v>
      </c>
      <c r="CB17" s="18">
        <f>IFERROR(AVERAGEIF($BY$23:$BY$139,2,$C$23:$C$139),BW17)</f>
        <v>-0.62258698239220556</v>
      </c>
      <c r="CC17" s="18">
        <f>IFERROR(AVERAGEIF($BY$23:$BY$139,3,$C$23:$C$139),BX17)</f>
        <v>0.43488962742913456</v>
      </c>
    </row>
    <row r="18" spans="1:82" x14ac:dyDescent="0.25">
      <c r="K18" s="40" t="s">
        <v>447</v>
      </c>
      <c r="L18" s="18">
        <f>IFERROR(AVERAGEIF($E$23:$E$139,1,$D$23:$D$139),0)</f>
        <v>2.1809094372686584</v>
      </c>
      <c r="M18" s="18">
        <f>IFERROR(AVERAGEIF($E$23:$E$139,2,$D$23:$D$139),0)</f>
        <v>-0.74164139577276655</v>
      </c>
      <c r="N18" s="18">
        <f>IFERROR(AVERAGEIF($E$23:$E$139,3,$D$23:$D$139),0)</f>
        <v>0.70079065229317294</v>
      </c>
      <c r="W18" s="40" t="s">
        <v>447</v>
      </c>
      <c r="X18" s="18">
        <f>INDEX($D$23:$D$139,MATCH($B$8,$A$23:$A$139,0))</f>
        <v>3.2527128596020467</v>
      </c>
      <c r="Y18" s="18">
        <f>INDEX($D$23:$D$139,MATCH($B$9,$A$23:$A$139,0))</f>
        <v>-1.1456441163335547</v>
      </c>
      <c r="Z18" s="18">
        <f>INDEX($D$23:$D$139,MATCH($B$10,$A$23:$A$139,0))</f>
        <v>1.4704046399545831</v>
      </c>
      <c r="AC18" s="18">
        <f>IFERROR(AVERAGEIF($AA$23:$AA$139,1,$D$23:$D$139),X18)</f>
        <v>2.4863759387272513</v>
      </c>
      <c r="AD18" s="18">
        <f>IFERROR(AVERAGEIF($AA$23:$AA$139,2,$D$23:$D$139),Y18)</f>
        <v>-0.82641525704134278</v>
      </c>
      <c r="AE18" s="18">
        <f>IFERROR(AVERAGEIF($AA$23:$AA$139,3,$D$23:$D$139),Z18)</f>
        <v>0.58781220551395696</v>
      </c>
      <c r="AH18" s="18">
        <f>IFERROR(AVERAGEIF($AF$23:$AF$139,1,$D$23:$D$139),AC18)</f>
        <v>2.1809094372686584</v>
      </c>
      <c r="AI18" s="18">
        <f>IFERROR(AVERAGEIF($AF$23:$AF$139,2,$D$23:$D$139),AD18)</f>
        <v>-0.75584768095306276</v>
      </c>
      <c r="AJ18" s="18">
        <f>IFERROR(AVERAGEIF($AF$23:$AF$139,3,$D$23:$D$139),AE18)</f>
        <v>0.68932856317301838</v>
      </c>
      <c r="AM18" s="18">
        <f>IFERROR(AVERAGEIF($AK$23:$AK$139,1,$D$23:$D$139),AH18)</f>
        <v>2.1809094372686584</v>
      </c>
      <c r="AN18" s="18">
        <f>IFERROR(AVERAGEIF($AK$23:$AK$139,2,$D$23:$D$139),AI18)</f>
        <v>-0.74164139577276655</v>
      </c>
      <c r="AO18" s="18">
        <f>IFERROR(AVERAGEIF($AK$23:$AK$139,3,$D$23:$D$139),AJ18)</f>
        <v>0.70079065229317294</v>
      </c>
      <c r="AR18" s="18">
        <f>IFERROR(AVERAGEIF($AP$23:$AP$139,1,$D$23:$D$139),AM18)</f>
        <v>2.1809094372686584</v>
      </c>
      <c r="AS18" s="18">
        <f>IFERROR(AVERAGEIF($AP$23:$AP$139,2,$D$23:$D$139),AN18)</f>
        <v>-0.74164139577276655</v>
      </c>
      <c r="AT18" s="18">
        <f>IFERROR(AVERAGEIF($AP$23:$AP$139,3,$D$23:$D$139),AO18)</f>
        <v>0.70079065229317294</v>
      </c>
      <c r="AW18" s="18">
        <f>IFERROR(AVERAGEIF($AU$23:$AU$139,1,$D$23:$D$139),AR18)</f>
        <v>2.1809094372686584</v>
      </c>
      <c r="AX18" s="18">
        <f>IFERROR(AVERAGEIF($AU$23:$AU$139,2,$D$23:$D$139),AS18)</f>
        <v>-0.74164139577276655</v>
      </c>
      <c r="AY18" s="18">
        <f>IFERROR(AVERAGEIF($AU$23:$AU$139,3,$D$23:$D$139),AT18)</f>
        <v>0.70079065229317294</v>
      </c>
      <c r="BB18" s="18">
        <f>IFERROR(AVERAGEIF($AZ$23:$AZ$139,1,$D$23:$D$139),AW18)</f>
        <v>2.1809094372686584</v>
      </c>
      <c r="BC18" s="18">
        <f>IFERROR(AVERAGEIF($AZ$23:$AZ$139,2,$D$23:$D$139),AX18)</f>
        <v>-0.74164139577276655</v>
      </c>
      <c r="BD18" s="18">
        <f>IFERROR(AVERAGEIF($AZ$23:$AZ$139,3,$D$23:$D$139),AY18)</f>
        <v>0.70079065229317294</v>
      </c>
      <c r="BG18" s="18">
        <f>IFERROR(AVERAGEIF($BE$23:$BE$139,1,$D$23:$D$139),BB18)</f>
        <v>2.1809094372686584</v>
      </c>
      <c r="BH18" s="18">
        <f>IFERROR(AVERAGEIF($BE$23:$BE$139,2,$D$23:$D$139),BC18)</f>
        <v>-0.74164139577276655</v>
      </c>
      <c r="BI18" s="18">
        <f>IFERROR(AVERAGEIF($BE$23:$BE$139,3,$D$23:$D$139),BD18)</f>
        <v>0.70079065229317294</v>
      </c>
      <c r="BL18" s="18">
        <f>IFERROR(AVERAGEIF($BJ$23:$BJ$139,1,$D$23:$D$139),BG18)</f>
        <v>2.1809094372686584</v>
      </c>
      <c r="BM18" s="18">
        <f>IFERROR(AVERAGEIF($BJ$23:$BJ$139,2,$D$23:$D$139),BH18)</f>
        <v>-0.74164139577276655</v>
      </c>
      <c r="BN18" s="18">
        <f>IFERROR(AVERAGEIF($BJ$23:$BJ$139,3,$D$23:$D$139),BI18)</f>
        <v>0.70079065229317294</v>
      </c>
      <c r="BQ18" s="18">
        <f>IFERROR(AVERAGEIF($BO$23:$BO$139,1,$D$23:$D$139),BL18)</f>
        <v>2.1809094372686584</v>
      </c>
      <c r="BR18" s="18">
        <f>IFERROR(AVERAGEIF($BO$23:$BO$139,2,$D$23:$D$139),BM18)</f>
        <v>-0.74164139577276655</v>
      </c>
      <c r="BS18" s="18">
        <f>IFERROR(AVERAGEIF($BO$23:$BO$139,3,$D$23:$D$139),BN18)</f>
        <v>0.70079065229317294</v>
      </c>
      <c r="BV18" s="18">
        <f>IFERROR(AVERAGEIF($BT$23:$BT$139,1,$D$23:$D$139),BQ18)</f>
        <v>2.1809094372686584</v>
      </c>
      <c r="BW18" s="18">
        <f>IFERROR(AVERAGEIF($BT$23:$BT$139,2,$D$23:$D$139),BR18)</f>
        <v>-0.74164139577276655</v>
      </c>
      <c r="BX18" s="18">
        <f>IFERROR(AVERAGEIF($BT$23:$BT$139,3,$D$23:$D$139),BS18)</f>
        <v>0.70079065229317294</v>
      </c>
      <c r="CA18" s="18">
        <f>IFERROR(AVERAGEIF($BY$23:$BY$139,1,$D$23:$D$139),BV18)</f>
        <v>2.1809094372686584</v>
      </c>
      <c r="CB18" s="18">
        <f>IFERROR(AVERAGEIF($BY$23:$BY$139,2,$D$23:$D$139),BW18)</f>
        <v>-0.74164139577276655</v>
      </c>
      <c r="CC18" s="18">
        <f>IFERROR(AVERAGEIF($BY$23:$BY$139,3,$D$23:$D$139),BX18)</f>
        <v>0.70079065229317294</v>
      </c>
    </row>
    <row r="19" spans="1:82" x14ac:dyDescent="0.25">
      <c r="K19" s="40" t="s">
        <v>475</v>
      </c>
      <c r="L19" s="16">
        <f>COUNTIF($E$23:$E$139,1)</f>
        <v>6</v>
      </c>
      <c r="M19" s="16">
        <f>COUNTIF($E$23:$E$139,2)</f>
        <v>63</v>
      </c>
      <c r="N19" s="16">
        <f>COUNTIF($E$23:$E$139,3)</f>
        <v>48</v>
      </c>
      <c r="W19" s="40" t="s">
        <v>475</v>
      </c>
      <c r="X19" s="16">
        <f>COUNTIF($AA$23:$AA$139,1)</f>
        <v>4</v>
      </c>
      <c r="Y19" s="16">
        <f>COUNTIF($AA$23:$AA$139,2)</f>
        <v>54</v>
      </c>
      <c r="Z19" s="16">
        <f>COUNTIF($AA$23:$AA$139,3)</f>
        <v>59</v>
      </c>
      <c r="AC19" s="16">
        <f>COUNTIF($AF$23:$AF$139,1)</f>
        <v>6</v>
      </c>
      <c r="AD19" s="16">
        <f>COUNTIF($AF$23:$AF$139,2)</f>
        <v>62</v>
      </c>
      <c r="AE19" s="16">
        <f>COUNTIF($AF$23:$AF$139,3)</f>
        <v>49</v>
      </c>
      <c r="AH19" s="16">
        <f>COUNTIF($AK$23:$AK$139,1)</f>
        <v>6</v>
      </c>
      <c r="AI19" s="16">
        <f>COUNTIF($AK$23:$AK$139,2)</f>
        <v>63</v>
      </c>
      <c r="AJ19" s="16">
        <f>COUNTIF($AK$23:$AK$139,3)</f>
        <v>48</v>
      </c>
      <c r="AM19" s="16">
        <f>COUNTIF($AP$23:$AP$139,1)</f>
        <v>6</v>
      </c>
      <c r="AN19" s="16">
        <f>COUNTIF($AP$23:$AP$139,2)</f>
        <v>63</v>
      </c>
      <c r="AO19" s="16">
        <f>COUNTIF($AP$23:$AP$139,3)</f>
        <v>48</v>
      </c>
      <c r="AR19" s="16">
        <f>COUNTIF($AU$23:$AU$139,1)</f>
        <v>6</v>
      </c>
      <c r="AS19" s="16">
        <f>COUNTIF($AU$23:$AU$139,2)</f>
        <v>63</v>
      </c>
      <c r="AT19" s="16">
        <f>COUNTIF($AU$23:$AU$139,3)</f>
        <v>48</v>
      </c>
      <c r="AW19" s="16">
        <f>COUNTIF($AZ$23:$AZ$139,1)</f>
        <v>6</v>
      </c>
      <c r="AX19" s="16">
        <f>COUNTIF($AZ$23:$AZ$139,2)</f>
        <v>63</v>
      </c>
      <c r="AY19" s="16">
        <f>COUNTIF($AZ$23:$AZ$139,3)</f>
        <v>48</v>
      </c>
      <c r="BB19" s="16">
        <f>COUNTIF($BE$23:$BE$139,1)</f>
        <v>6</v>
      </c>
      <c r="BC19" s="16">
        <f>COUNTIF($BE$23:$BE$139,2)</f>
        <v>63</v>
      </c>
      <c r="BD19" s="16">
        <f>COUNTIF($BE$23:$BE$139,3)</f>
        <v>48</v>
      </c>
      <c r="BG19" s="16">
        <f>COUNTIF($BJ$23:$BJ$139,1)</f>
        <v>6</v>
      </c>
      <c r="BH19" s="16">
        <f>COUNTIF($BJ$23:$BJ$139,2)</f>
        <v>63</v>
      </c>
      <c r="BI19" s="16">
        <f>COUNTIF($BJ$23:$BJ$139,3)</f>
        <v>48</v>
      </c>
      <c r="BL19" s="16">
        <f>COUNTIF($BO$23:$BO$139,1)</f>
        <v>6</v>
      </c>
      <c r="BM19" s="16">
        <f>COUNTIF($BO$23:$BO$139,2)</f>
        <v>63</v>
      </c>
      <c r="BN19" s="16">
        <f>COUNTIF($BO$23:$BO$139,3)</f>
        <v>48</v>
      </c>
      <c r="BQ19" s="16">
        <f>COUNTIF($BT$23:$BT$139,1)</f>
        <v>6</v>
      </c>
      <c r="BR19" s="16">
        <f>COUNTIF($BT$23:$BT$139,2)</f>
        <v>63</v>
      </c>
      <c r="BS19" s="16">
        <f>COUNTIF($BT$23:$BT$139,3)</f>
        <v>48</v>
      </c>
      <c r="BV19" s="16">
        <f>COUNTIF($BY$23:$BY$139,1)</f>
        <v>6</v>
      </c>
      <c r="BW19" s="16">
        <f>COUNTIF($BY$23:$BY$139,2)</f>
        <v>63</v>
      </c>
      <c r="BX19" s="16">
        <f>COUNTIF($BY$23:$BY$139,3)</f>
        <v>48</v>
      </c>
      <c r="CA19" s="16">
        <f>COUNTIF($CD$23:$CD$139,1)</f>
        <v>6</v>
      </c>
      <c r="CB19" s="16">
        <f>COUNTIF($CD$23:$CD$139,2)</f>
        <v>63</v>
      </c>
      <c r="CC19" s="16">
        <f>COUNTIF($CD$23:$CD$139,3)</f>
        <v>48</v>
      </c>
    </row>
    <row r="20" spans="1:82" x14ac:dyDescent="0.25">
      <c r="K20" s="40" t="s">
        <v>476</v>
      </c>
      <c r="L20" s="18">
        <f>SUMIF($E$23:$E$139,1,$F$23:$F$139)</f>
        <v>9.5051025912139231</v>
      </c>
      <c r="M20" s="18">
        <f>SUMIF($E$23:$E$139,2,$F$23:$F$139)</f>
        <v>43.131944554180343</v>
      </c>
      <c r="N20" s="18">
        <f>SUMIF($E$23:$E$139,3,$F$23:$F$139)</f>
        <v>43.070489838615984</v>
      </c>
      <c r="W20" s="40" t="s">
        <v>477</v>
      </c>
      <c r="AA20" s="13" t="s">
        <v>478</v>
      </c>
      <c r="AF20" s="16">
        <f>SUMPRODUCT(--($AF$23:$AF$139&lt;&gt;$AA$23:$AA$139))</f>
        <v>10</v>
      </c>
      <c r="AK20" s="16">
        <f>SUMPRODUCT(--($AK$23:$AK$139&lt;&gt;$AF$23:$AF$139))</f>
        <v>1</v>
      </c>
      <c r="AP20" s="16">
        <f>SUMPRODUCT(--($AP$23:$AP$139&lt;&gt;$AK$23:$AK$139))</f>
        <v>0</v>
      </c>
      <c r="AU20" s="16">
        <f>SUMPRODUCT(--($AU$23:$AU$139&lt;&gt;$AP$23:$AP$139))</f>
        <v>0</v>
      </c>
      <c r="AZ20" s="16">
        <f>SUMPRODUCT(--($AZ$23:$AZ$139&lt;&gt;$AU$23:$AU$139))</f>
        <v>0</v>
      </c>
      <c r="BE20" s="16">
        <f>SUMPRODUCT(--($BE$23:$BE$139&lt;&gt;$AZ$23:$AZ$139))</f>
        <v>0</v>
      </c>
      <c r="BJ20" s="16">
        <f>SUMPRODUCT(--($BJ$23:$BJ$139&lt;&gt;$BE$23:$BE$139))</f>
        <v>0</v>
      </c>
      <c r="BO20" s="16">
        <f>SUMPRODUCT(--($BO$23:$BO$139&lt;&gt;$BJ$23:$BJ$139))</f>
        <v>0</v>
      </c>
      <c r="BT20" s="16">
        <f>SUMPRODUCT(--($BT$23:$BT$139&lt;&gt;$BO$23:$BO$139))</f>
        <v>0</v>
      </c>
      <c r="BY20" s="16">
        <f>SUMPRODUCT(--($BY$23:$BY$139&lt;&gt;$BT$23:$BT$139))</f>
        <v>0</v>
      </c>
      <c r="CD20" s="16">
        <f>SUMPRODUCT(--($CD$23:$CD$139&lt;&gt;$BY$23:$BY$139))</f>
        <v>0</v>
      </c>
    </row>
    <row r="21" spans="1:82" x14ac:dyDescent="0.25">
      <c r="K21" s="40" t="s">
        <v>270</v>
      </c>
      <c r="L21" s="57">
        <f>SUM($F$23:$F$139)</f>
        <v>95.707536984010261</v>
      </c>
      <c r="M21" s="40" t="s">
        <v>52</v>
      </c>
      <c r="N21" s="36" t="str">
        <f>IF(CD20=0,"Converged","Not converged: more iterations needed")</f>
        <v>Converged</v>
      </c>
    </row>
    <row r="22" spans="1:82" ht="31.5" customHeight="1" x14ac:dyDescent="0.25">
      <c r="A22" s="11" t="s">
        <v>479</v>
      </c>
      <c r="B22" s="11" t="s">
        <v>445</v>
      </c>
      <c r="C22" s="11" t="s">
        <v>446</v>
      </c>
      <c r="D22" s="11" t="s">
        <v>447</v>
      </c>
      <c r="E22" s="11" t="s">
        <v>451</v>
      </c>
      <c r="F22" s="11" t="s">
        <v>480</v>
      </c>
      <c r="G22" s="11" t="s">
        <v>452</v>
      </c>
      <c r="H22" s="11" t="s">
        <v>481</v>
      </c>
      <c r="I22" s="11" t="s">
        <v>482</v>
      </c>
      <c r="J22" s="11" t="s">
        <v>483</v>
      </c>
      <c r="X22" s="11" t="s">
        <v>484</v>
      </c>
      <c r="Y22" s="11" t="s">
        <v>485</v>
      </c>
      <c r="Z22" s="11" t="s">
        <v>486</v>
      </c>
      <c r="AA22" s="11" t="s">
        <v>451</v>
      </c>
      <c r="AC22" s="11" t="s">
        <v>484</v>
      </c>
      <c r="AD22" s="11" t="s">
        <v>485</v>
      </c>
      <c r="AE22" s="11" t="s">
        <v>486</v>
      </c>
      <c r="AF22" s="11" t="s">
        <v>451</v>
      </c>
      <c r="AH22" s="11" t="s">
        <v>484</v>
      </c>
      <c r="AI22" s="11" t="s">
        <v>485</v>
      </c>
      <c r="AJ22" s="11" t="s">
        <v>486</v>
      </c>
      <c r="AK22" s="11" t="s">
        <v>451</v>
      </c>
      <c r="AM22" s="11" t="s">
        <v>484</v>
      </c>
      <c r="AN22" s="11" t="s">
        <v>485</v>
      </c>
      <c r="AO22" s="11" t="s">
        <v>486</v>
      </c>
      <c r="AP22" s="11" t="s">
        <v>451</v>
      </c>
      <c r="AR22" s="11" t="s">
        <v>484</v>
      </c>
      <c r="AS22" s="11" t="s">
        <v>485</v>
      </c>
      <c r="AT22" s="11" t="s">
        <v>486</v>
      </c>
      <c r="AU22" s="11" t="s">
        <v>451</v>
      </c>
      <c r="AW22" s="11" t="s">
        <v>484</v>
      </c>
      <c r="AX22" s="11" t="s">
        <v>485</v>
      </c>
      <c r="AY22" s="11" t="s">
        <v>486</v>
      </c>
      <c r="AZ22" s="11" t="s">
        <v>451</v>
      </c>
      <c r="BB22" s="11" t="s">
        <v>484</v>
      </c>
      <c r="BC22" s="11" t="s">
        <v>485</v>
      </c>
      <c r="BD22" s="11" t="s">
        <v>486</v>
      </c>
      <c r="BE22" s="11" t="s">
        <v>451</v>
      </c>
      <c r="BG22" s="11" t="s">
        <v>484</v>
      </c>
      <c r="BH22" s="11" t="s">
        <v>485</v>
      </c>
      <c r="BI22" s="11" t="s">
        <v>486</v>
      </c>
      <c r="BJ22" s="11" t="s">
        <v>451</v>
      </c>
      <c r="BL22" s="11" t="s">
        <v>484</v>
      </c>
      <c r="BM22" s="11" t="s">
        <v>485</v>
      </c>
      <c r="BN22" s="11" t="s">
        <v>486</v>
      </c>
      <c r="BO22" s="11" t="s">
        <v>451</v>
      </c>
      <c r="BQ22" s="11" t="s">
        <v>484</v>
      </c>
      <c r="BR22" s="11" t="s">
        <v>485</v>
      </c>
      <c r="BS22" s="11" t="s">
        <v>486</v>
      </c>
      <c r="BT22" s="11" t="s">
        <v>451</v>
      </c>
      <c r="BV22" s="11" t="s">
        <v>484</v>
      </c>
      <c r="BW22" s="11" t="s">
        <v>485</v>
      </c>
      <c r="BX22" s="11" t="s">
        <v>486</v>
      </c>
      <c r="BY22" s="11" t="s">
        <v>451</v>
      </c>
      <c r="CA22" s="11" t="s">
        <v>484</v>
      </c>
      <c r="CB22" s="11" t="s">
        <v>485</v>
      </c>
      <c r="CC22" s="11" t="s">
        <v>486</v>
      </c>
      <c r="CD22" s="11" t="s">
        <v>451</v>
      </c>
    </row>
    <row r="23" spans="1:82" x14ac:dyDescent="0.25">
      <c r="A23" s="36" t="str">
        <f>KMeans_Data!A5</f>
        <v>Karachi</v>
      </c>
      <c r="B23" s="18">
        <f>KMeans_Data!H5</f>
        <v>3.2743087782752069</v>
      </c>
      <c r="C23" s="18">
        <f>KMeans_Data!I5</f>
        <v>4.0388517969113016</v>
      </c>
      <c r="D23" s="18">
        <f>KMeans_Data!J5</f>
        <v>3.2527128596020467</v>
      </c>
      <c r="E23" s="56">
        <f t="shared" ref="E23:E54" si="0">CD23</f>
        <v>1</v>
      </c>
      <c r="F23" s="38">
        <f t="shared" ref="F23:F54" si="1">($B23-INDEX($L$16:$N$16,E23))^2+($C23-INDEX($L$17:$N$17,E23))^2+($D23-INDEX($L$18:$N$18,E23))^2</f>
        <v>2.7366208897533113</v>
      </c>
      <c r="G23" s="13" t="str">
        <f t="shared" ref="G23:G54" si="2">INDEX($M$5:$M$7,E23)</f>
        <v>High burden</v>
      </c>
      <c r="H23" s="18">
        <f>IF(COUNTIF(Distance_Matrix!$E$9:$DQ$9,$E23)&lt;=1,0,SUMIF(Distance_Matrix!$E$9:$DQ$9,$E23,Distance_Matrix!$E$14:$DQ$14)/(COUNTIF(Distance_Matrix!$E$9:$DQ$9,$E23)-1))</f>
        <v>2.1045387601258763</v>
      </c>
      <c r="I23" s="18">
        <f>MIN(IF(1=$E23,1E+99,IF(COUNTIF(Distance_Matrix!$E$9:$DQ$9,1)=0,1E+99,SUMIF(Distance_Matrix!$E$9:$DQ$9,1,Distance_Matrix!$E$14:$DQ$14)/COUNTIF(Distance_Matrix!$E$9:$DQ$9,1))),IF(2=$E23,1E+99,IF(COUNTIF(Distance_Matrix!$E$9:$DQ$9,2)=0,1E+99,SUMIF(Distance_Matrix!$E$9:$DQ$9,2,Distance_Matrix!$E$14:$DQ$14)/COUNTIF(Distance_Matrix!$E$9:$DQ$9,2))),IF(3=$E23,1E+99,IF(COUNTIF(Distance_Matrix!$E$9:$DQ$9,3)=0,1E+99,SUMIF(Distance_Matrix!$E$9:$DQ$9,3,Distance_Matrix!$E$14:$DQ$14)/COUNTIF(Distance_Matrix!$E$9:$DQ$9,3))))</f>
        <v>5.2349905334775437</v>
      </c>
      <c r="J23" s="18">
        <f>IF(COUNTIF(Distance_Matrix!$E$9:$DQ$9,$E23)&lt;=1,0,(I23-H23)/MAX(H23,I23))</f>
        <v>0.59798613833827596</v>
      </c>
      <c r="X23" s="18">
        <f t="shared" ref="X23:Z42" si="3">SQRT(($B23-X$16)^2+($C23-X$17)^2+($D23-X$18)^2)</f>
        <v>0</v>
      </c>
      <c r="Y23" s="18">
        <f t="shared" si="3"/>
        <v>8.3791178007212217</v>
      </c>
      <c r="Z23" s="18">
        <f t="shared" si="3"/>
        <v>4.6451579272007946</v>
      </c>
      <c r="AA23" s="56">
        <f t="shared" ref="AA23:AA54" si="4">MATCH(MIN(X23:Z23),X23:Z23,0)</f>
        <v>1</v>
      </c>
      <c r="AC23" s="18">
        <f t="shared" ref="AC23:AE42" si="5">SQRT(($B23-AC$16)^2+($C23-AC$17)^2+($D23-AC$18)^2)</f>
        <v>1.0396284822580617</v>
      </c>
      <c r="AD23" s="18">
        <f t="shared" si="5"/>
        <v>7.4077156455394242</v>
      </c>
      <c r="AE23" s="18">
        <f t="shared" si="5"/>
        <v>5.3244346056490999</v>
      </c>
      <c r="AF23" s="56">
        <f t="shared" ref="AF23:AF54" si="6">MATCH(MIN(AC23:AE23),AC23:AE23,0)</f>
        <v>1</v>
      </c>
      <c r="AH23" s="18">
        <f t="shared" ref="AH23:AJ42" si="7">SQRT(($B23-AH$16)^2+($C23-AH$17)^2+($D23-AH$18)^2)</f>
        <v>1.6542735232582644</v>
      </c>
      <c r="AI23" s="18">
        <f t="shared" si="7"/>
        <v>7.2939778616493562</v>
      </c>
      <c r="AJ23" s="18">
        <f t="shared" si="7"/>
        <v>5.2249643422610701</v>
      </c>
      <c r="AK23" s="56">
        <f t="shared" ref="AK23:AK54" si="8">MATCH(MIN(AH23:AJ23),AH23:AJ23,0)</f>
        <v>1</v>
      </c>
      <c r="AM23" s="18">
        <f t="shared" ref="AM23:AO42" si="9">SQRT(($B23-AM$16)^2+($C23-AM$17)^2+($D23-AM$18)^2)</f>
        <v>1.6542735232582644</v>
      </c>
      <c r="AN23" s="18">
        <f t="shared" si="9"/>
        <v>7.2792442932531465</v>
      </c>
      <c r="AO23" s="18">
        <f t="shared" si="9"/>
        <v>5.2010686788360383</v>
      </c>
      <c r="AP23" s="56">
        <f t="shared" ref="AP23:AP54" si="10">MATCH(MIN(AM23:AO23),AM23:AO23,0)</f>
        <v>1</v>
      </c>
      <c r="AR23" s="18">
        <f t="shared" ref="AR23:AT42" si="11">SQRT(($B23-AR$16)^2+($C23-AR$17)^2+($D23-AR$18)^2)</f>
        <v>1.6542735232582644</v>
      </c>
      <c r="AS23" s="18">
        <f t="shared" si="11"/>
        <v>7.2792442932531465</v>
      </c>
      <c r="AT23" s="18">
        <f t="shared" si="11"/>
        <v>5.2010686788360383</v>
      </c>
      <c r="AU23" s="56">
        <f t="shared" ref="AU23:AU54" si="12">MATCH(MIN(AR23:AT23),AR23:AT23,0)</f>
        <v>1</v>
      </c>
      <c r="AW23" s="18">
        <f t="shared" ref="AW23:AY42" si="13">SQRT(($B23-AW$16)^2+($C23-AW$17)^2+($D23-AW$18)^2)</f>
        <v>1.6542735232582644</v>
      </c>
      <c r="AX23" s="18">
        <f t="shared" si="13"/>
        <v>7.2792442932531465</v>
      </c>
      <c r="AY23" s="18">
        <f t="shared" si="13"/>
        <v>5.2010686788360383</v>
      </c>
      <c r="AZ23" s="56">
        <f t="shared" ref="AZ23:AZ54" si="14">MATCH(MIN(AW23:AY23),AW23:AY23,0)</f>
        <v>1</v>
      </c>
      <c r="BB23" s="18">
        <f t="shared" ref="BB23:BD42" si="15">SQRT(($B23-BB$16)^2+($C23-BB$17)^2+($D23-BB$18)^2)</f>
        <v>1.6542735232582644</v>
      </c>
      <c r="BC23" s="18">
        <f t="shared" si="15"/>
        <v>7.2792442932531465</v>
      </c>
      <c r="BD23" s="18">
        <f t="shared" si="15"/>
        <v>5.2010686788360383</v>
      </c>
      <c r="BE23" s="56">
        <f t="shared" ref="BE23:BE54" si="16">MATCH(MIN(BB23:BD23),BB23:BD23,0)</f>
        <v>1</v>
      </c>
      <c r="BG23" s="18">
        <f t="shared" ref="BG23:BI42" si="17">SQRT(($B23-BG$16)^2+($C23-BG$17)^2+($D23-BG$18)^2)</f>
        <v>1.6542735232582644</v>
      </c>
      <c r="BH23" s="18">
        <f t="shared" si="17"/>
        <v>7.2792442932531465</v>
      </c>
      <c r="BI23" s="18">
        <f t="shared" si="17"/>
        <v>5.2010686788360383</v>
      </c>
      <c r="BJ23" s="56">
        <f t="shared" ref="BJ23:BJ54" si="18">MATCH(MIN(BG23:BI23),BG23:BI23,0)</f>
        <v>1</v>
      </c>
      <c r="BL23" s="18">
        <f t="shared" ref="BL23:BN42" si="19">SQRT(($B23-BL$16)^2+($C23-BL$17)^2+($D23-BL$18)^2)</f>
        <v>1.6542735232582644</v>
      </c>
      <c r="BM23" s="18">
        <f t="shared" si="19"/>
        <v>7.2792442932531465</v>
      </c>
      <c r="BN23" s="18">
        <f t="shared" si="19"/>
        <v>5.2010686788360383</v>
      </c>
      <c r="BO23" s="56">
        <f t="shared" ref="BO23:BO54" si="20">MATCH(MIN(BL23:BN23),BL23:BN23,0)</f>
        <v>1</v>
      </c>
      <c r="BQ23" s="18">
        <f t="shared" ref="BQ23:BS42" si="21">SQRT(($B23-BQ$16)^2+($C23-BQ$17)^2+($D23-BQ$18)^2)</f>
        <v>1.6542735232582644</v>
      </c>
      <c r="BR23" s="18">
        <f t="shared" si="21"/>
        <v>7.2792442932531465</v>
      </c>
      <c r="BS23" s="18">
        <f t="shared" si="21"/>
        <v>5.2010686788360383</v>
      </c>
      <c r="BT23" s="56">
        <f t="shared" ref="BT23:BT54" si="22">MATCH(MIN(BQ23:BS23),BQ23:BS23,0)</f>
        <v>1</v>
      </c>
      <c r="BV23" s="18">
        <f t="shared" ref="BV23:BX42" si="23">SQRT(($B23-BV$16)^2+($C23-BV$17)^2+($D23-BV$18)^2)</f>
        <v>1.6542735232582644</v>
      </c>
      <c r="BW23" s="18">
        <f t="shared" si="23"/>
        <v>7.2792442932531465</v>
      </c>
      <c r="BX23" s="18">
        <f t="shared" si="23"/>
        <v>5.2010686788360383</v>
      </c>
      <c r="BY23" s="56">
        <f t="shared" ref="BY23:BY54" si="24">MATCH(MIN(BV23:BX23),BV23:BX23,0)</f>
        <v>1</v>
      </c>
      <c r="CA23" s="18">
        <f t="shared" ref="CA23:CC42" si="25">SQRT(($B23-CA$16)^2+($C23-CA$17)^2+($D23-CA$18)^2)</f>
        <v>1.6542735232582644</v>
      </c>
      <c r="CB23" s="18">
        <f t="shared" si="25"/>
        <v>7.2792442932531465</v>
      </c>
      <c r="CC23" s="18">
        <f t="shared" si="25"/>
        <v>5.2010686788360383</v>
      </c>
      <c r="CD23" s="56">
        <f t="shared" ref="CD23:CD54" si="26">MATCH(MIN(CA23:CC23),CA23:CC23,0)</f>
        <v>1</v>
      </c>
    </row>
    <row r="24" spans="1:82" x14ac:dyDescent="0.25">
      <c r="A24" s="36" t="str">
        <f>KMeans_Data!A6</f>
        <v>Lahore</v>
      </c>
      <c r="B24" s="18">
        <f>KMeans_Data!H6</f>
        <v>3.2501513961754349</v>
      </c>
      <c r="C24" s="18">
        <f>KMeans_Data!I6</f>
        <v>4.1568410370911772</v>
      </c>
      <c r="D24" s="18">
        <f>KMeans_Data!J6</f>
        <v>2.680512898820258</v>
      </c>
      <c r="E24" s="56">
        <f t="shared" si="0"/>
        <v>1</v>
      </c>
      <c r="F24" s="38">
        <f t="shared" si="1"/>
        <v>2.0451929426451736</v>
      </c>
      <c r="G24" s="13" t="str">
        <f t="shared" si="2"/>
        <v>High burden</v>
      </c>
      <c r="H24" s="18">
        <f>IF(COUNTIF(Distance_Matrix!$E$9:$DQ$9,$E24)&lt;=1,0,SUMIF(Distance_Matrix!$E$9:$DQ$9,$E24,Distance_Matrix!$E$15:$DQ$15)/(COUNTIF(Distance_Matrix!$E$9:$DQ$9,$E24)-1))</f>
        <v>1.9215633074953202</v>
      </c>
      <c r="I24" s="18">
        <f>MIN(IF(1=$E24,1E+99,IF(COUNTIF(Distance_Matrix!$E$9:$DQ$9,1)=0,1E+99,SUMIF(Distance_Matrix!$E$9:$DQ$9,1,Distance_Matrix!$E$15:$DQ$15)/COUNTIF(Distance_Matrix!$E$9:$DQ$9,1))),IF(2=$E24,1E+99,IF(COUNTIF(Distance_Matrix!$E$9:$DQ$9,2)=0,1E+99,SUMIF(Distance_Matrix!$E$9:$DQ$9,2,Distance_Matrix!$E$15:$DQ$15)/COUNTIF(Distance_Matrix!$E$9:$DQ$9,2))),IF(3=$E24,1E+99,IF(COUNTIF(Distance_Matrix!$E$9:$DQ$9,3)=0,1E+99,SUMIF(Distance_Matrix!$E$9:$DQ$9,3,Distance_Matrix!$E$15:$DQ$15)/COUNTIF(Distance_Matrix!$E$9:$DQ$9,3))))</f>
        <v>5.0538880353366489</v>
      </c>
      <c r="J24" s="18">
        <f>IF(COUNTIF(Distance_Matrix!$E$9:$DQ$9,$E24)&lt;=1,0,(I24-H24)/MAX(H24,I24))</f>
        <v>0.61978514481132119</v>
      </c>
      <c r="X24" s="18">
        <f t="shared" si="3"/>
        <v>0.58473740689887399</v>
      </c>
      <c r="Y24" s="18">
        <f t="shared" si="3"/>
        <v>8.1468513691696547</v>
      </c>
      <c r="Z24" s="18">
        <f t="shared" si="3"/>
        <v>4.5426180354302428</v>
      </c>
      <c r="AA24" s="56">
        <f t="shared" si="4"/>
        <v>1</v>
      </c>
      <c r="AC24" s="18">
        <f t="shared" si="5"/>
        <v>0.80458742879173173</v>
      </c>
      <c r="AD24" s="18">
        <f t="shared" si="5"/>
        <v>7.1734098035434162</v>
      </c>
      <c r="AE24" s="18">
        <f t="shared" si="5"/>
        <v>5.1360028521626031</v>
      </c>
      <c r="AF24" s="56">
        <f t="shared" si="6"/>
        <v>1</v>
      </c>
      <c r="AH24" s="18">
        <f t="shared" si="7"/>
        <v>1.4301024238302562</v>
      </c>
      <c r="AI24" s="18">
        <f t="shared" si="7"/>
        <v>7.0618167781798009</v>
      </c>
      <c r="AJ24" s="18">
        <f t="shared" si="7"/>
        <v>5.0426399007785641</v>
      </c>
      <c r="AK24" s="56">
        <f t="shared" si="8"/>
        <v>1</v>
      </c>
      <c r="AM24" s="18">
        <f t="shared" si="9"/>
        <v>1.4301024238302562</v>
      </c>
      <c r="AN24" s="18">
        <f t="shared" si="9"/>
        <v>7.0476357655624353</v>
      </c>
      <c r="AO24" s="18">
        <f t="shared" si="9"/>
        <v>5.0189952279655428</v>
      </c>
      <c r="AP24" s="56">
        <f t="shared" si="10"/>
        <v>1</v>
      </c>
      <c r="AR24" s="18">
        <f t="shared" si="11"/>
        <v>1.4301024238302562</v>
      </c>
      <c r="AS24" s="18">
        <f t="shared" si="11"/>
        <v>7.0476357655624353</v>
      </c>
      <c r="AT24" s="18">
        <f t="shared" si="11"/>
        <v>5.0189952279655428</v>
      </c>
      <c r="AU24" s="56">
        <f t="shared" si="12"/>
        <v>1</v>
      </c>
      <c r="AW24" s="18">
        <f t="shared" si="13"/>
        <v>1.4301024238302562</v>
      </c>
      <c r="AX24" s="18">
        <f t="shared" si="13"/>
        <v>7.0476357655624353</v>
      </c>
      <c r="AY24" s="18">
        <f t="shared" si="13"/>
        <v>5.0189952279655428</v>
      </c>
      <c r="AZ24" s="56">
        <f t="shared" si="14"/>
        <v>1</v>
      </c>
      <c r="BB24" s="18">
        <f t="shared" si="15"/>
        <v>1.4301024238302562</v>
      </c>
      <c r="BC24" s="18">
        <f t="shared" si="15"/>
        <v>7.0476357655624353</v>
      </c>
      <c r="BD24" s="18">
        <f t="shared" si="15"/>
        <v>5.0189952279655428</v>
      </c>
      <c r="BE24" s="56">
        <f t="shared" si="16"/>
        <v>1</v>
      </c>
      <c r="BG24" s="18">
        <f t="shared" si="17"/>
        <v>1.4301024238302562</v>
      </c>
      <c r="BH24" s="18">
        <f t="shared" si="17"/>
        <v>7.0476357655624353</v>
      </c>
      <c r="BI24" s="18">
        <f t="shared" si="17"/>
        <v>5.0189952279655428</v>
      </c>
      <c r="BJ24" s="56">
        <f t="shared" si="18"/>
        <v>1</v>
      </c>
      <c r="BL24" s="18">
        <f t="shared" si="19"/>
        <v>1.4301024238302562</v>
      </c>
      <c r="BM24" s="18">
        <f t="shared" si="19"/>
        <v>7.0476357655624353</v>
      </c>
      <c r="BN24" s="18">
        <f t="shared" si="19"/>
        <v>5.0189952279655428</v>
      </c>
      <c r="BO24" s="56">
        <f t="shared" si="20"/>
        <v>1</v>
      </c>
      <c r="BQ24" s="18">
        <f t="shared" si="21"/>
        <v>1.4301024238302562</v>
      </c>
      <c r="BR24" s="18">
        <f t="shared" si="21"/>
        <v>7.0476357655624353</v>
      </c>
      <c r="BS24" s="18">
        <f t="shared" si="21"/>
        <v>5.0189952279655428</v>
      </c>
      <c r="BT24" s="56">
        <f t="shared" si="22"/>
        <v>1</v>
      </c>
      <c r="BV24" s="18">
        <f t="shared" si="23"/>
        <v>1.4301024238302562</v>
      </c>
      <c r="BW24" s="18">
        <f t="shared" si="23"/>
        <v>7.0476357655624353</v>
      </c>
      <c r="BX24" s="18">
        <f t="shared" si="23"/>
        <v>5.0189952279655428</v>
      </c>
      <c r="BY24" s="56">
        <f t="shared" si="24"/>
        <v>1</v>
      </c>
      <c r="CA24" s="18">
        <f t="shared" si="25"/>
        <v>1.4301024238302562</v>
      </c>
      <c r="CB24" s="18">
        <f t="shared" si="25"/>
        <v>7.0476357655624353</v>
      </c>
      <c r="CC24" s="18">
        <f t="shared" si="25"/>
        <v>5.0189952279655428</v>
      </c>
      <c r="CD24" s="56">
        <f t="shared" si="26"/>
        <v>1</v>
      </c>
    </row>
    <row r="25" spans="1:82" x14ac:dyDescent="0.25">
      <c r="A25" s="36" t="str">
        <f>KMeans_Data!A7</f>
        <v>Quetta</v>
      </c>
      <c r="B25" s="18">
        <f>KMeans_Data!H7</f>
        <v>2.3645319122764876</v>
      </c>
      <c r="C25" s="18">
        <f>KMeans_Data!I7</f>
        <v>2.2941407285360271</v>
      </c>
      <c r="D25" s="18">
        <f>KMeans_Data!J7</f>
        <v>2.3723555668164944</v>
      </c>
      <c r="E25" s="56">
        <f t="shared" si="0"/>
        <v>1</v>
      </c>
      <c r="F25" s="38">
        <f t="shared" si="1"/>
        <v>0.63428158383255806</v>
      </c>
      <c r="G25" s="13" t="str">
        <f t="shared" si="2"/>
        <v>High burden</v>
      </c>
      <c r="H25" s="18">
        <f>IF(COUNTIF(Distance_Matrix!$E$9:$DQ$9,$E25)&lt;=1,0,SUMIF(Distance_Matrix!$E$9:$DQ$9,$E25,Distance_Matrix!$E$16:$DQ$16)/(COUNTIF(Distance_Matrix!$E$9:$DQ$9,$E25)-1))</f>
        <v>1.5438208661543509</v>
      </c>
      <c r="I25" s="18">
        <f>MIN(IF(1=$E25,1E+99,IF(COUNTIF(Distance_Matrix!$E$9:$DQ$9,1)=0,1E+99,SUMIF(Distance_Matrix!$E$9:$DQ$9,1,Distance_Matrix!$E$16:$DQ$16)/COUNTIF(Distance_Matrix!$E$9:$DQ$9,1))),IF(2=$E25,1E+99,IF(COUNTIF(Distance_Matrix!$E$9:$DQ$9,2)=0,1E+99,SUMIF(Distance_Matrix!$E$9:$DQ$9,2,Distance_Matrix!$E$16:$DQ$16)/COUNTIF(Distance_Matrix!$E$9:$DQ$9,2))),IF(3=$E25,1E+99,IF(COUNTIF(Distance_Matrix!$E$9:$DQ$9,3)=0,1E+99,SUMIF(Distance_Matrix!$E$9:$DQ$9,3,Distance_Matrix!$E$16:$DQ$16)/COUNTIF(Distance_Matrix!$E$9:$DQ$9,3))))</f>
        <v>3.1630977199013075</v>
      </c>
      <c r="J25" s="18">
        <f>IF(COUNTIF(Distance_Matrix!$E$9:$DQ$9,$E25)&lt;=1,0,(I25-H25)/MAX(H25,I25))</f>
        <v>0.5119275460757754</v>
      </c>
      <c r="X25" s="18">
        <f t="shared" si="3"/>
        <v>2.1556297504391493</v>
      </c>
      <c r="Y25" s="18">
        <f t="shared" si="3"/>
        <v>6.3976329314131073</v>
      </c>
      <c r="Z25" s="18">
        <f t="shared" si="3"/>
        <v>2.4987868185891187</v>
      </c>
      <c r="AA25" s="56">
        <f t="shared" si="4"/>
        <v>1</v>
      </c>
      <c r="AC25" s="18">
        <f t="shared" si="5"/>
        <v>1.3021220938638434</v>
      </c>
      <c r="AD25" s="18">
        <f t="shared" si="5"/>
        <v>5.3527258690491202</v>
      </c>
      <c r="AE25" s="18">
        <f t="shared" si="5"/>
        <v>3.2254636241452244</v>
      </c>
      <c r="AF25" s="56">
        <f t="shared" si="6"/>
        <v>1</v>
      </c>
      <c r="AH25" s="18">
        <f t="shared" si="7"/>
        <v>0.79641797056103525</v>
      </c>
      <c r="AI25" s="18">
        <f t="shared" si="7"/>
        <v>5.2319727620405905</v>
      </c>
      <c r="AJ25" s="18">
        <f t="shared" si="7"/>
        <v>3.1276395019748118</v>
      </c>
      <c r="AK25" s="56">
        <f t="shared" si="8"/>
        <v>1</v>
      </c>
      <c r="AM25" s="18">
        <f t="shared" si="9"/>
        <v>0.79641797056103525</v>
      </c>
      <c r="AN25" s="18">
        <f t="shared" si="9"/>
        <v>5.2170345519938106</v>
      </c>
      <c r="AO25" s="18">
        <f t="shared" si="9"/>
        <v>3.1030919272966657</v>
      </c>
      <c r="AP25" s="56">
        <f t="shared" si="10"/>
        <v>1</v>
      </c>
      <c r="AR25" s="18">
        <f t="shared" si="11"/>
        <v>0.79641797056103525</v>
      </c>
      <c r="AS25" s="18">
        <f t="shared" si="11"/>
        <v>5.2170345519938106</v>
      </c>
      <c r="AT25" s="18">
        <f t="shared" si="11"/>
        <v>3.1030919272966657</v>
      </c>
      <c r="AU25" s="56">
        <f t="shared" si="12"/>
        <v>1</v>
      </c>
      <c r="AW25" s="18">
        <f t="shared" si="13"/>
        <v>0.79641797056103525</v>
      </c>
      <c r="AX25" s="18">
        <f t="shared" si="13"/>
        <v>5.2170345519938106</v>
      </c>
      <c r="AY25" s="18">
        <f t="shared" si="13"/>
        <v>3.1030919272966657</v>
      </c>
      <c r="AZ25" s="56">
        <f t="shared" si="14"/>
        <v>1</v>
      </c>
      <c r="BB25" s="18">
        <f t="shared" si="15"/>
        <v>0.79641797056103525</v>
      </c>
      <c r="BC25" s="18">
        <f t="shared" si="15"/>
        <v>5.2170345519938106</v>
      </c>
      <c r="BD25" s="18">
        <f t="shared" si="15"/>
        <v>3.1030919272966657</v>
      </c>
      <c r="BE25" s="56">
        <f t="shared" si="16"/>
        <v>1</v>
      </c>
      <c r="BG25" s="18">
        <f t="shared" si="17"/>
        <v>0.79641797056103525</v>
      </c>
      <c r="BH25" s="18">
        <f t="shared" si="17"/>
        <v>5.2170345519938106</v>
      </c>
      <c r="BI25" s="18">
        <f t="shared" si="17"/>
        <v>3.1030919272966657</v>
      </c>
      <c r="BJ25" s="56">
        <f t="shared" si="18"/>
        <v>1</v>
      </c>
      <c r="BL25" s="18">
        <f t="shared" si="19"/>
        <v>0.79641797056103525</v>
      </c>
      <c r="BM25" s="18">
        <f t="shared" si="19"/>
        <v>5.2170345519938106</v>
      </c>
      <c r="BN25" s="18">
        <f t="shared" si="19"/>
        <v>3.1030919272966657</v>
      </c>
      <c r="BO25" s="56">
        <f t="shared" si="20"/>
        <v>1</v>
      </c>
      <c r="BQ25" s="18">
        <f t="shared" si="21"/>
        <v>0.79641797056103525</v>
      </c>
      <c r="BR25" s="18">
        <f t="shared" si="21"/>
        <v>5.2170345519938106</v>
      </c>
      <c r="BS25" s="18">
        <f t="shared" si="21"/>
        <v>3.1030919272966657</v>
      </c>
      <c r="BT25" s="56">
        <f t="shared" si="22"/>
        <v>1</v>
      </c>
      <c r="BV25" s="18">
        <f t="shared" si="23"/>
        <v>0.79641797056103525</v>
      </c>
      <c r="BW25" s="18">
        <f t="shared" si="23"/>
        <v>5.2170345519938106</v>
      </c>
      <c r="BX25" s="18">
        <f t="shared" si="23"/>
        <v>3.1030919272966657</v>
      </c>
      <c r="BY25" s="56">
        <f t="shared" si="24"/>
        <v>1</v>
      </c>
      <c r="CA25" s="18">
        <f t="shared" si="25"/>
        <v>0.79641797056103525</v>
      </c>
      <c r="CB25" s="18">
        <f t="shared" si="25"/>
        <v>5.2170345519938106</v>
      </c>
      <c r="CC25" s="18">
        <f t="shared" si="25"/>
        <v>3.1030919272966657</v>
      </c>
      <c r="CD25" s="56">
        <f t="shared" si="26"/>
        <v>1</v>
      </c>
    </row>
    <row r="26" spans="1:82" x14ac:dyDescent="0.25">
      <c r="A26" s="36" t="str">
        <f>KMeans_Data!A8</f>
        <v>Peshawar</v>
      </c>
      <c r="B26" s="18">
        <f>KMeans_Data!H8</f>
        <v>2.3452338230080074</v>
      </c>
      <c r="C26" s="18">
        <f>KMeans_Data!I8</f>
        <v>3.5617489210507416</v>
      </c>
      <c r="D26" s="18">
        <f>KMeans_Data!J8</f>
        <v>1.6399224296702051</v>
      </c>
      <c r="E26" s="56">
        <f t="shared" si="0"/>
        <v>1</v>
      </c>
      <c r="F26" s="38">
        <f t="shared" si="1"/>
        <v>0.56541344698792695</v>
      </c>
      <c r="G26" s="13" t="str">
        <f t="shared" si="2"/>
        <v>High burden</v>
      </c>
      <c r="H26" s="18">
        <f>IF(COUNTIF(Distance_Matrix!$E$9:$DQ$9,$E26)&lt;=1,0,SUMIF(Distance_Matrix!$E$9:$DQ$9,$E26,Distance_Matrix!$E$17:$DQ$17)/(COUNTIF(Distance_Matrix!$E$9:$DQ$9,$E26)-1))</f>
        <v>1.5973436818684328</v>
      </c>
      <c r="I26" s="18">
        <f>MIN(IF(1=$E26,1E+99,IF(COUNTIF(Distance_Matrix!$E$9:$DQ$9,1)=0,1E+99,SUMIF(Distance_Matrix!$E$9:$DQ$9,1,Distance_Matrix!$E$17:$DQ$17)/COUNTIF(Distance_Matrix!$E$9:$DQ$9,1))),IF(2=$E26,1E+99,IF(COUNTIF(Distance_Matrix!$E$9:$DQ$9,2)=0,1E+99,SUMIF(Distance_Matrix!$E$9:$DQ$9,2,Distance_Matrix!$E$17:$DQ$17)/COUNTIF(Distance_Matrix!$E$9:$DQ$9,2))),IF(3=$E26,1E+99,IF(COUNTIF(Distance_Matrix!$E$9:$DQ$9,3)=0,1E+99,SUMIF(Distance_Matrix!$E$9:$DQ$9,3,Distance_Matrix!$E$17:$DQ$17)/COUNTIF(Distance_Matrix!$E$9:$DQ$9,3))))</f>
        <v>3.7845391144242875</v>
      </c>
      <c r="J26" s="18">
        <f>IF(COUNTIF(Distance_Matrix!$E$9:$DQ$9,$E26)&lt;=1,0,(I26-H26)/MAX(H26,I26))</f>
        <v>0.57792913917037836</v>
      </c>
      <c r="X26" s="18">
        <f t="shared" si="3"/>
        <v>1.9214318612792127</v>
      </c>
      <c r="Y26" s="18">
        <f t="shared" si="3"/>
        <v>6.7282906668016098</v>
      </c>
      <c r="Z26" s="18">
        <f t="shared" si="3"/>
        <v>3.4454653154512496</v>
      </c>
      <c r="AA26" s="56">
        <f t="shared" si="4"/>
        <v>1</v>
      </c>
      <c r="AC26" s="18">
        <f t="shared" si="5"/>
        <v>0.96619773857891822</v>
      </c>
      <c r="AD26" s="18">
        <f t="shared" si="5"/>
        <v>5.7824060553702568</v>
      </c>
      <c r="AE26" s="18">
        <f t="shared" si="5"/>
        <v>3.8455758888774145</v>
      </c>
      <c r="AF26" s="56">
        <f t="shared" si="6"/>
        <v>1</v>
      </c>
      <c r="AH26" s="18">
        <f t="shared" si="7"/>
        <v>0.75193978946982643</v>
      </c>
      <c r="AI26" s="18">
        <f t="shared" si="7"/>
        <v>5.6773907700954247</v>
      </c>
      <c r="AJ26" s="18">
        <f t="shared" si="7"/>
        <v>3.7593107170726099</v>
      </c>
      <c r="AK26" s="56">
        <f t="shared" si="8"/>
        <v>1</v>
      </c>
      <c r="AM26" s="18">
        <f t="shared" si="9"/>
        <v>0.75193978946982643</v>
      </c>
      <c r="AN26" s="18">
        <f t="shared" si="9"/>
        <v>5.6637606130828031</v>
      </c>
      <c r="AO26" s="18">
        <f t="shared" si="9"/>
        <v>3.7372297032186936</v>
      </c>
      <c r="AP26" s="56">
        <f t="shared" si="10"/>
        <v>1</v>
      </c>
      <c r="AR26" s="18">
        <f t="shared" si="11"/>
        <v>0.75193978946982643</v>
      </c>
      <c r="AS26" s="18">
        <f t="shared" si="11"/>
        <v>5.6637606130828031</v>
      </c>
      <c r="AT26" s="18">
        <f t="shared" si="11"/>
        <v>3.7372297032186936</v>
      </c>
      <c r="AU26" s="56">
        <f t="shared" si="12"/>
        <v>1</v>
      </c>
      <c r="AW26" s="18">
        <f t="shared" si="13"/>
        <v>0.75193978946982643</v>
      </c>
      <c r="AX26" s="18">
        <f t="shared" si="13"/>
        <v>5.6637606130828031</v>
      </c>
      <c r="AY26" s="18">
        <f t="shared" si="13"/>
        <v>3.7372297032186936</v>
      </c>
      <c r="AZ26" s="56">
        <f t="shared" si="14"/>
        <v>1</v>
      </c>
      <c r="BB26" s="18">
        <f t="shared" si="15"/>
        <v>0.75193978946982643</v>
      </c>
      <c r="BC26" s="18">
        <f t="shared" si="15"/>
        <v>5.6637606130828031</v>
      </c>
      <c r="BD26" s="18">
        <f t="shared" si="15"/>
        <v>3.7372297032186936</v>
      </c>
      <c r="BE26" s="56">
        <f t="shared" si="16"/>
        <v>1</v>
      </c>
      <c r="BG26" s="18">
        <f t="shared" si="17"/>
        <v>0.75193978946982643</v>
      </c>
      <c r="BH26" s="18">
        <f t="shared" si="17"/>
        <v>5.6637606130828031</v>
      </c>
      <c r="BI26" s="18">
        <f t="shared" si="17"/>
        <v>3.7372297032186936</v>
      </c>
      <c r="BJ26" s="56">
        <f t="shared" si="18"/>
        <v>1</v>
      </c>
      <c r="BL26" s="18">
        <f t="shared" si="19"/>
        <v>0.75193978946982643</v>
      </c>
      <c r="BM26" s="18">
        <f t="shared" si="19"/>
        <v>5.6637606130828031</v>
      </c>
      <c r="BN26" s="18">
        <f t="shared" si="19"/>
        <v>3.7372297032186936</v>
      </c>
      <c r="BO26" s="56">
        <f t="shared" si="20"/>
        <v>1</v>
      </c>
      <c r="BQ26" s="18">
        <f t="shared" si="21"/>
        <v>0.75193978946982643</v>
      </c>
      <c r="BR26" s="18">
        <f t="shared" si="21"/>
        <v>5.6637606130828031</v>
      </c>
      <c r="BS26" s="18">
        <f t="shared" si="21"/>
        <v>3.7372297032186936</v>
      </c>
      <c r="BT26" s="56">
        <f t="shared" si="22"/>
        <v>1</v>
      </c>
      <c r="BV26" s="18">
        <f t="shared" si="23"/>
        <v>0.75193978946982643</v>
      </c>
      <c r="BW26" s="18">
        <f t="shared" si="23"/>
        <v>5.6637606130828031</v>
      </c>
      <c r="BX26" s="18">
        <f t="shared" si="23"/>
        <v>3.7372297032186936</v>
      </c>
      <c r="BY26" s="56">
        <f t="shared" si="24"/>
        <v>1</v>
      </c>
      <c r="CA26" s="18">
        <f t="shared" si="25"/>
        <v>0.75193978946982643</v>
      </c>
      <c r="CB26" s="18">
        <f t="shared" si="25"/>
        <v>5.6637606130828031</v>
      </c>
      <c r="CC26" s="18">
        <f t="shared" si="25"/>
        <v>3.7372297032186936</v>
      </c>
      <c r="CD26" s="56">
        <f t="shared" si="26"/>
        <v>1</v>
      </c>
    </row>
    <row r="27" spans="1:82" x14ac:dyDescent="0.25">
      <c r="A27" s="36" t="str">
        <f>KMeans_Data!A9</f>
        <v>Islamabad</v>
      </c>
      <c r="B27" s="18">
        <f>KMeans_Data!H9</f>
        <v>2.1711238504828065</v>
      </c>
      <c r="C27" s="18">
        <f>KMeans_Data!I9</f>
        <v>2.0657893204369486</v>
      </c>
      <c r="D27" s="18">
        <f>KMeans_Data!J9</f>
        <v>1.6965167635960359</v>
      </c>
      <c r="E27" s="56">
        <f t="shared" si="0"/>
        <v>1</v>
      </c>
      <c r="F27" s="38">
        <f t="shared" si="1"/>
        <v>1.3165915197111837</v>
      </c>
      <c r="G27" s="13" t="str">
        <f t="shared" si="2"/>
        <v>High burden</v>
      </c>
      <c r="H27" s="18">
        <f>IF(COUNTIF(Distance_Matrix!$E$9:$DQ$9,$E27)&lt;=1,0,SUMIF(Distance_Matrix!$E$9:$DQ$9,$E27,Distance_Matrix!$E$18:$DQ$18)/(COUNTIF(Distance_Matrix!$E$9:$DQ$9,$E27)-1))</f>
        <v>1.6565732366708956</v>
      </c>
      <c r="I27" s="18">
        <f>MIN(IF(1=$E27,1E+99,IF(COUNTIF(Distance_Matrix!$E$9:$DQ$9,1)=0,1E+99,SUMIF(Distance_Matrix!$E$9:$DQ$9,1,Distance_Matrix!$E$18:$DQ$18)/COUNTIF(Distance_Matrix!$E$9:$DQ$9,1))),IF(2=$E27,1E+99,IF(COUNTIF(Distance_Matrix!$E$9:$DQ$9,2)=0,1E+99,SUMIF(Distance_Matrix!$E$9:$DQ$9,2,Distance_Matrix!$E$18:$DQ$18)/COUNTIF(Distance_Matrix!$E$9:$DQ$9,2))),IF(3=$E27,1E+99,IF(COUNTIF(Distance_Matrix!$E$9:$DQ$9,3)=0,1E+99,SUMIF(Distance_Matrix!$E$9:$DQ$9,3,Distance_Matrix!$E$18:$DQ$18)/COUNTIF(Distance_Matrix!$E$9:$DQ$9,3))))</f>
        <v>2.5966807151753808</v>
      </c>
      <c r="J27" s="18">
        <f>IF(COUNTIF(Distance_Matrix!$E$9:$DQ$9,$E27)&lt;=1,0,(I27-H27)/MAX(H27,I27))</f>
        <v>0.36204199962296479</v>
      </c>
      <c r="X27" s="18">
        <f t="shared" si="3"/>
        <v>2.7444013573462209</v>
      </c>
      <c r="Y27" s="18">
        <f t="shared" si="3"/>
        <v>5.8005825296542461</v>
      </c>
      <c r="Z27" s="18">
        <f t="shared" si="3"/>
        <v>2.0452195555832495</v>
      </c>
      <c r="AA27" s="56">
        <f t="shared" si="4"/>
        <v>3</v>
      </c>
      <c r="AC27" s="18">
        <f t="shared" si="5"/>
        <v>1.7675730579731821</v>
      </c>
      <c r="AD27" s="18">
        <f t="shared" si="5"/>
        <v>4.7246541239655242</v>
      </c>
      <c r="AE27" s="18">
        <f t="shared" si="5"/>
        <v>2.6329781091105242</v>
      </c>
      <c r="AF27" s="56">
        <f t="shared" si="6"/>
        <v>1</v>
      </c>
      <c r="AH27" s="18">
        <f t="shared" si="7"/>
        <v>1.1474282198513264</v>
      </c>
      <c r="AI27" s="18">
        <f t="shared" si="7"/>
        <v>4.6036064333946749</v>
      </c>
      <c r="AJ27" s="18">
        <f t="shared" si="7"/>
        <v>2.5457146977635245</v>
      </c>
      <c r="AK27" s="56">
        <f t="shared" si="8"/>
        <v>1</v>
      </c>
      <c r="AM27" s="18">
        <f t="shared" si="9"/>
        <v>1.1474282198513264</v>
      </c>
      <c r="AN27" s="18">
        <f t="shared" si="9"/>
        <v>4.5892552428778721</v>
      </c>
      <c r="AO27" s="18">
        <f t="shared" si="9"/>
        <v>2.5211067836379306</v>
      </c>
      <c r="AP27" s="56">
        <f t="shared" si="10"/>
        <v>1</v>
      </c>
      <c r="AR27" s="18">
        <f t="shared" si="11"/>
        <v>1.1474282198513264</v>
      </c>
      <c r="AS27" s="18">
        <f t="shared" si="11"/>
        <v>4.5892552428778721</v>
      </c>
      <c r="AT27" s="18">
        <f t="shared" si="11"/>
        <v>2.5211067836379306</v>
      </c>
      <c r="AU27" s="56">
        <f t="shared" si="12"/>
        <v>1</v>
      </c>
      <c r="AW27" s="18">
        <f t="shared" si="13"/>
        <v>1.1474282198513264</v>
      </c>
      <c r="AX27" s="18">
        <f t="shared" si="13"/>
        <v>4.5892552428778721</v>
      </c>
      <c r="AY27" s="18">
        <f t="shared" si="13"/>
        <v>2.5211067836379306</v>
      </c>
      <c r="AZ27" s="56">
        <f t="shared" si="14"/>
        <v>1</v>
      </c>
      <c r="BB27" s="18">
        <f t="shared" si="15"/>
        <v>1.1474282198513264</v>
      </c>
      <c r="BC27" s="18">
        <f t="shared" si="15"/>
        <v>4.5892552428778721</v>
      </c>
      <c r="BD27" s="18">
        <f t="shared" si="15"/>
        <v>2.5211067836379306</v>
      </c>
      <c r="BE27" s="56">
        <f t="shared" si="16"/>
        <v>1</v>
      </c>
      <c r="BG27" s="18">
        <f t="shared" si="17"/>
        <v>1.1474282198513264</v>
      </c>
      <c r="BH27" s="18">
        <f t="shared" si="17"/>
        <v>4.5892552428778721</v>
      </c>
      <c r="BI27" s="18">
        <f t="shared" si="17"/>
        <v>2.5211067836379306</v>
      </c>
      <c r="BJ27" s="56">
        <f t="shared" si="18"/>
        <v>1</v>
      </c>
      <c r="BL27" s="18">
        <f t="shared" si="19"/>
        <v>1.1474282198513264</v>
      </c>
      <c r="BM27" s="18">
        <f t="shared" si="19"/>
        <v>4.5892552428778721</v>
      </c>
      <c r="BN27" s="18">
        <f t="shared" si="19"/>
        <v>2.5211067836379306</v>
      </c>
      <c r="BO27" s="56">
        <f t="shared" si="20"/>
        <v>1</v>
      </c>
      <c r="BQ27" s="18">
        <f t="shared" si="21"/>
        <v>1.1474282198513264</v>
      </c>
      <c r="BR27" s="18">
        <f t="shared" si="21"/>
        <v>4.5892552428778721</v>
      </c>
      <c r="BS27" s="18">
        <f t="shared" si="21"/>
        <v>2.5211067836379306</v>
      </c>
      <c r="BT27" s="56">
        <f t="shared" si="22"/>
        <v>1</v>
      </c>
      <c r="BV27" s="18">
        <f t="shared" si="23"/>
        <v>1.1474282198513264</v>
      </c>
      <c r="BW27" s="18">
        <f t="shared" si="23"/>
        <v>4.5892552428778721</v>
      </c>
      <c r="BX27" s="18">
        <f t="shared" si="23"/>
        <v>2.5211067836379306</v>
      </c>
      <c r="BY27" s="56">
        <f t="shared" si="24"/>
        <v>1</v>
      </c>
      <c r="CA27" s="18">
        <f t="shared" si="25"/>
        <v>1.1474282198513264</v>
      </c>
      <c r="CB27" s="18">
        <f t="shared" si="25"/>
        <v>4.5892552428778721</v>
      </c>
      <c r="CC27" s="18">
        <f t="shared" si="25"/>
        <v>2.5211067836379306</v>
      </c>
      <c r="CD27" s="56">
        <f t="shared" si="26"/>
        <v>1</v>
      </c>
    </row>
    <row r="28" spans="1:82" x14ac:dyDescent="0.25">
      <c r="A28" s="36" t="str">
        <f>KMeans_Data!A10</f>
        <v>Swat</v>
      </c>
      <c r="B28" s="18">
        <f>KMeans_Data!H10</f>
        <v>1.4937524666444724</v>
      </c>
      <c r="C28" s="18">
        <f>KMeans_Data!I10</f>
        <v>2.2309059700842244</v>
      </c>
      <c r="D28" s="18">
        <f>KMeans_Data!J10</f>
        <v>1.4434361051069102</v>
      </c>
      <c r="E28" s="56">
        <f t="shared" si="0"/>
        <v>1</v>
      </c>
      <c r="F28" s="38">
        <f t="shared" si="1"/>
        <v>2.2070022082837699</v>
      </c>
      <c r="G28" s="13" t="str">
        <f t="shared" si="2"/>
        <v>High burden</v>
      </c>
      <c r="H28" s="18">
        <f>IF(COUNTIF(Distance_Matrix!$E$9:$DQ$9,$E28)&lt;=1,0,SUMIF(Distance_Matrix!$E$9:$DQ$9,$E28,Distance_Matrix!$E$19:$DQ$19)/(COUNTIF(Distance_Matrix!$E$9:$DQ$9,$E28)-1))</f>
        <v>1.9220689422187032</v>
      </c>
      <c r="I28" s="18">
        <f>MIN(IF(1=$E28,1E+99,IF(COUNTIF(Distance_Matrix!$E$9:$DQ$9,1)=0,1E+99,SUMIF(Distance_Matrix!$E$9:$DQ$9,1,Distance_Matrix!$E$19:$DQ$19)/COUNTIF(Distance_Matrix!$E$9:$DQ$9,1))),IF(2=$E28,1E+99,IF(COUNTIF(Distance_Matrix!$E$9:$DQ$9,2)=0,1E+99,SUMIF(Distance_Matrix!$E$9:$DQ$9,2,Distance_Matrix!$E$19:$DQ$19)/COUNTIF(Distance_Matrix!$E$9:$DQ$9,2))),IF(3=$E28,1E+99,IF(COUNTIF(Distance_Matrix!$E$9:$DQ$9,3)=0,1E+99,SUMIF(Distance_Matrix!$E$9:$DQ$9,3,Distance_Matrix!$E$19:$DQ$19)/COUNTIF(Distance_Matrix!$E$9:$DQ$9,3))))</f>
        <v>2.2504178590846302</v>
      </c>
      <c r="J28" s="18">
        <f>IF(COUNTIF(Distance_Matrix!$E$9:$DQ$9,$E28)&lt;=1,0,(I28-H28)/MAX(H28,I28))</f>
        <v>0.14590575503141659</v>
      </c>
      <c r="X28" s="18">
        <f t="shared" si="3"/>
        <v>3.1164934246659244</v>
      </c>
      <c r="Y28" s="18">
        <f t="shared" si="3"/>
        <v>5.2824057792586023</v>
      </c>
      <c r="Z28" s="18">
        <f t="shared" si="3"/>
        <v>1.9078175214514932</v>
      </c>
      <c r="AA28" s="56">
        <f t="shared" si="4"/>
        <v>3</v>
      </c>
      <c r="AC28" s="18">
        <f t="shared" si="5"/>
        <v>2.1118547649238444</v>
      </c>
      <c r="AD28" s="18">
        <f t="shared" si="5"/>
        <v>4.3027098863756752</v>
      </c>
      <c r="AE28" s="18">
        <f t="shared" si="5"/>
        <v>2.2883207771627903</v>
      </c>
      <c r="AF28" s="56">
        <f t="shared" si="6"/>
        <v>1</v>
      </c>
      <c r="AH28" s="18">
        <f t="shared" si="7"/>
        <v>1.485598266114958</v>
      </c>
      <c r="AI28" s="18">
        <f t="shared" si="7"/>
        <v>4.1931003127172328</v>
      </c>
      <c r="AJ28" s="18">
        <f t="shared" si="7"/>
        <v>2.1931195439040416</v>
      </c>
      <c r="AK28" s="56">
        <f t="shared" si="8"/>
        <v>1</v>
      </c>
      <c r="AM28" s="18">
        <f t="shared" si="9"/>
        <v>1.485598266114958</v>
      </c>
      <c r="AN28" s="18">
        <f t="shared" si="9"/>
        <v>4.1785064202602573</v>
      </c>
      <c r="AO28" s="18">
        <f t="shared" si="9"/>
        <v>2.1708772757122721</v>
      </c>
      <c r="AP28" s="56">
        <f t="shared" si="10"/>
        <v>1</v>
      </c>
      <c r="AR28" s="18">
        <f t="shared" si="11"/>
        <v>1.485598266114958</v>
      </c>
      <c r="AS28" s="18">
        <f t="shared" si="11"/>
        <v>4.1785064202602573</v>
      </c>
      <c r="AT28" s="18">
        <f t="shared" si="11"/>
        <v>2.1708772757122721</v>
      </c>
      <c r="AU28" s="56">
        <f t="shared" si="12"/>
        <v>1</v>
      </c>
      <c r="AW28" s="18">
        <f t="shared" si="13"/>
        <v>1.485598266114958</v>
      </c>
      <c r="AX28" s="18">
        <f t="shared" si="13"/>
        <v>4.1785064202602573</v>
      </c>
      <c r="AY28" s="18">
        <f t="shared" si="13"/>
        <v>2.1708772757122721</v>
      </c>
      <c r="AZ28" s="56">
        <f t="shared" si="14"/>
        <v>1</v>
      </c>
      <c r="BB28" s="18">
        <f t="shared" si="15"/>
        <v>1.485598266114958</v>
      </c>
      <c r="BC28" s="18">
        <f t="shared" si="15"/>
        <v>4.1785064202602573</v>
      </c>
      <c r="BD28" s="18">
        <f t="shared" si="15"/>
        <v>2.1708772757122721</v>
      </c>
      <c r="BE28" s="56">
        <f t="shared" si="16"/>
        <v>1</v>
      </c>
      <c r="BG28" s="18">
        <f t="shared" si="17"/>
        <v>1.485598266114958</v>
      </c>
      <c r="BH28" s="18">
        <f t="shared" si="17"/>
        <v>4.1785064202602573</v>
      </c>
      <c r="BI28" s="18">
        <f t="shared" si="17"/>
        <v>2.1708772757122721</v>
      </c>
      <c r="BJ28" s="56">
        <f t="shared" si="18"/>
        <v>1</v>
      </c>
      <c r="BL28" s="18">
        <f t="shared" si="19"/>
        <v>1.485598266114958</v>
      </c>
      <c r="BM28" s="18">
        <f t="shared" si="19"/>
        <v>4.1785064202602573</v>
      </c>
      <c r="BN28" s="18">
        <f t="shared" si="19"/>
        <v>2.1708772757122721</v>
      </c>
      <c r="BO28" s="56">
        <f t="shared" si="20"/>
        <v>1</v>
      </c>
      <c r="BQ28" s="18">
        <f t="shared" si="21"/>
        <v>1.485598266114958</v>
      </c>
      <c r="BR28" s="18">
        <f t="shared" si="21"/>
        <v>4.1785064202602573</v>
      </c>
      <c r="BS28" s="18">
        <f t="shared" si="21"/>
        <v>2.1708772757122721</v>
      </c>
      <c r="BT28" s="56">
        <f t="shared" si="22"/>
        <v>1</v>
      </c>
      <c r="BV28" s="18">
        <f t="shared" si="23"/>
        <v>1.485598266114958</v>
      </c>
      <c r="BW28" s="18">
        <f t="shared" si="23"/>
        <v>4.1785064202602573</v>
      </c>
      <c r="BX28" s="18">
        <f t="shared" si="23"/>
        <v>2.1708772757122721</v>
      </c>
      <c r="BY28" s="56">
        <f t="shared" si="24"/>
        <v>1</v>
      </c>
      <c r="CA28" s="18">
        <f t="shared" si="25"/>
        <v>1.485598266114958</v>
      </c>
      <c r="CB28" s="18">
        <f t="shared" si="25"/>
        <v>4.1785064202602573</v>
      </c>
      <c r="CC28" s="18">
        <f t="shared" si="25"/>
        <v>2.1708772757122721</v>
      </c>
      <c r="CD28" s="56">
        <f t="shared" si="26"/>
        <v>1</v>
      </c>
    </row>
    <row r="29" spans="1:82" x14ac:dyDescent="0.25">
      <c r="A29" s="36" t="str">
        <f>KMeans_Data!A11</f>
        <v>Multan</v>
      </c>
      <c r="B29" s="18">
        <f>KMeans_Data!H11</f>
        <v>1.3394801285719993</v>
      </c>
      <c r="C29" s="18">
        <f>KMeans_Data!I11</f>
        <v>0.16051258962499582</v>
      </c>
      <c r="D29" s="18">
        <f>KMeans_Data!J11</f>
        <v>-0.82444601589876665</v>
      </c>
      <c r="E29" s="56">
        <f t="shared" si="0"/>
        <v>3</v>
      </c>
      <c r="F29" s="38">
        <f t="shared" si="1"/>
        <v>3.0625107349842695</v>
      </c>
      <c r="G29" s="13" t="str">
        <f t="shared" si="2"/>
        <v>Medium burden</v>
      </c>
      <c r="H29" s="18">
        <f>IF(COUNTIF(Distance_Matrix!$E$9:$DQ$9,$E29)&lt;=1,0,SUMIF(Distance_Matrix!$E$9:$DQ$9,$E29,Distance_Matrix!$E$20:$DQ$20)/(COUNTIF(Distance_Matrix!$E$9:$DQ$9,$E29)-1))</f>
        <v>1.9713690679743856</v>
      </c>
      <c r="I29" s="18">
        <f>MIN(IF(1=$E29,1E+99,IF(COUNTIF(Distance_Matrix!$E$9:$DQ$9,1)=0,1E+99,SUMIF(Distance_Matrix!$E$9:$DQ$9,1,Distance_Matrix!$E$20:$DQ$20)/COUNTIF(Distance_Matrix!$E$9:$DQ$9,1))),IF(2=$E29,1E+99,IF(COUNTIF(Distance_Matrix!$E$9:$DQ$9,2)=0,1E+99,SUMIF(Distance_Matrix!$E$9:$DQ$9,2,Distance_Matrix!$E$20:$DQ$20)/COUNTIF(Distance_Matrix!$E$9:$DQ$9,2))),IF(3=$E29,1E+99,IF(COUNTIF(Distance_Matrix!$E$9:$DQ$9,3)=0,1E+99,SUMIF(Distance_Matrix!$E$9:$DQ$9,3,Distance_Matrix!$E$20:$DQ$20)/COUNTIF(Distance_Matrix!$E$9:$DQ$9,3))))</f>
        <v>2.2016034505398712</v>
      </c>
      <c r="J29" s="18">
        <f>IF(COUNTIF(Distance_Matrix!$E$9:$DQ$9,$E29)&lt;=1,0,(I29-H29)/MAX(H29,I29))</f>
        <v>0.10457577294813383</v>
      </c>
      <c r="X29" s="18">
        <f t="shared" si="3"/>
        <v>5.9504874931858787</v>
      </c>
      <c r="Y29" s="18">
        <f t="shared" si="3"/>
        <v>3.5338904221249825</v>
      </c>
      <c r="Z29" s="18">
        <f t="shared" si="3"/>
        <v>2.3249148297272479</v>
      </c>
      <c r="AA29" s="56">
        <f t="shared" si="4"/>
        <v>3</v>
      </c>
      <c r="AC29" s="18">
        <f t="shared" si="5"/>
        <v>4.9354026504816488</v>
      </c>
      <c r="AD29" s="18">
        <f t="shared" si="5"/>
        <v>2.2522436932725554</v>
      </c>
      <c r="AE29" s="18">
        <f t="shared" si="5"/>
        <v>1.6492536783780951</v>
      </c>
      <c r="AF29" s="56">
        <f t="shared" si="6"/>
        <v>3</v>
      </c>
      <c r="AH29" s="18">
        <f t="shared" si="7"/>
        <v>4.3285009930893459</v>
      </c>
      <c r="AI29" s="18">
        <f t="shared" si="7"/>
        <v>2.1340121828287555</v>
      </c>
      <c r="AJ29" s="18">
        <f t="shared" si="7"/>
        <v>1.7471556713509999</v>
      </c>
      <c r="AK29" s="56">
        <f t="shared" si="8"/>
        <v>3</v>
      </c>
      <c r="AM29" s="18">
        <f t="shared" si="9"/>
        <v>4.3285009930893459</v>
      </c>
      <c r="AN29" s="18">
        <f t="shared" si="9"/>
        <v>2.1281905264516343</v>
      </c>
      <c r="AO29" s="18">
        <f t="shared" si="9"/>
        <v>1.750003067135675</v>
      </c>
      <c r="AP29" s="56">
        <f t="shared" si="10"/>
        <v>3</v>
      </c>
      <c r="AR29" s="18">
        <f t="shared" si="11"/>
        <v>4.3285009930893459</v>
      </c>
      <c r="AS29" s="18">
        <f t="shared" si="11"/>
        <v>2.1281905264516343</v>
      </c>
      <c r="AT29" s="18">
        <f t="shared" si="11"/>
        <v>1.750003067135675</v>
      </c>
      <c r="AU29" s="56">
        <f t="shared" si="12"/>
        <v>3</v>
      </c>
      <c r="AW29" s="18">
        <f t="shared" si="13"/>
        <v>4.3285009930893459</v>
      </c>
      <c r="AX29" s="18">
        <f t="shared" si="13"/>
        <v>2.1281905264516343</v>
      </c>
      <c r="AY29" s="18">
        <f t="shared" si="13"/>
        <v>1.750003067135675</v>
      </c>
      <c r="AZ29" s="56">
        <f t="shared" si="14"/>
        <v>3</v>
      </c>
      <c r="BB29" s="18">
        <f t="shared" si="15"/>
        <v>4.3285009930893459</v>
      </c>
      <c r="BC29" s="18">
        <f t="shared" si="15"/>
        <v>2.1281905264516343</v>
      </c>
      <c r="BD29" s="18">
        <f t="shared" si="15"/>
        <v>1.750003067135675</v>
      </c>
      <c r="BE29" s="56">
        <f t="shared" si="16"/>
        <v>3</v>
      </c>
      <c r="BG29" s="18">
        <f t="shared" si="17"/>
        <v>4.3285009930893459</v>
      </c>
      <c r="BH29" s="18">
        <f t="shared" si="17"/>
        <v>2.1281905264516343</v>
      </c>
      <c r="BI29" s="18">
        <f t="shared" si="17"/>
        <v>1.750003067135675</v>
      </c>
      <c r="BJ29" s="56">
        <f t="shared" si="18"/>
        <v>3</v>
      </c>
      <c r="BL29" s="18">
        <f t="shared" si="19"/>
        <v>4.3285009930893459</v>
      </c>
      <c r="BM29" s="18">
        <f t="shared" si="19"/>
        <v>2.1281905264516343</v>
      </c>
      <c r="BN29" s="18">
        <f t="shared" si="19"/>
        <v>1.750003067135675</v>
      </c>
      <c r="BO29" s="56">
        <f t="shared" si="20"/>
        <v>3</v>
      </c>
      <c r="BQ29" s="18">
        <f t="shared" si="21"/>
        <v>4.3285009930893459</v>
      </c>
      <c r="BR29" s="18">
        <f t="shared" si="21"/>
        <v>2.1281905264516343</v>
      </c>
      <c r="BS29" s="18">
        <f t="shared" si="21"/>
        <v>1.750003067135675</v>
      </c>
      <c r="BT29" s="56">
        <f t="shared" si="22"/>
        <v>3</v>
      </c>
      <c r="BV29" s="18">
        <f t="shared" si="23"/>
        <v>4.3285009930893459</v>
      </c>
      <c r="BW29" s="18">
        <f t="shared" si="23"/>
        <v>2.1281905264516343</v>
      </c>
      <c r="BX29" s="18">
        <f t="shared" si="23"/>
        <v>1.750003067135675</v>
      </c>
      <c r="BY29" s="56">
        <f t="shared" si="24"/>
        <v>3</v>
      </c>
      <c r="CA29" s="18">
        <f t="shared" si="25"/>
        <v>4.3285009930893459</v>
      </c>
      <c r="CB29" s="18">
        <f t="shared" si="25"/>
        <v>2.1281905264516343</v>
      </c>
      <c r="CC29" s="18">
        <f t="shared" si="25"/>
        <v>1.750003067135675</v>
      </c>
      <c r="CD29" s="56">
        <f t="shared" si="26"/>
        <v>3</v>
      </c>
    </row>
    <row r="30" spans="1:82" x14ac:dyDescent="0.25">
      <c r="A30" s="36" t="str">
        <f>KMeans_Data!A12</f>
        <v>Sukkur</v>
      </c>
      <c r="B30" s="18">
        <f>KMeans_Data!H12</f>
        <v>1.3163443189252899</v>
      </c>
      <c r="C30" s="18">
        <f>KMeans_Data!I12</f>
        <v>0.68618000108374222</v>
      </c>
      <c r="D30" s="18">
        <f>KMeans_Data!J12</f>
        <v>1.7238403519091188</v>
      </c>
      <c r="E30" s="56">
        <f t="shared" si="0"/>
        <v>3</v>
      </c>
      <c r="F30" s="38">
        <f t="shared" si="1"/>
        <v>1.7335775630826249</v>
      </c>
      <c r="G30" s="13" t="str">
        <f t="shared" si="2"/>
        <v>Medium burden</v>
      </c>
      <c r="H30" s="18">
        <f>IF(COUNTIF(Distance_Matrix!$E$9:$DQ$9,$E30)&lt;=1,0,SUMIF(Distance_Matrix!$E$9:$DQ$9,$E30,Distance_Matrix!$E$21:$DQ$21)/(COUNTIF(Distance_Matrix!$E$9:$DQ$9,$E30)-1))</f>
        <v>1.5370260745637465</v>
      </c>
      <c r="I30" s="18">
        <f>MIN(IF(1=$E30,1E+99,IF(COUNTIF(Distance_Matrix!$E$9:$DQ$9,1)=0,1E+99,SUMIF(Distance_Matrix!$E$9:$DQ$9,1,Distance_Matrix!$E$21:$DQ$21)/COUNTIF(Distance_Matrix!$E$9:$DQ$9,1))),IF(2=$E30,1E+99,IF(COUNTIF(Distance_Matrix!$E$9:$DQ$9,2)=0,1E+99,SUMIF(Distance_Matrix!$E$9:$DQ$9,2,Distance_Matrix!$E$21:$DQ$21)/COUNTIF(Distance_Matrix!$E$9:$DQ$9,2))),IF(3=$E30,1E+99,IF(COUNTIF(Distance_Matrix!$E$9:$DQ$9,3)=0,1E+99,SUMIF(Distance_Matrix!$E$9:$DQ$9,3,Distance_Matrix!$E$21:$DQ$21)/COUNTIF(Distance_Matrix!$E$9:$DQ$9,3))))</f>
        <v>2.7572890670115924</v>
      </c>
      <c r="J30" s="18">
        <f>IF(COUNTIF(Distance_Matrix!$E$9:$DQ$9,$E30)&lt;=1,0,(I30-H30)/MAX(H30,I30))</f>
        <v>0.44255896381963045</v>
      </c>
      <c r="X30" s="18">
        <f t="shared" si="3"/>
        <v>4.1727070517104679</v>
      </c>
      <c r="Y30" s="18">
        <f t="shared" si="3"/>
        <v>4.6490575992165946</v>
      </c>
      <c r="Z30" s="18">
        <f t="shared" si="3"/>
        <v>0.48644468900823695</v>
      </c>
      <c r="AA30" s="56">
        <f t="shared" si="4"/>
        <v>3</v>
      </c>
      <c r="AC30" s="18">
        <f t="shared" si="5"/>
        <v>3.2861039001319883</v>
      </c>
      <c r="AD30" s="18">
        <f t="shared" si="5"/>
        <v>3.5498090388256283</v>
      </c>
      <c r="AE30" s="18">
        <f t="shared" si="5"/>
        <v>1.4333732183309149</v>
      </c>
      <c r="AF30" s="56">
        <f t="shared" si="6"/>
        <v>3</v>
      </c>
      <c r="AH30" s="18">
        <f t="shared" si="7"/>
        <v>2.6825689217487207</v>
      </c>
      <c r="AI30" s="18">
        <f t="shared" si="7"/>
        <v>3.4226775326980641</v>
      </c>
      <c r="AJ30" s="18">
        <f t="shared" si="7"/>
        <v>1.3392694218140164</v>
      </c>
      <c r="AK30" s="56">
        <f t="shared" si="8"/>
        <v>3</v>
      </c>
      <c r="AM30" s="18">
        <f t="shared" si="9"/>
        <v>2.6825689217487207</v>
      </c>
      <c r="AN30" s="18">
        <f t="shared" si="9"/>
        <v>3.4072884097605449</v>
      </c>
      <c r="AO30" s="18">
        <f t="shared" si="9"/>
        <v>1.3166539268473796</v>
      </c>
      <c r="AP30" s="56">
        <f t="shared" si="10"/>
        <v>3</v>
      </c>
      <c r="AR30" s="18">
        <f t="shared" si="11"/>
        <v>2.6825689217487207</v>
      </c>
      <c r="AS30" s="18">
        <f t="shared" si="11"/>
        <v>3.4072884097605449</v>
      </c>
      <c r="AT30" s="18">
        <f t="shared" si="11"/>
        <v>1.3166539268473796</v>
      </c>
      <c r="AU30" s="56">
        <f t="shared" si="12"/>
        <v>3</v>
      </c>
      <c r="AW30" s="18">
        <f t="shared" si="13"/>
        <v>2.6825689217487207</v>
      </c>
      <c r="AX30" s="18">
        <f t="shared" si="13"/>
        <v>3.4072884097605449</v>
      </c>
      <c r="AY30" s="18">
        <f t="shared" si="13"/>
        <v>1.3166539268473796</v>
      </c>
      <c r="AZ30" s="56">
        <f t="shared" si="14"/>
        <v>3</v>
      </c>
      <c r="BB30" s="18">
        <f t="shared" si="15"/>
        <v>2.6825689217487207</v>
      </c>
      <c r="BC30" s="18">
        <f t="shared" si="15"/>
        <v>3.4072884097605449</v>
      </c>
      <c r="BD30" s="18">
        <f t="shared" si="15"/>
        <v>1.3166539268473796</v>
      </c>
      <c r="BE30" s="56">
        <f t="shared" si="16"/>
        <v>3</v>
      </c>
      <c r="BG30" s="18">
        <f t="shared" si="17"/>
        <v>2.6825689217487207</v>
      </c>
      <c r="BH30" s="18">
        <f t="shared" si="17"/>
        <v>3.4072884097605449</v>
      </c>
      <c r="BI30" s="18">
        <f t="shared" si="17"/>
        <v>1.3166539268473796</v>
      </c>
      <c r="BJ30" s="56">
        <f t="shared" si="18"/>
        <v>3</v>
      </c>
      <c r="BL30" s="18">
        <f t="shared" si="19"/>
        <v>2.6825689217487207</v>
      </c>
      <c r="BM30" s="18">
        <f t="shared" si="19"/>
        <v>3.4072884097605449</v>
      </c>
      <c r="BN30" s="18">
        <f t="shared" si="19"/>
        <v>1.3166539268473796</v>
      </c>
      <c r="BO30" s="56">
        <f t="shared" si="20"/>
        <v>3</v>
      </c>
      <c r="BQ30" s="18">
        <f t="shared" si="21"/>
        <v>2.6825689217487207</v>
      </c>
      <c r="BR30" s="18">
        <f t="shared" si="21"/>
        <v>3.4072884097605449</v>
      </c>
      <c r="BS30" s="18">
        <f t="shared" si="21"/>
        <v>1.3166539268473796</v>
      </c>
      <c r="BT30" s="56">
        <f t="shared" si="22"/>
        <v>3</v>
      </c>
      <c r="BV30" s="18">
        <f t="shared" si="23"/>
        <v>2.6825689217487207</v>
      </c>
      <c r="BW30" s="18">
        <f t="shared" si="23"/>
        <v>3.4072884097605449</v>
      </c>
      <c r="BX30" s="18">
        <f t="shared" si="23"/>
        <v>1.3166539268473796</v>
      </c>
      <c r="BY30" s="56">
        <f t="shared" si="24"/>
        <v>3</v>
      </c>
      <c r="CA30" s="18">
        <f t="shared" si="25"/>
        <v>2.6825689217487207</v>
      </c>
      <c r="CB30" s="18">
        <f t="shared" si="25"/>
        <v>3.4072884097605449</v>
      </c>
      <c r="CC30" s="18">
        <f t="shared" si="25"/>
        <v>1.3166539268473796</v>
      </c>
      <c r="CD30" s="56">
        <f t="shared" si="26"/>
        <v>3</v>
      </c>
    </row>
    <row r="31" spans="1:82" x14ac:dyDescent="0.25">
      <c r="A31" s="36" t="str">
        <f>KMeans_Data!A13</f>
        <v>Hyderabad</v>
      </c>
      <c r="B31" s="18">
        <f>KMeans_Data!H13</f>
        <v>1.2591276453149129</v>
      </c>
      <c r="C31" s="18">
        <f>KMeans_Data!I13</f>
        <v>1.2118474125424887</v>
      </c>
      <c r="D31" s="18">
        <f>KMeans_Data!J13</f>
        <v>1.6955104854445937</v>
      </c>
      <c r="E31" s="56">
        <f t="shared" si="0"/>
        <v>3</v>
      </c>
      <c r="F31" s="38">
        <f t="shared" si="1"/>
        <v>2.1298241018285902</v>
      </c>
      <c r="G31" s="13" t="str">
        <f t="shared" si="2"/>
        <v>Medium burden</v>
      </c>
      <c r="H31" s="18">
        <f>IF(COUNTIF(Distance_Matrix!$E$9:$DQ$9,$E31)&lt;=1,0,SUMIF(Distance_Matrix!$E$9:$DQ$9,$E31,Distance_Matrix!$E$22:$DQ$22)/(COUNTIF(Distance_Matrix!$E$9:$DQ$9,$E31)-1))</f>
        <v>1.6344109274436727</v>
      </c>
      <c r="I31" s="18">
        <f>MIN(IF(1=$E31,1E+99,IF(COUNTIF(Distance_Matrix!$E$9:$DQ$9,1)=0,1E+99,SUMIF(Distance_Matrix!$E$9:$DQ$9,1,Distance_Matrix!$E$22:$DQ$22)/COUNTIF(Distance_Matrix!$E$9:$DQ$9,1))),IF(2=$E31,1E+99,IF(COUNTIF(Distance_Matrix!$E$9:$DQ$9,2)=0,1E+99,SUMIF(Distance_Matrix!$E$9:$DQ$9,2,Distance_Matrix!$E$22:$DQ$22)/COUNTIF(Distance_Matrix!$E$9:$DQ$9,2))),IF(3=$E31,1E+99,IF(COUNTIF(Distance_Matrix!$E$9:$DQ$9,3)=0,1E+99,SUMIF(Distance_Matrix!$E$9:$DQ$9,3,Distance_Matrix!$E$22:$DQ$22)/COUNTIF(Distance_Matrix!$E$9:$DQ$9,3))))</f>
        <v>2.3494674413704284</v>
      </c>
      <c r="J31" s="18">
        <f>IF(COUNTIF(Distance_Matrix!$E$9:$DQ$9,$E31)&lt;=1,0,(I31-H31)/MAX(H31,I31))</f>
        <v>0.30434833926009552</v>
      </c>
      <c r="X31" s="18">
        <f t="shared" si="3"/>
        <v>3.8049688595258218</v>
      </c>
      <c r="Y31" s="18">
        <f t="shared" si="3"/>
        <v>4.7719509323338665</v>
      </c>
      <c r="Z31" s="18">
        <f t="shared" si="3"/>
        <v>0.8910805790095413</v>
      </c>
      <c r="AA31" s="56">
        <f t="shared" si="4"/>
        <v>3</v>
      </c>
      <c r="AC31" s="18">
        <f t="shared" si="5"/>
        <v>2.8846179518560464</v>
      </c>
      <c r="AD31" s="18">
        <f t="shared" si="5"/>
        <v>3.7278449729447196</v>
      </c>
      <c r="AE31" s="18">
        <f t="shared" si="5"/>
        <v>1.5908719491091785</v>
      </c>
      <c r="AF31" s="56">
        <f t="shared" si="6"/>
        <v>3</v>
      </c>
      <c r="AH31" s="18">
        <f t="shared" si="7"/>
        <v>2.2676806861902765</v>
      </c>
      <c r="AI31" s="18">
        <f t="shared" si="7"/>
        <v>3.6075765613697222</v>
      </c>
      <c r="AJ31" s="18">
        <f t="shared" si="7"/>
        <v>1.4830880400793018</v>
      </c>
      <c r="AK31" s="56">
        <f t="shared" si="8"/>
        <v>3</v>
      </c>
      <c r="AM31" s="18">
        <f t="shared" si="9"/>
        <v>2.2676806861902765</v>
      </c>
      <c r="AN31" s="18">
        <f t="shared" si="9"/>
        <v>3.5920289641050034</v>
      </c>
      <c r="AO31" s="18">
        <f t="shared" si="9"/>
        <v>1.4593916889679035</v>
      </c>
      <c r="AP31" s="56">
        <f t="shared" si="10"/>
        <v>3</v>
      </c>
      <c r="AR31" s="18">
        <f t="shared" si="11"/>
        <v>2.2676806861902765</v>
      </c>
      <c r="AS31" s="18">
        <f t="shared" si="11"/>
        <v>3.5920289641050034</v>
      </c>
      <c r="AT31" s="18">
        <f t="shared" si="11"/>
        <v>1.4593916889679035</v>
      </c>
      <c r="AU31" s="56">
        <f t="shared" si="12"/>
        <v>3</v>
      </c>
      <c r="AW31" s="18">
        <f t="shared" si="13"/>
        <v>2.2676806861902765</v>
      </c>
      <c r="AX31" s="18">
        <f t="shared" si="13"/>
        <v>3.5920289641050034</v>
      </c>
      <c r="AY31" s="18">
        <f t="shared" si="13"/>
        <v>1.4593916889679035</v>
      </c>
      <c r="AZ31" s="56">
        <f t="shared" si="14"/>
        <v>3</v>
      </c>
      <c r="BB31" s="18">
        <f t="shared" si="15"/>
        <v>2.2676806861902765</v>
      </c>
      <c r="BC31" s="18">
        <f t="shared" si="15"/>
        <v>3.5920289641050034</v>
      </c>
      <c r="BD31" s="18">
        <f t="shared" si="15"/>
        <v>1.4593916889679035</v>
      </c>
      <c r="BE31" s="56">
        <f t="shared" si="16"/>
        <v>3</v>
      </c>
      <c r="BG31" s="18">
        <f t="shared" si="17"/>
        <v>2.2676806861902765</v>
      </c>
      <c r="BH31" s="18">
        <f t="shared" si="17"/>
        <v>3.5920289641050034</v>
      </c>
      <c r="BI31" s="18">
        <f t="shared" si="17"/>
        <v>1.4593916889679035</v>
      </c>
      <c r="BJ31" s="56">
        <f t="shared" si="18"/>
        <v>3</v>
      </c>
      <c r="BL31" s="18">
        <f t="shared" si="19"/>
        <v>2.2676806861902765</v>
      </c>
      <c r="BM31" s="18">
        <f t="shared" si="19"/>
        <v>3.5920289641050034</v>
      </c>
      <c r="BN31" s="18">
        <f t="shared" si="19"/>
        <v>1.4593916889679035</v>
      </c>
      <c r="BO31" s="56">
        <f t="shared" si="20"/>
        <v>3</v>
      </c>
      <c r="BQ31" s="18">
        <f t="shared" si="21"/>
        <v>2.2676806861902765</v>
      </c>
      <c r="BR31" s="18">
        <f t="shared" si="21"/>
        <v>3.5920289641050034</v>
      </c>
      <c r="BS31" s="18">
        <f t="shared" si="21"/>
        <v>1.4593916889679035</v>
      </c>
      <c r="BT31" s="56">
        <f t="shared" si="22"/>
        <v>3</v>
      </c>
      <c r="BV31" s="18">
        <f t="shared" si="23"/>
        <v>2.2676806861902765</v>
      </c>
      <c r="BW31" s="18">
        <f t="shared" si="23"/>
        <v>3.5920289641050034</v>
      </c>
      <c r="BX31" s="18">
        <f t="shared" si="23"/>
        <v>1.4593916889679035</v>
      </c>
      <c r="BY31" s="56">
        <f t="shared" si="24"/>
        <v>3</v>
      </c>
      <c r="CA31" s="18">
        <f t="shared" si="25"/>
        <v>2.2676806861902765</v>
      </c>
      <c r="CB31" s="18">
        <f t="shared" si="25"/>
        <v>3.5920289641050034</v>
      </c>
      <c r="CC31" s="18">
        <f t="shared" si="25"/>
        <v>1.4593916889679035</v>
      </c>
      <c r="CD31" s="56">
        <f t="shared" si="26"/>
        <v>3</v>
      </c>
    </row>
    <row r="32" spans="1:82" x14ac:dyDescent="0.25">
      <c r="A32" s="36" t="str">
        <f>KMeans_Data!A14</f>
        <v>Raiwind</v>
      </c>
      <c r="B32" s="18">
        <f>KMeans_Data!H14</f>
        <v>1.2015385972262329</v>
      </c>
      <c r="C32" s="18">
        <f>KMeans_Data!I14</f>
        <v>-0.14698313392952958</v>
      </c>
      <c r="D32" s="18">
        <f>KMeans_Data!J14</f>
        <v>-0.82444601589876665</v>
      </c>
      <c r="E32" s="56">
        <f t="shared" si="0"/>
        <v>3</v>
      </c>
      <c r="F32" s="38">
        <f t="shared" si="1"/>
        <v>3.1205537401277197</v>
      </c>
      <c r="G32" s="13" t="str">
        <f t="shared" si="2"/>
        <v>Medium burden</v>
      </c>
      <c r="H32" s="18">
        <f>IF(COUNTIF(Distance_Matrix!$E$9:$DQ$9,$E32)&lt;=1,0,SUMIF(Distance_Matrix!$E$9:$DQ$9,$E32,Distance_Matrix!$E$23:$DQ$23)/(COUNTIF(Distance_Matrix!$E$9:$DQ$9,$E32)-1))</f>
        <v>1.9788525902850502</v>
      </c>
      <c r="I32" s="18">
        <f>MIN(IF(1=$E32,1E+99,IF(COUNTIF(Distance_Matrix!$E$9:$DQ$9,1)=0,1E+99,SUMIF(Distance_Matrix!$E$9:$DQ$9,1,Distance_Matrix!$E$23:$DQ$23)/COUNTIF(Distance_Matrix!$E$9:$DQ$9,1))),IF(2=$E32,1E+99,IF(COUNTIF(Distance_Matrix!$E$9:$DQ$9,2)=0,1E+99,SUMIF(Distance_Matrix!$E$9:$DQ$9,2,Distance_Matrix!$E$23:$DQ$23)/COUNTIF(Distance_Matrix!$E$9:$DQ$9,2))),IF(3=$E32,1E+99,IF(COUNTIF(Distance_Matrix!$E$9:$DQ$9,3)=0,1E+99,SUMIF(Distance_Matrix!$E$9:$DQ$9,3,Distance_Matrix!$E$23:$DQ$23)/COUNTIF(Distance_Matrix!$E$9:$DQ$9,3))))</f>
        <v>1.9782324333967951</v>
      </c>
      <c r="J32" s="18">
        <f>IF(COUNTIF(Distance_Matrix!$E$9:$DQ$9,$E32)&lt;=1,0,(I32-H32)/MAX(H32,I32))</f>
        <v>-3.1339216033559448E-4</v>
      </c>
      <c r="X32" s="18">
        <f t="shared" si="3"/>
        <v>6.2000657083427848</v>
      </c>
      <c r="Y32" s="18">
        <f t="shared" si="3"/>
        <v>3.3386030664456947</v>
      </c>
      <c r="Z32" s="18">
        <f t="shared" si="3"/>
        <v>2.3600059251332826</v>
      </c>
      <c r="AA32" s="56">
        <f t="shared" si="4"/>
        <v>3</v>
      </c>
      <c r="AC32" s="18">
        <f t="shared" si="5"/>
        <v>5.190256350371655</v>
      </c>
      <c r="AD32" s="18">
        <f t="shared" si="5"/>
        <v>2.0276425543514418</v>
      </c>
      <c r="AE32" s="18">
        <f t="shared" si="5"/>
        <v>1.6497136788160953</v>
      </c>
      <c r="AF32" s="56">
        <f t="shared" si="6"/>
        <v>3</v>
      </c>
      <c r="AH32" s="18">
        <f t="shared" si="7"/>
        <v>4.5767880905192539</v>
      </c>
      <c r="AI32" s="18">
        <f t="shared" si="7"/>
        <v>1.906508385038107</v>
      </c>
      <c r="AJ32" s="18">
        <f t="shared" si="7"/>
        <v>1.7601282589142755</v>
      </c>
      <c r="AK32" s="56">
        <f t="shared" si="8"/>
        <v>3</v>
      </c>
      <c r="AM32" s="18">
        <f t="shared" si="9"/>
        <v>4.5767880905192539</v>
      </c>
      <c r="AN32" s="18">
        <f t="shared" si="9"/>
        <v>1.9015037923671441</v>
      </c>
      <c r="AO32" s="18">
        <f t="shared" si="9"/>
        <v>1.7665089131186742</v>
      </c>
      <c r="AP32" s="56">
        <f t="shared" si="10"/>
        <v>3</v>
      </c>
      <c r="AR32" s="18">
        <f t="shared" si="11"/>
        <v>4.5767880905192539</v>
      </c>
      <c r="AS32" s="18">
        <f t="shared" si="11"/>
        <v>1.9015037923671441</v>
      </c>
      <c r="AT32" s="18">
        <f t="shared" si="11"/>
        <v>1.7665089131186742</v>
      </c>
      <c r="AU32" s="56">
        <f t="shared" si="12"/>
        <v>3</v>
      </c>
      <c r="AW32" s="18">
        <f t="shared" si="13"/>
        <v>4.5767880905192539</v>
      </c>
      <c r="AX32" s="18">
        <f t="shared" si="13"/>
        <v>1.9015037923671441</v>
      </c>
      <c r="AY32" s="18">
        <f t="shared" si="13"/>
        <v>1.7665089131186742</v>
      </c>
      <c r="AZ32" s="56">
        <f t="shared" si="14"/>
        <v>3</v>
      </c>
      <c r="BB32" s="18">
        <f t="shared" si="15"/>
        <v>4.5767880905192539</v>
      </c>
      <c r="BC32" s="18">
        <f t="shared" si="15"/>
        <v>1.9015037923671441</v>
      </c>
      <c r="BD32" s="18">
        <f t="shared" si="15"/>
        <v>1.7665089131186742</v>
      </c>
      <c r="BE32" s="56">
        <f t="shared" si="16"/>
        <v>3</v>
      </c>
      <c r="BG32" s="18">
        <f t="shared" si="17"/>
        <v>4.5767880905192539</v>
      </c>
      <c r="BH32" s="18">
        <f t="shared" si="17"/>
        <v>1.9015037923671441</v>
      </c>
      <c r="BI32" s="18">
        <f t="shared" si="17"/>
        <v>1.7665089131186742</v>
      </c>
      <c r="BJ32" s="56">
        <f t="shared" si="18"/>
        <v>3</v>
      </c>
      <c r="BL32" s="18">
        <f t="shared" si="19"/>
        <v>4.5767880905192539</v>
      </c>
      <c r="BM32" s="18">
        <f t="shared" si="19"/>
        <v>1.9015037923671441</v>
      </c>
      <c r="BN32" s="18">
        <f t="shared" si="19"/>
        <v>1.7665089131186742</v>
      </c>
      <c r="BO32" s="56">
        <f t="shared" si="20"/>
        <v>3</v>
      </c>
      <c r="BQ32" s="18">
        <f t="shared" si="21"/>
        <v>4.5767880905192539</v>
      </c>
      <c r="BR32" s="18">
        <f t="shared" si="21"/>
        <v>1.9015037923671441</v>
      </c>
      <c r="BS32" s="18">
        <f t="shared" si="21"/>
        <v>1.7665089131186742</v>
      </c>
      <c r="BT32" s="56">
        <f t="shared" si="22"/>
        <v>3</v>
      </c>
      <c r="BV32" s="18">
        <f t="shared" si="23"/>
        <v>4.5767880905192539</v>
      </c>
      <c r="BW32" s="18">
        <f t="shared" si="23"/>
        <v>1.9015037923671441</v>
      </c>
      <c r="BX32" s="18">
        <f t="shared" si="23"/>
        <v>1.7665089131186742</v>
      </c>
      <c r="BY32" s="56">
        <f t="shared" si="24"/>
        <v>3</v>
      </c>
      <c r="CA32" s="18">
        <f t="shared" si="25"/>
        <v>4.5767880905192539</v>
      </c>
      <c r="CB32" s="18">
        <f t="shared" si="25"/>
        <v>1.9015037923671441</v>
      </c>
      <c r="CC32" s="18">
        <f t="shared" si="25"/>
        <v>1.7665089131186742</v>
      </c>
      <c r="CD32" s="56">
        <f t="shared" si="26"/>
        <v>3</v>
      </c>
    </row>
    <row r="33" spans="1:82" x14ac:dyDescent="0.25">
      <c r="A33" s="36" t="str">
        <f>KMeans_Data!A15</f>
        <v>Malakand</v>
      </c>
      <c r="B33" s="18">
        <f>KMeans_Data!H15</f>
        <v>1.1410679551279186</v>
      </c>
      <c r="C33" s="18">
        <f>KMeans_Data!I15</f>
        <v>1.4759954658056031</v>
      </c>
      <c r="D33" s="18">
        <f>KMeans_Data!J15</f>
        <v>0.98834987138399455</v>
      </c>
      <c r="E33" s="56">
        <f t="shared" si="0"/>
        <v>3</v>
      </c>
      <c r="F33" s="38">
        <f t="shared" si="1"/>
        <v>1.5442434068716364</v>
      </c>
      <c r="G33" s="13" t="str">
        <f t="shared" si="2"/>
        <v>Medium burden</v>
      </c>
      <c r="H33" s="18">
        <f>IF(COUNTIF(Distance_Matrix!$E$9:$DQ$9,$E33)&lt;=1,0,SUMIF(Distance_Matrix!$E$9:$DQ$9,$E33,Distance_Matrix!$E$24:$DQ$24)/(COUNTIF(Distance_Matrix!$E$9:$DQ$9,$E33)-1))</f>
        <v>1.4359416368630842</v>
      </c>
      <c r="I33" s="18">
        <f>MIN(IF(1=$E33,1E+99,IF(COUNTIF(Distance_Matrix!$E$9:$DQ$9,1)=0,1E+99,SUMIF(Distance_Matrix!$E$9:$DQ$9,1,Distance_Matrix!$E$24:$DQ$24)/COUNTIF(Distance_Matrix!$E$9:$DQ$9,1))),IF(2=$E33,1E+99,IF(COUNTIF(Distance_Matrix!$E$9:$DQ$9,2)=0,1E+99,SUMIF(Distance_Matrix!$E$9:$DQ$9,2,Distance_Matrix!$E$24:$DQ$24)/COUNTIF(Distance_Matrix!$E$9:$DQ$9,2))),IF(3=$E33,1E+99,IF(COUNTIF(Distance_Matrix!$E$9:$DQ$9,3)=0,1E+99,SUMIF(Distance_Matrix!$E$9:$DQ$9,3,Distance_Matrix!$E$24:$DQ$24)/COUNTIF(Distance_Matrix!$E$9:$DQ$9,3))))</f>
        <v>2.4475405401805741</v>
      </c>
      <c r="J33" s="18">
        <f>IF(COUNTIF(Distance_Matrix!$E$9:$DQ$9,$E33)&lt;=1,0,(I33-H33)/MAX(H33,I33))</f>
        <v>0.41331241983957351</v>
      </c>
      <c r="X33" s="18">
        <f t="shared" si="3"/>
        <v>4.0306685209580886</v>
      </c>
      <c r="Y33" s="18">
        <f t="shared" si="3"/>
        <v>4.4208823671757642</v>
      </c>
      <c r="Z33" s="18">
        <f t="shared" si="3"/>
        <v>1.2030082216667015</v>
      </c>
      <c r="AA33" s="56">
        <f t="shared" si="4"/>
        <v>3</v>
      </c>
      <c r="AC33" s="18">
        <f t="shared" si="5"/>
        <v>3.0287889184085324</v>
      </c>
      <c r="AD33" s="18">
        <f t="shared" si="5"/>
        <v>3.3787805024052511</v>
      </c>
      <c r="AE33" s="18">
        <f t="shared" si="5"/>
        <v>1.3512435344931957</v>
      </c>
      <c r="AF33" s="56">
        <f t="shared" si="6"/>
        <v>3</v>
      </c>
      <c r="AH33" s="18">
        <f t="shared" si="7"/>
        <v>2.3929809508553053</v>
      </c>
      <c r="AI33" s="18">
        <f t="shared" si="7"/>
        <v>3.26432367314615</v>
      </c>
      <c r="AJ33" s="18">
        <f t="shared" si="7"/>
        <v>1.2647315360595901</v>
      </c>
      <c r="AK33" s="56">
        <f t="shared" si="8"/>
        <v>3</v>
      </c>
      <c r="AM33" s="18">
        <f t="shared" si="9"/>
        <v>2.3929809508553053</v>
      </c>
      <c r="AN33" s="18">
        <f t="shared" si="9"/>
        <v>3.2497385228199915</v>
      </c>
      <c r="AO33" s="18">
        <f t="shared" si="9"/>
        <v>1.2426759058063517</v>
      </c>
      <c r="AP33" s="56">
        <f t="shared" si="10"/>
        <v>3</v>
      </c>
      <c r="AR33" s="18">
        <f t="shared" si="11"/>
        <v>2.3929809508553053</v>
      </c>
      <c r="AS33" s="18">
        <f t="shared" si="11"/>
        <v>3.2497385228199915</v>
      </c>
      <c r="AT33" s="18">
        <f t="shared" si="11"/>
        <v>1.2426759058063517</v>
      </c>
      <c r="AU33" s="56">
        <f t="shared" si="12"/>
        <v>3</v>
      </c>
      <c r="AW33" s="18">
        <f t="shared" si="13"/>
        <v>2.3929809508553053</v>
      </c>
      <c r="AX33" s="18">
        <f t="shared" si="13"/>
        <v>3.2497385228199915</v>
      </c>
      <c r="AY33" s="18">
        <f t="shared" si="13"/>
        <v>1.2426759058063517</v>
      </c>
      <c r="AZ33" s="56">
        <f t="shared" si="14"/>
        <v>3</v>
      </c>
      <c r="BB33" s="18">
        <f t="shared" si="15"/>
        <v>2.3929809508553053</v>
      </c>
      <c r="BC33" s="18">
        <f t="shared" si="15"/>
        <v>3.2497385228199915</v>
      </c>
      <c r="BD33" s="18">
        <f t="shared" si="15"/>
        <v>1.2426759058063517</v>
      </c>
      <c r="BE33" s="56">
        <f t="shared" si="16"/>
        <v>3</v>
      </c>
      <c r="BG33" s="18">
        <f t="shared" si="17"/>
        <v>2.3929809508553053</v>
      </c>
      <c r="BH33" s="18">
        <f t="shared" si="17"/>
        <v>3.2497385228199915</v>
      </c>
      <c r="BI33" s="18">
        <f t="shared" si="17"/>
        <v>1.2426759058063517</v>
      </c>
      <c r="BJ33" s="56">
        <f t="shared" si="18"/>
        <v>3</v>
      </c>
      <c r="BL33" s="18">
        <f t="shared" si="19"/>
        <v>2.3929809508553053</v>
      </c>
      <c r="BM33" s="18">
        <f t="shared" si="19"/>
        <v>3.2497385228199915</v>
      </c>
      <c r="BN33" s="18">
        <f t="shared" si="19"/>
        <v>1.2426759058063517</v>
      </c>
      <c r="BO33" s="56">
        <f t="shared" si="20"/>
        <v>3</v>
      </c>
      <c r="BQ33" s="18">
        <f t="shared" si="21"/>
        <v>2.3929809508553053</v>
      </c>
      <c r="BR33" s="18">
        <f t="shared" si="21"/>
        <v>3.2497385228199915</v>
      </c>
      <c r="BS33" s="18">
        <f t="shared" si="21"/>
        <v>1.2426759058063517</v>
      </c>
      <c r="BT33" s="56">
        <f t="shared" si="22"/>
        <v>3</v>
      </c>
      <c r="BV33" s="18">
        <f t="shared" si="23"/>
        <v>2.3929809508553053</v>
      </c>
      <c r="BW33" s="18">
        <f t="shared" si="23"/>
        <v>3.2497385228199915</v>
      </c>
      <c r="BX33" s="18">
        <f t="shared" si="23"/>
        <v>1.2426759058063517</v>
      </c>
      <c r="BY33" s="56">
        <f t="shared" si="24"/>
        <v>3</v>
      </c>
      <c r="CA33" s="18">
        <f t="shared" si="25"/>
        <v>2.3929809508553053</v>
      </c>
      <c r="CB33" s="18">
        <f t="shared" si="25"/>
        <v>3.2497385228199915</v>
      </c>
      <c r="CC33" s="18">
        <f t="shared" si="25"/>
        <v>1.2426759058063517</v>
      </c>
      <c r="CD33" s="56">
        <f t="shared" si="26"/>
        <v>3</v>
      </c>
    </row>
    <row r="34" spans="1:82" x14ac:dyDescent="0.25">
      <c r="A34" s="36" t="str">
        <f>KMeans_Data!A16</f>
        <v>Mardan</v>
      </c>
      <c r="B34" s="18">
        <f>KMeans_Data!H16</f>
        <v>1.126985701234098</v>
      </c>
      <c r="C34" s="18">
        <f>KMeans_Data!I16</f>
        <v>1.7684733170772808</v>
      </c>
      <c r="D34" s="18">
        <f>KMeans_Data!J16</f>
        <v>1.1668769645807604</v>
      </c>
      <c r="E34" s="56">
        <f t="shared" si="0"/>
        <v>3</v>
      </c>
      <c r="F34" s="38">
        <f t="shared" si="1"/>
        <v>2.3562239126375992</v>
      </c>
      <c r="G34" s="13" t="str">
        <f t="shared" si="2"/>
        <v>Medium burden</v>
      </c>
      <c r="H34" s="18">
        <f>IF(COUNTIF(Distance_Matrix!$E$9:$DQ$9,$E34)&lt;=1,0,SUMIF(Distance_Matrix!$E$9:$DQ$9,$E34,Distance_Matrix!$E$25:$DQ$25)/(COUNTIF(Distance_Matrix!$E$9:$DQ$9,$E34)-1))</f>
        <v>1.6863684382682231</v>
      </c>
      <c r="I34" s="18">
        <f>MIN(IF(1=$E34,1E+99,IF(COUNTIF(Distance_Matrix!$E$9:$DQ$9,1)=0,1E+99,SUMIF(Distance_Matrix!$E$9:$DQ$9,1,Distance_Matrix!$E$25:$DQ$25)/COUNTIF(Distance_Matrix!$E$9:$DQ$9,1))),IF(2=$E34,1E+99,IF(COUNTIF(Distance_Matrix!$E$9:$DQ$9,2)=0,1E+99,SUMIF(Distance_Matrix!$E$9:$DQ$9,2,Distance_Matrix!$E$25:$DQ$25)/COUNTIF(Distance_Matrix!$E$9:$DQ$9,2))),IF(3=$E34,1E+99,IF(COUNTIF(Distance_Matrix!$E$9:$DQ$9,3)=0,1E+99,SUMIF(Distance_Matrix!$E$9:$DQ$9,3,Distance_Matrix!$E$25:$DQ$25)/COUNTIF(Distance_Matrix!$E$9:$DQ$9,3))))</f>
        <v>2.1962820159161893</v>
      </c>
      <c r="J34" s="18">
        <f>IF(COUNTIF(Distance_Matrix!$E$9:$DQ$9,$E34)&lt;=1,0,(I34-H34)/MAX(H34,I34))</f>
        <v>0.23217126669192953</v>
      </c>
      <c r="X34" s="18">
        <f t="shared" si="3"/>
        <v>3.757169974840902</v>
      </c>
      <c r="Y34" s="18">
        <f t="shared" si="3"/>
        <v>4.6464950490584824</v>
      </c>
      <c r="Z34" s="18">
        <f t="shared" si="3"/>
        <v>1.4253699648600497</v>
      </c>
      <c r="AA34" s="56">
        <f t="shared" si="4"/>
        <v>3</v>
      </c>
      <c r="AC34" s="18">
        <f t="shared" si="5"/>
        <v>2.7589430933252754</v>
      </c>
      <c r="AD34" s="18">
        <f t="shared" si="5"/>
        <v>3.6562076528557785</v>
      </c>
      <c r="AE34" s="18">
        <f t="shared" si="5"/>
        <v>1.6513345284876251</v>
      </c>
      <c r="AF34" s="56">
        <f t="shared" si="6"/>
        <v>3</v>
      </c>
      <c r="AH34" s="18">
        <f t="shared" si="7"/>
        <v>2.1285049557896549</v>
      </c>
      <c r="AI34" s="18">
        <f t="shared" si="7"/>
        <v>3.546555732087433</v>
      </c>
      <c r="AJ34" s="18">
        <f t="shared" si="7"/>
        <v>1.556287306334684</v>
      </c>
      <c r="AK34" s="56">
        <f t="shared" si="8"/>
        <v>3</v>
      </c>
      <c r="AM34" s="18">
        <f t="shared" si="9"/>
        <v>2.1285049557896549</v>
      </c>
      <c r="AN34" s="18">
        <f t="shared" si="9"/>
        <v>3.531797745789699</v>
      </c>
      <c r="AO34" s="18">
        <f t="shared" si="9"/>
        <v>1.5349996458102519</v>
      </c>
      <c r="AP34" s="56">
        <f t="shared" si="10"/>
        <v>3</v>
      </c>
      <c r="AR34" s="18">
        <f t="shared" si="11"/>
        <v>2.1285049557896549</v>
      </c>
      <c r="AS34" s="18">
        <f t="shared" si="11"/>
        <v>3.531797745789699</v>
      </c>
      <c r="AT34" s="18">
        <f t="shared" si="11"/>
        <v>1.5349996458102519</v>
      </c>
      <c r="AU34" s="56">
        <f t="shared" si="12"/>
        <v>3</v>
      </c>
      <c r="AW34" s="18">
        <f t="shared" si="13"/>
        <v>2.1285049557896549</v>
      </c>
      <c r="AX34" s="18">
        <f t="shared" si="13"/>
        <v>3.531797745789699</v>
      </c>
      <c r="AY34" s="18">
        <f t="shared" si="13"/>
        <v>1.5349996458102519</v>
      </c>
      <c r="AZ34" s="56">
        <f t="shared" si="14"/>
        <v>3</v>
      </c>
      <c r="BB34" s="18">
        <f t="shared" si="15"/>
        <v>2.1285049557896549</v>
      </c>
      <c r="BC34" s="18">
        <f t="shared" si="15"/>
        <v>3.531797745789699</v>
      </c>
      <c r="BD34" s="18">
        <f t="shared" si="15"/>
        <v>1.5349996458102519</v>
      </c>
      <c r="BE34" s="56">
        <f t="shared" si="16"/>
        <v>3</v>
      </c>
      <c r="BG34" s="18">
        <f t="shared" si="17"/>
        <v>2.1285049557896549</v>
      </c>
      <c r="BH34" s="18">
        <f t="shared" si="17"/>
        <v>3.531797745789699</v>
      </c>
      <c r="BI34" s="18">
        <f t="shared" si="17"/>
        <v>1.5349996458102519</v>
      </c>
      <c r="BJ34" s="56">
        <f t="shared" si="18"/>
        <v>3</v>
      </c>
      <c r="BL34" s="18">
        <f t="shared" si="19"/>
        <v>2.1285049557896549</v>
      </c>
      <c r="BM34" s="18">
        <f t="shared" si="19"/>
        <v>3.531797745789699</v>
      </c>
      <c r="BN34" s="18">
        <f t="shared" si="19"/>
        <v>1.5349996458102519</v>
      </c>
      <c r="BO34" s="56">
        <f t="shared" si="20"/>
        <v>3</v>
      </c>
      <c r="BQ34" s="18">
        <f t="shared" si="21"/>
        <v>2.1285049557896549</v>
      </c>
      <c r="BR34" s="18">
        <f t="shared" si="21"/>
        <v>3.531797745789699</v>
      </c>
      <c r="BS34" s="18">
        <f t="shared" si="21"/>
        <v>1.5349996458102519</v>
      </c>
      <c r="BT34" s="56">
        <f t="shared" si="22"/>
        <v>3</v>
      </c>
      <c r="BV34" s="18">
        <f t="shared" si="23"/>
        <v>2.1285049557896549</v>
      </c>
      <c r="BW34" s="18">
        <f t="shared" si="23"/>
        <v>3.531797745789699</v>
      </c>
      <c r="BX34" s="18">
        <f t="shared" si="23"/>
        <v>1.5349996458102519</v>
      </c>
      <c r="BY34" s="56">
        <f t="shared" si="24"/>
        <v>3</v>
      </c>
      <c r="CA34" s="18">
        <f t="shared" si="25"/>
        <v>2.1285049557896549</v>
      </c>
      <c r="CB34" s="18">
        <f t="shared" si="25"/>
        <v>3.531797745789699</v>
      </c>
      <c r="CC34" s="18">
        <f t="shared" si="25"/>
        <v>1.5349996458102519</v>
      </c>
      <c r="CD34" s="56">
        <f t="shared" si="26"/>
        <v>3</v>
      </c>
    </row>
    <row r="35" spans="1:82" x14ac:dyDescent="0.25">
      <c r="A35" s="36" t="str">
        <f>KMeans_Data!A17</f>
        <v>Gilgit</v>
      </c>
      <c r="B35" s="18">
        <f>KMeans_Data!H17</f>
        <v>1.0425286360551109</v>
      </c>
      <c r="C35" s="18">
        <f>KMeans_Data!I17</f>
        <v>0.99367572463826759</v>
      </c>
      <c r="D35" s="18">
        <f>KMeans_Data!J17</f>
        <v>1.0804955511041037</v>
      </c>
      <c r="E35" s="56">
        <f t="shared" si="0"/>
        <v>3</v>
      </c>
      <c r="F35" s="38">
        <f t="shared" si="1"/>
        <v>0.72266797023047302</v>
      </c>
      <c r="G35" s="13" t="str">
        <f t="shared" si="2"/>
        <v>Medium burden</v>
      </c>
      <c r="H35" s="18">
        <f>IF(COUNTIF(Distance_Matrix!$E$9:$DQ$9,$E35)&lt;=1,0,SUMIF(Distance_Matrix!$E$9:$DQ$9,$E35,Distance_Matrix!$E$26:$DQ$26)/(COUNTIF(Distance_Matrix!$E$9:$DQ$9,$E35)-1))</f>
        <v>1.1523553087345231</v>
      </c>
      <c r="I35" s="18">
        <f>MIN(IF(1=$E35,1E+99,IF(COUNTIF(Distance_Matrix!$E$9:$DQ$9,1)=0,1E+99,SUMIF(Distance_Matrix!$E$9:$DQ$9,1,Distance_Matrix!$E$26:$DQ$26)/COUNTIF(Distance_Matrix!$E$9:$DQ$9,1))),IF(2=$E35,1E+99,IF(COUNTIF(Distance_Matrix!$E$9:$DQ$9,2)=0,1E+99,SUMIF(Distance_Matrix!$E$9:$DQ$9,2,Distance_Matrix!$E$26:$DQ$26)/COUNTIF(Distance_Matrix!$E$9:$DQ$9,2))),IF(3=$E35,1E+99,IF(COUNTIF(Distance_Matrix!$E$9:$DQ$9,3)=0,1E+99,SUMIF(Distance_Matrix!$E$9:$DQ$9,3,Distance_Matrix!$E$26:$DQ$26)/COUNTIF(Distance_Matrix!$E$9:$DQ$9,3))))</f>
        <v>2.7942327212002431</v>
      </c>
      <c r="J35" s="18">
        <f>IF(COUNTIF(Distance_Matrix!$E$9:$DQ$9,$E35)&lt;=1,0,(I35-H35)/MAX(H35,I35))</f>
        <v>0.58759508469303989</v>
      </c>
      <c r="X35" s="18">
        <f t="shared" si="3"/>
        <v>4.3557396558667527</v>
      </c>
      <c r="Y35" s="18">
        <f t="shared" si="3"/>
        <v>4.1810154137617337</v>
      </c>
      <c r="Z35" s="18">
        <f t="shared" si="3"/>
        <v>0.72819676736314098</v>
      </c>
      <c r="AA35" s="56">
        <f t="shared" si="4"/>
        <v>3</v>
      </c>
      <c r="AC35" s="18">
        <f t="shared" si="5"/>
        <v>3.3825763681749232</v>
      </c>
      <c r="AD35" s="18">
        <f t="shared" si="5"/>
        <v>3.0953860299350255</v>
      </c>
      <c r="AE35" s="18">
        <f t="shared" si="5"/>
        <v>0.96980821186031374</v>
      </c>
      <c r="AF35" s="56">
        <f t="shared" si="6"/>
        <v>3</v>
      </c>
      <c r="AH35" s="18">
        <f t="shared" si="7"/>
        <v>2.7473666667625123</v>
      </c>
      <c r="AI35" s="18">
        <f t="shared" si="7"/>
        <v>2.9740572016837308</v>
      </c>
      <c r="AJ35" s="18">
        <f t="shared" si="7"/>
        <v>0.87457616459538967</v>
      </c>
      <c r="AK35" s="56">
        <f t="shared" si="8"/>
        <v>3</v>
      </c>
      <c r="AM35" s="18">
        <f t="shared" si="9"/>
        <v>2.7473666667625123</v>
      </c>
      <c r="AN35" s="18">
        <f t="shared" si="9"/>
        <v>2.9589746169093529</v>
      </c>
      <c r="AO35" s="18">
        <f t="shared" si="9"/>
        <v>0.8500988002758697</v>
      </c>
      <c r="AP35" s="56">
        <f t="shared" si="10"/>
        <v>3</v>
      </c>
      <c r="AR35" s="18">
        <f t="shared" si="11"/>
        <v>2.7473666667625123</v>
      </c>
      <c r="AS35" s="18">
        <f t="shared" si="11"/>
        <v>2.9589746169093529</v>
      </c>
      <c r="AT35" s="18">
        <f t="shared" si="11"/>
        <v>0.8500988002758697</v>
      </c>
      <c r="AU35" s="56">
        <f t="shared" si="12"/>
        <v>3</v>
      </c>
      <c r="AW35" s="18">
        <f t="shared" si="13"/>
        <v>2.7473666667625123</v>
      </c>
      <c r="AX35" s="18">
        <f t="shared" si="13"/>
        <v>2.9589746169093529</v>
      </c>
      <c r="AY35" s="18">
        <f t="shared" si="13"/>
        <v>0.8500988002758697</v>
      </c>
      <c r="AZ35" s="56">
        <f t="shared" si="14"/>
        <v>3</v>
      </c>
      <c r="BB35" s="18">
        <f t="shared" si="15"/>
        <v>2.7473666667625123</v>
      </c>
      <c r="BC35" s="18">
        <f t="shared" si="15"/>
        <v>2.9589746169093529</v>
      </c>
      <c r="BD35" s="18">
        <f t="shared" si="15"/>
        <v>0.8500988002758697</v>
      </c>
      <c r="BE35" s="56">
        <f t="shared" si="16"/>
        <v>3</v>
      </c>
      <c r="BG35" s="18">
        <f t="shared" si="17"/>
        <v>2.7473666667625123</v>
      </c>
      <c r="BH35" s="18">
        <f t="shared" si="17"/>
        <v>2.9589746169093529</v>
      </c>
      <c r="BI35" s="18">
        <f t="shared" si="17"/>
        <v>0.8500988002758697</v>
      </c>
      <c r="BJ35" s="56">
        <f t="shared" si="18"/>
        <v>3</v>
      </c>
      <c r="BL35" s="18">
        <f t="shared" si="19"/>
        <v>2.7473666667625123</v>
      </c>
      <c r="BM35" s="18">
        <f t="shared" si="19"/>
        <v>2.9589746169093529</v>
      </c>
      <c r="BN35" s="18">
        <f t="shared" si="19"/>
        <v>0.8500988002758697</v>
      </c>
      <c r="BO35" s="56">
        <f t="shared" si="20"/>
        <v>3</v>
      </c>
      <c r="BQ35" s="18">
        <f t="shared" si="21"/>
        <v>2.7473666667625123</v>
      </c>
      <c r="BR35" s="18">
        <f t="shared" si="21"/>
        <v>2.9589746169093529</v>
      </c>
      <c r="BS35" s="18">
        <f t="shared" si="21"/>
        <v>0.8500988002758697</v>
      </c>
      <c r="BT35" s="56">
        <f t="shared" si="22"/>
        <v>3</v>
      </c>
      <c r="BV35" s="18">
        <f t="shared" si="23"/>
        <v>2.7473666667625123</v>
      </c>
      <c r="BW35" s="18">
        <f t="shared" si="23"/>
        <v>2.9589746169093529</v>
      </c>
      <c r="BX35" s="18">
        <f t="shared" si="23"/>
        <v>0.8500988002758697</v>
      </c>
      <c r="BY35" s="56">
        <f t="shared" si="24"/>
        <v>3</v>
      </c>
      <c r="CA35" s="18">
        <f t="shared" si="25"/>
        <v>2.7473666667625123</v>
      </c>
      <c r="CB35" s="18">
        <f t="shared" si="25"/>
        <v>2.9589746169093529</v>
      </c>
      <c r="CC35" s="18">
        <f t="shared" si="25"/>
        <v>0.8500988002758697</v>
      </c>
      <c r="CD35" s="56">
        <f t="shared" si="26"/>
        <v>3</v>
      </c>
    </row>
    <row r="36" spans="1:82" x14ac:dyDescent="0.25">
      <c r="A36" s="36" t="str">
        <f>KMeans_Data!A18</f>
        <v>Larkana</v>
      </c>
      <c r="B36" s="18">
        <f>KMeans_Data!H18</f>
        <v>1.0373368721320242</v>
      </c>
      <c r="C36" s="18">
        <f>KMeans_Data!I18</f>
        <v>0.37868427752921691</v>
      </c>
      <c r="D36" s="18">
        <f>KMeans_Data!J18</f>
        <v>1.4704046399545831</v>
      </c>
      <c r="E36" s="56">
        <f t="shared" si="0"/>
        <v>3</v>
      </c>
      <c r="F36" s="38">
        <f t="shared" si="1"/>
        <v>0.85638410079836513</v>
      </c>
      <c r="G36" s="13" t="str">
        <f t="shared" si="2"/>
        <v>Medium burden</v>
      </c>
      <c r="H36" s="18">
        <f>IF(COUNTIF(Distance_Matrix!$E$9:$DQ$9,$E36)&lt;=1,0,SUMIF(Distance_Matrix!$E$9:$DQ$9,$E36,Distance_Matrix!$E$27:$DQ$27)/(COUNTIF(Distance_Matrix!$E$9:$DQ$9,$E36)-1))</f>
        <v>1.247710334128781</v>
      </c>
      <c r="I36" s="18">
        <f>MIN(IF(1=$E36,1E+99,IF(COUNTIF(Distance_Matrix!$E$9:$DQ$9,1)=0,1E+99,SUMIF(Distance_Matrix!$E$9:$DQ$9,1,Distance_Matrix!$E$27:$DQ$27)/COUNTIF(Distance_Matrix!$E$9:$DQ$9,1))),IF(2=$E36,1E+99,IF(COUNTIF(Distance_Matrix!$E$9:$DQ$9,2)=0,1E+99,SUMIF(Distance_Matrix!$E$9:$DQ$9,2,Distance_Matrix!$E$27:$DQ$27)/COUNTIF(Distance_Matrix!$E$9:$DQ$9,2))),IF(3=$E36,1E+99,IF(COUNTIF(Distance_Matrix!$E$9:$DQ$9,3)=0,1E+99,SUMIF(Distance_Matrix!$E$9:$DQ$9,3,Distance_Matrix!$E$27:$DQ$27)/COUNTIF(Distance_Matrix!$E$9:$DQ$9,3))))</f>
        <v>3.005734625830712</v>
      </c>
      <c r="J36" s="18">
        <f>IF(COUNTIF(Distance_Matrix!$E$9:$DQ$9,$E36)&lt;=1,0,(I36-H36)/MAX(H36,I36))</f>
        <v>0.58489005536077754</v>
      </c>
      <c r="X36" s="18">
        <f t="shared" si="3"/>
        <v>4.6451579272007946</v>
      </c>
      <c r="Y36" s="18">
        <f t="shared" si="3"/>
        <v>4.2029955567656474</v>
      </c>
      <c r="Z36" s="18">
        <f t="shared" si="3"/>
        <v>0</v>
      </c>
      <c r="AA36" s="56">
        <f t="shared" si="4"/>
        <v>3</v>
      </c>
      <c r="AC36" s="18">
        <f t="shared" si="5"/>
        <v>3.740681397156457</v>
      </c>
      <c r="AD36" s="18">
        <f t="shared" si="5"/>
        <v>3.0929490913605457</v>
      </c>
      <c r="AE36" s="18">
        <f t="shared" si="5"/>
        <v>1.02892300581204</v>
      </c>
      <c r="AF36" s="56">
        <f t="shared" si="6"/>
        <v>3</v>
      </c>
      <c r="AH36" s="18">
        <f t="shared" si="7"/>
        <v>3.1263830465803006</v>
      </c>
      <c r="AI36" s="18">
        <f t="shared" si="7"/>
        <v>2.9651988987671341</v>
      </c>
      <c r="AJ36" s="18">
        <f t="shared" si="7"/>
        <v>0.94484637793470283</v>
      </c>
      <c r="AK36" s="56">
        <f t="shared" si="8"/>
        <v>3</v>
      </c>
      <c r="AM36" s="18">
        <f t="shared" si="9"/>
        <v>3.1263830465803006</v>
      </c>
      <c r="AN36" s="18">
        <f t="shared" si="9"/>
        <v>2.9497991515089308</v>
      </c>
      <c r="AO36" s="18">
        <f t="shared" si="9"/>
        <v>0.92541023378735399</v>
      </c>
      <c r="AP36" s="56">
        <f t="shared" si="10"/>
        <v>3</v>
      </c>
      <c r="AR36" s="18">
        <f t="shared" si="11"/>
        <v>3.1263830465803006</v>
      </c>
      <c r="AS36" s="18">
        <f t="shared" si="11"/>
        <v>2.9497991515089308</v>
      </c>
      <c r="AT36" s="18">
        <f t="shared" si="11"/>
        <v>0.92541023378735399</v>
      </c>
      <c r="AU36" s="56">
        <f t="shared" si="12"/>
        <v>3</v>
      </c>
      <c r="AW36" s="18">
        <f t="shared" si="13"/>
        <v>3.1263830465803006</v>
      </c>
      <c r="AX36" s="18">
        <f t="shared" si="13"/>
        <v>2.9497991515089308</v>
      </c>
      <c r="AY36" s="18">
        <f t="shared" si="13"/>
        <v>0.92541023378735399</v>
      </c>
      <c r="AZ36" s="56">
        <f t="shared" si="14"/>
        <v>3</v>
      </c>
      <c r="BB36" s="18">
        <f t="shared" si="15"/>
        <v>3.1263830465803006</v>
      </c>
      <c r="BC36" s="18">
        <f t="shared" si="15"/>
        <v>2.9497991515089308</v>
      </c>
      <c r="BD36" s="18">
        <f t="shared" si="15"/>
        <v>0.92541023378735399</v>
      </c>
      <c r="BE36" s="56">
        <f t="shared" si="16"/>
        <v>3</v>
      </c>
      <c r="BG36" s="18">
        <f t="shared" si="17"/>
        <v>3.1263830465803006</v>
      </c>
      <c r="BH36" s="18">
        <f t="shared" si="17"/>
        <v>2.9497991515089308</v>
      </c>
      <c r="BI36" s="18">
        <f t="shared" si="17"/>
        <v>0.92541023378735399</v>
      </c>
      <c r="BJ36" s="56">
        <f t="shared" si="18"/>
        <v>3</v>
      </c>
      <c r="BL36" s="18">
        <f t="shared" si="19"/>
        <v>3.1263830465803006</v>
      </c>
      <c r="BM36" s="18">
        <f t="shared" si="19"/>
        <v>2.9497991515089308</v>
      </c>
      <c r="BN36" s="18">
        <f t="shared" si="19"/>
        <v>0.92541023378735399</v>
      </c>
      <c r="BO36" s="56">
        <f t="shared" si="20"/>
        <v>3</v>
      </c>
      <c r="BQ36" s="18">
        <f t="shared" si="21"/>
        <v>3.1263830465803006</v>
      </c>
      <c r="BR36" s="18">
        <f t="shared" si="21"/>
        <v>2.9497991515089308</v>
      </c>
      <c r="BS36" s="18">
        <f t="shared" si="21"/>
        <v>0.92541023378735399</v>
      </c>
      <c r="BT36" s="56">
        <f t="shared" si="22"/>
        <v>3</v>
      </c>
      <c r="BV36" s="18">
        <f t="shared" si="23"/>
        <v>3.1263830465803006</v>
      </c>
      <c r="BW36" s="18">
        <f t="shared" si="23"/>
        <v>2.9497991515089308</v>
      </c>
      <c r="BX36" s="18">
        <f t="shared" si="23"/>
        <v>0.92541023378735399</v>
      </c>
      <c r="BY36" s="56">
        <f t="shared" si="24"/>
        <v>3</v>
      </c>
      <c r="CA36" s="18">
        <f t="shared" si="25"/>
        <v>3.1263830465803006</v>
      </c>
      <c r="CB36" s="18">
        <f t="shared" si="25"/>
        <v>2.9497991515089308</v>
      </c>
      <c r="CC36" s="18">
        <f t="shared" si="25"/>
        <v>0.92541023378735399</v>
      </c>
      <c r="CD36" s="56">
        <f t="shared" si="26"/>
        <v>3</v>
      </c>
    </row>
    <row r="37" spans="1:82" x14ac:dyDescent="0.25">
      <c r="A37" s="36" t="str">
        <f>KMeans_Data!A19</f>
        <v>Ghotki</v>
      </c>
      <c r="B37" s="18">
        <f>KMeans_Data!H19</f>
        <v>1.0078177751973447</v>
      </c>
      <c r="C37" s="18">
        <f>KMeans_Data!I19</f>
        <v>-0.14698313392952958</v>
      </c>
      <c r="D37" s="18">
        <f>KMeans_Data!J19</f>
        <v>1.1668769645807604</v>
      </c>
      <c r="E37" s="56">
        <f t="shared" si="0"/>
        <v>3</v>
      </c>
      <c r="F37" s="38">
        <f t="shared" si="1"/>
        <v>0.78744624027170729</v>
      </c>
      <c r="G37" s="13" t="str">
        <f t="shared" si="2"/>
        <v>Medium burden</v>
      </c>
      <c r="H37" s="18">
        <f>IF(COUNTIF(Distance_Matrix!$E$9:$DQ$9,$E37)&lt;=1,0,SUMIF(Distance_Matrix!$E$9:$DQ$9,$E37,Distance_Matrix!$E$28:$DQ$28)/(COUNTIF(Distance_Matrix!$E$9:$DQ$9,$E37)-1))</f>
        <v>1.2525693664500661</v>
      </c>
      <c r="I37" s="18">
        <f>MIN(IF(1=$E37,1E+99,IF(COUNTIF(Distance_Matrix!$E$9:$DQ$9,1)=0,1E+99,SUMIF(Distance_Matrix!$E$9:$DQ$9,1,Distance_Matrix!$E$28:$DQ$28)/COUNTIF(Distance_Matrix!$E$9:$DQ$9,1))),IF(2=$E37,1E+99,IF(COUNTIF(Distance_Matrix!$E$9:$DQ$9,2)=0,1E+99,SUMIF(Distance_Matrix!$E$9:$DQ$9,2,Distance_Matrix!$E$28:$DQ$28)/COUNTIF(Distance_Matrix!$E$9:$DQ$9,2))),IF(3=$E37,1E+99,IF(COUNTIF(Distance_Matrix!$E$9:$DQ$9,3)=0,1E+99,SUMIF(Distance_Matrix!$E$9:$DQ$9,3,Distance_Matrix!$E$28:$DQ$28)/COUNTIF(Distance_Matrix!$E$9:$DQ$9,3))))</f>
        <v>2.6226111356625332</v>
      </c>
      <c r="J37" s="18">
        <f>IF(COUNTIF(Distance_Matrix!$E$9:$DQ$9,$E37)&lt;=1,0,(I37-H37)/MAX(H37,I37))</f>
        <v>0.52239607717000036</v>
      </c>
      <c r="X37" s="18">
        <f t="shared" si="3"/>
        <v>5.1970094204493611</v>
      </c>
      <c r="Y37" s="18">
        <f t="shared" si="3"/>
        <v>3.8932095409482974</v>
      </c>
      <c r="Z37" s="18">
        <f t="shared" si="3"/>
        <v>0.60772251420480949</v>
      </c>
      <c r="AA37" s="56">
        <f t="shared" si="4"/>
        <v>3</v>
      </c>
      <c r="AC37" s="18">
        <f t="shared" si="5"/>
        <v>4.2870094374212293</v>
      </c>
      <c r="AD37" s="18">
        <f t="shared" si="5"/>
        <v>2.7130041552937612</v>
      </c>
      <c r="AE37" s="18">
        <f t="shared" si="5"/>
        <v>0.91196667612548021</v>
      </c>
      <c r="AF37" s="56">
        <f t="shared" si="6"/>
        <v>3</v>
      </c>
      <c r="AH37" s="18">
        <f t="shared" si="7"/>
        <v>3.6711279091909406</v>
      </c>
      <c r="AI37" s="18">
        <f t="shared" si="7"/>
        <v>2.5788419033829708</v>
      </c>
      <c r="AJ37" s="18">
        <f t="shared" si="7"/>
        <v>0.89623238272656858</v>
      </c>
      <c r="AK37" s="56">
        <f t="shared" si="8"/>
        <v>3</v>
      </c>
      <c r="AM37" s="18">
        <f t="shared" si="9"/>
        <v>3.6711279091909406</v>
      </c>
      <c r="AN37" s="18">
        <f t="shared" si="9"/>
        <v>2.5644194313866575</v>
      </c>
      <c r="AO37" s="18">
        <f t="shared" si="9"/>
        <v>0.88738167677257529</v>
      </c>
      <c r="AP37" s="56">
        <f t="shared" si="10"/>
        <v>3</v>
      </c>
      <c r="AR37" s="18">
        <f t="shared" si="11"/>
        <v>3.6711279091909406</v>
      </c>
      <c r="AS37" s="18">
        <f t="shared" si="11"/>
        <v>2.5644194313866575</v>
      </c>
      <c r="AT37" s="18">
        <f t="shared" si="11"/>
        <v>0.88738167677257529</v>
      </c>
      <c r="AU37" s="56">
        <f t="shared" si="12"/>
        <v>3</v>
      </c>
      <c r="AW37" s="18">
        <f t="shared" si="13"/>
        <v>3.6711279091909406</v>
      </c>
      <c r="AX37" s="18">
        <f t="shared" si="13"/>
        <v>2.5644194313866575</v>
      </c>
      <c r="AY37" s="18">
        <f t="shared" si="13"/>
        <v>0.88738167677257529</v>
      </c>
      <c r="AZ37" s="56">
        <f t="shared" si="14"/>
        <v>3</v>
      </c>
      <c r="BB37" s="18">
        <f t="shared" si="15"/>
        <v>3.6711279091909406</v>
      </c>
      <c r="BC37" s="18">
        <f t="shared" si="15"/>
        <v>2.5644194313866575</v>
      </c>
      <c r="BD37" s="18">
        <f t="shared" si="15"/>
        <v>0.88738167677257529</v>
      </c>
      <c r="BE37" s="56">
        <f t="shared" si="16"/>
        <v>3</v>
      </c>
      <c r="BG37" s="18">
        <f t="shared" si="17"/>
        <v>3.6711279091909406</v>
      </c>
      <c r="BH37" s="18">
        <f t="shared" si="17"/>
        <v>2.5644194313866575</v>
      </c>
      <c r="BI37" s="18">
        <f t="shared" si="17"/>
        <v>0.88738167677257529</v>
      </c>
      <c r="BJ37" s="56">
        <f t="shared" si="18"/>
        <v>3</v>
      </c>
      <c r="BL37" s="18">
        <f t="shared" si="19"/>
        <v>3.6711279091909406</v>
      </c>
      <c r="BM37" s="18">
        <f t="shared" si="19"/>
        <v>2.5644194313866575</v>
      </c>
      <c r="BN37" s="18">
        <f t="shared" si="19"/>
        <v>0.88738167677257529</v>
      </c>
      <c r="BO37" s="56">
        <f t="shared" si="20"/>
        <v>3</v>
      </c>
      <c r="BQ37" s="18">
        <f t="shared" si="21"/>
        <v>3.6711279091909406</v>
      </c>
      <c r="BR37" s="18">
        <f t="shared" si="21"/>
        <v>2.5644194313866575</v>
      </c>
      <c r="BS37" s="18">
        <f t="shared" si="21"/>
        <v>0.88738167677257529</v>
      </c>
      <c r="BT37" s="56">
        <f t="shared" si="22"/>
        <v>3</v>
      </c>
      <c r="BV37" s="18">
        <f t="shared" si="23"/>
        <v>3.6711279091909406</v>
      </c>
      <c r="BW37" s="18">
        <f t="shared" si="23"/>
        <v>2.5644194313866575</v>
      </c>
      <c r="BX37" s="18">
        <f t="shared" si="23"/>
        <v>0.88738167677257529</v>
      </c>
      <c r="BY37" s="56">
        <f t="shared" si="24"/>
        <v>3</v>
      </c>
      <c r="CA37" s="18">
        <f t="shared" si="25"/>
        <v>3.6711279091909406</v>
      </c>
      <c r="CB37" s="18">
        <f t="shared" si="25"/>
        <v>2.5644194313866575</v>
      </c>
      <c r="CC37" s="18">
        <f t="shared" si="25"/>
        <v>0.88738167677257529</v>
      </c>
      <c r="CD37" s="56">
        <f t="shared" si="26"/>
        <v>3</v>
      </c>
    </row>
    <row r="38" spans="1:82" x14ac:dyDescent="0.25">
      <c r="A38" s="36" t="str">
        <f>KMeans_Data!A20</f>
        <v>Dir Lower</v>
      </c>
      <c r="B38" s="18">
        <f>KMeans_Data!H20</f>
        <v>0.97062552695729998</v>
      </c>
      <c r="C38" s="18">
        <f>KMeans_Data!I20</f>
        <v>0.99367572463826759</v>
      </c>
      <c r="D38" s="18">
        <f>KMeans_Data!J20</f>
        <v>0.99752622880062936</v>
      </c>
      <c r="E38" s="56">
        <f t="shared" si="0"/>
        <v>3</v>
      </c>
      <c r="F38" s="38">
        <f t="shared" si="1"/>
        <v>0.59751101111269644</v>
      </c>
      <c r="G38" s="13" t="str">
        <f t="shared" si="2"/>
        <v>Medium burden</v>
      </c>
      <c r="H38" s="18">
        <f>IF(COUNTIF(Distance_Matrix!$E$9:$DQ$9,$E38)&lt;=1,0,SUMIF(Distance_Matrix!$E$9:$DQ$9,$E38,Distance_Matrix!$E$29:$DQ$29)/(COUNTIF(Distance_Matrix!$E$9:$DQ$9,$E38)-1))</f>
        <v>1.1031825649613147</v>
      </c>
      <c r="I38" s="18">
        <f>MIN(IF(1=$E38,1E+99,IF(COUNTIF(Distance_Matrix!$E$9:$DQ$9,1)=0,1E+99,SUMIF(Distance_Matrix!$E$9:$DQ$9,1,Distance_Matrix!$E$29:$DQ$29)/COUNTIF(Distance_Matrix!$E$9:$DQ$9,1))),IF(2=$E38,1E+99,IF(COUNTIF(Distance_Matrix!$E$9:$DQ$9,2)=0,1E+99,SUMIF(Distance_Matrix!$E$9:$DQ$9,2,Distance_Matrix!$E$29:$DQ$29)/COUNTIF(Distance_Matrix!$E$9:$DQ$9,2))),IF(3=$E38,1E+99,IF(COUNTIF(Distance_Matrix!$E$9:$DQ$9,3)=0,1E+99,SUMIF(Distance_Matrix!$E$9:$DQ$9,3,Distance_Matrix!$E$29:$DQ$29)/COUNTIF(Distance_Matrix!$E$9:$DQ$9,3))))</f>
        <v>2.8641076695825838</v>
      </c>
      <c r="J38" s="18">
        <f>IF(COUNTIF(Distance_Matrix!$E$9:$DQ$9,$E38)&lt;=1,0,(I38-H38)/MAX(H38,I38))</f>
        <v>0.61482503724376636</v>
      </c>
      <c r="X38" s="18">
        <f t="shared" si="3"/>
        <v>4.4346274447006611</v>
      </c>
      <c r="Y38" s="18">
        <f t="shared" si="3"/>
        <v>4.0834470612488181</v>
      </c>
      <c r="Z38" s="18">
        <f t="shared" si="3"/>
        <v>0.77863911751709047</v>
      </c>
      <c r="AA38" s="56">
        <f t="shared" si="4"/>
        <v>3</v>
      </c>
      <c r="AC38" s="18">
        <f t="shared" si="5"/>
        <v>3.4555943805914788</v>
      </c>
      <c r="AD38" s="18">
        <f t="shared" si="5"/>
        <v>3.0028641455020924</v>
      </c>
      <c r="AE38" s="18">
        <f t="shared" si="5"/>
        <v>0.89113979465594229</v>
      </c>
      <c r="AF38" s="56">
        <f t="shared" si="6"/>
        <v>3</v>
      </c>
      <c r="AH38" s="18">
        <f t="shared" si="7"/>
        <v>2.8195485300079715</v>
      </c>
      <c r="AI38" s="18">
        <f t="shared" si="7"/>
        <v>2.8827394835548659</v>
      </c>
      <c r="AJ38" s="18">
        <f t="shared" si="7"/>
        <v>0.79692681705744794</v>
      </c>
      <c r="AK38" s="56">
        <f t="shared" si="8"/>
        <v>3</v>
      </c>
      <c r="AM38" s="18">
        <f t="shared" si="9"/>
        <v>2.8195485300079715</v>
      </c>
      <c r="AN38" s="18">
        <f t="shared" si="9"/>
        <v>2.8676819674073655</v>
      </c>
      <c r="AO38" s="18">
        <f t="shared" si="9"/>
        <v>0.77298836415090777</v>
      </c>
      <c r="AP38" s="56">
        <f t="shared" si="10"/>
        <v>3</v>
      </c>
      <c r="AR38" s="18">
        <f t="shared" si="11"/>
        <v>2.8195485300079715</v>
      </c>
      <c r="AS38" s="18">
        <f t="shared" si="11"/>
        <v>2.8676819674073655</v>
      </c>
      <c r="AT38" s="18">
        <f t="shared" si="11"/>
        <v>0.77298836415090777</v>
      </c>
      <c r="AU38" s="56">
        <f t="shared" si="12"/>
        <v>3</v>
      </c>
      <c r="AW38" s="18">
        <f t="shared" si="13"/>
        <v>2.8195485300079715</v>
      </c>
      <c r="AX38" s="18">
        <f t="shared" si="13"/>
        <v>2.8676819674073655</v>
      </c>
      <c r="AY38" s="18">
        <f t="shared" si="13"/>
        <v>0.77298836415090777</v>
      </c>
      <c r="AZ38" s="56">
        <f t="shared" si="14"/>
        <v>3</v>
      </c>
      <c r="BB38" s="18">
        <f t="shared" si="15"/>
        <v>2.8195485300079715</v>
      </c>
      <c r="BC38" s="18">
        <f t="shared" si="15"/>
        <v>2.8676819674073655</v>
      </c>
      <c r="BD38" s="18">
        <f t="shared" si="15"/>
        <v>0.77298836415090777</v>
      </c>
      <c r="BE38" s="56">
        <f t="shared" si="16"/>
        <v>3</v>
      </c>
      <c r="BG38" s="18">
        <f t="shared" si="17"/>
        <v>2.8195485300079715</v>
      </c>
      <c r="BH38" s="18">
        <f t="shared" si="17"/>
        <v>2.8676819674073655</v>
      </c>
      <c r="BI38" s="18">
        <f t="shared" si="17"/>
        <v>0.77298836415090777</v>
      </c>
      <c r="BJ38" s="56">
        <f t="shared" si="18"/>
        <v>3</v>
      </c>
      <c r="BL38" s="18">
        <f t="shared" si="19"/>
        <v>2.8195485300079715</v>
      </c>
      <c r="BM38" s="18">
        <f t="shared" si="19"/>
        <v>2.8676819674073655</v>
      </c>
      <c r="BN38" s="18">
        <f t="shared" si="19"/>
        <v>0.77298836415090777</v>
      </c>
      <c r="BO38" s="56">
        <f t="shared" si="20"/>
        <v>3</v>
      </c>
      <c r="BQ38" s="18">
        <f t="shared" si="21"/>
        <v>2.8195485300079715</v>
      </c>
      <c r="BR38" s="18">
        <f t="shared" si="21"/>
        <v>2.8676819674073655</v>
      </c>
      <c r="BS38" s="18">
        <f t="shared" si="21"/>
        <v>0.77298836415090777</v>
      </c>
      <c r="BT38" s="56">
        <f t="shared" si="22"/>
        <v>3</v>
      </c>
      <c r="BV38" s="18">
        <f t="shared" si="23"/>
        <v>2.8195485300079715</v>
      </c>
      <c r="BW38" s="18">
        <f t="shared" si="23"/>
        <v>2.8676819674073655</v>
      </c>
      <c r="BX38" s="18">
        <f t="shared" si="23"/>
        <v>0.77298836415090777</v>
      </c>
      <c r="BY38" s="56">
        <f t="shared" si="24"/>
        <v>3</v>
      </c>
      <c r="CA38" s="18">
        <f t="shared" si="25"/>
        <v>2.8195485300079715</v>
      </c>
      <c r="CB38" s="18">
        <f t="shared" si="25"/>
        <v>2.8676819674073655</v>
      </c>
      <c r="CC38" s="18">
        <f t="shared" si="25"/>
        <v>0.77298836415090777</v>
      </c>
      <c r="CD38" s="56">
        <f t="shared" si="26"/>
        <v>3</v>
      </c>
    </row>
    <row r="39" spans="1:82" x14ac:dyDescent="0.25">
      <c r="A39" s="36" t="str">
        <f>KMeans_Data!A21</f>
        <v>Khairpur</v>
      </c>
      <c r="B39" s="18">
        <f>KMeans_Data!H21</f>
        <v>0.88016218188859063</v>
      </c>
      <c r="C39" s="18">
        <f>KMeans_Data!I21</f>
        <v>0.37868427752921691</v>
      </c>
      <c r="D39" s="18">
        <f>KMeans_Data!J21</f>
        <v>1.5832083798719481</v>
      </c>
      <c r="E39" s="56">
        <f t="shared" si="0"/>
        <v>3</v>
      </c>
      <c r="F39" s="38">
        <f t="shared" si="1"/>
        <v>0.9068728365862716</v>
      </c>
      <c r="G39" s="13" t="str">
        <f t="shared" si="2"/>
        <v>Medium burden</v>
      </c>
      <c r="H39" s="18">
        <f>IF(COUNTIF(Distance_Matrix!$E$9:$DQ$9,$E39)&lt;=1,0,SUMIF(Distance_Matrix!$E$9:$DQ$9,$E39,Distance_Matrix!$E$30:$DQ$30)/(COUNTIF(Distance_Matrix!$E$9:$DQ$9,$E39)-1))</f>
        <v>1.2691490895580104</v>
      </c>
      <c r="I39" s="18">
        <f>MIN(IF(1=$E39,1E+99,IF(COUNTIF(Distance_Matrix!$E$9:$DQ$9,1)=0,1E+99,SUMIF(Distance_Matrix!$E$9:$DQ$9,1,Distance_Matrix!$E$30:$DQ$30)/COUNTIF(Distance_Matrix!$E$9:$DQ$9,1))),IF(2=$E39,1E+99,IF(COUNTIF(Distance_Matrix!$E$9:$DQ$9,2)=0,1E+99,SUMIF(Distance_Matrix!$E$9:$DQ$9,2,Distance_Matrix!$E$30:$DQ$30)/COUNTIF(Distance_Matrix!$E$9:$DQ$9,2))),IF(3=$E39,1E+99,IF(COUNTIF(Distance_Matrix!$E$9:$DQ$9,3)=0,1E+99,SUMIF(Distance_Matrix!$E$9:$DQ$9,3,Distance_Matrix!$E$30:$DQ$30)/COUNTIF(Distance_Matrix!$E$9:$DQ$9,3))))</f>
        <v>3.0093644994943238</v>
      </c>
      <c r="J39" s="18">
        <f>IF(COUNTIF(Distance_Matrix!$E$9:$DQ$9,$E39)&lt;=1,0,(I39-H39)/MAX(H39,I39))</f>
        <v>0.57826674376890175</v>
      </c>
      <c r="X39" s="18">
        <f t="shared" si="3"/>
        <v>4.6814537702265193</v>
      </c>
      <c r="Y39" s="18">
        <f t="shared" si="3"/>
        <v>4.160883299847451</v>
      </c>
      <c r="Z39" s="18">
        <f t="shared" si="3"/>
        <v>0.19346464016058282</v>
      </c>
      <c r="AA39" s="56">
        <f t="shared" si="4"/>
        <v>3</v>
      </c>
      <c r="AC39" s="18">
        <f t="shared" si="5"/>
        <v>3.7891551754127364</v>
      </c>
      <c r="AD39" s="18">
        <f t="shared" si="5"/>
        <v>3.091208881312312</v>
      </c>
      <c r="AE39" s="18">
        <f t="shared" si="5"/>
        <v>1.0626428008787423</v>
      </c>
      <c r="AF39" s="56">
        <f t="shared" si="6"/>
        <v>3</v>
      </c>
      <c r="AH39" s="18">
        <f t="shared" si="7"/>
        <v>3.1789786693576976</v>
      </c>
      <c r="AI39" s="18">
        <f t="shared" si="7"/>
        <v>2.9672166380879292</v>
      </c>
      <c r="AJ39" s="18">
        <f t="shared" si="7"/>
        <v>0.96945194252926514</v>
      </c>
      <c r="AK39" s="56">
        <f t="shared" si="8"/>
        <v>3</v>
      </c>
      <c r="AM39" s="18">
        <f t="shared" si="9"/>
        <v>3.1789786693576976</v>
      </c>
      <c r="AN39" s="18">
        <f t="shared" si="9"/>
        <v>2.9514848273404719</v>
      </c>
      <c r="AO39" s="18">
        <f t="shared" si="9"/>
        <v>0.95229871184742843</v>
      </c>
      <c r="AP39" s="56">
        <f t="shared" si="10"/>
        <v>3</v>
      </c>
      <c r="AR39" s="18">
        <f t="shared" si="11"/>
        <v>3.1789786693576976</v>
      </c>
      <c r="AS39" s="18">
        <f t="shared" si="11"/>
        <v>2.9514848273404719</v>
      </c>
      <c r="AT39" s="18">
        <f t="shared" si="11"/>
        <v>0.95229871184742843</v>
      </c>
      <c r="AU39" s="56">
        <f t="shared" si="12"/>
        <v>3</v>
      </c>
      <c r="AW39" s="18">
        <f t="shared" si="13"/>
        <v>3.1789786693576976</v>
      </c>
      <c r="AX39" s="18">
        <f t="shared" si="13"/>
        <v>2.9514848273404719</v>
      </c>
      <c r="AY39" s="18">
        <f t="shared" si="13"/>
        <v>0.95229871184742843</v>
      </c>
      <c r="AZ39" s="56">
        <f t="shared" si="14"/>
        <v>3</v>
      </c>
      <c r="BB39" s="18">
        <f t="shared" si="15"/>
        <v>3.1789786693576976</v>
      </c>
      <c r="BC39" s="18">
        <f t="shared" si="15"/>
        <v>2.9514848273404719</v>
      </c>
      <c r="BD39" s="18">
        <f t="shared" si="15"/>
        <v>0.95229871184742843</v>
      </c>
      <c r="BE39" s="56">
        <f t="shared" si="16"/>
        <v>3</v>
      </c>
      <c r="BG39" s="18">
        <f t="shared" si="17"/>
        <v>3.1789786693576976</v>
      </c>
      <c r="BH39" s="18">
        <f t="shared" si="17"/>
        <v>2.9514848273404719</v>
      </c>
      <c r="BI39" s="18">
        <f t="shared" si="17"/>
        <v>0.95229871184742843</v>
      </c>
      <c r="BJ39" s="56">
        <f t="shared" si="18"/>
        <v>3</v>
      </c>
      <c r="BL39" s="18">
        <f t="shared" si="19"/>
        <v>3.1789786693576976</v>
      </c>
      <c r="BM39" s="18">
        <f t="shared" si="19"/>
        <v>2.9514848273404719</v>
      </c>
      <c r="BN39" s="18">
        <f t="shared" si="19"/>
        <v>0.95229871184742843</v>
      </c>
      <c r="BO39" s="56">
        <f t="shared" si="20"/>
        <v>3</v>
      </c>
      <c r="BQ39" s="18">
        <f t="shared" si="21"/>
        <v>3.1789786693576976</v>
      </c>
      <c r="BR39" s="18">
        <f t="shared" si="21"/>
        <v>2.9514848273404719</v>
      </c>
      <c r="BS39" s="18">
        <f t="shared" si="21"/>
        <v>0.95229871184742843</v>
      </c>
      <c r="BT39" s="56">
        <f t="shared" si="22"/>
        <v>3</v>
      </c>
      <c r="BV39" s="18">
        <f t="shared" si="23"/>
        <v>3.1789786693576976</v>
      </c>
      <c r="BW39" s="18">
        <f t="shared" si="23"/>
        <v>2.9514848273404719</v>
      </c>
      <c r="BX39" s="18">
        <f t="shared" si="23"/>
        <v>0.95229871184742843</v>
      </c>
      <c r="BY39" s="56">
        <f t="shared" si="24"/>
        <v>3</v>
      </c>
      <c r="CA39" s="18">
        <f t="shared" si="25"/>
        <v>3.1789786693576976</v>
      </c>
      <c r="CB39" s="18">
        <f t="shared" si="25"/>
        <v>2.9514848273404719</v>
      </c>
      <c r="CC39" s="18">
        <f t="shared" si="25"/>
        <v>0.95229871184742843</v>
      </c>
      <c r="CD39" s="56">
        <f t="shared" si="26"/>
        <v>3</v>
      </c>
    </row>
    <row r="40" spans="1:82" x14ac:dyDescent="0.25">
      <c r="A40" s="36" t="str">
        <f>KMeans_Data!A22</f>
        <v>Abbottabad</v>
      </c>
      <c r="B40" s="18">
        <f>KMeans_Data!H22</f>
        <v>0.85300106201847159</v>
      </c>
      <c r="C40" s="18">
        <f>KMeans_Data!I22</f>
        <v>1.3810745208577742</v>
      </c>
      <c r="D40" s="18">
        <f>KMeans_Data!J22</f>
        <v>0.61832866607444492</v>
      </c>
      <c r="E40" s="56">
        <f t="shared" si="0"/>
        <v>3</v>
      </c>
      <c r="F40" s="38">
        <f t="shared" si="1"/>
        <v>1.0086464434512543</v>
      </c>
      <c r="G40" s="13" t="str">
        <f t="shared" si="2"/>
        <v>Medium burden</v>
      </c>
      <c r="H40" s="18">
        <f>IF(COUNTIF(Distance_Matrix!$E$9:$DQ$9,$E40)&lt;=1,0,SUMIF(Distance_Matrix!$E$9:$DQ$9,$E40,Distance_Matrix!$E$31:$DQ$31)/(COUNTIF(Distance_Matrix!$E$9:$DQ$9,$E40)-1))</f>
        <v>1.2674994733550591</v>
      </c>
      <c r="I40" s="18">
        <f>MIN(IF(1=$E40,1E+99,IF(COUNTIF(Distance_Matrix!$E$9:$DQ$9,1)=0,1E+99,SUMIF(Distance_Matrix!$E$9:$DQ$9,1,Distance_Matrix!$E$31:$DQ$31)/COUNTIF(Distance_Matrix!$E$9:$DQ$9,1))),IF(2=$E40,1E+99,IF(COUNTIF(Distance_Matrix!$E$9:$DQ$9,2)=0,1E+99,SUMIF(Distance_Matrix!$E$9:$DQ$9,2,Distance_Matrix!$E$31:$DQ$31)/COUNTIF(Distance_Matrix!$E$9:$DQ$9,2))),IF(3=$E40,1E+99,IF(COUNTIF(Distance_Matrix!$E$9:$DQ$9,3)=0,1E+99,SUMIF(Distance_Matrix!$E$9:$DQ$9,3,Distance_Matrix!$E$31:$DQ$31)/COUNTIF(Distance_Matrix!$E$9:$DQ$9,3))))</f>
        <v>2.8614740043852387</v>
      </c>
      <c r="J40" s="18">
        <f>IF(COUNTIF(Distance_Matrix!$E$9:$DQ$9,$E40)&lt;=1,0,(I40-H40)/MAX(H40,I40))</f>
        <v>0.55704665797676201</v>
      </c>
      <c r="X40" s="18">
        <f t="shared" si="3"/>
        <v>4.4571842215707198</v>
      </c>
      <c r="Y40" s="18">
        <f t="shared" si="3"/>
        <v>3.9912836185819178</v>
      </c>
      <c r="Z40" s="18">
        <f t="shared" si="3"/>
        <v>1.3284575100748572</v>
      </c>
      <c r="AA40" s="56">
        <f t="shared" si="4"/>
        <v>3</v>
      </c>
      <c r="AC40" s="18">
        <f t="shared" si="5"/>
        <v>3.4436113018457131</v>
      </c>
      <c r="AD40" s="18">
        <f t="shared" si="5"/>
        <v>2.9668010006678873</v>
      </c>
      <c r="AE40" s="18">
        <f t="shared" si="5"/>
        <v>1.0865963870484734</v>
      </c>
      <c r="AF40" s="56">
        <f t="shared" si="6"/>
        <v>3</v>
      </c>
      <c r="AH40" s="18">
        <f t="shared" si="7"/>
        <v>2.8127190488647473</v>
      </c>
      <c r="AI40" s="18">
        <f t="shared" si="7"/>
        <v>2.8578186936044161</v>
      </c>
      <c r="AJ40" s="18">
        <f t="shared" si="7"/>
        <v>1.0209144026842645</v>
      </c>
      <c r="AK40" s="56">
        <f t="shared" si="8"/>
        <v>3</v>
      </c>
      <c r="AM40" s="18">
        <f t="shared" si="9"/>
        <v>2.8127190488647473</v>
      </c>
      <c r="AN40" s="18">
        <f t="shared" si="9"/>
        <v>2.8436343197033547</v>
      </c>
      <c r="AO40" s="18">
        <f t="shared" si="9"/>
        <v>1.0043139167866062</v>
      </c>
      <c r="AP40" s="56">
        <f t="shared" si="10"/>
        <v>3</v>
      </c>
      <c r="AR40" s="18">
        <f t="shared" si="11"/>
        <v>2.8127190488647473</v>
      </c>
      <c r="AS40" s="18">
        <f t="shared" si="11"/>
        <v>2.8436343197033547</v>
      </c>
      <c r="AT40" s="18">
        <f t="shared" si="11"/>
        <v>1.0043139167866062</v>
      </c>
      <c r="AU40" s="56">
        <f t="shared" si="12"/>
        <v>3</v>
      </c>
      <c r="AW40" s="18">
        <f t="shared" si="13"/>
        <v>2.8127190488647473</v>
      </c>
      <c r="AX40" s="18">
        <f t="shared" si="13"/>
        <v>2.8436343197033547</v>
      </c>
      <c r="AY40" s="18">
        <f t="shared" si="13"/>
        <v>1.0043139167866062</v>
      </c>
      <c r="AZ40" s="56">
        <f t="shared" si="14"/>
        <v>3</v>
      </c>
      <c r="BB40" s="18">
        <f t="shared" si="15"/>
        <v>2.8127190488647473</v>
      </c>
      <c r="BC40" s="18">
        <f t="shared" si="15"/>
        <v>2.8436343197033547</v>
      </c>
      <c r="BD40" s="18">
        <f t="shared" si="15"/>
        <v>1.0043139167866062</v>
      </c>
      <c r="BE40" s="56">
        <f t="shared" si="16"/>
        <v>3</v>
      </c>
      <c r="BG40" s="18">
        <f t="shared" si="17"/>
        <v>2.8127190488647473</v>
      </c>
      <c r="BH40" s="18">
        <f t="shared" si="17"/>
        <v>2.8436343197033547</v>
      </c>
      <c r="BI40" s="18">
        <f t="shared" si="17"/>
        <v>1.0043139167866062</v>
      </c>
      <c r="BJ40" s="56">
        <f t="shared" si="18"/>
        <v>3</v>
      </c>
      <c r="BL40" s="18">
        <f t="shared" si="19"/>
        <v>2.8127190488647473</v>
      </c>
      <c r="BM40" s="18">
        <f t="shared" si="19"/>
        <v>2.8436343197033547</v>
      </c>
      <c r="BN40" s="18">
        <f t="shared" si="19"/>
        <v>1.0043139167866062</v>
      </c>
      <c r="BO40" s="56">
        <f t="shared" si="20"/>
        <v>3</v>
      </c>
      <c r="BQ40" s="18">
        <f t="shared" si="21"/>
        <v>2.8127190488647473</v>
      </c>
      <c r="BR40" s="18">
        <f t="shared" si="21"/>
        <v>2.8436343197033547</v>
      </c>
      <c r="BS40" s="18">
        <f t="shared" si="21"/>
        <v>1.0043139167866062</v>
      </c>
      <c r="BT40" s="56">
        <f t="shared" si="22"/>
        <v>3</v>
      </c>
      <c r="BV40" s="18">
        <f t="shared" si="23"/>
        <v>2.8127190488647473</v>
      </c>
      <c r="BW40" s="18">
        <f t="shared" si="23"/>
        <v>2.8436343197033547</v>
      </c>
      <c r="BX40" s="18">
        <f t="shared" si="23"/>
        <v>1.0043139167866062</v>
      </c>
      <c r="BY40" s="56">
        <f t="shared" si="24"/>
        <v>3</v>
      </c>
      <c r="CA40" s="18">
        <f t="shared" si="25"/>
        <v>2.8127190488647473</v>
      </c>
      <c r="CB40" s="18">
        <f t="shared" si="25"/>
        <v>2.8436343197033547</v>
      </c>
      <c r="CC40" s="18">
        <f t="shared" si="25"/>
        <v>1.0043139167866062</v>
      </c>
      <c r="CD40" s="56">
        <f t="shared" si="26"/>
        <v>3</v>
      </c>
    </row>
    <row r="41" spans="1:82" x14ac:dyDescent="0.25">
      <c r="A41" s="36" t="str">
        <f>KMeans_Data!A23</f>
        <v>Nowshera</v>
      </c>
      <c r="B41" s="18">
        <f>KMeans_Data!H23</f>
        <v>0.85113891327863989</v>
      </c>
      <c r="C41" s="18">
        <f>KMeans_Data!I23</f>
        <v>1.3810745208577742</v>
      </c>
      <c r="D41" s="18">
        <f>KMeans_Data!J23</f>
        <v>0.9343491606149037</v>
      </c>
      <c r="E41" s="56">
        <f t="shared" si="0"/>
        <v>3</v>
      </c>
      <c r="F41" s="38">
        <f t="shared" si="1"/>
        <v>1.0551836489776409</v>
      </c>
      <c r="G41" s="13" t="str">
        <f t="shared" si="2"/>
        <v>Medium burden</v>
      </c>
      <c r="H41" s="18">
        <f>IF(COUNTIF(Distance_Matrix!$E$9:$DQ$9,$E41)&lt;=1,0,SUMIF(Distance_Matrix!$E$9:$DQ$9,$E41,Distance_Matrix!$E$32:$DQ$32)/(COUNTIF(Distance_Matrix!$E$9:$DQ$9,$E41)-1))</f>
        <v>1.2659785553365366</v>
      </c>
      <c r="I41" s="18">
        <f>MIN(IF(1=$E41,1E+99,IF(COUNTIF(Distance_Matrix!$E$9:$DQ$9,1)=0,1E+99,SUMIF(Distance_Matrix!$E$9:$DQ$9,1,Distance_Matrix!$E$32:$DQ$32)/COUNTIF(Distance_Matrix!$E$9:$DQ$9,1))),IF(2=$E41,1E+99,IF(COUNTIF(Distance_Matrix!$E$9:$DQ$9,2)=0,1E+99,SUMIF(Distance_Matrix!$E$9:$DQ$9,2,Distance_Matrix!$E$32:$DQ$32)/COUNTIF(Distance_Matrix!$E$9:$DQ$9,2))),IF(3=$E41,1E+99,IF(COUNTIF(Distance_Matrix!$E$9:$DQ$9,3)=0,1E+99,SUMIF(Distance_Matrix!$E$9:$DQ$9,3,Distance_Matrix!$E$32:$DQ$32)/COUNTIF(Distance_Matrix!$E$9:$DQ$9,3))))</f>
        <v>2.701421480530831</v>
      </c>
      <c r="J41" s="18">
        <f>IF(COUNTIF(Distance_Matrix!$E$9:$DQ$9,$E41)&lt;=1,0,(I41-H41)/MAX(H41,I41))</f>
        <v>0.53136577743959779</v>
      </c>
      <c r="X41" s="18">
        <f t="shared" si="3"/>
        <v>4.2790585979296116</v>
      </c>
      <c r="Y41" s="18">
        <f t="shared" si="3"/>
        <v>4.1393475396496306</v>
      </c>
      <c r="Z41" s="18">
        <f t="shared" si="3"/>
        <v>1.1518729776896166</v>
      </c>
      <c r="AA41" s="56">
        <f t="shared" si="4"/>
        <v>3</v>
      </c>
      <c r="AC41" s="18">
        <f t="shared" si="5"/>
        <v>3.2840419977543887</v>
      </c>
      <c r="AD41" s="18">
        <f t="shared" si="5"/>
        <v>3.1319154443685804</v>
      </c>
      <c r="AE41" s="18">
        <f t="shared" si="5"/>
        <v>1.1395487481335074</v>
      </c>
      <c r="AF41" s="56">
        <f t="shared" si="6"/>
        <v>3</v>
      </c>
      <c r="AH41" s="18">
        <f t="shared" si="7"/>
        <v>2.6513613592598846</v>
      </c>
      <c r="AI41" s="18">
        <f t="shared" si="7"/>
        <v>3.0215840543265884</v>
      </c>
      <c r="AJ41" s="18">
        <f t="shared" si="7"/>
        <v>1.0468892854053455</v>
      </c>
      <c r="AK41" s="56">
        <f t="shared" si="8"/>
        <v>3</v>
      </c>
      <c r="AM41" s="18">
        <f t="shared" si="9"/>
        <v>2.6513613592598846</v>
      </c>
      <c r="AN41" s="18">
        <f t="shared" si="9"/>
        <v>3.0066815117086145</v>
      </c>
      <c r="AO41" s="18">
        <f t="shared" si="9"/>
        <v>1.0272213242420745</v>
      </c>
      <c r="AP41" s="56">
        <f t="shared" si="10"/>
        <v>3</v>
      </c>
      <c r="AR41" s="18">
        <f t="shared" si="11"/>
        <v>2.6513613592598846</v>
      </c>
      <c r="AS41" s="18">
        <f t="shared" si="11"/>
        <v>3.0066815117086145</v>
      </c>
      <c r="AT41" s="18">
        <f t="shared" si="11"/>
        <v>1.0272213242420745</v>
      </c>
      <c r="AU41" s="56">
        <f t="shared" si="12"/>
        <v>3</v>
      </c>
      <c r="AW41" s="18">
        <f t="shared" si="13"/>
        <v>2.6513613592598846</v>
      </c>
      <c r="AX41" s="18">
        <f t="shared" si="13"/>
        <v>3.0066815117086145</v>
      </c>
      <c r="AY41" s="18">
        <f t="shared" si="13"/>
        <v>1.0272213242420745</v>
      </c>
      <c r="AZ41" s="56">
        <f t="shared" si="14"/>
        <v>3</v>
      </c>
      <c r="BB41" s="18">
        <f t="shared" si="15"/>
        <v>2.6513613592598846</v>
      </c>
      <c r="BC41" s="18">
        <f t="shared" si="15"/>
        <v>3.0066815117086145</v>
      </c>
      <c r="BD41" s="18">
        <f t="shared" si="15"/>
        <v>1.0272213242420745</v>
      </c>
      <c r="BE41" s="56">
        <f t="shared" si="16"/>
        <v>3</v>
      </c>
      <c r="BG41" s="18">
        <f t="shared" si="17"/>
        <v>2.6513613592598846</v>
      </c>
      <c r="BH41" s="18">
        <f t="shared" si="17"/>
        <v>3.0066815117086145</v>
      </c>
      <c r="BI41" s="18">
        <f t="shared" si="17"/>
        <v>1.0272213242420745</v>
      </c>
      <c r="BJ41" s="56">
        <f t="shared" si="18"/>
        <v>3</v>
      </c>
      <c r="BL41" s="18">
        <f t="shared" si="19"/>
        <v>2.6513613592598846</v>
      </c>
      <c r="BM41" s="18">
        <f t="shared" si="19"/>
        <v>3.0066815117086145</v>
      </c>
      <c r="BN41" s="18">
        <f t="shared" si="19"/>
        <v>1.0272213242420745</v>
      </c>
      <c r="BO41" s="56">
        <f t="shared" si="20"/>
        <v>3</v>
      </c>
      <c r="BQ41" s="18">
        <f t="shared" si="21"/>
        <v>2.6513613592598846</v>
      </c>
      <c r="BR41" s="18">
        <f t="shared" si="21"/>
        <v>3.0066815117086145</v>
      </c>
      <c r="BS41" s="18">
        <f t="shared" si="21"/>
        <v>1.0272213242420745</v>
      </c>
      <c r="BT41" s="56">
        <f t="shared" si="22"/>
        <v>3</v>
      </c>
      <c r="BV41" s="18">
        <f t="shared" si="23"/>
        <v>2.6513613592598846</v>
      </c>
      <c r="BW41" s="18">
        <f t="shared" si="23"/>
        <v>3.0066815117086145</v>
      </c>
      <c r="BX41" s="18">
        <f t="shared" si="23"/>
        <v>1.0272213242420745</v>
      </c>
      <c r="BY41" s="56">
        <f t="shared" si="24"/>
        <v>3</v>
      </c>
      <c r="CA41" s="18">
        <f t="shared" si="25"/>
        <v>2.6513613592598846</v>
      </c>
      <c r="CB41" s="18">
        <f t="shared" si="25"/>
        <v>3.0066815117086145</v>
      </c>
      <c r="CC41" s="18">
        <f t="shared" si="25"/>
        <v>1.0272213242420745</v>
      </c>
      <c r="CD41" s="56">
        <f t="shared" si="26"/>
        <v>3</v>
      </c>
    </row>
    <row r="42" spans="1:82" x14ac:dyDescent="0.25">
      <c r="A42" s="36" t="str">
        <f>KMeans_Data!A24</f>
        <v>Muzaffarabad</v>
      </c>
      <c r="B42" s="18">
        <f>KMeans_Data!H24</f>
        <v>0.84172690240795967</v>
      </c>
      <c r="C42" s="18">
        <f>KMeans_Data!I24</f>
        <v>0.80308444953571578</v>
      </c>
      <c r="D42" s="18">
        <f>KMeans_Data!J24</f>
        <v>1.0367093535020828</v>
      </c>
      <c r="E42" s="56">
        <f t="shared" si="0"/>
        <v>3</v>
      </c>
      <c r="F42" s="38">
        <f t="shared" si="1"/>
        <v>0.34775524023985016</v>
      </c>
      <c r="G42" s="13" t="str">
        <f t="shared" si="2"/>
        <v>Medium burden</v>
      </c>
      <c r="H42" s="18">
        <f>IF(COUNTIF(Distance_Matrix!$E$9:$DQ$9,$E42)&lt;=1,0,SUMIF(Distance_Matrix!$E$9:$DQ$9,$E42,Distance_Matrix!$E$33:$DQ$33)/(COUNTIF(Distance_Matrix!$E$9:$DQ$9,$E42)-1))</f>
        <v>1.0106999883457759</v>
      </c>
      <c r="I42" s="18">
        <f>MIN(IF(1=$E42,1E+99,IF(COUNTIF(Distance_Matrix!$E$9:$DQ$9,1)=0,1E+99,SUMIF(Distance_Matrix!$E$9:$DQ$9,1,Distance_Matrix!$E$33:$DQ$33)/COUNTIF(Distance_Matrix!$E$9:$DQ$9,1))),IF(2=$E42,1E+99,IF(COUNTIF(Distance_Matrix!$E$9:$DQ$9,2)=0,1E+99,SUMIF(Distance_Matrix!$E$9:$DQ$9,2,Distance_Matrix!$E$33:$DQ$33)/COUNTIF(Distance_Matrix!$E$9:$DQ$9,2))),IF(3=$E42,1E+99,IF(COUNTIF(Distance_Matrix!$E$9:$DQ$9,3)=0,1E+99,SUMIF(Distance_Matrix!$E$9:$DQ$9,3,Distance_Matrix!$E$33:$DQ$33)/COUNTIF(Distance_Matrix!$E$9:$DQ$9,3))))</f>
        <v>2.786732233412311</v>
      </c>
      <c r="J42" s="18">
        <f>IF(COUNTIF(Distance_Matrix!$E$9:$DQ$9,$E42)&lt;=1,0,(I42-H42)/MAX(H42,I42))</f>
        <v>0.63731715009152878</v>
      </c>
      <c r="X42" s="18">
        <f t="shared" si="3"/>
        <v>4.6150099077019524</v>
      </c>
      <c r="Y42" s="18">
        <f t="shared" si="3"/>
        <v>3.9338807191152401</v>
      </c>
      <c r="Z42" s="18">
        <f t="shared" si="3"/>
        <v>0.63755028644469414</v>
      </c>
      <c r="AA42" s="56">
        <f t="shared" si="4"/>
        <v>3</v>
      </c>
      <c r="AC42" s="18">
        <f t="shared" si="5"/>
        <v>3.6487022857381457</v>
      </c>
      <c r="AD42" s="18">
        <f t="shared" si="5"/>
        <v>2.8536433453543548</v>
      </c>
      <c r="AE42" s="18">
        <f t="shared" si="5"/>
        <v>0.71880984106681611</v>
      </c>
      <c r="AF42" s="56">
        <f t="shared" si="6"/>
        <v>3</v>
      </c>
      <c r="AH42" s="18">
        <f t="shared" si="7"/>
        <v>3.0147018413666866</v>
      </c>
      <c r="AI42" s="18">
        <f t="shared" si="7"/>
        <v>2.7326672218082186</v>
      </c>
      <c r="AJ42" s="18">
        <f t="shared" si="7"/>
        <v>0.61384887737237526</v>
      </c>
      <c r="AK42" s="56">
        <f t="shared" si="8"/>
        <v>3</v>
      </c>
      <c r="AM42" s="18">
        <f t="shared" si="9"/>
        <v>3.0147018413666866</v>
      </c>
      <c r="AN42" s="18">
        <f t="shared" si="9"/>
        <v>2.7172897749937861</v>
      </c>
      <c r="AO42" s="18">
        <f t="shared" si="9"/>
        <v>0.58970775833445688</v>
      </c>
      <c r="AP42" s="56">
        <f t="shared" si="10"/>
        <v>3</v>
      </c>
      <c r="AR42" s="18">
        <f t="shared" si="11"/>
        <v>3.0147018413666866</v>
      </c>
      <c r="AS42" s="18">
        <f t="shared" si="11"/>
        <v>2.7172897749937861</v>
      </c>
      <c r="AT42" s="18">
        <f t="shared" si="11"/>
        <v>0.58970775833445688</v>
      </c>
      <c r="AU42" s="56">
        <f t="shared" si="12"/>
        <v>3</v>
      </c>
      <c r="AW42" s="18">
        <f t="shared" si="13"/>
        <v>3.0147018413666866</v>
      </c>
      <c r="AX42" s="18">
        <f t="shared" si="13"/>
        <v>2.7172897749937861</v>
      </c>
      <c r="AY42" s="18">
        <f t="shared" si="13"/>
        <v>0.58970775833445688</v>
      </c>
      <c r="AZ42" s="56">
        <f t="shared" si="14"/>
        <v>3</v>
      </c>
      <c r="BB42" s="18">
        <f t="shared" si="15"/>
        <v>3.0147018413666866</v>
      </c>
      <c r="BC42" s="18">
        <f t="shared" si="15"/>
        <v>2.7172897749937861</v>
      </c>
      <c r="BD42" s="18">
        <f t="shared" si="15"/>
        <v>0.58970775833445688</v>
      </c>
      <c r="BE42" s="56">
        <f t="shared" si="16"/>
        <v>3</v>
      </c>
      <c r="BG42" s="18">
        <f t="shared" si="17"/>
        <v>3.0147018413666866</v>
      </c>
      <c r="BH42" s="18">
        <f t="shared" si="17"/>
        <v>2.7172897749937861</v>
      </c>
      <c r="BI42" s="18">
        <f t="shared" si="17"/>
        <v>0.58970775833445688</v>
      </c>
      <c r="BJ42" s="56">
        <f t="shared" si="18"/>
        <v>3</v>
      </c>
      <c r="BL42" s="18">
        <f t="shared" si="19"/>
        <v>3.0147018413666866</v>
      </c>
      <c r="BM42" s="18">
        <f t="shared" si="19"/>
        <v>2.7172897749937861</v>
      </c>
      <c r="BN42" s="18">
        <f t="shared" si="19"/>
        <v>0.58970775833445688</v>
      </c>
      <c r="BO42" s="56">
        <f t="shared" si="20"/>
        <v>3</v>
      </c>
      <c r="BQ42" s="18">
        <f t="shared" si="21"/>
        <v>3.0147018413666866</v>
      </c>
      <c r="BR42" s="18">
        <f t="shared" si="21"/>
        <v>2.7172897749937861</v>
      </c>
      <c r="BS42" s="18">
        <f t="shared" si="21"/>
        <v>0.58970775833445688</v>
      </c>
      <c r="BT42" s="56">
        <f t="shared" si="22"/>
        <v>3</v>
      </c>
      <c r="BV42" s="18">
        <f t="shared" si="23"/>
        <v>3.0147018413666866</v>
      </c>
      <c r="BW42" s="18">
        <f t="shared" si="23"/>
        <v>2.7172897749937861</v>
      </c>
      <c r="BX42" s="18">
        <f t="shared" si="23"/>
        <v>0.58970775833445688</v>
      </c>
      <c r="BY42" s="56">
        <f t="shared" si="24"/>
        <v>3</v>
      </c>
      <c r="CA42" s="18">
        <f t="shared" si="25"/>
        <v>3.0147018413666866</v>
      </c>
      <c r="CB42" s="18">
        <f t="shared" si="25"/>
        <v>2.7172897749937861</v>
      </c>
      <c r="CC42" s="18">
        <f t="shared" si="25"/>
        <v>0.58970775833445688</v>
      </c>
      <c r="CD42" s="56">
        <f t="shared" si="26"/>
        <v>3</v>
      </c>
    </row>
    <row r="43" spans="1:82" x14ac:dyDescent="0.25">
      <c r="A43" s="36" t="str">
        <f>KMeans_Data!A25</f>
        <v>Dera Ghazi Khan</v>
      </c>
      <c r="B43" s="18">
        <f>KMeans_Data!H25</f>
        <v>0.78983637463992185</v>
      </c>
      <c r="C43" s="18">
        <f>KMeans_Data!I25</f>
        <v>0.80308444953571578</v>
      </c>
      <c r="D43" s="18">
        <f>KMeans_Data!J25</f>
        <v>1.2683843951613223</v>
      </c>
      <c r="E43" s="56">
        <f t="shared" si="0"/>
        <v>3</v>
      </c>
      <c r="F43" s="38">
        <f t="shared" si="1"/>
        <v>0.52705811892262222</v>
      </c>
      <c r="G43" s="13" t="str">
        <f t="shared" si="2"/>
        <v>Medium burden</v>
      </c>
      <c r="H43" s="18">
        <f>IF(COUNTIF(Distance_Matrix!$E$9:$DQ$9,$E43)&lt;=1,0,SUMIF(Distance_Matrix!$E$9:$DQ$9,$E43,Distance_Matrix!$E$34:$DQ$34)/(COUNTIF(Distance_Matrix!$E$9:$DQ$9,$E43)-1))</f>
        <v>1.0857110661390093</v>
      </c>
      <c r="I43" s="18">
        <f>MIN(IF(1=$E43,1E+99,IF(COUNTIF(Distance_Matrix!$E$9:$DQ$9,1)=0,1E+99,SUMIF(Distance_Matrix!$E$9:$DQ$9,1,Distance_Matrix!$E$34:$DQ$34)/COUNTIF(Distance_Matrix!$E$9:$DQ$9,1))),IF(2=$E43,1E+99,IF(COUNTIF(Distance_Matrix!$E$9:$DQ$9,2)=0,1E+99,SUMIF(Distance_Matrix!$E$9:$DQ$9,2,Distance_Matrix!$E$34:$DQ$34)/COUNTIF(Distance_Matrix!$E$9:$DQ$9,2))),IF(3=$E43,1E+99,IF(COUNTIF(Distance_Matrix!$E$9:$DQ$9,3)=0,1E+99,SUMIF(Distance_Matrix!$E$9:$DQ$9,3,Distance_Matrix!$E$34:$DQ$34)/COUNTIF(Distance_Matrix!$E$9:$DQ$9,3))))</f>
        <v>2.9143643217821427</v>
      </c>
      <c r="J43" s="18">
        <f>IF(COUNTIF(Distance_Matrix!$E$9:$DQ$9,$E43)&lt;=1,0,(I43-H43)/MAX(H43,I43))</f>
        <v>0.6274621336720545</v>
      </c>
      <c r="X43" s="18">
        <f t="shared" ref="X43:Z62" si="27">SQRT(($B43-X$16)^2+($C43-X$17)^2+($D43-X$18)^2)</f>
        <v>4.5365573847970895</v>
      </c>
      <c r="Y43" s="18">
        <f t="shared" si="27"/>
        <v>4.0298615877856374</v>
      </c>
      <c r="Z43" s="18">
        <f t="shared" si="27"/>
        <v>0.53121011056296075</v>
      </c>
      <c r="AA43" s="56">
        <f t="shared" si="4"/>
        <v>3</v>
      </c>
      <c r="AC43" s="18">
        <f t="shared" ref="AC43:AE62" si="28">SQRT(($B43-AC$16)^2+($C43-AC$17)^2+($D43-AC$18)^2)</f>
        <v>3.5919090798707973</v>
      </c>
      <c r="AD43" s="18">
        <f t="shared" si="28"/>
        <v>2.9826567492587173</v>
      </c>
      <c r="AE43" s="18">
        <f t="shared" si="28"/>
        <v>0.86402524890917831</v>
      </c>
      <c r="AF43" s="56">
        <f t="shared" si="6"/>
        <v>3</v>
      </c>
      <c r="AH43" s="18">
        <f t="shared" ref="AH43:AJ62" si="29">SQRT(($B43-AH$16)^2+($C43-AH$17)^2+($D43-AH$18)^2)</f>
        <v>2.9639467032200315</v>
      </c>
      <c r="AI43" s="18">
        <f t="shared" si="29"/>
        <v>2.8636505556145022</v>
      </c>
      <c r="AJ43" s="18">
        <f t="shared" si="29"/>
        <v>0.74796561538962814</v>
      </c>
      <c r="AK43" s="56">
        <f t="shared" si="8"/>
        <v>3</v>
      </c>
      <c r="AM43" s="18">
        <f t="shared" ref="AM43:AO62" si="30">SQRT(($B43-AM$16)^2+($C43-AM$17)^2+($D43-AM$18)^2)</f>
        <v>2.9639467032200315</v>
      </c>
      <c r="AN43" s="18">
        <f t="shared" si="30"/>
        <v>2.8478932628780078</v>
      </c>
      <c r="AO43" s="18">
        <f t="shared" si="30"/>
        <v>0.72598768510397071</v>
      </c>
      <c r="AP43" s="56">
        <f t="shared" si="10"/>
        <v>3</v>
      </c>
      <c r="AR43" s="18">
        <f t="shared" ref="AR43:AT62" si="31">SQRT(($B43-AR$16)^2+($C43-AR$17)^2+($D43-AR$18)^2)</f>
        <v>2.9639467032200315</v>
      </c>
      <c r="AS43" s="18">
        <f t="shared" si="31"/>
        <v>2.8478932628780078</v>
      </c>
      <c r="AT43" s="18">
        <f t="shared" si="31"/>
        <v>0.72598768510397071</v>
      </c>
      <c r="AU43" s="56">
        <f t="shared" si="12"/>
        <v>3</v>
      </c>
      <c r="AW43" s="18">
        <f t="shared" ref="AW43:AY62" si="32">SQRT(($B43-AW$16)^2+($C43-AW$17)^2+($D43-AW$18)^2)</f>
        <v>2.9639467032200315</v>
      </c>
      <c r="AX43" s="18">
        <f t="shared" si="32"/>
        <v>2.8478932628780078</v>
      </c>
      <c r="AY43" s="18">
        <f t="shared" si="32"/>
        <v>0.72598768510397071</v>
      </c>
      <c r="AZ43" s="56">
        <f t="shared" si="14"/>
        <v>3</v>
      </c>
      <c r="BB43" s="18">
        <f t="shared" ref="BB43:BD62" si="33">SQRT(($B43-BB$16)^2+($C43-BB$17)^2+($D43-BB$18)^2)</f>
        <v>2.9639467032200315</v>
      </c>
      <c r="BC43" s="18">
        <f t="shared" si="33"/>
        <v>2.8478932628780078</v>
      </c>
      <c r="BD43" s="18">
        <f t="shared" si="33"/>
        <v>0.72598768510397071</v>
      </c>
      <c r="BE43" s="56">
        <f t="shared" si="16"/>
        <v>3</v>
      </c>
      <c r="BG43" s="18">
        <f t="shared" ref="BG43:BI62" si="34">SQRT(($B43-BG$16)^2+($C43-BG$17)^2+($D43-BG$18)^2)</f>
        <v>2.9639467032200315</v>
      </c>
      <c r="BH43" s="18">
        <f t="shared" si="34"/>
        <v>2.8478932628780078</v>
      </c>
      <c r="BI43" s="18">
        <f t="shared" si="34"/>
        <v>0.72598768510397071</v>
      </c>
      <c r="BJ43" s="56">
        <f t="shared" si="18"/>
        <v>3</v>
      </c>
      <c r="BL43" s="18">
        <f t="shared" ref="BL43:BN62" si="35">SQRT(($B43-BL$16)^2+($C43-BL$17)^2+($D43-BL$18)^2)</f>
        <v>2.9639467032200315</v>
      </c>
      <c r="BM43" s="18">
        <f t="shared" si="35"/>
        <v>2.8478932628780078</v>
      </c>
      <c r="BN43" s="18">
        <f t="shared" si="35"/>
        <v>0.72598768510397071</v>
      </c>
      <c r="BO43" s="56">
        <f t="shared" si="20"/>
        <v>3</v>
      </c>
      <c r="BQ43" s="18">
        <f t="shared" ref="BQ43:BS62" si="36">SQRT(($B43-BQ$16)^2+($C43-BQ$17)^2+($D43-BQ$18)^2)</f>
        <v>2.9639467032200315</v>
      </c>
      <c r="BR43" s="18">
        <f t="shared" si="36"/>
        <v>2.8478932628780078</v>
      </c>
      <c r="BS43" s="18">
        <f t="shared" si="36"/>
        <v>0.72598768510397071</v>
      </c>
      <c r="BT43" s="56">
        <f t="shared" si="22"/>
        <v>3</v>
      </c>
      <c r="BV43" s="18">
        <f t="shared" ref="BV43:BX62" si="37">SQRT(($B43-BV$16)^2+($C43-BV$17)^2+($D43-BV$18)^2)</f>
        <v>2.9639467032200315</v>
      </c>
      <c r="BW43" s="18">
        <f t="shared" si="37"/>
        <v>2.8478932628780078</v>
      </c>
      <c r="BX43" s="18">
        <f t="shared" si="37"/>
        <v>0.72598768510397071</v>
      </c>
      <c r="BY43" s="56">
        <f t="shared" si="24"/>
        <v>3</v>
      </c>
      <c r="CA43" s="18">
        <f t="shared" ref="CA43:CC62" si="38">SQRT(($B43-CA$16)^2+($C43-CA$17)^2+($D43-CA$18)^2)</f>
        <v>2.9639467032200315</v>
      </c>
      <c r="CB43" s="18">
        <f t="shared" si="38"/>
        <v>2.8478932628780078</v>
      </c>
      <c r="CC43" s="18">
        <f t="shared" si="38"/>
        <v>0.72598768510397071</v>
      </c>
      <c r="CD43" s="56">
        <f t="shared" si="26"/>
        <v>3</v>
      </c>
    </row>
    <row r="44" spans="1:82" x14ac:dyDescent="0.25">
      <c r="A44" s="36" t="str">
        <f>KMeans_Data!A26</f>
        <v>Charsadda</v>
      </c>
      <c r="B44" s="18">
        <f>KMeans_Data!H26</f>
        <v>0.78562201948780019</v>
      </c>
      <c r="C44" s="18">
        <f>KMeans_Data!I26</f>
        <v>0.80308444953571578</v>
      </c>
      <c r="D44" s="18">
        <f>KMeans_Data!J26</f>
        <v>0.61832866607444492</v>
      </c>
      <c r="E44" s="56">
        <f t="shared" si="0"/>
        <v>3</v>
      </c>
      <c r="F44" s="38">
        <f t="shared" si="1"/>
        <v>0.20949390419098393</v>
      </c>
      <c r="G44" s="13" t="str">
        <f t="shared" si="2"/>
        <v>Medium burden</v>
      </c>
      <c r="H44" s="18">
        <f>IF(COUNTIF(Distance_Matrix!$E$9:$DQ$9,$E44)&lt;=1,0,SUMIF(Distance_Matrix!$E$9:$DQ$9,$E44,Distance_Matrix!$E$35:$DQ$35)/(COUNTIF(Distance_Matrix!$E$9:$DQ$9,$E44)-1))</f>
        <v>0.97767198577719028</v>
      </c>
      <c r="I44" s="18">
        <f>MIN(IF(1=$E44,1E+99,IF(COUNTIF(Distance_Matrix!$E$9:$DQ$9,1)=0,1E+99,SUMIF(Distance_Matrix!$E$9:$DQ$9,1,Distance_Matrix!$E$35:$DQ$35)/COUNTIF(Distance_Matrix!$E$9:$DQ$9,1))),IF(2=$E44,1E+99,IF(COUNTIF(Distance_Matrix!$E$9:$DQ$9,2)=0,1E+99,SUMIF(Distance_Matrix!$E$9:$DQ$9,2,Distance_Matrix!$E$35:$DQ$35)/COUNTIF(Distance_Matrix!$E$9:$DQ$9,2))),IF(3=$E44,1E+99,IF(COUNTIF(Distance_Matrix!$E$9:$DQ$9,3)=0,1E+99,SUMIF(Distance_Matrix!$E$9:$DQ$9,3,Distance_Matrix!$E$35:$DQ$35)/COUNTIF(Distance_Matrix!$E$9:$DQ$9,3))))</f>
        <v>2.5111221911733965</v>
      </c>
      <c r="J44" s="18">
        <f>IF(COUNTIF(Distance_Matrix!$E$9:$DQ$9,$E44)&lt;=1,0,(I44-H44)/MAX(H44,I44))</f>
        <v>0.61066331649900951</v>
      </c>
      <c r="X44" s="18">
        <f t="shared" si="27"/>
        <v>4.8583672348654217</v>
      </c>
      <c r="Y44" s="18">
        <f t="shared" si="27"/>
        <v>3.6741912973222601</v>
      </c>
      <c r="Z44" s="18">
        <f t="shared" si="27"/>
        <v>0.98463665293581015</v>
      </c>
      <c r="AA44" s="56">
        <f t="shared" si="4"/>
        <v>3</v>
      </c>
      <c r="AC44" s="18">
        <f t="shared" si="28"/>
        <v>3.8632811208151683</v>
      </c>
      <c r="AD44" s="18">
        <f t="shared" si="28"/>
        <v>2.5655912352314134</v>
      </c>
      <c r="AE44" s="18">
        <f t="shared" si="28"/>
        <v>0.53098465289226449</v>
      </c>
      <c r="AF44" s="56">
        <f t="shared" si="6"/>
        <v>3</v>
      </c>
      <c r="AH44" s="18">
        <f t="shared" si="29"/>
        <v>3.2261784309673285</v>
      </c>
      <c r="AI44" s="18">
        <f t="shared" si="29"/>
        <v>2.4452594371290322</v>
      </c>
      <c r="AJ44" s="18">
        <f t="shared" si="29"/>
        <v>0.47626276134183426</v>
      </c>
      <c r="AK44" s="56">
        <f t="shared" si="8"/>
        <v>3</v>
      </c>
      <c r="AM44" s="18">
        <f t="shared" si="30"/>
        <v>3.2261784309673285</v>
      </c>
      <c r="AN44" s="18">
        <f t="shared" si="30"/>
        <v>2.4305959580137362</v>
      </c>
      <c r="AO44" s="18">
        <f t="shared" si="30"/>
        <v>0.45770504060036737</v>
      </c>
      <c r="AP44" s="56">
        <f t="shared" si="10"/>
        <v>3</v>
      </c>
      <c r="AR44" s="18">
        <f t="shared" si="31"/>
        <v>3.2261784309673285</v>
      </c>
      <c r="AS44" s="18">
        <f t="shared" si="31"/>
        <v>2.4305959580137362</v>
      </c>
      <c r="AT44" s="18">
        <f t="shared" si="31"/>
        <v>0.45770504060036737</v>
      </c>
      <c r="AU44" s="56">
        <f t="shared" si="12"/>
        <v>3</v>
      </c>
      <c r="AW44" s="18">
        <f t="shared" si="32"/>
        <v>3.2261784309673285</v>
      </c>
      <c r="AX44" s="18">
        <f t="shared" si="32"/>
        <v>2.4305959580137362</v>
      </c>
      <c r="AY44" s="18">
        <f t="shared" si="32"/>
        <v>0.45770504060036737</v>
      </c>
      <c r="AZ44" s="56">
        <f t="shared" si="14"/>
        <v>3</v>
      </c>
      <c r="BB44" s="18">
        <f t="shared" si="33"/>
        <v>3.2261784309673285</v>
      </c>
      <c r="BC44" s="18">
        <f t="shared" si="33"/>
        <v>2.4305959580137362</v>
      </c>
      <c r="BD44" s="18">
        <f t="shared" si="33"/>
        <v>0.45770504060036737</v>
      </c>
      <c r="BE44" s="56">
        <f t="shared" si="16"/>
        <v>3</v>
      </c>
      <c r="BG44" s="18">
        <f t="shared" si="34"/>
        <v>3.2261784309673285</v>
      </c>
      <c r="BH44" s="18">
        <f t="shared" si="34"/>
        <v>2.4305959580137362</v>
      </c>
      <c r="BI44" s="18">
        <f t="shared" si="34"/>
        <v>0.45770504060036737</v>
      </c>
      <c r="BJ44" s="56">
        <f t="shared" si="18"/>
        <v>3</v>
      </c>
      <c r="BL44" s="18">
        <f t="shared" si="35"/>
        <v>3.2261784309673285</v>
      </c>
      <c r="BM44" s="18">
        <f t="shared" si="35"/>
        <v>2.4305959580137362</v>
      </c>
      <c r="BN44" s="18">
        <f t="shared" si="35"/>
        <v>0.45770504060036737</v>
      </c>
      <c r="BO44" s="56">
        <f t="shared" si="20"/>
        <v>3</v>
      </c>
      <c r="BQ44" s="18">
        <f t="shared" si="36"/>
        <v>3.2261784309673285</v>
      </c>
      <c r="BR44" s="18">
        <f t="shared" si="36"/>
        <v>2.4305959580137362</v>
      </c>
      <c r="BS44" s="18">
        <f t="shared" si="36"/>
        <v>0.45770504060036737</v>
      </c>
      <c r="BT44" s="56">
        <f t="shared" si="22"/>
        <v>3</v>
      </c>
      <c r="BV44" s="18">
        <f t="shared" si="37"/>
        <v>3.2261784309673285</v>
      </c>
      <c r="BW44" s="18">
        <f t="shared" si="37"/>
        <v>2.4305959580137362</v>
      </c>
      <c r="BX44" s="18">
        <f t="shared" si="37"/>
        <v>0.45770504060036737</v>
      </c>
      <c r="BY44" s="56">
        <f t="shared" si="24"/>
        <v>3</v>
      </c>
      <c r="CA44" s="18">
        <f t="shared" si="38"/>
        <v>3.2261784309673285</v>
      </c>
      <c r="CB44" s="18">
        <f t="shared" si="38"/>
        <v>2.4305959580137362</v>
      </c>
      <c r="CC44" s="18">
        <f t="shared" si="38"/>
        <v>0.45770504060036737</v>
      </c>
      <c r="CD44" s="56">
        <f t="shared" si="26"/>
        <v>3</v>
      </c>
    </row>
    <row r="45" spans="1:82" x14ac:dyDescent="0.25">
      <c r="A45" s="36" t="str">
        <f>KMeans_Data!A27</f>
        <v>Dir Upper</v>
      </c>
      <c r="B45" s="18">
        <f>KMeans_Data!H27</f>
        <v>0.78350197575168823</v>
      </c>
      <c r="C45" s="18">
        <f>KMeans_Data!I27</f>
        <v>0.16051258962499582</v>
      </c>
      <c r="D45" s="18">
        <f>KMeans_Data!J27</f>
        <v>0.95967737195633995</v>
      </c>
      <c r="E45" s="56">
        <f t="shared" si="0"/>
        <v>3</v>
      </c>
      <c r="F45" s="38">
        <f t="shared" si="1"/>
        <v>0.20833753005544969</v>
      </c>
      <c r="G45" s="13" t="str">
        <f t="shared" si="2"/>
        <v>Medium burden</v>
      </c>
      <c r="H45" s="18">
        <f>IF(COUNTIF(Distance_Matrix!$E$9:$DQ$9,$E45)&lt;=1,0,SUMIF(Distance_Matrix!$E$9:$DQ$9,$E45,Distance_Matrix!$E$36:$DQ$36)/(COUNTIF(Distance_Matrix!$E$9:$DQ$9,$E45)-1))</f>
        <v>0.99517038584070916</v>
      </c>
      <c r="I45" s="18">
        <f>MIN(IF(1=$E45,1E+99,IF(COUNTIF(Distance_Matrix!$E$9:$DQ$9,1)=0,1E+99,SUMIF(Distance_Matrix!$E$9:$DQ$9,1,Distance_Matrix!$E$36:$DQ$36)/COUNTIF(Distance_Matrix!$E$9:$DQ$9,1))),IF(2=$E45,1E+99,IF(COUNTIF(Distance_Matrix!$E$9:$DQ$9,2)=0,1E+99,SUMIF(Distance_Matrix!$E$9:$DQ$9,2,Distance_Matrix!$E$36:$DQ$36)/COUNTIF(Distance_Matrix!$E$9:$DQ$9,2))),IF(3=$E45,1E+99,IF(COUNTIF(Distance_Matrix!$E$9:$DQ$9,3)=0,1E+99,SUMIF(Distance_Matrix!$E$9:$DQ$9,3,Distance_Matrix!$E$36:$DQ$36)/COUNTIF(Distance_Matrix!$E$9:$DQ$9,3))))</f>
        <v>2.4206793902288881</v>
      </c>
      <c r="J45" s="18">
        <f>IF(COUNTIF(Distance_Matrix!$E$9:$DQ$9,$E45)&lt;=1,0,(I45-H45)/MAX(H45,I45))</f>
        <v>0.58888798332495806</v>
      </c>
      <c r="X45" s="18">
        <f t="shared" si="27"/>
        <v>5.1481691193932422</v>
      </c>
      <c r="Y45" s="18">
        <f t="shared" si="27"/>
        <v>3.6502989512011172</v>
      </c>
      <c r="Z45" s="18">
        <f t="shared" si="27"/>
        <v>0.61063359087127045</v>
      </c>
      <c r="AA45" s="56">
        <f t="shared" si="4"/>
        <v>3</v>
      </c>
      <c r="AC45" s="18">
        <f t="shared" si="28"/>
        <v>4.20358492681257</v>
      </c>
      <c r="AD45" s="18">
        <f t="shared" si="28"/>
        <v>2.4964836544265729</v>
      </c>
      <c r="AE45" s="18">
        <f t="shared" si="28"/>
        <v>0.49971973147186116</v>
      </c>
      <c r="AF45" s="56">
        <f t="shared" si="6"/>
        <v>3</v>
      </c>
      <c r="AH45" s="18">
        <f t="shared" si="29"/>
        <v>3.5743569091606004</v>
      </c>
      <c r="AI45" s="18">
        <f t="shared" si="29"/>
        <v>2.366170009289613</v>
      </c>
      <c r="AJ45" s="18">
        <f t="shared" si="29"/>
        <v>0.46706894835885177</v>
      </c>
      <c r="AK45" s="56">
        <f t="shared" si="8"/>
        <v>3</v>
      </c>
      <c r="AM45" s="18">
        <f t="shared" si="30"/>
        <v>3.5743569091606004</v>
      </c>
      <c r="AN45" s="18">
        <f t="shared" si="30"/>
        <v>2.3510506678068879</v>
      </c>
      <c r="AO45" s="18">
        <f t="shared" si="30"/>
        <v>0.45644006184322788</v>
      </c>
      <c r="AP45" s="56">
        <f t="shared" si="10"/>
        <v>3</v>
      </c>
      <c r="AR45" s="18">
        <f t="shared" si="31"/>
        <v>3.5743569091606004</v>
      </c>
      <c r="AS45" s="18">
        <f t="shared" si="31"/>
        <v>2.3510506678068879</v>
      </c>
      <c r="AT45" s="18">
        <f t="shared" si="31"/>
        <v>0.45644006184322788</v>
      </c>
      <c r="AU45" s="56">
        <f t="shared" si="12"/>
        <v>3</v>
      </c>
      <c r="AW45" s="18">
        <f t="shared" si="32"/>
        <v>3.5743569091606004</v>
      </c>
      <c r="AX45" s="18">
        <f t="shared" si="32"/>
        <v>2.3510506678068879</v>
      </c>
      <c r="AY45" s="18">
        <f t="shared" si="32"/>
        <v>0.45644006184322788</v>
      </c>
      <c r="AZ45" s="56">
        <f t="shared" si="14"/>
        <v>3</v>
      </c>
      <c r="BB45" s="18">
        <f t="shared" si="33"/>
        <v>3.5743569091606004</v>
      </c>
      <c r="BC45" s="18">
        <f t="shared" si="33"/>
        <v>2.3510506678068879</v>
      </c>
      <c r="BD45" s="18">
        <f t="shared" si="33"/>
        <v>0.45644006184322788</v>
      </c>
      <c r="BE45" s="56">
        <f t="shared" si="16"/>
        <v>3</v>
      </c>
      <c r="BG45" s="18">
        <f t="shared" si="34"/>
        <v>3.5743569091606004</v>
      </c>
      <c r="BH45" s="18">
        <f t="shared" si="34"/>
        <v>2.3510506678068879</v>
      </c>
      <c r="BI45" s="18">
        <f t="shared" si="34"/>
        <v>0.45644006184322788</v>
      </c>
      <c r="BJ45" s="56">
        <f t="shared" si="18"/>
        <v>3</v>
      </c>
      <c r="BL45" s="18">
        <f t="shared" si="35"/>
        <v>3.5743569091606004</v>
      </c>
      <c r="BM45" s="18">
        <f t="shared" si="35"/>
        <v>2.3510506678068879</v>
      </c>
      <c r="BN45" s="18">
        <f t="shared" si="35"/>
        <v>0.45644006184322788</v>
      </c>
      <c r="BO45" s="56">
        <f t="shared" si="20"/>
        <v>3</v>
      </c>
      <c r="BQ45" s="18">
        <f t="shared" si="36"/>
        <v>3.5743569091606004</v>
      </c>
      <c r="BR45" s="18">
        <f t="shared" si="36"/>
        <v>2.3510506678068879</v>
      </c>
      <c r="BS45" s="18">
        <f t="shared" si="36"/>
        <v>0.45644006184322788</v>
      </c>
      <c r="BT45" s="56">
        <f t="shared" si="22"/>
        <v>3</v>
      </c>
      <c r="BV45" s="18">
        <f t="shared" si="37"/>
        <v>3.5743569091606004</v>
      </c>
      <c r="BW45" s="18">
        <f t="shared" si="37"/>
        <v>2.3510506678068879</v>
      </c>
      <c r="BX45" s="18">
        <f t="shared" si="37"/>
        <v>0.45644006184322788</v>
      </c>
      <c r="BY45" s="56">
        <f t="shared" si="24"/>
        <v>3</v>
      </c>
      <c r="CA45" s="18">
        <f t="shared" si="38"/>
        <v>3.5743569091606004</v>
      </c>
      <c r="CB45" s="18">
        <f t="shared" si="38"/>
        <v>2.3510506678068879</v>
      </c>
      <c r="CC45" s="18">
        <f t="shared" si="38"/>
        <v>0.45644006184322788</v>
      </c>
      <c r="CD45" s="56">
        <f t="shared" si="26"/>
        <v>3</v>
      </c>
    </row>
    <row r="46" spans="1:82" x14ac:dyDescent="0.25">
      <c r="A46" s="36" t="str">
        <f>KMeans_Data!A28</f>
        <v>Khyber</v>
      </c>
      <c r="B46" s="18">
        <f>KMeans_Data!H28</f>
        <v>0.78350197575168823</v>
      </c>
      <c r="C46" s="18">
        <f>KMeans_Data!I28</f>
        <v>0.54791138584450239</v>
      </c>
      <c r="D46" s="18">
        <f>KMeans_Data!J28</f>
        <v>0.66715177094920652</v>
      </c>
      <c r="E46" s="56">
        <f t="shared" si="0"/>
        <v>3</v>
      </c>
      <c r="F46" s="38">
        <f t="shared" si="1"/>
        <v>7.9937929776695935E-2</v>
      </c>
      <c r="G46" s="13" t="str">
        <f t="shared" si="2"/>
        <v>Medium burden</v>
      </c>
      <c r="H46" s="18">
        <f>IF(COUNTIF(Distance_Matrix!$E$9:$DQ$9,$E46)&lt;=1,0,SUMIF(Distance_Matrix!$E$9:$DQ$9,$E46,Distance_Matrix!$E$37:$DQ$37)/(COUNTIF(Distance_Matrix!$E$9:$DQ$9,$E46)-1))</f>
        <v>0.9287897053823555</v>
      </c>
      <c r="I46" s="18">
        <f>MIN(IF(1=$E46,1E+99,IF(COUNTIF(Distance_Matrix!$E$9:$DQ$9,1)=0,1E+99,SUMIF(Distance_Matrix!$E$9:$DQ$9,1,Distance_Matrix!$E$37:$DQ$37)/COUNTIF(Distance_Matrix!$E$9:$DQ$9,1))),IF(2=$E46,1E+99,IF(COUNTIF(Distance_Matrix!$E$9:$DQ$9,2)=0,1E+99,SUMIF(Distance_Matrix!$E$9:$DQ$9,2,Distance_Matrix!$E$37:$DQ$37)/COUNTIF(Distance_Matrix!$E$9:$DQ$9,2))),IF(3=$E46,1E+99,IF(COUNTIF(Distance_Matrix!$E$9:$DQ$9,3)=0,1E+99,SUMIF(Distance_Matrix!$E$9:$DQ$9,3,Distance_Matrix!$E$37:$DQ$37)/COUNTIF(Distance_Matrix!$E$9:$DQ$9,3))))</f>
        <v>2.3968947457735732</v>
      </c>
      <c r="J46" s="18">
        <f>IF(COUNTIF(Distance_Matrix!$E$9:$DQ$9,$E46)&lt;=1,0,(I46-H46)/MAX(H46,I46))</f>
        <v>0.6125029240353238</v>
      </c>
      <c r="X46" s="18">
        <f t="shared" si="27"/>
        <v>5.0075852088878463</v>
      </c>
      <c r="Y46" s="18">
        <f t="shared" si="27"/>
        <v>3.6019638270620704</v>
      </c>
      <c r="Z46" s="18">
        <f t="shared" si="27"/>
        <v>0.85923520666610143</v>
      </c>
      <c r="AA46" s="56">
        <f t="shared" si="4"/>
        <v>3</v>
      </c>
      <c r="AC46" s="18">
        <f t="shared" si="28"/>
        <v>4.0251153799018402</v>
      </c>
      <c r="AD46" s="18">
        <f t="shared" si="28"/>
        <v>2.4588675953800925</v>
      </c>
      <c r="AE46" s="18">
        <f t="shared" si="28"/>
        <v>0.34700049558002943</v>
      </c>
      <c r="AF46" s="56">
        <f t="shared" si="6"/>
        <v>3</v>
      </c>
      <c r="AH46" s="18">
        <f t="shared" si="29"/>
        <v>3.3883856800701024</v>
      </c>
      <c r="AI46" s="18">
        <f t="shared" si="29"/>
        <v>2.3331152418169525</v>
      </c>
      <c r="AJ46" s="18">
        <f t="shared" si="29"/>
        <v>0.30372451207850698</v>
      </c>
      <c r="AK46" s="56">
        <f t="shared" si="8"/>
        <v>3</v>
      </c>
      <c r="AM46" s="18">
        <f t="shared" si="30"/>
        <v>3.3883856800701024</v>
      </c>
      <c r="AN46" s="18">
        <f t="shared" si="30"/>
        <v>2.3182910451713616</v>
      </c>
      <c r="AO46" s="18">
        <f t="shared" si="30"/>
        <v>0.28273296549340676</v>
      </c>
      <c r="AP46" s="56">
        <f t="shared" si="10"/>
        <v>3</v>
      </c>
      <c r="AR46" s="18">
        <f t="shared" si="31"/>
        <v>3.3883856800701024</v>
      </c>
      <c r="AS46" s="18">
        <f t="shared" si="31"/>
        <v>2.3182910451713616</v>
      </c>
      <c r="AT46" s="18">
        <f t="shared" si="31"/>
        <v>0.28273296549340676</v>
      </c>
      <c r="AU46" s="56">
        <f t="shared" si="12"/>
        <v>3</v>
      </c>
      <c r="AW46" s="18">
        <f t="shared" si="32"/>
        <v>3.3883856800701024</v>
      </c>
      <c r="AX46" s="18">
        <f t="shared" si="32"/>
        <v>2.3182910451713616</v>
      </c>
      <c r="AY46" s="18">
        <f t="shared" si="32"/>
        <v>0.28273296549340676</v>
      </c>
      <c r="AZ46" s="56">
        <f t="shared" si="14"/>
        <v>3</v>
      </c>
      <c r="BB46" s="18">
        <f t="shared" si="33"/>
        <v>3.3883856800701024</v>
      </c>
      <c r="BC46" s="18">
        <f t="shared" si="33"/>
        <v>2.3182910451713616</v>
      </c>
      <c r="BD46" s="18">
        <f t="shared" si="33"/>
        <v>0.28273296549340676</v>
      </c>
      <c r="BE46" s="56">
        <f t="shared" si="16"/>
        <v>3</v>
      </c>
      <c r="BG46" s="18">
        <f t="shared" si="34"/>
        <v>3.3883856800701024</v>
      </c>
      <c r="BH46" s="18">
        <f t="shared" si="34"/>
        <v>2.3182910451713616</v>
      </c>
      <c r="BI46" s="18">
        <f t="shared" si="34"/>
        <v>0.28273296549340676</v>
      </c>
      <c r="BJ46" s="56">
        <f t="shared" si="18"/>
        <v>3</v>
      </c>
      <c r="BL46" s="18">
        <f t="shared" si="35"/>
        <v>3.3883856800701024</v>
      </c>
      <c r="BM46" s="18">
        <f t="shared" si="35"/>
        <v>2.3182910451713616</v>
      </c>
      <c r="BN46" s="18">
        <f t="shared" si="35"/>
        <v>0.28273296549340676</v>
      </c>
      <c r="BO46" s="56">
        <f t="shared" si="20"/>
        <v>3</v>
      </c>
      <c r="BQ46" s="18">
        <f t="shared" si="36"/>
        <v>3.3883856800701024</v>
      </c>
      <c r="BR46" s="18">
        <f t="shared" si="36"/>
        <v>2.3182910451713616</v>
      </c>
      <c r="BS46" s="18">
        <f t="shared" si="36"/>
        <v>0.28273296549340676</v>
      </c>
      <c r="BT46" s="56">
        <f t="shared" si="22"/>
        <v>3</v>
      </c>
      <c r="BV46" s="18">
        <f t="shared" si="37"/>
        <v>3.3883856800701024</v>
      </c>
      <c r="BW46" s="18">
        <f t="shared" si="37"/>
        <v>2.3182910451713616</v>
      </c>
      <c r="BX46" s="18">
        <f t="shared" si="37"/>
        <v>0.28273296549340676</v>
      </c>
      <c r="BY46" s="56">
        <f t="shared" si="24"/>
        <v>3</v>
      </c>
      <c r="CA46" s="18">
        <f t="shared" si="38"/>
        <v>3.3883856800701024</v>
      </c>
      <c r="CB46" s="18">
        <f t="shared" si="38"/>
        <v>2.3182910451713616</v>
      </c>
      <c r="CC46" s="18">
        <f t="shared" si="38"/>
        <v>0.28273296549340676</v>
      </c>
      <c r="CD46" s="56">
        <f t="shared" si="26"/>
        <v>3</v>
      </c>
    </row>
    <row r="47" spans="1:82" x14ac:dyDescent="0.25">
      <c r="A47" s="36" t="str">
        <f>KMeans_Data!A29</f>
        <v>Bajaur</v>
      </c>
      <c r="B47" s="18">
        <f>KMeans_Data!H29</f>
        <v>0.76181258672347318</v>
      </c>
      <c r="C47" s="18">
        <f>KMeans_Data!I29</f>
        <v>1.3810745208577742</v>
      </c>
      <c r="D47" s="18">
        <f>KMeans_Data!J29</f>
        <v>0.72786907626120334</v>
      </c>
      <c r="E47" s="56">
        <f t="shared" si="0"/>
        <v>3</v>
      </c>
      <c r="F47" s="38">
        <f t="shared" si="1"/>
        <v>0.9513550126627569</v>
      </c>
      <c r="G47" s="13" t="str">
        <f t="shared" si="2"/>
        <v>Medium burden</v>
      </c>
      <c r="H47" s="18">
        <f>IF(COUNTIF(Distance_Matrix!$E$9:$DQ$9,$E47)&lt;=1,0,SUMIF(Distance_Matrix!$E$9:$DQ$9,$E47,Distance_Matrix!$E$38:$DQ$38)/(COUNTIF(Distance_Matrix!$E$9:$DQ$9,$E47)-1))</f>
        <v>1.2380715176973269</v>
      </c>
      <c r="I47" s="18">
        <f>MIN(IF(1=$E47,1E+99,IF(COUNTIF(Distance_Matrix!$E$9:$DQ$9,1)=0,1E+99,SUMIF(Distance_Matrix!$E$9:$DQ$9,1,Distance_Matrix!$E$38:$DQ$38)/COUNTIF(Distance_Matrix!$E$9:$DQ$9,1))),IF(2=$E47,1E+99,IF(COUNTIF(Distance_Matrix!$E$9:$DQ$9,2)=0,1E+99,SUMIF(Distance_Matrix!$E$9:$DQ$9,2,Distance_Matrix!$E$38:$DQ$38)/COUNTIF(Distance_Matrix!$E$9:$DQ$9,2))),IF(3=$E47,1E+99,IF(COUNTIF(Distance_Matrix!$E$9:$DQ$9,3)=0,1E+99,SUMIF(Distance_Matrix!$E$9:$DQ$9,3,Distance_Matrix!$E$38:$DQ$38)/COUNTIF(Distance_Matrix!$E$9:$DQ$9,3))))</f>
        <v>2.8568743716493987</v>
      </c>
      <c r="J47" s="18">
        <f>IF(COUNTIF(Distance_Matrix!$E$9:$DQ$9,$E47)&lt;=1,0,(I47-H47)/MAX(H47,I47))</f>
        <v>0.56663424545947605</v>
      </c>
      <c r="X47" s="18">
        <f t="shared" si="27"/>
        <v>4.4442382127810589</v>
      </c>
      <c r="Y47" s="18">
        <f t="shared" si="27"/>
        <v>3.9752041411792853</v>
      </c>
      <c r="Z47" s="18">
        <f t="shared" si="27"/>
        <v>1.2775206045773282</v>
      </c>
      <c r="AA47" s="56">
        <f t="shared" si="4"/>
        <v>3</v>
      </c>
      <c r="AC47" s="18">
        <f t="shared" si="28"/>
        <v>3.438919618437446</v>
      </c>
      <c r="AD47" s="18">
        <f t="shared" si="28"/>
        <v>2.9738467384673002</v>
      </c>
      <c r="AE47" s="18">
        <f t="shared" si="28"/>
        <v>1.0700418425600526</v>
      </c>
      <c r="AF47" s="56">
        <f t="shared" si="6"/>
        <v>3</v>
      </c>
      <c r="AH47" s="18">
        <f t="shared" si="29"/>
        <v>2.808323191749901</v>
      </c>
      <c r="AI47" s="18">
        <f t="shared" si="29"/>
        <v>2.8663476733971023</v>
      </c>
      <c r="AJ47" s="18">
        <f t="shared" si="29"/>
        <v>0.99197830506923523</v>
      </c>
      <c r="AK47" s="56">
        <f t="shared" si="8"/>
        <v>3</v>
      </c>
      <c r="AM47" s="18">
        <f t="shared" si="30"/>
        <v>2.808323191749901</v>
      </c>
      <c r="AN47" s="18">
        <f t="shared" si="30"/>
        <v>2.8517803645002187</v>
      </c>
      <c r="AO47" s="18">
        <f t="shared" si="30"/>
        <v>0.97537429362412298</v>
      </c>
      <c r="AP47" s="56">
        <f t="shared" si="10"/>
        <v>3</v>
      </c>
      <c r="AR47" s="18">
        <f t="shared" si="31"/>
        <v>2.808323191749901</v>
      </c>
      <c r="AS47" s="18">
        <f t="shared" si="31"/>
        <v>2.8517803645002187</v>
      </c>
      <c r="AT47" s="18">
        <f t="shared" si="31"/>
        <v>0.97537429362412298</v>
      </c>
      <c r="AU47" s="56">
        <f t="shared" si="12"/>
        <v>3</v>
      </c>
      <c r="AW47" s="18">
        <f t="shared" si="32"/>
        <v>2.808323191749901</v>
      </c>
      <c r="AX47" s="18">
        <f t="shared" si="32"/>
        <v>2.8517803645002187</v>
      </c>
      <c r="AY47" s="18">
        <f t="shared" si="32"/>
        <v>0.97537429362412298</v>
      </c>
      <c r="AZ47" s="56">
        <f t="shared" si="14"/>
        <v>3</v>
      </c>
      <c r="BB47" s="18">
        <f t="shared" si="33"/>
        <v>2.808323191749901</v>
      </c>
      <c r="BC47" s="18">
        <f t="shared" si="33"/>
        <v>2.8517803645002187</v>
      </c>
      <c r="BD47" s="18">
        <f t="shared" si="33"/>
        <v>0.97537429362412298</v>
      </c>
      <c r="BE47" s="56">
        <f t="shared" si="16"/>
        <v>3</v>
      </c>
      <c r="BG47" s="18">
        <f t="shared" si="34"/>
        <v>2.808323191749901</v>
      </c>
      <c r="BH47" s="18">
        <f t="shared" si="34"/>
        <v>2.8517803645002187</v>
      </c>
      <c r="BI47" s="18">
        <f t="shared" si="34"/>
        <v>0.97537429362412298</v>
      </c>
      <c r="BJ47" s="56">
        <f t="shared" si="18"/>
        <v>3</v>
      </c>
      <c r="BL47" s="18">
        <f t="shared" si="35"/>
        <v>2.808323191749901</v>
      </c>
      <c r="BM47" s="18">
        <f t="shared" si="35"/>
        <v>2.8517803645002187</v>
      </c>
      <c r="BN47" s="18">
        <f t="shared" si="35"/>
        <v>0.97537429362412298</v>
      </c>
      <c r="BO47" s="56">
        <f t="shared" si="20"/>
        <v>3</v>
      </c>
      <c r="BQ47" s="18">
        <f t="shared" si="36"/>
        <v>2.808323191749901</v>
      </c>
      <c r="BR47" s="18">
        <f t="shared" si="36"/>
        <v>2.8517803645002187</v>
      </c>
      <c r="BS47" s="18">
        <f t="shared" si="36"/>
        <v>0.97537429362412298</v>
      </c>
      <c r="BT47" s="56">
        <f t="shared" si="22"/>
        <v>3</v>
      </c>
      <c r="BV47" s="18">
        <f t="shared" si="37"/>
        <v>2.808323191749901</v>
      </c>
      <c r="BW47" s="18">
        <f t="shared" si="37"/>
        <v>2.8517803645002187</v>
      </c>
      <c r="BX47" s="18">
        <f t="shared" si="37"/>
        <v>0.97537429362412298</v>
      </c>
      <c r="BY47" s="56">
        <f t="shared" si="24"/>
        <v>3</v>
      </c>
      <c r="CA47" s="18">
        <f t="shared" si="38"/>
        <v>2.808323191749901</v>
      </c>
      <c r="CB47" s="18">
        <f t="shared" si="38"/>
        <v>2.8517803645002187</v>
      </c>
      <c r="CC47" s="18">
        <f t="shared" si="38"/>
        <v>0.97537429362412298</v>
      </c>
      <c r="CD47" s="56">
        <f t="shared" si="26"/>
        <v>3</v>
      </c>
    </row>
    <row r="48" spans="1:82" x14ac:dyDescent="0.25">
      <c r="A48" s="36" t="str">
        <f>KMeans_Data!A30</f>
        <v>Shikarpur</v>
      </c>
      <c r="B48" s="18">
        <f>KMeans_Data!H30</f>
        <v>0.70820457074466558</v>
      </c>
      <c r="C48" s="18">
        <f>KMeans_Data!I30</f>
        <v>0.80308444953571578</v>
      </c>
      <c r="D48" s="18">
        <f>KMeans_Data!J30</f>
        <v>1.2784040483641788</v>
      </c>
      <c r="E48" s="56">
        <f t="shared" si="0"/>
        <v>3</v>
      </c>
      <c r="F48" s="38">
        <f t="shared" si="1"/>
        <v>0.50220878580379202</v>
      </c>
      <c r="G48" s="13" t="str">
        <f t="shared" si="2"/>
        <v>Medium burden</v>
      </c>
      <c r="H48" s="18">
        <f>IF(COUNTIF(Distance_Matrix!$E$9:$DQ$9,$E48)&lt;=1,0,SUMIF(Distance_Matrix!$E$9:$DQ$9,$E48,Distance_Matrix!$E$39:$DQ$39)/(COUNTIF(Distance_Matrix!$E$9:$DQ$9,$E48)-1))</f>
        <v>1.0804008892724195</v>
      </c>
      <c r="I48" s="18">
        <f>MIN(IF(1=$E48,1E+99,IF(COUNTIF(Distance_Matrix!$E$9:$DQ$9,1)=0,1E+99,SUMIF(Distance_Matrix!$E$9:$DQ$9,1,Distance_Matrix!$E$39:$DQ$39)/COUNTIF(Distance_Matrix!$E$9:$DQ$9,1))),IF(2=$E48,1E+99,IF(COUNTIF(Distance_Matrix!$E$9:$DQ$9,2)=0,1E+99,SUMIF(Distance_Matrix!$E$9:$DQ$9,2,Distance_Matrix!$E$39:$DQ$39)/COUNTIF(Distance_Matrix!$E$9:$DQ$9,2))),IF(3=$E48,1E+99,IF(COUNTIF(Distance_Matrix!$E$9:$DQ$9,3)=0,1E+99,SUMIF(Distance_Matrix!$E$9:$DQ$9,3,Distance_Matrix!$E$39:$DQ$39)/COUNTIF(Distance_Matrix!$E$9:$DQ$9,3))))</f>
        <v>2.8834155729683579</v>
      </c>
      <c r="J48" s="18">
        <f>IF(COUNTIF(Distance_Matrix!$E$9:$DQ$9,$E48)&lt;=1,0,(I48-H48)/MAX(H48,I48))</f>
        <v>0.62530517647159989</v>
      </c>
      <c r="X48" s="18">
        <f t="shared" si="27"/>
        <v>4.5774421255084663</v>
      </c>
      <c r="Y48" s="18">
        <f t="shared" si="27"/>
        <v>3.9782442052148572</v>
      </c>
      <c r="Z48" s="18">
        <f t="shared" si="27"/>
        <v>0.57035761149190434</v>
      </c>
      <c r="AA48" s="56">
        <f t="shared" si="4"/>
        <v>3</v>
      </c>
      <c r="AC48" s="18">
        <f t="shared" si="28"/>
        <v>3.6350723244904022</v>
      </c>
      <c r="AD48" s="18">
        <f t="shared" si="28"/>
        <v>2.9480902337596611</v>
      </c>
      <c r="AE48" s="18">
        <f t="shared" si="28"/>
        <v>0.84918994376261325</v>
      </c>
      <c r="AF48" s="56">
        <f t="shared" si="6"/>
        <v>3</v>
      </c>
      <c r="AH48" s="18">
        <f t="shared" si="29"/>
        <v>3.008308466526723</v>
      </c>
      <c r="AI48" s="18">
        <f t="shared" si="29"/>
        <v>2.8309274102617681</v>
      </c>
      <c r="AJ48" s="18">
        <f t="shared" si="29"/>
        <v>0.72919894378978434</v>
      </c>
      <c r="AK48" s="56">
        <f t="shared" si="8"/>
        <v>3</v>
      </c>
      <c r="AM48" s="18">
        <f t="shared" si="30"/>
        <v>3.008308466526723</v>
      </c>
      <c r="AN48" s="18">
        <f t="shared" si="30"/>
        <v>2.8150454830204072</v>
      </c>
      <c r="AO48" s="18">
        <f t="shared" si="30"/>
        <v>0.70866690751282579</v>
      </c>
      <c r="AP48" s="56">
        <f t="shared" si="10"/>
        <v>3</v>
      </c>
      <c r="AR48" s="18">
        <f t="shared" si="31"/>
        <v>3.008308466526723</v>
      </c>
      <c r="AS48" s="18">
        <f t="shared" si="31"/>
        <v>2.8150454830204072</v>
      </c>
      <c r="AT48" s="18">
        <f t="shared" si="31"/>
        <v>0.70866690751282579</v>
      </c>
      <c r="AU48" s="56">
        <f t="shared" si="12"/>
        <v>3</v>
      </c>
      <c r="AW48" s="18">
        <f t="shared" si="32"/>
        <v>3.008308466526723</v>
      </c>
      <c r="AX48" s="18">
        <f t="shared" si="32"/>
        <v>2.8150454830204072</v>
      </c>
      <c r="AY48" s="18">
        <f t="shared" si="32"/>
        <v>0.70866690751282579</v>
      </c>
      <c r="AZ48" s="56">
        <f t="shared" si="14"/>
        <v>3</v>
      </c>
      <c r="BB48" s="18">
        <f t="shared" si="33"/>
        <v>3.008308466526723</v>
      </c>
      <c r="BC48" s="18">
        <f t="shared" si="33"/>
        <v>2.8150454830204072</v>
      </c>
      <c r="BD48" s="18">
        <f t="shared" si="33"/>
        <v>0.70866690751282579</v>
      </c>
      <c r="BE48" s="56">
        <f t="shared" si="16"/>
        <v>3</v>
      </c>
      <c r="BG48" s="18">
        <f t="shared" si="34"/>
        <v>3.008308466526723</v>
      </c>
      <c r="BH48" s="18">
        <f t="shared" si="34"/>
        <v>2.8150454830204072</v>
      </c>
      <c r="BI48" s="18">
        <f t="shared" si="34"/>
        <v>0.70866690751282579</v>
      </c>
      <c r="BJ48" s="56">
        <f t="shared" si="18"/>
        <v>3</v>
      </c>
      <c r="BL48" s="18">
        <f t="shared" si="35"/>
        <v>3.008308466526723</v>
      </c>
      <c r="BM48" s="18">
        <f t="shared" si="35"/>
        <v>2.8150454830204072</v>
      </c>
      <c r="BN48" s="18">
        <f t="shared" si="35"/>
        <v>0.70866690751282579</v>
      </c>
      <c r="BO48" s="56">
        <f t="shared" si="20"/>
        <v>3</v>
      </c>
      <c r="BQ48" s="18">
        <f t="shared" si="36"/>
        <v>3.008308466526723</v>
      </c>
      <c r="BR48" s="18">
        <f t="shared" si="36"/>
        <v>2.8150454830204072</v>
      </c>
      <c r="BS48" s="18">
        <f t="shared" si="36"/>
        <v>0.70866690751282579</v>
      </c>
      <c r="BT48" s="56">
        <f t="shared" si="22"/>
        <v>3</v>
      </c>
      <c r="BV48" s="18">
        <f t="shared" si="37"/>
        <v>3.008308466526723</v>
      </c>
      <c r="BW48" s="18">
        <f t="shared" si="37"/>
        <v>2.8150454830204072</v>
      </c>
      <c r="BX48" s="18">
        <f t="shared" si="37"/>
        <v>0.70866690751282579</v>
      </c>
      <c r="BY48" s="56">
        <f t="shared" si="24"/>
        <v>3</v>
      </c>
      <c r="CA48" s="18">
        <f t="shared" si="38"/>
        <v>3.008308466526723</v>
      </c>
      <c r="CB48" s="18">
        <f t="shared" si="38"/>
        <v>2.8150454830204072</v>
      </c>
      <c r="CC48" s="18">
        <f t="shared" si="38"/>
        <v>0.70866690751282579</v>
      </c>
      <c r="CD48" s="56">
        <f t="shared" si="26"/>
        <v>3</v>
      </c>
    </row>
    <row r="49" spans="1:82" x14ac:dyDescent="0.25">
      <c r="A49" s="36" t="str">
        <f>KMeans_Data!A31</f>
        <v>Rawalpindi</v>
      </c>
      <c r="B49" s="18">
        <f>KMeans_Data!H31</f>
        <v>0.64567305864807512</v>
      </c>
      <c r="C49" s="18">
        <f>KMeans_Data!I31</f>
        <v>-0.14698313392952958</v>
      </c>
      <c r="D49" s="18">
        <f>KMeans_Data!J31</f>
        <v>-1.1456441163335547</v>
      </c>
      <c r="E49" s="56">
        <f t="shared" si="0"/>
        <v>2</v>
      </c>
      <c r="F49" s="38">
        <f t="shared" si="1"/>
        <v>2.0363676335496934</v>
      </c>
      <c r="G49" s="13" t="str">
        <f t="shared" si="2"/>
        <v>Low burden</v>
      </c>
      <c r="H49" s="18">
        <f>IF(COUNTIF(Distance_Matrix!$E$9:$DQ$9,$E49)&lt;=1,0,SUMIF(Distance_Matrix!$E$9:$DQ$9,$E49,Distance_Matrix!$E$40:$DQ$40)/(COUNTIF(Distance_Matrix!$E$9:$DQ$9,$E49)-1))</f>
        <v>1.5733912802714209</v>
      </c>
      <c r="I49" s="18">
        <f>MIN(IF(1=$E49,1E+99,IF(COUNTIF(Distance_Matrix!$E$9:$DQ$9,1)=0,1E+99,SUMIF(Distance_Matrix!$E$9:$DQ$9,1,Distance_Matrix!$E$40:$DQ$40)/COUNTIF(Distance_Matrix!$E$9:$DQ$9,1))),IF(2=$E49,1E+99,IF(COUNTIF(Distance_Matrix!$E$9:$DQ$9,2)=0,1E+99,SUMIF(Distance_Matrix!$E$9:$DQ$9,2,Distance_Matrix!$E$40:$DQ$40)/COUNTIF(Distance_Matrix!$E$9:$DQ$9,2))),IF(3=$E49,1E+99,IF(COUNTIF(Distance_Matrix!$E$9:$DQ$9,3)=0,1E+99,SUMIF(Distance_Matrix!$E$9:$DQ$9,3,Distance_Matrix!$E$40:$DQ$40)/COUNTIF(Distance_Matrix!$E$9:$DQ$9,3))))</f>
        <v>2.092651094942922</v>
      </c>
      <c r="J49" s="18">
        <f>IF(COUNTIF(Distance_Matrix!$E$9:$DQ$9,$E49)&lt;=1,0,(I49-H49)/MAX(H49,I49))</f>
        <v>0.24813492126152262</v>
      </c>
      <c r="X49" s="18">
        <f t="shared" si="27"/>
        <v>6.6163799696290333</v>
      </c>
      <c r="Y49" s="18">
        <f t="shared" si="27"/>
        <v>2.7756425502726647</v>
      </c>
      <c r="Z49" s="18">
        <f t="shared" si="27"/>
        <v>2.6969311940684069</v>
      </c>
      <c r="AA49" s="56">
        <f t="shared" si="4"/>
        <v>3</v>
      </c>
      <c r="AC49" s="18">
        <f t="shared" si="28"/>
        <v>5.591453018997381</v>
      </c>
      <c r="AD49" s="18">
        <f t="shared" si="28"/>
        <v>1.5286091797666641</v>
      </c>
      <c r="AE49" s="18">
        <f t="shared" si="28"/>
        <v>1.8086569977993689</v>
      </c>
      <c r="AF49" s="56">
        <f t="shared" si="6"/>
        <v>2</v>
      </c>
      <c r="AH49" s="18">
        <f t="shared" si="29"/>
        <v>4.9713798449941526</v>
      </c>
      <c r="AI49" s="18">
        <f t="shared" si="29"/>
        <v>1.4290264610886199</v>
      </c>
      <c r="AJ49" s="18">
        <f t="shared" si="29"/>
        <v>1.9264226592302605</v>
      </c>
      <c r="AK49" s="56">
        <f t="shared" si="8"/>
        <v>2</v>
      </c>
      <c r="AM49" s="18">
        <f t="shared" si="30"/>
        <v>4.9713798449941526</v>
      </c>
      <c r="AN49" s="18">
        <f t="shared" si="30"/>
        <v>1.4270135365684844</v>
      </c>
      <c r="AO49" s="18">
        <f t="shared" si="30"/>
        <v>1.9396111292593485</v>
      </c>
      <c r="AP49" s="56">
        <f t="shared" si="10"/>
        <v>2</v>
      </c>
      <c r="AR49" s="18">
        <f t="shared" si="31"/>
        <v>4.9713798449941526</v>
      </c>
      <c r="AS49" s="18">
        <f t="shared" si="31"/>
        <v>1.4270135365684844</v>
      </c>
      <c r="AT49" s="18">
        <f t="shared" si="31"/>
        <v>1.9396111292593485</v>
      </c>
      <c r="AU49" s="56">
        <f t="shared" si="12"/>
        <v>2</v>
      </c>
      <c r="AW49" s="18">
        <f t="shared" si="32"/>
        <v>4.9713798449941526</v>
      </c>
      <c r="AX49" s="18">
        <f t="shared" si="32"/>
        <v>1.4270135365684844</v>
      </c>
      <c r="AY49" s="18">
        <f t="shared" si="32"/>
        <v>1.9396111292593485</v>
      </c>
      <c r="AZ49" s="56">
        <f t="shared" si="14"/>
        <v>2</v>
      </c>
      <c r="BB49" s="18">
        <f t="shared" si="33"/>
        <v>4.9713798449941526</v>
      </c>
      <c r="BC49" s="18">
        <f t="shared" si="33"/>
        <v>1.4270135365684844</v>
      </c>
      <c r="BD49" s="18">
        <f t="shared" si="33"/>
        <v>1.9396111292593485</v>
      </c>
      <c r="BE49" s="56">
        <f t="shared" si="16"/>
        <v>2</v>
      </c>
      <c r="BG49" s="18">
        <f t="shared" si="34"/>
        <v>4.9713798449941526</v>
      </c>
      <c r="BH49" s="18">
        <f t="shared" si="34"/>
        <v>1.4270135365684844</v>
      </c>
      <c r="BI49" s="18">
        <f t="shared" si="34"/>
        <v>1.9396111292593485</v>
      </c>
      <c r="BJ49" s="56">
        <f t="shared" si="18"/>
        <v>2</v>
      </c>
      <c r="BL49" s="18">
        <f t="shared" si="35"/>
        <v>4.9713798449941526</v>
      </c>
      <c r="BM49" s="18">
        <f t="shared" si="35"/>
        <v>1.4270135365684844</v>
      </c>
      <c r="BN49" s="18">
        <f t="shared" si="35"/>
        <v>1.9396111292593485</v>
      </c>
      <c r="BO49" s="56">
        <f t="shared" si="20"/>
        <v>2</v>
      </c>
      <c r="BQ49" s="18">
        <f t="shared" si="36"/>
        <v>4.9713798449941526</v>
      </c>
      <c r="BR49" s="18">
        <f t="shared" si="36"/>
        <v>1.4270135365684844</v>
      </c>
      <c r="BS49" s="18">
        <f t="shared" si="36"/>
        <v>1.9396111292593485</v>
      </c>
      <c r="BT49" s="56">
        <f t="shared" si="22"/>
        <v>2</v>
      </c>
      <c r="BV49" s="18">
        <f t="shared" si="37"/>
        <v>4.9713798449941526</v>
      </c>
      <c r="BW49" s="18">
        <f t="shared" si="37"/>
        <v>1.4270135365684844</v>
      </c>
      <c r="BX49" s="18">
        <f t="shared" si="37"/>
        <v>1.9396111292593485</v>
      </c>
      <c r="BY49" s="56">
        <f t="shared" si="24"/>
        <v>2</v>
      </c>
      <c r="CA49" s="18">
        <f t="shared" si="38"/>
        <v>4.9713798449941526</v>
      </c>
      <c r="CB49" s="18">
        <f t="shared" si="38"/>
        <v>1.4270135365684844</v>
      </c>
      <c r="CC49" s="18">
        <f t="shared" si="38"/>
        <v>1.9396111292593485</v>
      </c>
      <c r="CD49" s="56">
        <f t="shared" si="26"/>
        <v>2</v>
      </c>
    </row>
    <row r="50" spans="1:82" x14ac:dyDescent="0.25">
      <c r="A50" s="36" t="str">
        <f>KMeans_Data!A32</f>
        <v>Buner</v>
      </c>
      <c r="B50" s="18">
        <f>KMeans_Data!H32</f>
        <v>0.60239578498043678</v>
      </c>
      <c r="C50" s="18">
        <f>KMeans_Data!I32</f>
        <v>0.68618000108374222</v>
      </c>
      <c r="D50" s="18">
        <f>KMeans_Data!J32</f>
        <v>0.8732151368336003</v>
      </c>
      <c r="E50" s="56">
        <f t="shared" si="0"/>
        <v>3</v>
      </c>
      <c r="F50" s="38">
        <f t="shared" si="1"/>
        <v>9.8632034773824762E-2</v>
      </c>
      <c r="G50" s="13" t="str">
        <f t="shared" si="2"/>
        <v>Medium burden</v>
      </c>
      <c r="H50" s="18">
        <f>IF(COUNTIF(Distance_Matrix!$E$9:$DQ$9,$E50)&lt;=1,0,SUMIF(Distance_Matrix!$E$9:$DQ$9,$E50,Distance_Matrix!$E$41:$DQ$41)/(COUNTIF(Distance_Matrix!$E$9:$DQ$9,$E50)-1))</f>
        <v>0.91998673442517453</v>
      </c>
      <c r="I50" s="18">
        <f>MIN(IF(1=$E50,1E+99,IF(COUNTIF(Distance_Matrix!$E$9:$DQ$9,1)=0,1E+99,SUMIF(Distance_Matrix!$E$9:$DQ$9,1,Distance_Matrix!$E$41:$DQ$41)/COUNTIF(Distance_Matrix!$E$9:$DQ$9,1))),IF(2=$E50,1E+99,IF(COUNTIF(Distance_Matrix!$E$9:$DQ$9,2)=0,1E+99,SUMIF(Distance_Matrix!$E$9:$DQ$9,2,Distance_Matrix!$E$41:$DQ$41)/COUNTIF(Distance_Matrix!$E$9:$DQ$9,2))),IF(3=$E50,1E+99,IF(COUNTIF(Distance_Matrix!$E$9:$DQ$9,3)=0,1E+99,SUMIF(Distance_Matrix!$E$9:$DQ$9,3,Distance_Matrix!$E$41:$DQ$41)/COUNTIF(Distance_Matrix!$E$9:$DQ$9,3))))</f>
        <v>2.501021459440075</v>
      </c>
      <c r="J50" s="18">
        <f>IF(COUNTIF(Distance_Matrix!$E$9:$DQ$9,$E50)&lt;=1,0,(I50-H50)/MAX(H50,I50))</f>
        <v>0.63215560148326755</v>
      </c>
      <c r="X50" s="18">
        <f t="shared" si="27"/>
        <v>4.903216967148734</v>
      </c>
      <c r="Y50" s="18">
        <f t="shared" si="27"/>
        <v>3.6216094048151786</v>
      </c>
      <c r="Z50" s="18">
        <f t="shared" si="27"/>
        <v>0.80022663785630888</v>
      </c>
      <c r="AA50" s="56">
        <f t="shared" si="4"/>
        <v>3</v>
      </c>
      <c r="AC50" s="18">
        <f t="shared" si="28"/>
        <v>3.9318893637779806</v>
      </c>
      <c r="AD50" s="18">
        <f t="shared" si="28"/>
        <v>2.5543570049821995</v>
      </c>
      <c r="AE50" s="18">
        <f t="shared" si="28"/>
        <v>0.45016777333637076</v>
      </c>
      <c r="AF50" s="56">
        <f t="shared" si="6"/>
        <v>3</v>
      </c>
      <c r="AH50" s="18">
        <f t="shared" si="29"/>
        <v>3.297450121075471</v>
      </c>
      <c r="AI50" s="18">
        <f t="shared" si="29"/>
        <v>2.4359688461088629</v>
      </c>
      <c r="AJ50" s="18">
        <f t="shared" si="29"/>
        <v>0.33476673153343223</v>
      </c>
      <c r="AK50" s="56">
        <f t="shared" si="8"/>
        <v>3</v>
      </c>
      <c r="AM50" s="18">
        <f t="shared" si="30"/>
        <v>3.297450121075471</v>
      </c>
      <c r="AN50" s="18">
        <f t="shared" si="30"/>
        <v>2.4204085270741835</v>
      </c>
      <c r="AO50" s="18">
        <f t="shared" si="30"/>
        <v>0.31405737497123798</v>
      </c>
      <c r="AP50" s="56">
        <f t="shared" si="10"/>
        <v>3</v>
      </c>
      <c r="AR50" s="18">
        <f t="shared" si="31"/>
        <v>3.297450121075471</v>
      </c>
      <c r="AS50" s="18">
        <f t="shared" si="31"/>
        <v>2.4204085270741835</v>
      </c>
      <c r="AT50" s="18">
        <f t="shared" si="31"/>
        <v>0.31405737497123798</v>
      </c>
      <c r="AU50" s="56">
        <f t="shared" si="12"/>
        <v>3</v>
      </c>
      <c r="AW50" s="18">
        <f t="shared" si="32"/>
        <v>3.297450121075471</v>
      </c>
      <c r="AX50" s="18">
        <f t="shared" si="32"/>
        <v>2.4204085270741835</v>
      </c>
      <c r="AY50" s="18">
        <f t="shared" si="32"/>
        <v>0.31405737497123798</v>
      </c>
      <c r="AZ50" s="56">
        <f t="shared" si="14"/>
        <v>3</v>
      </c>
      <c r="BB50" s="18">
        <f t="shared" si="33"/>
        <v>3.297450121075471</v>
      </c>
      <c r="BC50" s="18">
        <f t="shared" si="33"/>
        <v>2.4204085270741835</v>
      </c>
      <c r="BD50" s="18">
        <f t="shared" si="33"/>
        <v>0.31405737497123798</v>
      </c>
      <c r="BE50" s="56">
        <f t="shared" si="16"/>
        <v>3</v>
      </c>
      <c r="BG50" s="18">
        <f t="shared" si="34"/>
        <v>3.297450121075471</v>
      </c>
      <c r="BH50" s="18">
        <f t="shared" si="34"/>
        <v>2.4204085270741835</v>
      </c>
      <c r="BI50" s="18">
        <f t="shared" si="34"/>
        <v>0.31405737497123798</v>
      </c>
      <c r="BJ50" s="56">
        <f t="shared" si="18"/>
        <v>3</v>
      </c>
      <c r="BL50" s="18">
        <f t="shared" si="35"/>
        <v>3.297450121075471</v>
      </c>
      <c r="BM50" s="18">
        <f t="shared" si="35"/>
        <v>2.4204085270741835</v>
      </c>
      <c r="BN50" s="18">
        <f t="shared" si="35"/>
        <v>0.31405737497123798</v>
      </c>
      <c r="BO50" s="56">
        <f t="shared" si="20"/>
        <v>3</v>
      </c>
      <c r="BQ50" s="18">
        <f t="shared" si="36"/>
        <v>3.297450121075471</v>
      </c>
      <c r="BR50" s="18">
        <f t="shared" si="36"/>
        <v>2.4204085270741835</v>
      </c>
      <c r="BS50" s="18">
        <f t="shared" si="36"/>
        <v>0.31405737497123798</v>
      </c>
      <c r="BT50" s="56">
        <f t="shared" si="22"/>
        <v>3</v>
      </c>
      <c r="BV50" s="18">
        <f t="shared" si="37"/>
        <v>3.297450121075471</v>
      </c>
      <c r="BW50" s="18">
        <f t="shared" si="37"/>
        <v>2.4204085270741835</v>
      </c>
      <c r="BX50" s="18">
        <f t="shared" si="37"/>
        <v>0.31405737497123798</v>
      </c>
      <c r="BY50" s="56">
        <f t="shared" si="24"/>
        <v>3</v>
      </c>
      <c r="CA50" s="18">
        <f t="shared" si="38"/>
        <v>3.297450121075471</v>
      </c>
      <c r="CB50" s="18">
        <f t="shared" si="38"/>
        <v>2.4204085270741835</v>
      </c>
      <c r="CC50" s="18">
        <f t="shared" si="38"/>
        <v>0.31405737497123798</v>
      </c>
      <c r="CD50" s="56">
        <f t="shared" si="26"/>
        <v>3</v>
      </c>
    </row>
    <row r="51" spans="1:82" x14ac:dyDescent="0.25">
      <c r="A51" s="36" t="str">
        <f>KMeans_Data!A33</f>
        <v>Sargodha</v>
      </c>
      <c r="B51" s="18">
        <f>KMeans_Data!H33</f>
        <v>0.57775354876086193</v>
      </c>
      <c r="C51" s="18">
        <f>KMeans_Data!I33</f>
        <v>-0.67265054538827607</v>
      </c>
      <c r="D51" s="18">
        <f>KMeans_Data!J33</f>
        <v>-0.39984522290956798</v>
      </c>
      <c r="E51" s="56">
        <f t="shared" si="0"/>
        <v>2</v>
      </c>
      <c r="F51" s="38">
        <f t="shared" si="1"/>
        <v>1.5965674005909531</v>
      </c>
      <c r="G51" s="13" t="str">
        <f t="shared" si="2"/>
        <v>Low burden</v>
      </c>
      <c r="H51" s="18">
        <f>IF(COUNTIF(Distance_Matrix!$E$9:$DQ$9,$E51)&lt;=1,0,SUMIF(Distance_Matrix!$E$9:$DQ$9,$E51,Distance_Matrix!$E$42:$DQ$42)/(COUNTIF(Distance_Matrix!$E$9:$DQ$9,$E51)-1))</f>
        <v>1.3975877778842567</v>
      </c>
      <c r="I51" s="18">
        <f>MIN(IF(1=$E51,1E+99,IF(COUNTIF(Distance_Matrix!$E$9:$DQ$9,1)=0,1E+99,SUMIF(Distance_Matrix!$E$9:$DQ$9,1,Distance_Matrix!$E$42:$DQ$42)/COUNTIF(Distance_Matrix!$E$9:$DQ$9,1))),IF(2=$E51,1E+99,IF(COUNTIF(Distance_Matrix!$E$9:$DQ$9,2)=0,1E+99,SUMIF(Distance_Matrix!$E$9:$DQ$9,2,Distance_Matrix!$E$42:$DQ$42)/COUNTIF(Distance_Matrix!$E$9:$DQ$9,2))),IF(3=$E51,1E+99,IF(COUNTIF(Distance_Matrix!$E$9:$DQ$9,3)=0,1E+99,SUMIF(Distance_Matrix!$E$9:$DQ$9,3,Distance_Matrix!$E$42:$DQ$42)/COUNTIF(Distance_Matrix!$E$9:$DQ$9,3))))</f>
        <v>1.7410256403707356</v>
      </c>
      <c r="J51" s="18">
        <f>IF(COUNTIF(Distance_Matrix!$E$9:$DQ$9,$E51)&lt;=1,0,(I51-H51)/MAX(H51,I51))</f>
        <v>0.19726180621518413</v>
      </c>
      <c r="X51" s="18">
        <f t="shared" si="27"/>
        <v>6.5429996922998921</v>
      </c>
      <c r="Y51" s="18">
        <f t="shared" si="27"/>
        <v>2.7601589128984672</v>
      </c>
      <c r="Z51" s="18">
        <f t="shared" si="27"/>
        <v>2.1941641439380088</v>
      </c>
      <c r="AA51" s="56">
        <f t="shared" si="4"/>
        <v>3</v>
      </c>
      <c r="AC51" s="18">
        <f t="shared" si="28"/>
        <v>5.5520762792457976</v>
      </c>
      <c r="AD51" s="18">
        <f t="shared" si="28"/>
        <v>1.408598537983333</v>
      </c>
      <c r="AE51" s="18">
        <f t="shared" si="28"/>
        <v>1.4239123133616056</v>
      </c>
      <c r="AF51" s="56">
        <f t="shared" si="6"/>
        <v>2</v>
      </c>
      <c r="AH51" s="18">
        <f t="shared" si="29"/>
        <v>4.9202700753453534</v>
      </c>
      <c r="AI51" s="18">
        <f t="shared" si="29"/>
        <v>1.2707991935146157</v>
      </c>
      <c r="AJ51" s="18">
        <f t="shared" si="29"/>
        <v>1.5465162149845011</v>
      </c>
      <c r="AK51" s="56">
        <f t="shared" si="8"/>
        <v>2</v>
      </c>
      <c r="AM51" s="18">
        <f t="shared" si="30"/>
        <v>4.9202700753453534</v>
      </c>
      <c r="AN51" s="18">
        <f t="shared" si="30"/>
        <v>1.2635534814921578</v>
      </c>
      <c r="AO51" s="18">
        <f t="shared" si="30"/>
        <v>1.5622637376042061</v>
      </c>
      <c r="AP51" s="56">
        <f t="shared" si="10"/>
        <v>2</v>
      </c>
      <c r="AR51" s="18">
        <f t="shared" si="31"/>
        <v>4.9202700753453534</v>
      </c>
      <c r="AS51" s="18">
        <f t="shared" si="31"/>
        <v>1.2635534814921578</v>
      </c>
      <c r="AT51" s="18">
        <f t="shared" si="31"/>
        <v>1.5622637376042061</v>
      </c>
      <c r="AU51" s="56">
        <f t="shared" si="12"/>
        <v>2</v>
      </c>
      <c r="AW51" s="18">
        <f t="shared" si="32"/>
        <v>4.9202700753453534</v>
      </c>
      <c r="AX51" s="18">
        <f t="shared" si="32"/>
        <v>1.2635534814921578</v>
      </c>
      <c r="AY51" s="18">
        <f t="shared" si="32"/>
        <v>1.5622637376042061</v>
      </c>
      <c r="AZ51" s="56">
        <f t="shared" si="14"/>
        <v>2</v>
      </c>
      <c r="BB51" s="18">
        <f t="shared" si="33"/>
        <v>4.9202700753453534</v>
      </c>
      <c r="BC51" s="18">
        <f t="shared" si="33"/>
        <v>1.2635534814921578</v>
      </c>
      <c r="BD51" s="18">
        <f t="shared" si="33"/>
        <v>1.5622637376042061</v>
      </c>
      <c r="BE51" s="56">
        <f t="shared" si="16"/>
        <v>2</v>
      </c>
      <c r="BG51" s="18">
        <f t="shared" si="34"/>
        <v>4.9202700753453534</v>
      </c>
      <c r="BH51" s="18">
        <f t="shared" si="34"/>
        <v>1.2635534814921578</v>
      </c>
      <c r="BI51" s="18">
        <f t="shared" si="34"/>
        <v>1.5622637376042061</v>
      </c>
      <c r="BJ51" s="56">
        <f t="shared" si="18"/>
        <v>2</v>
      </c>
      <c r="BL51" s="18">
        <f t="shared" si="35"/>
        <v>4.9202700753453534</v>
      </c>
      <c r="BM51" s="18">
        <f t="shared" si="35"/>
        <v>1.2635534814921578</v>
      </c>
      <c r="BN51" s="18">
        <f t="shared" si="35"/>
        <v>1.5622637376042061</v>
      </c>
      <c r="BO51" s="56">
        <f t="shared" si="20"/>
        <v>2</v>
      </c>
      <c r="BQ51" s="18">
        <f t="shared" si="36"/>
        <v>4.9202700753453534</v>
      </c>
      <c r="BR51" s="18">
        <f t="shared" si="36"/>
        <v>1.2635534814921578</v>
      </c>
      <c r="BS51" s="18">
        <f t="shared" si="36"/>
        <v>1.5622637376042061</v>
      </c>
      <c r="BT51" s="56">
        <f t="shared" si="22"/>
        <v>2</v>
      </c>
      <c r="BV51" s="18">
        <f t="shared" si="37"/>
        <v>4.9202700753453534</v>
      </c>
      <c r="BW51" s="18">
        <f t="shared" si="37"/>
        <v>1.2635534814921578</v>
      </c>
      <c r="BX51" s="18">
        <f t="shared" si="37"/>
        <v>1.5622637376042061</v>
      </c>
      <c r="BY51" s="56">
        <f t="shared" si="24"/>
        <v>2</v>
      </c>
      <c r="CA51" s="18">
        <f t="shared" si="38"/>
        <v>4.9202700753453534</v>
      </c>
      <c r="CB51" s="18">
        <f t="shared" si="38"/>
        <v>1.2635534814921578</v>
      </c>
      <c r="CC51" s="18">
        <f t="shared" si="38"/>
        <v>1.5622637376042061</v>
      </c>
      <c r="CD51" s="56">
        <f t="shared" si="26"/>
        <v>2</v>
      </c>
    </row>
    <row r="52" spans="1:82" x14ac:dyDescent="0.25">
      <c r="A52" s="36" t="str">
        <f>KMeans_Data!A34</f>
        <v>Shaheed Benazirabad</v>
      </c>
      <c r="B52" s="18">
        <f>KMeans_Data!H34</f>
        <v>0.57775354876086193</v>
      </c>
      <c r="C52" s="18">
        <f>KMeans_Data!I34</f>
        <v>0.16051258962499582</v>
      </c>
      <c r="D52" s="18">
        <f>KMeans_Data!J34</f>
        <v>0.78154448627517237</v>
      </c>
      <c r="E52" s="56">
        <f t="shared" si="0"/>
        <v>3</v>
      </c>
      <c r="F52" s="38">
        <f t="shared" si="1"/>
        <v>8.4427362222306415E-2</v>
      </c>
      <c r="G52" s="13" t="str">
        <f t="shared" si="2"/>
        <v>Medium burden</v>
      </c>
      <c r="H52" s="18">
        <f>IF(COUNTIF(Distance_Matrix!$E$9:$DQ$9,$E52)&lt;=1,0,SUMIF(Distance_Matrix!$E$9:$DQ$9,$E52,Distance_Matrix!$E$43:$DQ$43)/(COUNTIF(Distance_Matrix!$E$9:$DQ$9,$E52)-1))</f>
        <v>0.92724213466428618</v>
      </c>
      <c r="I52" s="18">
        <f>MIN(IF(1=$E52,1E+99,IF(COUNTIF(Distance_Matrix!$E$9:$DQ$9,1)=0,1E+99,SUMIF(Distance_Matrix!$E$9:$DQ$9,1,Distance_Matrix!$E$43:$DQ$43)/COUNTIF(Distance_Matrix!$E$9:$DQ$9,1))),IF(2=$E52,1E+99,IF(COUNTIF(Distance_Matrix!$E$9:$DQ$9,2)=0,1E+99,SUMIF(Distance_Matrix!$E$9:$DQ$9,2,Distance_Matrix!$E$43:$DQ$43)/COUNTIF(Distance_Matrix!$E$9:$DQ$9,2))),IF(3=$E52,1E+99,IF(COUNTIF(Distance_Matrix!$E$9:$DQ$9,3)=0,1E+99,SUMIF(Distance_Matrix!$E$9:$DQ$9,3,Distance_Matrix!$E$43:$DQ$43)/COUNTIF(Distance_Matrix!$E$9:$DQ$9,3))))</f>
        <v>2.1818359218570493</v>
      </c>
      <c r="J52" s="18">
        <f>IF(COUNTIF(Distance_Matrix!$E$9:$DQ$9,$E52)&lt;=1,0,(I52-H52)/MAX(H52,I52))</f>
        <v>0.57501747708183637</v>
      </c>
      <c r="X52" s="18">
        <f t="shared" si="27"/>
        <v>5.3310034929576178</v>
      </c>
      <c r="Y52" s="18">
        <f t="shared" si="27"/>
        <v>3.3868094062982825</v>
      </c>
      <c r="Z52" s="18">
        <f t="shared" si="27"/>
        <v>0.85635508280799066</v>
      </c>
      <c r="AA52" s="56">
        <f t="shared" si="4"/>
        <v>3</v>
      </c>
      <c r="AC52" s="18">
        <f t="shared" si="28"/>
        <v>4.3728027598107042</v>
      </c>
      <c r="AD52" s="18">
        <f t="shared" si="28"/>
        <v>2.2434839480704021</v>
      </c>
      <c r="AE52" s="18">
        <f t="shared" si="28"/>
        <v>0.28004383361570639</v>
      </c>
      <c r="AF52" s="56">
        <f t="shared" si="6"/>
        <v>3</v>
      </c>
      <c r="AH52" s="18">
        <f t="shared" si="29"/>
        <v>3.7395972941128193</v>
      </c>
      <c r="AI52" s="18">
        <f t="shared" si="29"/>
        <v>2.1154877768046454</v>
      </c>
      <c r="AJ52" s="18">
        <f t="shared" si="29"/>
        <v>0.28695246329610413</v>
      </c>
      <c r="AK52" s="56">
        <f t="shared" si="8"/>
        <v>3</v>
      </c>
      <c r="AM52" s="18">
        <f t="shared" si="30"/>
        <v>3.7395972941128193</v>
      </c>
      <c r="AN52" s="18">
        <f t="shared" si="30"/>
        <v>2.1001372782346501</v>
      </c>
      <c r="AO52" s="18">
        <f t="shared" si="30"/>
        <v>0.29056386943717971</v>
      </c>
      <c r="AP52" s="56">
        <f t="shared" si="10"/>
        <v>3</v>
      </c>
      <c r="AR52" s="18">
        <f t="shared" si="31"/>
        <v>3.7395972941128193</v>
      </c>
      <c r="AS52" s="18">
        <f t="shared" si="31"/>
        <v>2.1001372782346501</v>
      </c>
      <c r="AT52" s="18">
        <f t="shared" si="31"/>
        <v>0.29056386943717971</v>
      </c>
      <c r="AU52" s="56">
        <f t="shared" si="12"/>
        <v>3</v>
      </c>
      <c r="AW52" s="18">
        <f t="shared" si="32"/>
        <v>3.7395972941128193</v>
      </c>
      <c r="AX52" s="18">
        <f t="shared" si="32"/>
        <v>2.1001372782346501</v>
      </c>
      <c r="AY52" s="18">
        <f t="shared" si="32"/>
        <v>0.29056386943717971</v>
      </c>
      <c r="AZ52" s="56">
        <f t="shared" si="14"/>
        <v>3</v>
      </c>
      <c r="BB52" s="18">
        <f t="shared" si="33"/>
        <v>3.7395972941128193</v>
      </c>
      <c r="BC52" s="18">
        <f t="shared" si="33"/>
        <v>2.1001372782346501</v>
      </c>
      <c r="BD52" s="18">
        <f t="shared" si="33"/>
        <v>0.29056386943717971</v>
      </c>
      <c r="BE52" s="56">
        <f t="shared" si="16"/>
        <v>3</v>
      </c>
      <c r="BG52" s="18">
        <f t="shared" si="34"/>
        <v>3.7395972941128193</v>
      </c>
      <c r="BH52" s="18">
        <f t="shared" si="34"/>
        <v>2.1001372782346501</v>
      </c>
      <c r="BI52" s="18">
        <f t="shared" si="34"/>
        <v>0.29056386943717971</v>
      </c>
      <c r="BJ52" s="56">
        <f t="shared" si="18"/>
        <v>3</v>
      </c>
      <c r="BL52" s="18">
        <f t="shared" si="35"/>
        <v>3.7395972941128193</v>
      </c>
      <c r="BM52" s="18">
        <f t="shared" si="35"/>
        <v>2.1001372782346501</v>
      </c>
      <c r="BN52" s="18">
        <f t="shared" si="35"/>
        <v>0.29056386943717971</v>
      </c>
      <c r="BO52" s="56">
        <f t="shared" si="20"/>
        <v>3</v>
      </c>
      <c r="BQ52" s="18">
        <f t="shared" si="36"/>
        <v>3.7395972941128193</v>
      </c>
      <c r="BR52" s="18">
        <f t="shared" si="36"/>
        <v>2.1001372782346501</v>
      </c>
      <c r="BS52" s="18">
        <f t="shared" si="36"/>
        <v>0.29056386943717971</v>
      </c>
      <c r="BT52" s="56">
        <f t="shared" si="22"/>
        <v>3</v>
      </c>
      <c r="BV52" s="18">
        <f t="shared" si="37"/>
        <v>3.7395972941128193</v>
      </c>
      <c r="BW52" s="18">
        <f t="shared" si="37"/>
        <v>2.1001372782346501</v>
      </c>
      <c r="BX52" s="18">
        <f t="shared" si="37"/>
        <v>0.29056386943717971</v>
      </c>
      <c r="BY52" s="56">
        <f t="shared" si="24"/>
        <v>3</v>
      </c>
      <c r="CA52" s="18">
        <f t="shared" si="38"/>
        <v>3.7395972941128193</v>
      </c>
      <c r="CB52" s="18">
        <f t="shared" si="38"/>
        <v>2.1001372782346501</v>
      </c>
      <c r="CC52" s="18">
        <f t="shared" si="38"/>
        <v>0.29056386943717971</v>
      </c>
      <c r="CD52" s="56">
        <f t="shared" si="26"/>
        <v>3</v>
      </c>
    </row>
    <row r="53" spans="1:82" x14ac:dyDescent="0.25">
      <c r="A53" s="36" t="str">
        <f>KMeans_Data!A35</f>
        <v>Gujrat</v>
      </c>
      <c r="B53" s="18">
        <f>KMeans_Data!H35</f>
        <v>0.57458958754261724</v>
      </c>
      <c r="C53" s="18">
        <f>KMeans_Data!I35</f>
        <v>-0.67265054538827607</v>
      </c>
      <c r="D53" s="18">
        <f>KMeans_Data!J35</f>
        <v>-0.39984522290956798</v>
      </c>
      <c r="E53" s="56">
        <f t="shared" si="0"/>
        <v>2</v>
      </c>
      <c r="F53" s="38">
        <f t="shared" si="1"/>
        <v>1.5888863521194463</v>
      </c>
      <c r="G53" s="13" t="str">
        <f t="shared" si="2"/>
        <v>Low burden</v>
      </c>
      <c r="H53" s="18">
        <f>IF(COUNTIF(Distance_Matrix!$E$9:$DQ$9,$E53)&lt;=1,0,SUMIF(Distance_Matrix!$E$9:$DQ$9,$E53,Distance_Matrix!$E$44:$DQ$44)/(COUNTIF(Distance_Matrix!$E$9:$DQ$9,$E53)-1))</f>
        <v>1.3949362890453887</v>
      </c>
      <c r="I53" s="18">
        <f>MIN(IF(1=$E53,1E+99,IF(COUNTIF(Distance_Matrix!$E$9:$DQ$9,1)=0,1E+99,SUMIF(Distance_Matrix!$E$9:$DQ$9,1,Distance_Matrix!$E$44:$DQ$44)/COUNTIF(Distance_Matrix!$E$9:$DQ$9,1))),IF(2=$E53,1E+99,IF(COUNTIF(Distance_Matrix!$E$9:$DQ$9,2)=0,1E+99,SUMIF(Distance_Matrix!$E$9:$DQ$9,2,Distance_Matrix!$E$44:$DQ$44)/COUNTIF(Distance_Matrix!$E$9:$DQ$9,2))),IF(3=$E53,1E+99,IF(COUNTIF(Distance_Matrix!$E$9:$DQ$9,3)=0,1E+99,SUMIF(Distance_Matrix!$E$9:$DQ$9,3,Distance_Matrix!$E$44:$DQ$44)/COUNTIF(Distance_Matrix!$E$9:$DQ$9,3))))</f>
        <v>1.7407867748536023</v>
      </c>
      <c r="J53" s="18">
        <f>IF(COUNTIF(Distance_Matrix!$E$9:$DQ$9,$E53)&lt;=1,0,(I53-H53)/MAX(H53,I53))</f>
        <v>0.19867481233438206</v>
      </c>
      <c r="X53" s="18">
        <f t="shared" si="27"/>
        <v>6.5443042851341469</v>
      </c>
      <c r="Y53" s="18">
        <f t="shared" si="27"/>
        <v>2.7571127715097909</v>
      </c>
      <c r="Z53" s="18">
        <f t="shared" si="27"/>
        <v>2.1948290386308456</v>
      </c>
      <c r="AA53" s="56">
        <f t="shared" si="4"/>
        <v>3</v>
      </c>
      <c r="AC53" s="18">
        <f t="shared" si="28"/>
        <v>5.5533483025214778</v>
      </c>
      <c r="AD53" s="18">
        <f t="shared" si="28"/>
        <v>1.4055841864986598</v>
      </c>
      <c r="AE53" s="18">
        <f t="shared" si="28"/>
        <v>1.4237634838763402</v>
      </c>
      <c r="AF53" s="56">
        <f t="shared" si="6"/>
        <v>2</v>
      </c>
      <c r="AH53" s="18">
        <f t="shared" si="29"/>
        <v>4.9214962195680974</v>
      </c>
      <c r="AI53" s="18">
        <f t="shared" si="29"/>
        <v>1.2677640692201191</v>
      </c>
      <c r="AJ53" s="18">
        <f t="shared" si="29"/>
        <v>1.546375788262732</v>
      </c>
      <c r="AK53" s="56">
        <f t="shared" si="8"/>
        <v>2</v>
      </c>
      <c r="AM53" s="18">
        <f t="shared" si="30"/>
        <v>4.9214962195680974</v>
      </c>
      <c r="AN53" s="18">
        <f t="shared" si="30"/>
        <v>1.2605103538327032</v>
      </c>
      <c r="AO53" s="18">
        <f t="shared" si="30"/>
        <v>1.5621632067169076</v>
      </c>
      <c r="AP53" s="56">
        <f t="shared" si="10"/>
        <v>2</v>
      </c>
      <c r="AR53" s="18">
        <f t="shared" si="31"/>
        <v>4.9214962195680974</v>
      </c>
      <c r="AS53" s="18">
        <f t="shared" si="31"/>
        <v>1.2605103538327032</v>
      </c>
      <c r="AT53" s="18">
        <f t="shared" si="31"/>
        <v>1.5621632067169076</v>
      </c>
      <c r="AU53" s="56">
        <f t="shared" si="12"/>
        <v>2</v>
      </c>
      <c r="AW53" s="18">
        <f t="shared" si="32"/>
        <v>4.9214962195680974</v>
      </c>
      <c r="AX53" s="18">
        <f t="shared" si="32"/>
        <v>1.2605103538327032</v>
      </c>
      <c r="AY53" s="18">
        <f t="shared" si="32"/>
        <v>1.5621632067169076</v>
      </c>
      <c r="AZ53" s="56">
        <f t="shared" si="14"/>
        <v>2</v>
      </c>
      <c r="BB53" s="18">
        <f t="shared" si="33"/>
        <v>4.9214962195680974</v>
      </c>
      <c r="BC53" s="18">
        <f t="shared" si="33"/>
        <v>1.2605103538327032</v>
      </c>
      <c r="BD53" s="18">
        <f t="shared" si="33"/>
        <v>1.5621632067169076</v>
      </c>
      <c r="BE53" s="56">
        <f t="shared" si="16"/>
        <v>2</v>
      </c>
      <c r="BG53" s="18">
        <f t="shared" si="34"/>
        <v>4.9214962195680974</v>
      </c>
      <c r="BH53" s="18">
        <f t="shared" si="34"/>
        <v>1.2605103538327032</v>
      </c>
      <c r="BI53" s="18">
        <f t="shared" si="34"/>
        <v>1.5621632067169076</v>
      </c>
      <c r="BJ53" s="56">
        <f t="shared" si="18"/>
        <v>2</v>
      </c>
      <c r="BL53" s="18">
        <f t="shared" si="35"/>
        <v>4.9214962195680974</v>
      </c>
      <c r="BM53" s="18">
        <f t="shared" si="35"/>
        <v>1.2605103538327032</v>
      </c>
      <c r="BN53" s="18">
        <f t="shared" si="35"/>
        <v>1.5621632067169076</v>
      </c>
      <c r="BO53" s="56">
        <f t="shared" si="20"/>
        <v>2</v>
      </c>
      <c r="BQ53" s="18">
        <f t="shared" si="36"/>
        <v>4.9214962195680974</v>
      </c>
      <c r="BR53" s="18">
        <f t="shared" si="36"/>
        <v>1.2605103538327032</v>
      </c>
      <c r="BS53" s="18">
        <f t="shared" si="36"/>
        <v>1.5621632067169076</v>
      </c>
      <c r="BT53" s="56">
        <f t="shared" si="22"/>
        <v>2</v>
      </c>
      <c r="BV53" s="18">
        <f t="shared" si="37"/>
        <v>4.9214962195680974</v>
      </c>
      <c r="BW53" s="18">
        <f t="shared" si="37"/>
        <v>1.2605103538327032</v>
      </c>
      <c r="BX53" s="18">
        <f t="shared" si="37"/>
        <v>1.5621632067169076</v>
      </c>
      <c r="BY53" s="56">
        <f t="shared" si="24"/>
        <v>2</v>
      </c>
      <c r="CA53" s="18">
        <f t="shared" si="38"/>
        <v>4.9214962195680974</v>
      </c>
      <c r="CB53" s="18">
        <f t="shared" si="38"/>
        <v>1.2605103538327032</v>
      </c>
      <c r="CC53" s="18">
        <f t="shared" si="38"/>
        <v>1.5621632067169076</v>
      </c>
      <c r="CD53" s="56">
        <f t="shared" si="26"/>
        <v>2</v>
      </c>
    </row>
    <row r="54" spans="1:82" x14ac:dyDescent="0.25">
      <c r="A54" s="36" t="str">
        <f>KMeans_Data!A36</f>
        <v>Dera Ismail Khan</v>
      </c>
      <c r="B54" s="18">
        <f>KMeans_Data!H36</f>
        <v>0.56820337223564554</v>
      </c>
      <c r="C54" s="18">
        <f>KMeans_Data!I36</f>
        <v>0.54791138584450239</v>
      </c>
      <c r="D54" s="18">
        <f>KMeans_Data!J36</f>
        <v>1.1134779913146182</v>
      </c>
      <c r="E54" s="56">
        <f t="shared" si="0"/>
        <v>3</v>
      </c>
      <c r="F54" s="38">
        <f t="shared" si="1"/>
        <v>0.18482107754441895</v>
      </c>
      <c r="G54" s="13" t="str">
        <f t="shared" si="2"/>
        <v>Medium burden</v>
      </c>
      <c r="H54" s="18">
        <f>IF(COUNTIF(Distance_Matrix!$E$9:$DQ$9,$E54)&lt;=1,0,SUMIF(Distance_Matrix!$E$9:$DQ$9,$E54,Distance_Matrix!$E$45:$DQ$45)/(COUNTIF(Distance_Matrix!$E$9:$DQ$9,$E54)-1))</f>
        <v>0.96763418109154409</v>
      </c>
      <c r="I54" s="18">
        <f>MIN(IF(1=$E54,1E+99,IF(COUNTIF(Distance_Matrix!$E$9:$DQ$9,1)=0,1E+99,SUMIF(Distance_Matrix!$E$9:$DQ$9,1,Distance_Matrix!$E$45:$DQ$45)/COUNTIF(Distance_Matrix!$E$9:$DQ$9,1))),IF(2=$E54,1E+99,IF(COUNTIF(Distance_Matrix!$E$9:$DQ$9,2)=0,1E+99,SUMIF(Distance_Matrix!$E$9:$DQ$9,2,Distance_Matrix!$E$45:$DQ$45)/COUNTIF(Distance_Matrix!$E$9:$DQ$9,2))),IF(3=$E54,1E+99,IF(COUNTIF(Distance_Matrix!$E$9:$DQ$9,3)=0,1E+99,SUMIF(Distance_Matrix!$E$9:$DQ$9,3,Distance_Matrix!$E$45:$DQ$45)/COUNTIF(Distance_Matrix!$E$9:$DQ$9,3))))</f>
        <v>2.578324249960279</v>
      </c>
      <c r="J54" s="18">
        <f>IF(COUNTIF(Distance_Matrix!$E$9:$DQ$9,$E54)&lt;=1,0,(I54-H54)/MAX(H54,I54))</f>
        <v>0.62470423139895948</v>
      </c>
      <c r="X54" s="18">
        <f t="shared" si="27"/>
        <v>4.9077486940462336</v>
      </c>
      <c r="Y54" s="18">
        <f t="shared" si="27"/>
        <v>3.6884952947874514</v>
      </c>
      <c r="Z54" s="18">
        <f t="shared" si="27"/>
        <v>0.61328679051740209</v>
      </c>
      <c r="AA54" s="56">
        <f t="shared" si="4"/>
        <v>3</v>
      </c>
      <c r="AC54" s="18">
        <f t="shared" si="28"/>
        <v>3.9617120445701826</v>
      </c>
      <c r="AD54" s="18">
        <f t="shared" si="28"/>
        <v>2.6378610697516267</v>
      </c>
      <c r="AE54" s="18">
        <f t="shared" si="28"/>
        <v>0.5645148948091977</v>
      </c>
      <c r="AF54" s="56">
        <f t="shared" si="6"/>
        <v>3</v>
      </c>
      <c r="AH54" s="18">
        <f t="shared" si="29"/>
        <v>3.332767143123462</v>
      </c>
      <c r="AI54" s="18">
        <f t="shared" si="29"/>
        <v>2.5190597021024188</v>
      </c>
      <c r="AJ54" s="18">
        <f t="shared" si="29"/>
        <v>0.44629870664035926</v>
      </c>
      <c r="AK54" s="56">
        <f t="shared" si="8"/>
        <v>3</v>
      </c>
      <c r="AM54" s="18">
        <f t="shared" si="30"/>
        <v>3.332767143123462</v>
      </c>
      <c r="AN54" s="18">
        <f t="shared" si="30"/>
        <v>2.5031274668247385</v>
      </c>
      <c r="AO54" s="18">
        <f t="shared" si="30"/>
        <v>0.42990821990794609</v>
      </c>
      <c r="AP54" s="56">
        <f t="shared" si="10"/>
        <v>3</v>
      </c>
      <c r="AR54" s="18">
        <f t="shared" si="31"/>
        <v>3.332767143123462</v>
      </c>
      <c r="AS54" s="18">
        <f t="shared" si="31"/>
        <v>2.5031274668247385</v>
      </c>
      <c r="AT54" s="18">
        <f t="shared" si="31"/>
        <v>0.42990821990794609</v>
      </c>
      <c r="AU54" s="56">
        <f t="shared" si="12"/>
        <v>3</v>
      </c>
      <c r="AW54" s="18">
        <f t="shared" si="32"/>
        <v>3.332767143123462</v>
      </c>
      <c r="AX54" s="18">
        <f t="shared" si="32"/>
        <v>2.5031274668247385</v>
      </c>
      <c r="AY54" s="18">
        <f t="shared" si="32"/>
        <v>0.42990821990794609</v>
      </c>
      <c r="AZ54" s="56">
        <f t="shared" si="14"/>
        <v>3</v>
      </c>
      <c r="BB54" s="18">
        <f t="shared" si="33"/>
        <v>3.332767143123462</v>
      </c>
      <c r="BC54" s="18">
        <f t="shared" si="33"/>
        <v>2.5031274668247385</v>
      </c>
      <c r="BD54" s="18">
        <f t="shared" si="33"/>
        <v>0.42990821990794609</v>
      </c>
      <c r="BE54" s="56">
        <f t="shared" si="16"/>
        <v>3</v>
      </c>
      <c r="BG54" s="18">
        <f t="shared" si="34"/>
        <v>3.332767143123462</v>
      </c>
      <c r="BH54" s="18">
        <f t="shared" si="34"/>
        <v>2.5031274668247385</v>
      </c>
      <c r="BI54" s="18">
        <f t="shared" si="34"/>
        <v>0.42990821990794609</v>
      </c>
      <c r="BJ54" s="56">
        <f t="shared" si="18"/>
        <v>3</v>
      </c>
      <c r="BL54" s="18">
        <f t="shared" si="35"/>
        <v>3.332767143123462</v>
      </c>
      <c r="BM54" s="18">
        <f t="shared" si="35"/>
        <v>2.5031274668247385</v>
      </c>
      <c r="BN54" s="18">
        <f t="shared" si="35"/>
        <v>0.42990821990794609</v>
      </c>
      <c r="BO54" s="56">
        <f t="shared" si="20"/>
        <v>3</v>
      </c>
      <c r="BQ54" s="18">
        <f t="shared" si="36"/>
        <v>3.332767143123462</v>
      </c>
      <c r="BR54" s="18">
        <f t="shared" si="36"/>
        <v>2.5031274668247385</v>
      </c>
      <c r="BS54" s="18">
        <f t="shared" si="36"/>
        <v>0.42990821990794609</v>
      </c>
      <c r="BT54" s="56">
        <f t="shared" si="22"/>
        <v>3</v>
      </c>
      <c r="BV54" s="18">
        <f t="shared" si="37"/>
        <v>3.332767143123462</v>
      </c>
      <c r="BW54" s="18">
        <f t="shared" si="37"/>
        <v>2.5031274668247385</v>
      </c>
      <c r="BX54" s="18">
        <f t="shared" si="37"/>
        <v>0.42990821990794609</v>
      </c>
      <c r="BY54" s="56">
        <f t="shared" si="24"/>
        <v>3</v>
      </c>
      <c r="CA54" s="18">
        <f t="shared" si="38"/>
        <v>3.332767143123462</v>
      </c>
      <c r="CB54" s="18">
        <f t="shared" si="38"/>
        <v>2.5031274668247385</v>
      </c>
      <c r="CC54" s="18">
        <f t="shared" si="38"/>
        <v>0.42990821990794609</v>
      </c>
      <c r="CD54" s="56">
        <f t="shared" si="26"/>
        <v>3</v>
      </c>
    </row>
    <row r="55" spans="1:82" x14ac:dyDescent="0.25">
      <c r="A55" s="36" t="str">
        <f>KMeans_Data!A37</f>
        <v>Karak</v>
      </c>
      <c r="B55" s="18">
        <f>KMeans_Data!H37</f>
        <v>0.53160574306813768</v>
      </c>
      <c r="C55" s="18">
        <f>KMeans_Data!I37</f>
        <v>0.37868427752921691</v>
      </c>
      <c r="D55" s="18">
        <f>KMeans_Data!J37</f>
        <v>0.2867168485915767</v>
      </c>
      <c r="E55" s="56">
        <f t="shared" ref="E55:E86" si="39">CD55</f>
        <v>3</v>
      </c>
      <c r="F55" s="38">
        <f t="shared" ref="F55:F86" si="40">($B55-INDEX($L$16:$N$16,E55))^2+($C55-INDEX($L$17:$N$17,E55))^2+($D55-INDEX($L$18:$N$18,E55))^2</f>
        <v>0.17464187681419904</v>
      </c>
      <c r="G55" s="13" t="str">
        <f t="shared" ref="G55:G86" si="41">INDEX($M$5:$M$7,E55)</f>
        <v>Medium burden</v>
      </c>
      <c r="H55" s="18">
        <f>IF(COUNTIF(Distance_Matrix!$E$9:$DQ$9,$E55)&lt;=1,0,SUMIF(Distance_Matrix!$E$9:$DQ$9,$E55,Distance_Matrix!$E$46:$DQ$46)/(COUNTIF(Distance_Matrix!$E$9:$DQ$9,$E55)-1))</f>
        <v>0.9773238429588581</v>
      </c>
      <c r="I55" s="18">
        <f>MIN(IF(1=$E55,1E+99,IF(COUNTIF(Distance_Matrix!$E$9:$DQ$9,1)=0,1E+99,SUMIF(Distance_Matrix!$E$9:$DQ$9,1,Distance_Matrix!$E$46:$DQ$46)/COUNTIF(Distance_Matrix!$E$9:$DQ$9,1))),IF(2=$E55,1E+99,IF(COUNTIF(Distance_Matrix!$E$9:$DQ$9,2)=0,1E+99,SUMIF(Distance_Matrix!$E$9:$DQ$9,2,Distance_Matrix!$E$46:$DQ$46)/COUNTIF(Distance_Matrix!$E$9:$DQ$9,2))),IF(3=$E55,1E+99,IF(COUNTIF(Distance_Matrix!$E$9:$DQ$9,3)=0,1E+99,SUMIF(Distance_Matrix!$E$9:$DQ$9,3,Distance_Matrix!$E$46:$DQ$46)/COUNTIF(Distance_Matrix!$E$9:$DQ$9,3))))</f>
        <v>1.9543424854146441</v>
      </c>
      <c r="J55" s="18">
        <f>IF(COUNTIF(Distance_Matrix!$E$9:$DQ$9,$E55)&lt;=1,0,(I55-H55)/MAX(H55,I55))</f>
        <v>0.49992191734423475</v>
      </c>
      <c r="X55" s="18">
        <f t="shared" si="27"/>
        <v>5.4512731124576481</v>
      </c>
      <c r="Y55" s="18">
        <f t="shared" si="27"/>
        <v>3.1584931364728011</v>
      </c>
      <c r="Z55" s="18">
        <f t="shared" si="27"/>
        <v>1.2871988045077052</v>
      </c>
      <c r="AA55" s="56">
        <f t="shared" ref="AA55:AA86" si="42">MATCH(MIN(X55:Z55),X55:Z55,0)</f>
        <v>3</v>
      </c>
      <c r="AC55" s="18">
        <f t="shared" si="28"/>
        <v>4.4549170030924259</v>
      </c>
      <c r="AD55" s="18">
        <f t="shared" si="28"/>
        <v>1.9908305217108468</v>
      </c>
      <c r="AE55" s="18">
        <f t="shared" si="28"/>
        <v>0.30321719766350214</v>
      </c>
      <c r="AF55" s="56">
        <f t="shared" ref="AF55:AF86" si="43">MATCH(MIN(AC55:AE55),AC55:AE55,0)</f>
        <v>3</v>
      </c>
      <c r="AH55" s="18">
        <f t="shared" si="29"/>
        <v>3.8178007971595944</v>
      </c>
      <c r="AI55" s="18">
        <f t="shared" si="29"/>
        <v>1.8657185933114211</v>
      </c>
      <c r="AJ55" s="18">
        <f t="shared" si="29"/>
        <v>0.40575948623007874</v>
      </c>
      <c r="AK55" s="56">
        <f t="shared" ref="AK55:AK86" si="44">MATCH(MIN(AH55:AJ55),AH55:AJ55,0)</f>
        <v>3</v>
      </c>
      <c r="AM55" s="18">
        <f t="shared" si="30"/>
        <v>3.8178007971595944</v>
      </c>
      <c r="AN55" s="18">
        <f t="shared" si="30"/>
        <v>1.85128422305389</v>
      </c>
      <c r="AO55" s="18">
        <f t="shared" si="30"/>
        <v>0.41790175497860621</v>
      </c>
      <c r="AP55" s="56">
        <f t="shared" ref="AP55:AP86" si="45">MATCH(MIN(AM55:AO55),AM55:AO55,0)</f>
        <v>3</v>
      </c>
      <c r="AR55" s="18">
        <f t="shared" si="31"/>
        <v>3.8178007971595944</v>
      </c>
      <c r="AS55" s="18">
        <f t="shared" si="31"/>
        <v>1.85128422305389</v>
      </c>
      <c r="AT55" s="18">
        <f t="shared" si="31"/>
        <v>0.41790175497860621</v>
      </c>
      <c r="AU55" s="56">
        <f t="shared" ref="AU55:AU86" si="46">MATCH(MIN(AR55:AT55),AR55:AT55,0)</f>
        <v>3</v>
      </c>
      <c r="AW55" s="18">
        <f t="shared" si="32"/>
        <v>3.8178007971595944</v>
      </c>
      <c r="AX55" s="18">
        <f t="shared" si="32"/>
        <v>1.85128422305389</v>
      </c>
      <c r="AY55" s="18">
        <f t="shared" si="32"/>
        <v>0.41790175497860621</v>
      </c>
      <c r="AZ55" s="56">
        <f t="shared" ref="AZ55:AZ86" si="47">MATCH(MIN(AW55:AY55),AW55:AY55,0)</f>
        <v>3</v>
      </c>
      <c r="BB55" s="18">
        <f t="shared" si="33"/>
        <v>3.8178007971595944</v>
      </c>
      <c r="BC55" s="18">
        <f t="shared" si="33"/>
        <v>1.85128422305389</v>
      </c>
      <c r="BD55" s="18">
        <f t="shared" si="33"/>
        <v>0.41790175497860621</v>
      </c>
      <c r="BE55" s="56">
        <f t="shared" ref="BE55:BE86" si="48">MATCH(MIN(BB55:BD55),BB55:BD55,0)</f>
        <v>3</v>
      </c>
      <c r="BG55" s="18">
        <f t="shared" si="34"/>
        <v>3.8178007971595944</v>
      </c>
      <c r="BH55" s="18">
        <f t="shared" si="34"/>
        <v>1.85128422305389</v>
      </c>
      <c r="BI55" s="18">
        <f t="shared" si="34"/>
        <v>0.41790175497860621</v>
      </c>
      <c r="BJ55" s="56">
        <f t="shared" ref="BJ55:BJ86" si="49">MATCH(MIN(BG55:BI55),BG55:BI55,0)</f>
        <v>3</v>
      </c>
      <c r="BL55" s="18">
        <f t="shared" si="35"/>
        <v>3.8178007971595944</v>
      </c>
      <c r="BM55" s="18">
        <f t="shared" si="35"/>
        <v>1.85128422305389</v>
      </c>
      <c r="BN55" s="18">
        <f t="shared" si="35"/>
        <v>0.41790175497860621</v>
      </c>
      <c r="BO55" s="56">
        <f t="shared" ref="BO55:BO86" si="50">MATCH(MIN(BL55:BN55),BL55:BN55,0)</f>
        <v>3</v>
      </c>
      <c r="BQ55" s="18">
        <f t="shared" si="36"/>
        <v>3.8178007971595944</v>
      </c>
      <c r="BR55" s="18">
        <f t="shared" si="36"/>
        <v>1.85128422305389</v>
      </c>
      <c r="BS55" s="18">
        <f t="shared" si="36"/>
        <v>0.41790175497860621</v>
      </c>
      <c r="BT55" s="56">
        <f t="shared" ref="BT55:BT86" si="51">MATCH(MIN(BQ55:BS55),BQ55:BS55,0)</f>
        <v>3</v>
      </c>
      <c r="BV55" s="18">
        <f t="shared" si="37"/>
        <v>3.8178007971595944</v>
      </c>
      <c r="BW55" s="18">
        <f t="shared" si="37"/>
        <v>1.85128422305389</v>
      </c>
      <c r="BX55" s="18">
        <f t="shared" si="37"/>
        <v>0.41790175497860621</v>
      </c>
      <c r="BY55" s="56">
        <f t="shared" ref="BY55:BY86" si="52">MATCH(MIN(BV55:BX55),BV55:BX55,0)</f>
        <v>3</v>
      </c>
      <c r="CA55" s="18">
        <f t="shared" si="38"/>
        <v>3.8178007971595944</v>
      </c>
      <c r="CB55" s="18">
        <f t="shared" si="38"/>
        <v>1.85128422305389</v>
      </c>
      <c r="CC55" s="18">
        <f t="shared" si="38"/>
        <v>0.41790175497860621</v>
      </c>
      <c r="CD55" s="56">
        <f t="shared" ref="CD55:CD86" si="53">MATCH(MIN(CA55:CC55),CA55:CC55,0)</f>
        <v>3</v>
      </c>
    </row>
    <row r="56" spans="1:82" x14ac:dyDescent="0.25">
      <c r="A56" s="36" t="str">
        <f>KMeans_Data!A38</f>
        <v>Shangla</v>
      </c>
      <c r="B56" s="18">
        <f>KMeans_Data!H38</f>
        <v>0.48474983033217361</v>
      </c>
      <c r="C56" s="18">
        <f>KMeans_Data!I38</f>
        <v>-0.14698313392952958</v>
      </c>
      <c r="D56" s="18">
        <f>KMeans_Data!J38</f>
        <v>0.55201703639881239</v>
      </c>
      <c r="E56" s="56">
        <f t="shared" si="39"/>
        <v>3</v>
      </c>
      <c r="F56" s="38">
        <f t="shared" si="40"/>
        <v>0.36245543278036002</v>
      </c>
      <c r="G56" s="13" t="str">
        <f t="shared" si="41"/>
        <v>Medium burden</v>
      </c>
      <c r="H56" s="18">
        <f>IF(COUNTIF(Distance_Matrix!$E$9:$DQ$9,$E56)&lt;=1,0,SUMIF(Distance_Matrix!$E$9:$DQ$9,$E56,Distance_Matrix!$E$47:$DQ$47)/(COUNTIF(Distance_Matrix!$E$9:$DQ$9,$E56)-1))</f>
        <v>1.0361758744936653</v>
      </c>
      <c r="I56" s="18">
        <f>MIN(IF(1=$E56,1E+99,IF(COUNTIF(Distance_Matrix!$E$9:$DQ$9,1)=0,1E+99,SUMIF(Distance_Matrix!$E$9:$DQ$9,1,Distance_Matrix!$E$47:$DQ$47)/COUNTIF(Distance_Matrix!$E$9:$DQ$9,1))),IF(2=$E56,1E+99,IF(COUNTIF(Distance_Matrix!$E$9:$DQ$9,2)=0,1E+99,SUMIF(Distance_Matrix!$E$9:$DQ$9,2,Distance_Matrix!$E$47:$DQ$47)/COUNTIF(Distance_Matrix!$E$9:$DQ$9,2))),IF(3=$E56,1E+99,IF(COUNTIF(Distance_Matrix!$E$9:$DQ$9,3)=0,1E+99,SUMIF(Distance_Matrix!$E$9:$DQ$9,3,Distance_Matrix!$E$47:$DQ$47)/COUNTIF(Distance_Matrix!$E$9:$DQ$9,3))))</f>
        <v>1.8688305165140655</v>
      </c>
      <c r="J56" s="18">
        <f>IF(COUNTIF(Distance_Matrix!$E$9:$DQ$9,$E56)&lt;=1,0,(I56-H56)/MAX(H56,I56))</f>
        <v>0.44554850461964474</v>
      </c>
      <c r="X56" s="18">
        <f t="shared" si="27"/>
        <v>5.7093441936674045</v>
      </c>
      <c r="Y56" s="18">
        <f t="shared" si="27"/>
        <v>3.1200925235572523</v>
      </c>
      <c r="Z56" s="18">
        <f t="shared" si="27"/>
        <v>1.193781578262858</v>
      </c>
      <c r="AA56" s="56">
        <f t="shared" si="42"/>
        <v>3</v>
      </c>
      <c r="AC56" s="18">
        <f t="shared" si="28"/>
        <v>4.7472659706576144</v>
      </c>
      <c r="AD56" s="18">
        <f t="shared" si="28"/>
        <v>1.925328218885042</v>
      </c>
      <c r="AE56" s="18">
        <f t="shared" si="28"/>
        <v>0.49962199706435956</v>
      </c>
      <c r="AF56" s="56">
        <f t="shared" si="43"/>
        <v>3</v>
      </c>
      <c r="AH56" s="18">
        <f t="shared" si="29"/>
        <v>4.1133006269463204</v>
      </c>
      <c r="AI56" s="18">
        <f t="shared" si="29"/>
        <v>1.7922984969454712</v>
      </c>
      <c r="AJ56" s="18">
        <f t="shared" si="29"/>
        <v>0.58674622724300562</v>
      </c>
      <c r="AK56" s="56">
        <f t="shared" si="44"/>
        <v>3</v>
      </c>
      <c r="AM56" s="18">
        <f t="shared" si="30"/>
        <v>4.1133006269463204</v>
      </c>
      <c r="AN56" s="18">
        <f t="shared" si="30"/>
        <v>1.777515351614767</v>
      </c>
      <c r="AO56" s="18">
        <f t="shared" si="30"/>
        <v>0.60204271674056486</v>
      </c>
      <c r="AP56" s="56">
        <f t="shared" si="45"/>
        <v>3</v>
      </c>
      <c r="AR56" s="18">
        <f t="shared" si="31"/>
        <v>4.1133006269463204</v>
      </c>
      <c r="AS56" s="18">
        <f t="shared" si="31"/>
        <v>1.777515351614767</v>
      </c>
      <c r="AT56" s="18">
        <f t="shared" si="31"/>
        <v>0.60204271674056486</v>
      </c>
      <c r="AU56" s="56">
        <f t="shared" si="46"/>
        <v>3</v>
      </c>
      <c r="AW56" s="18">
        <f t="shared" si="32"/>
        <v>4.1133006269463204</v>
      </c>
      <c r="AX56" s="18">
        <f t="shared" si="32"/>
        <v>1.777515351614767</v>
      </c>
      <c r="AY56" s="18">
        <f t="shared" si="32"/>
        <v>0.60204271674056486</v>
      </c>
      <c r="AZ56" s="56">
        <f t="shared" si="47"/>
        <v>3</v>
      </c>
      <c r="BB56" s="18">
        <f t="shared" si="33"/>
        <v>4.1133006269463204</v>
      </c>
      <c r="BC56" s="18">
        <f t="shared" si="33"/>
        <v>1.777515351614767</v>
      </c>
      <c r="BD56" s="18">
        <f t="shared" si="33"/>
        <v>0.60204271674056486</v>
      </c>
      <c r="BE56" s="56">
        <f t="shared" si="48"/>
        <v>3</v>
      </c>
      <c r="BG56" s="18">
        <f t="shared" si="34"/>
        <v>4.1133006269463204</v>
      </c>
      <c r="BH56" s="18">
        <f t="shared" si="34"/>
        <v>1.777515351614767</v>
      </c>
      <c r="BI56" s="18">
        <f t="shared" si="34"/>
        <v>0.60204271674056486</v>
      </c>
      <c r="BJ56" s="56">
        <f t="shared" si="49"/>
        <v>3</v>
      </c>
      <c r="BL56" s="18">
        <f t="shared" si="35"/>
        <v>4.1133006269463204</v>
      </c>
      <c r="BM56" s="18">
        <f t="shared" si="35"/>
        <v>1.777515351614767</v>
      </c>
      <c r="BN56" s="18">
        <f t="shared" si="35"/>
        <v>0.60204271674056486</v>
      </c>
      <c r="BO56" s="56">
        <f t="shared" si="50"/>
        <v>3</v>
      </c>
      <c r="BQ56" s="18">
        <f t="shared" si="36"/>
        <v>4.1133006269463204</v>
      </c>
      <c r="BR56" s="18">
        <f t="shared" si="36"/>
        <v>1.777515351614767</v>
      </c>
      <c r="BS56" s="18">
        <f t="shared" si="36"/>
        <v>0.60204271674056486</v>
      </c>
      <c r="BT56" s="56">
        <f t="shared" si="51"/>
        <v>3</v>
      </c>
      <c r="BV56" s="18">
        <f t="shared" si="37"/>
        <v>4.1133006269463204</v>
      </c>
      <c r="BW56" s="18">
        <f t="shared" si="37"/>
        <v>1.777515351614767</v>
      </c>
      <c r="BX56" s="18">
        <f t="shared" si="37"/>
        <v>0.60204271674056486</v>
      </c>
      <c r="BY56" s="56">
        <f t="shared" si="52"/>
        <v>3</v>
      </c>
      <c r="CA56" s="18">
        <f t="shared" si="38"/>
        <v>4.1133006269463204</v>
      </c>
      <c r="CB56" s="18">
        <f t="shared" si="38"/>
        <v>1.777515351614767</v>
      </c>
      <c r="CC56" s="18">
        <f t="shared" si="38"/>
        <v>0.60204271674056486</v>
      </c>
      <c r="CD56" s="56">
        <f t="shared" si="53"/>
        <v>3</v>
      </c>
    </row>
    <row r="57" spans="1:82" x14ac:dyDescent="0.25">
      <c r="A57" s="36" t="str">
        <f>KMeans_Data!A39</f>
        <v>Mansehra</v>
      </c>
      <c r="B57" s="18">
        <f>KMeans_Data!H39</f>
        <v>0.48474983033217361</v>
      </c>
      <c r="C57" s="18">
        <f>KMeans_Data!I39</f>
        <v>1.3810745208577742</v>
      </c>
      <c r="D57" s="18">
        <f>KMeans_Data!J39</f>
        <v>0.30731539115103124</v>
      </c>
      <c r="E57" s="56">
        <f t="shared" si="39"/>
        <v>3</v>
      </c>
      <c r="F57" s="38">
        <f t="shared" si="40"/>
        <v>1.0518345672663632</v>
      </c>
      <c r="G57" s="13" t="str">
        <f t="shared" si="41"/>
        <v>Medium burden</v>
      </c>
      <c r="H57" s="18">
        <f>IF(COUNTIF(Distance_Matrix!$E$9:$DQ$9,$E57)&lt;=1,0,SUMIF(Distance_Matrix!$E$9:$DQ$9,$E57,Distance_Matrix!$E$48:$DQ$48)/(COUNTIF(Distance_Matrix!$E$9:$DQ$9,$E57)-1))</f>
        <v>1.3202582924707034</v>
      </c>
      <c r="I57" s="18">
        <f>MIN(IF(1=$E57,1E+99,IF(COUNTIF(Distance_Matrix!$E$9:$DQ$9,1)=0,1E+99,SUMIF(Distance_Matrix!$E$9:$DQ$9,1,Distance_Matrix!$E$48:$DQ$48)/COUNTIF(Distance_Matrix!$E$9:$DQ$9,1))),IF(2=$E57,1E+99,IF(COUNTIF(Distance_Matrix!$E$9:$DQ$9,2)=0,1E+99,SUMIF(Distance_Matrix!$E$9:$DQ$9,2,Distance_Matrix!$E$48:$DQ$48)/COUNTIF(Distance_Matrix!$E$9:$DQ$9,2))),IF(3=$E57,1E+99,IF(COUNTIF(Distance_Matrix!$E$9:$DQ$9,3)=0,1E+99,SUMIF(Distance_Matrix!$E$9:$DQ$9,3,Distance_Matrix!$E$48:$DQ$48)/COUNTIF(Distance_Matrix!$E$9:$DQ$9,3))))</f>
        <v>2.6217506160072306</v>
      </c>
      <c r="J57" s="18">
        <f>IF(COUNTIF(Distance_Matrix!$E$9:$DQ$9,$E57)&lt;=1,0,(I57-H57)/MAX(H57,I57))</f>
        <v>0.4964210995470737</v>
      </c>
      <c r="X57" s="18">
        <f t="shared" si="27"/>
        <v>4.8498232359863591</v>
      </c>
      <c r="Y57" s="18">
        <f t="shared" si="27"/>
        <v>3.592419201138521</v>
      </c>
      <c r="Z57" s="18">
        <f t="shared" si="27"/>
        <v>1.6318441222640736</v>
      </c>
      <c r="AA57" s="56">
        <f t="shared" si="42"/>
        <v>3</v>
      </c>
      <c r="AC57" s="18">
        <f t="shared" si="28"/>
        <v>3.8331505847919134</v>
      </c>
      <c r="AD57" s="18">
        <f t="shared" si="28"/>
        <v>2.6352170220506665</v>
      </c>
      <c r="AE57" s="18">
        <f t="shared" si="28"/>
        <v>1.0680984915303617</v>
      </c>
      <c r="AF57" s="56">
        <f t="shared" si="43"/>
        <v>3</v>
      </c>
      <c r="AH57" s="18">
        <f t="shared" si="29"/>
        <v>3.211903941985907</v>
      </c>
      <c r="AI57" s="18">
        <f t="shared" si="29"/>
        <v>2.5385120546755093</v>
      </c>
      <c r="AJ57" s="18">
        <f t="shared" si="29"/>
        <v>1.031664633113085</v>
      </c>
      <c r="AK57" s="56">
        <f t="shared" si="44"/>
        <v>3</v>
      </c>
      <c r="AM57" s="18">
        <f t="shared" si="30"/>
        <v>3.211903941985907</v>
      </c>
      <c r="AN57" s="18">
        <f t="shared" si="30"/>
        <v>2.5248325540250187</v>
      </c>
      <c r="AO57" s="18">
        <f t="shared" si="30"/>
        <v>1.0255898630867815</v>
      </c>
      <c r="AP57" s="56">
        <f t="shared" si="45"/>
        <v>3</v>
      </c>
      <c r="AR57" s="18">
        <f t="shared" si="31"/>
        <v>3.211903941985907</v>
      </c>
      <c r="AS57" s="18">
        <f t="shared" si="31"/>
        <v>2.5248325540250187</v>
      </c>
      <c r="AT57" s="18">
        <f t="shared" si="31"/>
        <v>1.0255898630867815</v>
      </c>
      <c r="AU57" s="56">
        <f t="shared" si="46"/>
        <v>3</v>
      </c>
      <c r="AW57" s="18">
        <f t="shared" si="32"/>
        <v>3.211903941985907</v>
      </c>
      <c r="AX57" s="18">
        <f t="shared" si="32"/>
        <v>2.5248325540250187</v>
      </c>
      <c r="AY57" s="18">
        <f t="shared" si="32"/>
        <v>1.0255898630867815</v>
      </c>
      <c r="AZ57" s="56">
        <f t="shared" si="47"/>
        <v>3</v>
      </c>
      <c r="BB57" s="18">
        <f t="shared" si="33"/>
        <v>3.211903941985907</v>
      </c>
      <c r="BC57" s="18">
        <f t="shared" si="33"/>
        <v>2.5248325540250187</v>
      </c>
      <c r="BD57" s="18">
        <f t="shared" si="33"/>
        <v>1.0255898630867815</v>
      </c>
      <c r="BE57" s="56">
        <f t="shared" si="48"/>
        <v>3</v>
      </c>
      <c r="BG57" s="18">
        <f t="shared" si="34"/>
        <v>3.211903941985907</v>
      </c>
      <c r="BH57" s="18">
        <f t="shared" si="34"/>
        <v>2.5248325540250187</v>
      </c>
      <c r="BI57" s="18">
        <f t="shared" si="34"/>
        <v>1.0255898630867815</v>
      </c>
      <c r="BJ57" s="56">
        <f t="shared" si="49"/>
        <v>3</v>
      </c>
      <c r="BL57" s="18">
        <f t="shared" si="35"/>
        <v>3.211903941985907</v>
      </c>
      <c r="BM57" s="18">
        <f t="shared" si="35"/>
        <v>2.5248325540250187</v>
      </c>
      <c r="BN57" s="18">
        <f t="shared" si="35"/>
        <v>1.0255898630867815</v>
      </c>
      <c r="BO57" s="56">
        <f t="shared" si="50"/>
        <v>3</v>
      </c>
      <c r="BQ57" s="18">
        <f t="shared" si="36"/>
        <v>3.211903941985907</v>
      </c>
      <c r="BR57" s="18">
        <f t="shared" si="36"/>
        <v>2.5248325540250187</v>
      </c>
      <c r="BS57" s="18">
        <f t="shared" si="36"/>
        <v>1.0255898630867815</v>
      </c>
      <c r="BT57" s="56">
        <f t="shared" si="51"/>
        <v>3</v>
      </c>
      <c r="BV57" s="18">
        <f t="shared" si="37"/>
        <v>3.211903941985907</v>
      </c>
      <c r="BW57" s="18">
        <f t="shared" si="37"/>
        <v>2.5248325540250187</v>
      </c>
      <c r="BX57" s="18">
        <f t="shared" si="37"/>
        <v>1.0255898630867815</v>
      </c>
      <c r="BY57" s="56">
        <f t="shared" si="52"/>
        <v>3</v>
      </c>
      <c r="CA57" s="18">
        <f t="shared" si="38"/>
        <v>3.211903941985907</v>
      </c>
      <c r="CB57" s="18">
        <f t="shared" si="38"/>
        <v>2.5248325540250187</v>
      </c>
      <c r="CC57" s="18">
        <f t="shared" si="38"/>
        <v>1.0255898630867815</v>
      </c>
      <c r="CD57" s="56">
        <f t="shared" si="53"/>
        <v>3</v>
      </c>
    </row>
    <row r="58" spans="1:82" x14ac:dyDescent="0.25">
      <c r="A58" s="36" t="str">
        <f>KMeans_Data!A40</f>
        <v>Swabi</v>
      </c>
      <c r="B58" s="18">
        <f>KMeans_Data!H40</f>
        <v>0.45366775919714841</v>
      </c>
      <c r="C58" s="18">
        <f>KMeans_Data!I40</f>
        <v>1.1458599186993335</v>
      </c>
      <c r="D58" s="18">
        <f>KMeans_Data!J40</f>
        <v>0.71966725318196356</v>
      </c>
      <c r="E58" s="56">
        <f t="shared" si="39"/>
        <v>3</v>
      </c>
      <c r="F58" s="38">
        <f t="shared" si="40"/>
        <v>0.51114459938518075</v>
      </c>
      <c r="G58" s="13" t="str">
        <f t="shared" si="41"/>
        <v>Medium burden</v>
      </c>
      <c r="H58" s="18">
        <f>IF(COUNTIF(Distance_Matrix!$E$9:$DQ$9,$E58)&lt;=1,0,SUMIF(Distance_Matrix!$E$9:$DQ$9,$E58,Distance_Matrix!$E$49:$DQ$49)/(COUNTIF(Distance_Matrix!$E$9:$DQ$9,$E58)-1))</f>
        <v>1.0914309534870974</v>
      </c>
      <c r="I58" s="18">
        <f>MIN(IF(1=$E58,1E+99,IF(COUNTIF(Distance_Matrix!$E$9:$DQ$9,1)=0,1E+99,SUMIF(Distance_Matrix!$E$9:$DQ$9,1,Distance_Matrix!$E$49:$DQ$49)/COUNTIF(Distance_Matrix!$E$9:$DQ$9,1))),IF(2=$E58,1E+99,IF(COUNTIF(Distance_Matrix!$E$9:$DQ$9,2)=0,1E+99,SUMIF(Distance_Matrix!$E$9:$DQ$9,2,Distance_Matrix!$E$49:$DQ$49)/COUNTIF(Distance_Matrix!$E$9:$DQ$9,2))),IF(3=$E58,1E+99,IF(COUNTIF(Distance_Matrix!$E$9:$DQ$9,3)=0,1E+99,SUMIF(Distance_Matrix!$E$9:$DQ$9,3,Distance_Matrix!$E$49:$DQ$49)/COUNTIF(Distance_Matrix!$E$9:$DQ$9,3))))</f>
        <v>2.6296019596150417</v>
      </c>
      <c r="J58" s="18">
        <f>IF(COUNTIF(Distance_Matrix!$E$9:$DQ$9,$E58)&lt;=1,0,(I58-H58)/MAX(H58,I58))</f>
        <v>0.58494442495514554</v>
      </c>
      <c r="X58" s="18">
        <f t="shared" si="27"/>
        <v>4.7688298155952484</v>
      </c>
      <c r="Y58" s="18">
        <f t="shared" si="27"/>
        <v>3.6338012413689014</v>
      </c>
      <c r="Z58" s="18">
        <f t="shared" si="27"/>
        <v>1.2218161570781203</v>
      </c>
      <c r="AA58" s="56">
        <f t="shared" si="42"/>
        <v>3</v>
      </c>
      <c r="AC58" s="18">
        <f t="shared" si="28"/>
        <v>3.7775148537549419</v>
      </c>
      <c r="AD58" s="18">
        <f t="shared" si="28"/>
        <v>2.6600077771471722</v>
      </c>
      <c r="AE58" s="18">
        <f t="shared" si="28"/>
        <v>0.80787433695757727</v>
      </c>
      <c r="AF58" s="56">
        <f t="shared" si="43"/>
        <v>3</v>
      </c>
      <c r="AH58" s="18">
        <f t="shared" si="29"/>
        <v>3.1481137897207176</v>
      </c>
      <c r="AI58" s="18">
        <f t="shared" si="29"/>
        <v>2.5555756336327304</v>
      </c>
      <c r="AJ58" s="18">
        <f t="shared" si="29"/>
        <v>0.72548425356631108</v>
      </c>
      <c r="AK58" s="56">
        <f t="shared" si="44"/>
        <v>3</v>
      </c>
      <c r="AM58" s="18">
        <f t="shared" si="30"/>
        <v>3.1481137897207176</v>
      </c>
      <c r="AN58" s="18">
        <f t="shared" si="30"/>
        <v>2.5404388132782114</v>
      </c>
      <c r="AO58" s="18">
        <f t="shared" si="30"/>
        <v>0.7149437735830565</v>
      </c>
      <c r="AP58" s="56">
        <f t="shared" si="45"/>
        <v>3</v>
      </c>
      <c r="AR58" s="18">
        <f t="shared" si="31"/>
        <v>3.1481137897207176</v>
      </c>
      <c r="AS58" s="18">
        <f t="shared" si="31"/>
        <v>2.5404388132782114</v>
      </c>
      <c r="AT58" s="18">
        <f t="shared" si="31"/>
        <v>0.7149437735830565</v>
      </c>
      <c r="AU58" s="56">
        <f t="shared" si="46"/>
        <v>3</v>
      </c>
      <c r="AW58" s="18">
        <f t="shared" si="32"/>
        <v>3.1481137897207176</v>
      </c>
      <c r="AX58" s="18">
        <f t="shared" si="32"/>
        <v>2.5404388132782114</v>
      </c>
      <c r="AY58" s="18">
        <f t="shared" si="32"/>
        <v>0.7149437735830565</v>
      </c>
      <c r="AZ58" s="56">
        <f t="shared" si="47"/>
        <v>3</v>
      </c>
      <c r="BB58" s="18">
        <f t="shared" si="33"/>
        <v>3.1481137897207176</v>
      </c>
      <c r="BC58" s="18">
        <f t="shared" si="33"/>
        <v>2.5404388132782114</v>
      </c>
      <c r="BD58" s="18">
        <f t="shared" si="33"/>
        <v>0.7149437735830565</v>
      </c>
      <c r="BE58" s="56">
        <f t="shared" si="48"/>
        <v>3</v>
      </c>
      <c r="BG58" s="18">
        <f t="shared" si="34"/>
        <v>3.1481137897207176</v>
      </c>
      <c r="BH58" s="18">
        <f t="shared" si="34"/>
        <v>2.5404388132782114</v>
      </c>
      <c r="BI58" s="18">
        <f t="shared" si="34"/>
        <v>0.7149437735830565</v>
      </c>
      <c r="BJ58" s="56">
        <f t="shared" si="49"/>
        <v>3</v>
      </c>
      <c r="BL58" s="18">
        <f t="shared" si="35"/>
        <v>3.1481137897207176</v>
      </c>
      <c r="BM58" s="18">
        <f t="shared" si="35"/>
        <v>2.5404388132782114</v>
      </c>
      <c r="BN58" s="18">
        <f t="shared" si="35"/>
        <v>0.7149437735830565</v>
      </c>
      <c r="BO58" s="56">
        <f t="shared" si="50"/>
        <v>3</v>
      </c>
      <c r="BQ58" s="18">
        <f t="shared" si="36"/>
        <v>3.1481137897207176</v>
      </c>
      <c r="BR58" s="18">
        <f t="shared" si="36"/>
        <v>2.5404388132782114</v>
      </c>
      <c r="BS58" s="18">
        <f t="shared" si="36"/>
        <v>0.7149437735830565</v>
      </c>
      <c r="BT58" s="56">
        <f t="shared" si="51"/>
        <v>3</v>
      </c>
      <c r="BV58" s="18">
        <f t="shared" si="37"/>
        <v>3.1481137897207176</v>
      </c>
      <c r="BW58" s="18">
        <f t="shared" si="37"/>
        <v>2.5404388132782114</v>
      </c>
      <c r="BX58" s="18">
        <f t="shared" si="37"/>
        <v>0.7149437735830565</v>
      </c>
      <c r="BY58" s="56">
        <f t="shared" si="52"/>
        <v>3</v>
      </c>
      <c r="CA58" s="18">
        <f t="shared" si="38"/>
        <v>3.1481137897207176</v>
      </c>
      <c r="CB58" s="18">
        <f t="shared" si="38"/>
        <v>2.5404388132782114</v>
      </c>
      <c r="CC58" s="18">
        <f t="shared" si="38"/>
        <v>0.7149437735830565</v>
      </c>
      <c r="CD58" s="56">
        <f t="shared" si="53"/>
        <v>3</v>
      </c>
    </row>
    <row r="59" spans="1:82" x14ac:dyDescent="0.25">
      <c r="A59" s="36" t="str">
        <f>KMeans_Data!A41</f>
        <v>Haripur</v>
      </c>
      <c r="B59" s="18">
        <f>KMeans_Data!H41</f>
        <v>0.43325455393275542</v>
      </c>
      <c r="C59" s="18">
        <f>KMeans_Data!I41</f>
        <v>0.37868427752921691</v>
      </c>
      <c r="D59" s="18">
        <f>KMeans_Data!J41</f>
        <v>0.53998023220398461</v>
      </c>
      <c r="E59" s="56">
        <f t="shared" si="39"/>
        <v>3</v>
      </c>
      <c r="F59" s="38">
        <f t="shared" si="40"/>
        <v>3.7720125013820167E-2</v>
      </c>
      <c r="G59" s="13" t="str">
        <f t="shared" si="41"/>
        <v>Medium burden</v>
      </c>
      <c r="H59" s="18">
        <f>IF(COUNTIF(Distance_Matrix!$E$9:$DQ$9,$E59)&lt;=1,0,SUMIF(Distance_Matrix!$E$9:$DQ$9,$E59,Distance_Matrix!$E$50:$DQ$50)/(COUNTIF(Distance_Matrix!$E$9:$DQ$9,$E59)-1))</f>
        <v>0.89952636604522906</v>
      </c>
      <c r="I59" s="18">
        <f>MIN(IF(1=$E59,1E+99,IF(COUNTIF(Distance_Matrix!$E$9:$DQ$9,1)=0,1E+99,SUMIF(Distance_Matrix!$E$9:$DQ$9,1,Distance_Matrix!$E$50:$DQ$50)/COUNTIF(Distance_Matrix!$E$9:$DQ$9,1))),IF(2=$E59,1E+99,IF(COUNTIF(Distance_Matrix!$E$9:$DQ$9,2)=0,1E+99,SUMIF(Distance_Matrix!$E$9:$DQ$9,2,Distance_Matrix!$E$50:$DQ$50)/COUNTIF(Distance_Matrix!$E$9:$DQ$9,2))),IF(3=$E59,1E+99,IF(COUNTIF(Distance_Matrix!$E$9:$DQ$9,3)=0,1E+99,SUMIF(Distance_Matrix!$E$9:$DQ$9,3,Distance_Matrix!$E$50:$DQ$50)/COUNTIF(Distance_Matrix!$E$9:$DQ$9,3))))</f>
        <v>2.0456542578525183</v>
      </c>
      <c r="J59" s="18">
        <f>IF(COUNTIF(Distance_Matrix!$E$9:$DQ$9,$E59)&lt;=1,0,(I59-H59)/MAX(H59,I59))</f>
        <v>0.56027448793349299</v>
      </c>
      <c r="X59" s="18">
        <f t="shared" si="27"/>
        <v>5.3691092076194247</v>
      </c>
      <c r="Y59" s="18">
        <f t="shared" si="27"/>
        <v>3.2033991070309726</v>
      </c>
      <c r="Z59" s="18">
        <f t="shared" si="27"/>
        <v>1.1093263837568521</v>
      </c>
      <c r="AA59" s="56">
        <f t="shared" si="42"/>
        <v>3</v>
      </c>
      <c r="AC59" s="18">
        <f t="shared" si="28"/>
        <v>4.3879147916814807</v>
      </c>
      <c r="AD59" s="18">
        <f t="shared" si="28"/>
        <v>2.0847369798778548</v>
      </c>
      <c r="AE59" s="18">
        <f t="shared" si="28"/>
        <v>9.3994678301376811E-2</v>
      </c>
      <c r="AF59" s="56">
        <f t="shared" si="43"/>
        <v>3</v>
      </c>
      <c r="AH59" s="18">
        <f t="shared" si="29"/>
        <v>3.7515115623734552</v>
      </c>
      <c r="AI59" s="18">
        <f t="shared" si="29"/>
        <v>1.962669131870187</v>
      </c>
      <c r="AJ59" s="18">
        <f t="shared" si="29"/>
        <v>0.17259126319383866</v>
      </c>
      <c r="AK59" s="56">
        <f t="shared" si="44"/>
        <v>3</v>
      </c>
      <c r="AM59" s="18">
        <f t="shared" si="30"/>
        <v>3.7515115623734552</v>
      </c>
      <c r="AN59" s="18">
        <f t="shared" si="30"/>
        <v>1.9472959932723382</v>
      </c>
      <c r="AO59" s="18">
        <f t="shared" si="30"/>
        <v>0.19421669602230435</v>
      </c>
      <c r="AP59" s="56">
        <f t="shared" si="45"/>
        <v>3</v>
      </c>
      <c r="AR59" s="18">
        <f t="shared" si="31"/>
        <v>3.7515115623734552</v>
      </c>
      <c r="AS59" s="18">
        <f t="shared" si="31"/>
        <v>1.9472959932723382</v>
      </c>
      <c r="AT59" s="18">
        <f t="shared" si="31"/>
        <v>0.19421669602230435</v>
      </c>
      <c r="AU59" s="56">
        <f t="shared" si="46"/>
        <v>3</v>
      </c>
      <c r="AW59" s="18">
        <f t="shared" si="32"/>
        <v>3.7515115623734552</v>
      </c>
      <c r="AX59" s="18">
        <f t="shared" si="32"/>
        <v>1.9472959932723382</v>
      </c>
      <c r="AY59" s="18">
        <f t="shared" si="32"/>
        <v>0.19421669602230435</v>
      </c>
      <c r="AZ59" s="56">
        <f t="shared" si="47"/>
        <v>3</v>
      </c>
      <c r="BB59" s="18">
        <f t="shared" si="33"/>
        <v>3.7515115623734552</v>
      </c>
      <c r="BC59" s="18">
        <f t="shared" si="33"/>
        <v>1.9472959932723382</v>
      </c>
      <c r="BD59" s="18">
        <f t="shared" si="33"/>
        <v>0.19421669602230435</v>
      </c>
      <c r="BE59" s="56">
        <f t="shared" si="48"/>
        <v>3</v>
      </c>
      <c r="BG59" s="18">
        <f t="shared" si="34"/>
        <v>3.7515115623734552</v>
      </c>
      <c r="BH59" s="18">
        <f t="shared" si="34"/>
        <v>1.9472959932723382</v>
      </c>
      <c r="BI59" s="18">
        <f t="shared" si="34"/>
        <v>0.19421669602230435</v>
      </c>
      <c r="BJ59" s="56">
        <f t="shared" si="49"/>
        <v>3</v>
      </c>
      <c r="BL59" s="18">
        <f t="shared" si="35"/>
        <v>3.7515115623734552</v>
      </c>
      <c r="BM59" s="18">
        <f t="shared" si="35"/>
        <v>1.9472959932723382</v>
      </c>
      <c r="BN59" s="18">
        <f t="shared" si="35"/>
        <v>0.19421669602230435</v>
      </c>
      <c r="BO59" s="56">
        <f t="shared" si="50"/>
        <v>3</v>
      </c>
      <c r="BQ59" s="18">
        <f t="shared" si="36"/>
        <v>3.7515115623734552</v>
      </c>
      <c r="BR59" s="18">
        <f t="shared" si="36"/>
        <v>1.9472959932723382</v>
      </c>
      <c r="BS59" s="18">
        <f t="shared" si="36"/>
        <v>0.19421669602230435</v>
      </c>
      <c r="BT59" s="56">
        <f t="shared" si="51"/>
        <v>3</v>
      </c>
      <c r="BV59" s="18">
        <f t="shared" si="37"/>
        <v>3.7515115623734552</v>
      </c>
      <c r="BW59" s="18">
        <f t="shared" si="37"/>
        <v>1.9472959932723382</v>
      </c>
      <c r="BX59" s="18">
        <f t="shared" si="37"/>
        <v>0.19421669602230435</v>
      </c>
      <c r="BY59" s="56">
        <f t="shared" si="52"/>
        <v>3</v>
      </c>
      <c r="CA59" s="18">
        <f t="shared" si="38"/>
        <v>3.7515115623734552</v>
      </c>
      <c r="CB59" s="18">
        <f t="shared" si="38"/>
        <v>1.9472959932723382</v>
      </c>
      <c r="CC59" s="18">
        <f t="shared" si="38"/>
        <v>0.19421669602230435</v>
      </c>
      <c r="CD59" s="56">
        <f t="shared" si="53"/>
        <v>3</v>
      </c>
    </row>
    <row r="60" spans="1:82" x14ac:dyDescent="0.25">
      <c r="A60" s="36" t="str">
        <f>KMeans_Data!A42</f>
        <v>Battagram</v>
      </c>
      <c r="B60" s="18">
        <f>KMeans_Data!H42</f>
        <v>0.42907404938827359</v>
      </c>
      <c r="C60" s="18">
        <f>KMeans_Data!I42</f>
        <v>0.37868427752921691</v>
      </c>
      <c r="D60" s="18">
        <f>KMeans_Data!J42</f>
        <v>0.46034638584038468</v>
      </c>
      <c r="E60" s="56">
        <f t="shared" si="39"/>
        <v>3</v>
      </c>
      <c r="F60" s="38">
        <f t="shared" si="40"/>
        <v>7.0470967664848339E-2</v>
      </c>
      <c r="G60" s="13" t="str">
        <f t="shared" si="41"/>
        <v>Medium burden</v>
      </c>
      <c r="H60" s="18">
        <f>IF(COUNTIF(Distance_Matrix!$E$9:$DQ$9,$E60)&lt;=1,0,SUMIF(Distance_Matrix!$E$9:$DQ$9,$E60,Distance_Matrix!$E$51:$DQ$51)/(COUNTIF(Distance_Matrix!$E$9:$DQ$9,$E60)-1))</f>
        <v>0.91543098540514045</v>
      </c>
      <c r="I60" s="18">
        <f>MIN(IF(1=$E60,1E+99,IF(COUNTIF(Distance_Matrix!$E$9:$DQ$9,1)=0,1E+99,SUMIF(Distance_Matrix!$E$9:$DQ$9,1,Distance_Matrix!$E$51:$DQ$51)/COUNTIF(Distance_Matrix!$E$9:$DQ$9,1))),IF(2=$E60,1E+99,IF(COUNTIF(Distance_Matrix!$E$9:$DQ$9,2)=0,1E+99,SUMIF(Distance_Matrix!$E$9:$DQ$9,2,Distance_Matrix!$E$51:$DQ$51)/COUNTIF(Distance_Matrix!$E$9:$DQ$9,2))),IF(3=$E60,1E+99,IF(COUNTIF(Distance_Matrix!$E$9:$DQ$9,3)=0,1E+99,SUMIF(Distance_Matrix!$E$9:$DQ$9,3,Distance_Matrix!$E$51:$DQ$51)/COUNTIF(Distance_Matrix!$E$9:$DQ$9,3))))</f>
        <v>1.9954475356115611</v>
      </c>
      <c r="J60" s="18">
        <f>IF(COUNTIF(Distance_Matrix!$E$9:$DQ$9,$E60)&lt;=1,0,(I60-H60)/MAX(H60,I60))</f>
        <v>0.54124026361606092</v>
      </c>
      <c r="X60" s="18">
        <f t="shared" si="27"/>
        <v>5.4119772224383986</v>
      </c>
      <c r="Y60" s="18">
        <f t="shared" si="27"/>
        <v>3.158899841844244</v>
      </c>
      <c r="Z60" s="18">
        <f t="shared" si="27"/>
        <v>1.1790679955950032</v>
      </c>
      <c r="AA60" s="56">
        <f t="shared" si="42"/>
        <v>3</v>
      </c>
      <c r="AC60" s="18">
        <f t="shared" si="28"/>
        <v>4.4260606773343669</v>
      </c>
      <c r="AD60" s="18">
        <f t="shared" si="28"/>
        <v>2.0309729619185242</v>
      </c>
      <c r="AE60" s="18">
        <f t="shared" si="28"/>
        <v>0.15312432289453592</v>
      </c>
      <c r="AF60" s="56">
        <f t="shared" si="43"/>
        <v>3</v>
      </c>
      <c r="AH60" s="18">
        <f t="shared" si="29"/>
        <v>3.7892854885064269</v>
      </c>
      <c r="AI60" s="18">
        <f t="shared" si="29"/>
        <v>1.9086802304237729</v>
      </c>
      <c r="AJ60" s="18">
        <f t="shared" si="29"/>
        <v>0.24607762333554856</v>
      </c>
      <c r="AK60" s="56">
        <f t="shared" si="44"/>
        <v>3</v>
      </c>
      <c r="AM60" s="18">
        <f t="shared" si="30"/>
        <v>3.7892854885064269</v>
      </c>
      <c r="AN60" s="18">
        <f t="shared" si="30"/>
        <v>1.8934745426909045</v>
      </c>
      <c r="AO60" s="18">
        <f t="shared" si="30"/>
        <v>0.26546368426744993</v>
      </c>
      <c r="AP60" s="56">
        <f t="shared" si="45"/>
        <v>3</v>
      </c>
      <c r="AR60" s="18">
        <f t="shared" si="31"/>
        <v>3.7892854885064269</v>
      </c>
      <c r="AS60" s="18">
        <f t="shared" si="31"/>
        <v>1.8934745426909045</v>
      </c>
      <c r="AT60" s="18">
        <f t="shared" si="31"/>
        <v>0.26546368426744993</v>
      </c>
      <c r="AU60" s="56">
        <f t="shared" si="46"/>
        <v>3</v>
      </c>
      <c r="AW60" s="18">
        <f t="shared" si="32"/>
        <v>3.7892854885064269</v>
      </c>
      <c r="AX60" s="18">
        <f t="shared" si="32"/>
        <v>1.8934745426909045</v>
      </c>
      <c r="AY60" s="18">
        <f t="shared" si="32"/>
        <v>0.26546368426744993</v>
      </c>
      <c r="AZ60" s="56">
        <f t="shared" si="47"/>
        <v>3</v>
      </c>
      <c r="BB60" s="18">
        <f t="shared" si="33"/>
        <v>3.7892854885064269</v>
      </c>
      <c r="BC60" s="18">
        <f t="shared" si="33"/>
        <v>1.8934745426909045</v>
      </c>
      <c r="BD60" s="18">
        <f t="shared" si="33"/>
        <v>0.26546368426744993</v>
      </c>
      <c r="BE60" s="56">
        <f t="shared" si="48"/>
        <v>3</v>
      </c>
      <c r="BG60" s="18">
        <f t="shared" si="34"/>
        <v>3.7892854885064269</v>
      </c>
      <c r="BH60" s="18">
        <f t="shared" si="34"/>
        <v>1.8934745426909045</v>
      </c>
      <c r="BI60" s="18">
        <f t="shared" si="34"/>
        <v>0.26546368426744993</v>
      </c>
      <c r="BJ60" s="56">
        <f t="shared" si="49"/>
        <v>3</v>
      </c>
      <c r="BL60" s="18">
        <f t="shared" si="35"/>
        <v>3.7892854885064269</v>
      </c>
      <c r="BM60" s="18">
        <f t="shared" si="35"/>
        <v>1.8934745426909045</v>
      </c>
      <c r="BN60" s="18">
        <f t="shared" si="35"/>
        <v>0.26546368426744993</v>
      </c>
      <c r="BO60" s="56">
        <f t="shared" si="50"/>
        <v>3</v>
      </c>
      <c r="BQ60" s="18">
        <f t="shared" si="36"/>
        <v>3.7892854885064269</v>
      </c>
      <c r="BR60" s="18">
        <f t="shared" si="36"/>
        <v>1.8934745426909045</v>
      </c>
      <c r="BS60" s="18">
        <f t="shared" si="36"/>
        <v>0.26546368426744993</v>
      </c>
      <c r="BT60" s="56">
        <f t="shared" si="51"/>
        <v>3</v>
      </c>
      <c r="BV60" s="18">
        <f t="shared" si="37"/>
        <v>3.7892854885064269</v>
      </c>
      <c r="BW60" s="18">
        <f t="shared" si="37"/>
        <v>1.8934745426909045</v>
      </c>
      <c r="BX60" s="18">
        <f t="shared" si="37"/>
        <v>0.26546368426744993</v>
      </c>
      <c r="BY60" s="56">
        <f t="shared" si="52"/>
        <v>3</v>
      </c>
      <c r="CA60" s="18">
        <f t="shared" si="38"/>
        <v>3.7892854885064269</v>
      </c>
      <c r="CB60" s="18">
        <f t="shared" si="38"/>
        <v>1.8934745426909045</v>
      </c>
      <c r="CC60" s="18">
        <f t="shared" si="38"/>
        <v>0.26546368426744993</v>
      </c>
      <c r="CD60" s="56">
        <f t="shared" si="53"/>
        <v>3</v>
      </c>
    </row>
    <row r="61" spans="1:82" x14ac:dyDescent="0.25">
      <c r="A61" s="36" t="str">
        <f>KMeans_Data!A43</f>
        <v>Kohat</v>
      </c>
      <c r="B61" s="18">
        <f>KMeans_Data!H43</f>
        <v>0.40765250667401376</v>
      </c>
      <c r="C61" s="18">
        <f>KMeans_Data!I43</f>
        <v>1.2725500225060853</v>
      </c>
      <c r="D61" s="18">
        <f>KMeans_Data!J43</f>
        <v>0.62851349158581915</v>
      </c>
      <c r="E61" s="56">
        <f t="shared" si="39"/>
        <v>3</v>
      </c>
      <c r="F61" s="38">
        <f t="shared" si="40"/>
        <v>0.7210317825462671</v>
      </c>
      <c r="G61" s="13" t="str">
        <f t="shared" si="41"/>
        <v>Medium burden</v>
      </c>
      <c r="H61" s="18">
        <f>IF(COUNTIF(Distance_Matrix!$E$9:$DQ$9,$E61)&lt;=1,0,SUMIF(Distance_Matrix!$E$9:$DQ$9,$E61,Distance_Matrix!$E$52:$DQ$52)/(COUNTIF(Distance_Matrix!$E$9:$DQ$9,$E61)-1))</f>
        <v>1.1778137288931423</v>
      </c>
      <c r="I61" s="18">
        <f>MIN(IF(1=$E61,1E+99,IF(COUNTIF(Distance_Matrix!$E$9:$DQ$9,1)=0,1E+99,SUMIF(Distance_Matrix!$E$9:$DQ$9,1,Distance_Matrix!$E$52:$DQ$52)/COUNTIF(Distance_Matrix!$E$9:$DQ$9,1))),IF(2=$E61,1E+99,IF(COUNTIF(Distance_Matrix!$E$9:$DQ$9,2)=0,1E+99,SUMIF(Distance_Matrix!$E$9:$DQ$9,2,Distance_Matrix!$E$52:$DQ$52)/COUNTIF(Distance_Matrix!$E$9:$DQ$9,2))),IF(3=$E61,1E+99,IF(COUNTIF(Distance_Matrix!$E$9:$DQ$9,3)=0,1E+99,SUMIF(Distance_Matrix!$E$9:$DQ$9,3,Distance_Matrix!$E$52:$DQ$52)/COUNTIF(Distance_Matrix!$E$9:$DQ$9,3))))</f>
        <v>2.6537978189869311</v>
      </c>
      <c r="J61" s="18">
        <f>IF(COUNTIF(Distance_Matrix!$E$9:$DQ$9,$E61)&lt;=1,0,(I61-H61)/MAX(H61,I61))</f>
        <v>0.55617804775242274</v>
      </c>
      <c r="X61" s="18">
        <f t="shared" si="27"/>
        <v>4.7703842622670001</v>
      </c>
      <c r="Y61" s="18">
        <f t="shared" si="27"/>
        <v>3.6219541561486244</v>
      </c>
      <c r="Z61" s="18">
        <f t="shared" si="27"/>
        <v>1.3799561862055567</v>
      </c>
      <c r="AA61" s="56">
        <f t="shared" si="42"/>
        <v>3</v>
      </c>
      <c r="AC61" s="18">
        <f t="shared" si="28"/>
        <v>3.7729486014971529</v>
      </c>
      <c r="AD61" s="18">
        <f t="shared" si="28"/>
        <v>2.676104000887165</v>
      </c>
      <c r="AE61" s="18">
        <f t="shared" si="28"/>
        <v>0.92826380187856605</v>
      </c>
      <c r="AF61" s="56">
        <f t="shared" si="43"/>
        <v>3</v>
      </c>
      <c r="AH61" s="18">
        <f t="shared" si="29"/>
        <v>3.1473417143301021</v>
      </c>
      <c r="AI61" s="18">
        <f t="shared" si="29"/>
        <v>2.5763729066383609</v>
      </c>
      <c r="AJ61" s="18">
        <f t="shared" si="29"/>
        <v>0.85754612969530897</v>
      </c>
      <c r="AK61" s="56">
        <f t="shared" si="44"/>
        <v>3</v>
      </c>
      <c r="AM61" s="18">
        <f t="shared" si="30"/>
        <v>3.1473417143301021</v>
      </c>
      <c r="AN61" s="18">
        <f t="shared" si="30"/>
        <v>2.5615527237351881</v>
      </c>
      <c r="AO61" s="18">
        <f t="shared" si="30"/>
        <v>0.849135903460846</v>
      </c>
      <c r="AP61" s="56">
        <f t="shared" si="45"/>
        <v>3</v>
      </c>
      <c r="AR61" s="18">
        <f t="shared" si="31"/>
        <v>3.1473417143301021</v>
      </c>
      <c r="AS61" s="18">
        <f t="shared" si="31"/>
        <v>2.5615527237351881</v>
      </c>
      <c r="AT61" s="18">
        <f t="shared" si="31"/>
        <v>0.849135903460846</v>
      </c>
      <c r="AU61" s="56">
        <f t="shared" si="46"/>
        <v>3</v>
      </c>
      <c r="AW61" s="18">
        <f t="shared" si="32"/>
        <v>3.1473417143301021</v>
      </c>
      <c r="AX61" s="18">
        <f t="shared" si="32"/>
        <v>2.5615527237351881</v>
      </c>
      <c r="AY61" s="18">
        <f t="shared" si="32"/>
        <v>0.849135903460846</v>
      </c>
      <c r="AZ61" s="56">
        <f t="shared" si="47"/>
        <v>3</v>
      </c>
      <c r="BB61" s="18">
        <f t="shared" si="33"/>
        <v>3.1473417143301021</v>
      </c>
      <c r="BC61" s="18">
        <f t="shared" si="33"/>
        <v>2.5615527237351881</v>
      </c>
      <c r="BD61" s="18">
        <f t="shared" si="33"/>
        <v>0.849135903460846</v>
      </c>
      <c r="BE61" s="56">
        <f t="shared" si="48"/>
        <v>3</v>
      </c>
      <c r="BG61" s="18">
        <f t="shared" si="34"/>
        <v>3.1473417143301021</v>
      </c>
      <c r="BH61" s="18">
        <f t="shared" si="34"/>
        <v>2.5615527237351881</v>
      </c>
      <c r="BI61" s="18">
        <f t="shared" si="34"/>
        <v>0.849135903460846</v>
      </c>
      <c r="BJ61" s="56">
        <f t="shared" si="49"/>
        <v>3</v>
      </c>
      <c r="BL61" s="18">
        <f t="shared" si="35"/>
        <v>3.1473417143301021</v>
      </c>
      <c r="BM61" s="18">
        <f t="shared" si="35"/>
        <v>2.5615527237351881</v>
      </c>
      <c r="BN61" s="18">
        <f t="shared" si="35"/>
        <v>0.849135903460846</v>
      </c>
      <c r="BO61" s="56">
        <f t="shared" si="50"/>
        <v>3</v>
      </c>
      <c r="BQ61" s="18">
        <f t="shared" si="36"/>
        <v>3.1473417143301021</v>
      </c>
      <c r="BR61" s="18">
        <f t="shared" si="36"/>
        <v>2.5615527237351881</v>
      </c>
      <c r="BS61" s="18">
        <f t="shared" si="36"/>
        <v>0.849135903460846</v>
      </c>
      <c r="BT61" s="56">
        <f t="shared" si="51"/>
        <v>3</v>
      </c>
      <c r="BV61" s="18">
        <f t="shared" si="37"/>
        <v>3.1473417143301021</v>
      </c>
      <c r="BW61" s="18">
        <f t="shared" si="37"/>
        <v>2.5615527237351881</v>
      </c>
      <c r="BX61" s="18">
        <f t="shared" si="37"/>
        <v>0.849135903460846</v>
      </c>
      <c r="BY61" s="56">
        <f t="shared" si="52"/>
        <v>3</v>
      </c>
      <c r="CA61" s="18">
        <f t="shared" si="38"/>
        <v>3.1473417143301021</v>
      </c>
      <c r="CB61" s="18">
        <f t="shared" si="38"/>
        <v>2.5615527237351881</v>
      </c>
      <c r="CC61" s="18">
        <f t="shared" si="38"/>
        <v>0.849135903460846</v>
      </c>
      <c r="CD61" s="56">
        <f t="shared" si="53"/>
        <v>3</v>
      </c>
    </row>
    <row r="62" spans="1:82" x14ac:dyDescent="0.25">
      <c r="A62" s="36" t="str">
        <f>KMeans_Data!A44</f>
        <v>Kurram</v>
      </c>
      <c r="B62" s="18">
        <f>KMeans_Data!H44</f>
        <v>0.38985692646238834</v>
      </c>
      <c r="C62" s="18">
        <f>KMeans_Data!I44</f>
        <v>0.16051258962499582</v>
      </c>
      <c r="D62" s="18">
        <f>KMeans_Data!J44</f>
        <v>-7.8647122474779993E-2</v>
      </c>
      <c r="E62" s="56">
        <f t="shared" si="39"/>
        <v>3</v>
      </c>
      <c r="F62" s="38">
        <f t="shared" si="40"/>
        <v>0.70148668082353371</v>
      </c>
      <c r="G62" s="13" t="str">
        <f t="shared" si="41"/>
        <v>Medium burden</v>
      </c>
      <c r="H62" s="18">
        <f>IF(COUNTIF(Distance_Matrix!$E$9:$DQ$9,$E62)&lt;=1,0,SUMIF(Distance_Matrix!$E$9:$DQ$9,$E62,Distance_Matrix!$E$53:$DQ$53)/(COUNTIF(Distance_Matrix!$E$9:$DQ$9,$E62)-1))</f>
        <v>1.197502016127564</v>
      </c>
      <c r="I62" s="18">
        <f>MIN(IF(1=$E62,1E+99,IF(COUNTIF(Distance_Matrix!$E$9:$DQ$9,1)=0,1E+99,SUMIF(Distance_Matrix!$E$9:$DQ$9,1,Distance_Matrix!$E$53:$DQ$53)/COUNTIF(Distance_Matrix!$E$9:$DQ$9,1))),IF(2=$E62,1E+99,IF(COUNTIF(Distance_Matrix!$E$9:$DQ$9,2)=0,1E+99,SUMIF(Distance_Matrix!$E$9:$DQ$9,2,Distance_Matrix!$E$53:$DQ$53)/COUNTIF(Distance_Matrix!$E$9:$DQ$9,2))),IF(3=$E62,1E+99,IF(COUNTIF(Distance_Matrix!$E$9:$DQ$9,3)=0,1E+99,SUMIF(Distance_Matrix!$E$9:$DQ$9,3,Distance_Matrix!$E$53:$DQ$53)/COUNTIF(Distance_Matrix!$E$9:$DQ$9,3))))</f>
        <v>1.5856094446435745</v>
      </c>
      <c r="J62" s="18">
        <f>IF(COUNTIF(Distance_Matrix!$E$9:$DQ$9,$E62)&lt;=1,0,(I62-H62)/MAX(H62,I62))</f>
        <v>0.24476861551695173</v>
      </c>
      <c r="X62" s="18">
        <f t="shared" si="27"/>
        <v>5.8702245972691269</v>
      </c>
      <c r="Y62" s="18">
        <f t="shared" si="27"/>
        <v>2.8162994168555233</v>
      </c>
      <c r="Z62" s="18">
        <f t="shared" si="27"/>
        <v>1.6930417975150076</v>
      </c>
      <c r="AA62" s="56">
        <f t="shared" si="42"/>
        <v>3</v>
      </c>
      <c r="AC62" s="18">
        <f t="shared" si="28"/>
        <v>4.864968942421938</v>
      </c>
      <c r="AD62" s="18">
        <f t="shared" si="28"/>
        <v>1.5930415996806393</v>
      </c>
      <c r="AE62" s="18">
        <f t="shared" si="28"/>
        <v>0.70327942583202507</v>
      </c>
      <c r="AF62" s="56">
        <f t="shared" si="43"/>
        <v>3</v>
      </c>
      <c r="AH62" s="18">
        <f t="shared" si="29"/>
        <v>4.2288668014004838</v>
      </c>
      <c r="AI62" s="18">
        <f t="shared" si="29"/>
        <v>1.465421655388405</v>
      </c>
      <c r="AJ62" s="18">
        <f t="shared" si="29"/>
        <v>0.82008670773611358</v>
      </c>
      <c r="AK62" s="56">
        <f t="shared" si="44"/>
        <v>3</v>
      </c>
      <c r="AM62" s="18">
        <f t="shared" si="30"/>
        <v>4.2288668014004838</v>
      </c>
      <c r="AN62" s="18">
        <f t="shared" si="30"/>
        <v>1.4521028630580486</v>
      </c>
      <c r="AO62" s="18">
        <f t="shared" si="30"/>
        <v>0.83754801702561132</v>
      </c>
      <c r="AP62" s="56">
        <f t="shared" si="45"/>
        <v>3</v>
      </c>
      <c r="AR62" s="18">
        <f t="shared" si="31"/>
        <v>4.2288668014004838</v>
      </c>
      <c r="AS62" s="18">
        <f t="shared" si="31"/>
        <v>1.4521028630580486</v>
      </c>
      <c r="AT62" s="18">
        <f t="shared" si="31"/>
        <v>0.83754801702561132</v>
      </c>
      <c r="AU62" s="56">
        <f t="shared" si="46"/>
        <v>3</v>
      </c>
      <c r="AW62" s="18">
        <f t="shared" si="32"/>
        <v>4.2288668014004838</v>
      </c>
      <c r="AX62" s="18">
        <f t="shared" si="32"/>
        <v>1.4521028630580486</v>
      </c>
      <c r="AY62" s="18">
        <f t="shared" si="32"/>
        <v>0.83754801702561132</v>
      </c>
      <c r="AZ62" s="56">
        <f t="shared" si="47"/>
        <v>3</v>
      </c>
      <c r="BB62" s="18">
        <f t="shared" si="33"/>
        <v>4.2288668014004838</v>
      </c>
      <c r="BC62" s="18">
        <f t="shared" si="33"/>
        <v>1.4521028630580486</v>
      </c>
      <c r="BD62" s="18">
        <f t="shared" si="33"/>
        <v>0.83754801702561132</v>
      </c>
      <c r="BE62" s="56">
        <f t="shared" si="48"/>
        <v>3</v>
      </c>
      <c r="BG62" s="18">
        <f t="shared" si="34"/>
        <v>4.2288668014004838</v>
      </c>
      <c r="BH62" s="18">
        <f t="shared" si="34"/>
        <v>1.4521028630580486</v>
      </c>
      <c r="BI62" s="18">
        <f t="shared" si="34"/>
        <v>0.83754801702561132</v>
      </c>
      <c r="BJ62" s="56">
        <f t="shared" si="49"/>
        <v>3</v>
      </c>
      <c r="BL62" s="18">
        <f t="shared" si="35"/>
        <v>4.2288668014004838</v>
      </c>
      <c r="BM62" s="18">
        <f t="shared" si="35"/>
        <v>1.4521028630580486</v>
      </c>
      <c r="BN62" s="18">
        <f t="shared" si="35"/>
        <v>0.83754801702561132</v>
      </c>
      <c r="BO62" s="56">
        <f t="shared" si="50"/>
        <v>3</v>
      </c>
      <c r="BQ62" s="18">
        <f t="shared" si="36"/>
        <v>4.2288668014004838</v>
      </c>
      <c r="BR62" s="18">
        <f t="shared" si="36"/>
        <v>1.4521028630580486</v>
      </c>
      <c r="BS62" s="18">
        <f t="shared" si="36"/>
        <v>0.83754801702561132</v>
      </c>
      <c r="BT62" s="56">
        <f t="shared" si="51"/>
        <v>3</v>
      </c>
      <c r="BV62" s="18">
        <f t="shared" si="37"/>
        <v>4.2288668014004838</v>
      </c>
      <c r="BW62" s="18">
        <f t="shared" si="37"/>
        <v>1.4521028630580486</v>
      </c>
      <c r="BX62" s="18">
        <f t="shared" si="37"/>
        <v>0.83754801702561132</v>
      </c>
      <c r="BY62" s="56">
        <f t="shared" si="52"/>
        <v>3</v>
      </c>
      <c r="CA62" s="18">
        <f t="shared" si="38"/>
        <v>4.2288668014004838</v>
      </c>
      <c r="CB62" s="18">
        <f t="shared" si="38"/>
        <v>1.4521028630580486</v>
      </c>
      <c r="CC62" s="18">
        <f t="shared" si="38"/>
        <v>0.83754801702561132</v>
      </c>
      <c r="CD62" s="56">
        <f t="shared" si="53"/>
        <v>3</v>
      </c>
    </row>
    <row r="63" spans="1:82" x14ac:dyDescent="0.25">
      <c r="A63" s="36" t="str">
        <f>KMeans_Data!A45</f>
        <v>Kambar Shahdadkot</v>
      </c>
      <c r="B63" s="18">
        <f>KMeans_Data!H45</f>
        <v>0.31711502585735735</v>
      </c>
      <c r="C63" s="18">
        <f>KMeans_Data!I45</f>
        <v>-0.67265054538827607</v>
      </c>
      <c r="D63" s="18">
        <f>KMeans_Data!J45</f>
        <v>1.0109587897935928</v>
      </c>
      <c r="E63" s="56">
        <f t="shared" si="39"/>
        <v>3</v>
      </c>
      <c r="F63" s="38">
        <f t="shared" si="40"/>
        <v>1.3667058985958087</v>
      </c>
      <c r="G63" s="13" t="str">
        <f t="shared" si="41"/>
        <v>Medium burden</v>
      </c>
      <c r="H63" s="18">
        <f>IF(COUNTIF(Distance_Matrix!$E$9:$DQ$9,$E63)&lt;=1,0,SUMIF(Distance_Matrix!$E$9:$DQ$9,$E63,Distance_Matrix!$E$54:$DQ$54)/(COUNTIF(Distance_Matrix!$E$9:$DQ$9,$E63)-1))</f>
        <v>1.4092509784548832</v>
      </c>
      <c r="I63" s="18">
        <f>MIN(IF(1=$E63,1E+99,IF(COUNTIF(Distance_Matrix!$E$9:$DQ$9,1)=0,1E+99,SUMIF(Distance_Matrix!$E$9:$DQ$9,1,Distance_Matrix!$E$54:$DQ$54)/COUNTIF(Distance_Matrix!$E$9:$DQ$9,1))),IF(2=$E63,1E+99,IF(COUNTIF(Distance_Matrix!$E$9:$DQ$9,2)=0,1E+99,SUMIF(Distance_Matrix!$E$9:$DQ$9,2,Distance_Matrix!$E$54:$DQ$54)/COUNTIF(Distance_Matrix!$E$9:$DQ$9,2))),IF(3=$E63,1E+99,IF(COUNTIF(Distance_Matrix!$E$9:$DQ$9,3)=0,1E+99,SUMIF(Distance_Matrix!$E$9:$DQ$9,3,Distance_Matrix!$E$54:$DQ$54)/COUNTIF(Distance_Matrix!$E$9:$DQ$9,3))))</f>
        <v>2.0790303917556314</v>
      </c>
      <c r="J63" s="18">
        <f>IF(COUNTIF(Distance_Matrix!$E$9:$DQ$9,$E63)&lt;=1,0,(I63-H63)/MAX(H63,I63))</f>
        <v>0.32215951048948105</v>
      </c>
      <c r="X63" s="18">
        <f t="shared" ref="X63:Z82" si="54">SQRT(($B63-X$16)^2+($C63-X$17)^2+($D63-X$18)^2)</f>
        <v>5.997391976545833</v>
      </c>
      <c r="Y63" s="18">
        <f t="shared" si="54"/>
        <v>3.2242581216534347</v>
      </c>
      <c r="Z63" s="18">
        <f t="shared" si="54"/>
        <v>1.3546641306834701</v>
      </c>
      <c r="AA63" s="56">
        <f t="shared" si="42"/>
        <v>3</v>
      </c>
      <c r="AC63" s="18">
        <f t="shared" ref="AC63:AE82" si="55">SQRT(($B63-AC$16)^2+($C63-AC$17)^2+($D63-AC$18)^2)</f>
        <v>5.089492408886052</v>
      </c>
      <c r="AD63" s="18">
        <f t="shared" si="55"/>
        <v>2.1322377519768905</v>
      </c>
      <c r="AE63" s="18">
        <f t="shared" si="55"/>
        <v>1.1239692686006697</v>
      </c>
      <c r="AF63" s="56">
        <f t="shared" si="43"/>
        <v>3</v>
      </c>
      <c r="AH63" s="18">
        <f t="shared" ref="AH63:AJ82" si="56">SQRT(($B63-AH$16)^2+($C63-AH$17)^2+($D63-AH$18)^2)</f>
        <v>4.4697580424469638</v>
      </c>
      <c r="AI63" s="18">
        <f t="shared" si="56"/>
        <v>2.0105225005568861</v>
      </c>
      <c r="AJ63" s="18">
        <f t="shared" si="56"/>
        <v>1.1576649655051496</v>
      </c>
      <c r="AK63" s="56">
        <f t="shared" si="44"/>
        <v>3</v>
      </c>
      <c r="AM63" s="18">
        <f t="shared" ref="AM63:AO82" si="57">SQRT(($B63-AM$16)^2+($C63-AM$17)^2+($D63-AM$18)^2)</f>
        <v>4.4697580424469638</v>
      </c>
      <c r="AN63" s="18">
        <f t="shared" si="57"/>
        <v>1.9964253271880004</v>
      </c>
      <c r="AO63" s="18">
        <f t="shared" si="57"/>
        <v>1.1690619738045578</v>
      </c>
      <c r="AP63" s="56">
        <f t="shared" si="45"/>
        <v>3</v>
      </c>
      <c r="AR63" s="18">
        <f t="shared" ref="AR63:AT82" si="58">SQRT(($B63-AR$16)^2+($C63-AR$17)^2+($D63-AR$18)^2)</f>
        <v>4.4697580424469638</v>
      </c>
      <c r="AS63" s="18">
        <f t="shared" si="58"/>
        <v>1.9964253271880004</v>
      </c>
      <c r="AT63" s="18">
        <f t="shared" si="58"/>
        <v>1.1690619738045578</v>
      </c>
      <c r="AU63" s="56">
        <f t="shared" si="46"/>
        <v>3</v>
      </c>
      <c r="AW63" s="18">
        <f t="shared" ref="AW63:AY82" si="59">SQRT(($B63-AW$16)^2+($C63-AW$17)^2+($D63-AW$18)^2)</f>
        <v>4.4697580424469638</v>
      </c>
      <c r="AX63" s="18">
        <f t="shared" si="59"/>
        <v>1.9964253271880004</v>
      </c>
      <c r="AY63" s="18">
        <f t="shared" si="59"/>
        <v>1.1690619738045578</v>
      </c>
      <c r="AZ63" s="56">
        <f t="shared" si="47"/>
        <v>3</v>
      </c>
      <c r="BB63" s="18">
        <f t="shared" ref="BB63:BD82" si="60">SQRT(($B63-BB$16)^2+($C63-BB$17)^2+($D63-BB$18)^2)</f>
        <v>4.4697580424469638</v>
      </c>
      <c r="BC63" s="18">
        <f t="shared" si="60"/>
        <v>1.9964253271880004</v>
      </c>
      <c r="BD63" s="18">
        <f t="shared" si="60"/>
        <v>1.1690619738045578</v>
      </c>
      <c r="BE63" s="56">
        <f t="shared" si="48"/>
        <v>3</v>
      </c>
      <c r="BG63" s="18">
        <f t="shared" ref="BG63:BI82" si="61">SQRT(($B63-BG$16)^2+($C63-BG$17)^2+($D63-BG$18)^2)</f>
        <v>4.4697580424469638</v>
      </c>
      <c r="BH63" s="18">
        <f t="shared" si="61"/>
        <v>1.9964253271880004</v>
      </c>
      <c r="BI63" s="18">
        <f t="shared" si="61"/>
        <v>1.1690619738045578</v>
      </c>
      <c r="BJ63" s="56">
        <f t="shared" si="49"/>
        <v>3</v>
      </c>
      <c r="BL63" s="18">
        <f t="shared" ref="BL63:BN82" si="62">SQRT(($B63-BL$16)^2+($C63-BL$17)^2+($D63-BL$18)^2)</f>
        <v>4.4697580424469638</v>
      </c>
      <c r="BM63" s="18">
        <f t="shared" si="62"/>
        <v>1.9964253271880004</v>
      </c>
      <c r="BN63" s="18">
        <f t="shared" si="62"/>
        <v>1.1690619738045578</v>
      </c>
      <c r="BO63" s="56">
        <f t="shared" si="50"/>
        <v>3</v>
      </c>
      <c r="BQ63" s="18">
        <f t="shared" ref="BQ63:BS82" si="63">SQRT(($B63-BQ$16)^2+($C63-BQ$17)^2+($D63-BQ$18)^2)</f>
        <v>4.4697580424469638</v>
      </c>
      <c r="BR63" s="18">
        <f t="shared" si="63"/>
        <v>1.9964253271880004</v>
      </c>
      <c r="BS63" s="18">
        <f t="shared" si="63"/>
        <v>1.1690619738045578</v>
      </c>
      <c r="BT63" s="56">
        <f t="shared" si="51"/>
        <v>3</v>
      </c>
      <c r="BV63" s="18">
        <f t="shared" ref="BV63:BX82" si="64">SQRT(($B63-BV$16)^2+($C63-BV$17)^2+($D63-BV$18)^2)</f>
        <v>4.4697580424469638</v>
      </c>
      <c r="BW63" s="18">
        <f t="shared" si="64"/>
        <v>1.9964253271880004</v>
      </c>
      <c r="BX63" s="18">
        <f t="shared" si="64"/>
        <v>1.1690619738045578</v>
      </c>
      <c r="BY63" s="56">
        <f t="shared" si="52"/>
        <v>3</v>
      </c>
      <c r="CA63" s="18">
        <f t="shared" ref="CA63:CC82" si="65">SQRT(($B63-CA$16)^2+($C63-CA$17)^2+($D63-CA$18)^2)</f>
        <v>4.4697580424469638</v>
      </c>
      <c r="CB63" s="18">
        <f t="shared" si="65"/>
        <v>1.9964253271880004</v>
      </c>
      <c r="CC63" s="18">
        <f t="shared" si="65"/>
        <v>1.1690619738045578</v>
      </c>
      <c r="CD63" s="56">
        <f t="shared" si="53"/>
        <v>3</v>
      </c>
    </row>
    <row r="64" spans="1:82" x14ac:dyDescent="0.25">
      <c r="A64" s="36" t="str">
        <f>KMeans_Data!A46</f>
        <v>Nagar</v>
      </c>
      <c r="B64" s="18">
        <f>KMeans_Data!H46</f>
        <v>0.27371739838699027</v>
      </c>
      <c r="C64" s="18">
        <f>KMeans_Data!I46</f>
        <v>-0.14698313392952958</v>
      </c>
      <c r="D64" s="18">
        <f>KMeans_Data!J46</f>
        <v>0.77424684086161255</v>
      </c>
      <c r="E64" s="56">
        <f t="shared" si="39"/>
        <v>3</v>
      </c>
      <c r="F64" s="38">
        <f t="shared" si="40"/>
        <v>0.40788805743602452</v>
      </c>
      <c r="G64" s="13" t="str">
        <f t="shared" si="41"/>
        <v>Medium burden</v>
      </c>
      <c r="H64" s="18">
        <f>IF(COUNTIF(Distance_Matrix!$E$9:$DQ$9,$E64)&lt;=1,0,SUMIF(Distance_Matrix!$E$9:$DQ$9,$E64,Distance_Matrix!$E$55:$DQ$55)/(COUNTIF(Distance_Matrix!$E$9:$DQ$9,$E64)-1))</f>
        <v>1.0414926797996065</v>
      </c>
      <c r="I64" s="18">
        <f>MIN(IF(1=$E64,1E+99,IF(COUNTIF(Distance_Matrix!$E$9:$DQ$9,1)=0,1E+99,SUMIF(Distance_Matrix!$E$9:$DQ$9,1,Distance_Matrix!$E$55:$DQ$55)/COUNTIF(Distance_Matrix!$E$9:$DQ$9,1))),IF(2=$E64,1E+99,IF(COUNTIF(Distance_Matrix!$E$9:$DQ$9,2)=0,1E+99,SUMIF(Distance_Matrix!$E$9:$DQ$9,2,Distance_Matrix!$E$55:$DQ$55)/COUNTIF(Distance_Matrix!$E$9:$DQ$9,2))),IF(3=$E64,1E+99,IF(COUNTIF(Distance_Matrix!$E$9:$DQ$9,3)=0,1E+99,SUMIF(Distance_Matrix!$E$9:$DQ$9,3,Distance_Matrix!$E$55:$DQ$55)/COUNTIF(Distance_Matrix!$E$9:$DQ$9,3))))</f>
        <v>1.9249816700550126</v>
      </c>
      <c r="J64" s="18">
        <f>IF(COUNTIF(Distance_Matrix!$E$9:$DQ$9,$E64)&lt;=1,0,(I64-H64)/MAX(H64,I64))</f>
        <v>0.45895968985001173</v>
      </c>
      <c r="X64" s="18">
        <f t="shared" si="54"/>
        <v>5.7155539104585298</v>
      </c>
      <c r="Y64" s="18">
        <f t="shared" si="54"/>
        <v>3.0823789094685083</v>
      </c>
      <c r="Z64" s="18">
        <f t="shared" si="54"/>
        <v>1.1593431801629535</v>
      </c>
      <c r="AA64" s="56">
        <f t="shared" si="42"/>
        <v>3</v>
      </c>
      <c r="AC64" s="18">
        <f t="shared" si="55"/>
        <v>4.7698540548379338</v>
      </c>
      <c r="AD64" s="18">
        <f t="shared" si="55"/>
        <v>1.9713577099321506</v>
      </c>
      <c r="AE64" s="18">
        <f t="shared" si="55"/>
        <v>0.58133565815294108</v>
      </c>
      <c r="AF64" s="56">
        <f t="shared" si="43"/>
        <v>3</v>
      </c>
      <c r="AH64" s="18">
        <f t="shared" si="56"/>
        <v>4.1391611061389764</v>
      </c>
      <c r="AI64" s="18">
        <f t="shared" si="56"/>
        <v>1.8472219674979788</v>
      </c>
      <c r="AJ64" s="18">
        <f t="shared" si="56"/>
        <v>0.62191594845299425</v>
      </c>
      <c r="AK64" s="56">
        <f t="shared" si="44"/>
        <v>3</v>
      </c>
      <c r="AM64" s="18">
        <f t="shared" si="57"/>
        <v>4.1391611061389764</v>
      </c>
      <c r="AN64" s="18">
        <f t="shared" si="57"/>
        <v>1.831592113284902</v>
      </c>
      <c r="AO64" s="18">
        <f t="shared" si="57"/>
        <v>0.63866114445457267</v>
      </c>
      <c r="AP64" s="56">
        <f t="shared" si="45"/>
        <v>3</v>
      </c>
      <c r="AR64" s="18">
        <f t="shared" si="58"/>
        <v>4.1391611061389764</v>
      </c>
      <c r="AS64" s="18">
        <f t="shared" si="58"/>
        <v>1.831592113284902</v>
      </c>
      <c r="AT64" s="18">
        <f t="shared" si="58"/>
        <v>0.63866114445457267</v>
      </c>
      <c r="AU64" s="56">
        <f t="shared" si="46"/>
        <v>3</v>
      </c>
      <c r="AW64" s="18">
        <f t="shared" si="59"/>
        <v>4.1391611061389764</v>
      </c>
      <c r="AX64" s="18">
        <f t="shared" si="59"/>
        <v>1.831592113284902</v>
      </c>
      <c r="AY64" s="18">
        <f t="shared" si="59"/>
        <v>0.63866114445457267</v>
      </c>
      <c r="AZ64" s="56">
        <f t="shared" si="47"/>
        <v>3</v>
      </c>
      <c r="BB64" s="18">
        <f t="shared" si="60"/>
        <v>4.1391611061389764</v>
      </c>
      <c r="BC64" s="18">
        <f t="shared" si="60"/>
        <v>1.831592113284902</v>
      </c>
      <c r="BD64" s="18">
        <f t="shared" si="60"/>
        <v>0.63866114445457267</v>
      </c>
      <c r="BE64" s="56">
        <f t="shared" si="48"/>
        <v>3</v>
      </c>
      <c r="BG64" s="18">
        <f t="shared" si="61"/>
        <v>4.1391611061389764</v>
      </c>
      <c r="BH64" s="18">
        <f t="shared" si="61"/>
        <v>1.831592113284902</v>
      </c>
      <c r="BI64" s="18">
        <f t="shared" si="61"/>
        <v>0.63866114445457267</v>
      </c>
      <c r="BJ64" s="56">
        <f t="shared" si="49"/>
        <v>3</v>
      </c>
      <c r="BL64" s="18">
        <f t="shared" si="62"/>
        <v>4.1391611061389764</v>
      </c>
      <c r="BM64" s="18">
        <f t="shared" si="62"/>
        <v>1.831592113284902</v>
      </c>
      <c r="BN64" s="18">
        <f t="shared" si="62"/>
        <v>0.63866114445457267</v>
      </c>
      <c r="BO64" s="56">
        <f t="shared" si="50"/>
        <v>3</v>
      </c>
      <c r="BQ64" s="18">
        <f t="shared" si="63"/>
        <v>4.1391611061389764</v>
      </c>
      <c r="BR64" s="18">
        <f t="shared" si="63"/>
        <v>1.831592113284902</v>
      </c>
      <c r="BS64" s="18">
        <f t="shared" si="63"/>
        <v>0.63866114445457267</v>
      </c>
      <c r="BT64" s="56">
        <f t="shared" si="51"/>
        <v>3</v>
      </c>
      <c r="BV64" s="18">
        <f t="shared" si="64"/>
        <v>4.1391611061389764</v>
      </c>
      <c r="BW64" s="18">
        <f t="shared" si="64"/>
        <v>1.831592113284902</v>
      </c>
      <c r="BX64" s="18">
        <f t="shared" si="64"/>
        <v>0.63866114445457267</v>
      </c>
      <c r="BY64" s="56">
        <f t="shared" si="52"/>
        <v>3</v>
      </c>
      <c r="CA64" s="18">
        <f t="shared" si="65"/>
        <v>4.1391611061389764</v>
      </c>
      <c r="CB64" s="18">
        <f t="shared" si="65"/>
        <v>1.831592113284902</v>
      </c>
      <c r="CC64" s="18">
        <f t="shared" si="65"/>
        <v>0.63866114445457267</v>
      </c>
      <c r="CD64" s="56">
        <f t="shared" si="53"/>
        <v>3</v>
      </c>
    </row>
    <row r="65" spans="1:82" x14ac:dyDescent="0.25">
      <c r="A65" s="36" t="str">
        <f>KMeans_Data!A47</f>
        <v>Rahim Yar Khan</v>
      </c>
      <c r="B65" s="18">
        <f>KMeans_Data!H47</f>
        <v>0.26227803642067726</v>
      </c>
      <c r="C65" s="18">
        <f>KMeans_Data!I47</f>
        <v>-0.14698313392952958</v>
      </c>
      <c r="D65" s="18">
        <f>KMeans_Data!J47</f>
        <v>-0.63655717184154814</v>
      </c>
      <c r="E65" s="56">
        <f t="shared" si="39"/>
        <v>2</v>
      </c>
      <c r="F65" s="38">
        <f t="shared" si="40"/>
        <v>1.0471348652046488</v>
      </c>
      <c r="G65" s="13" t="str">
        <f t="shared" si="41"/>
        <v>Low burden</v>
      </c>
      <c r="H65" s="18">
        <f>IF(COUNTIF(Distance_Matrix!$E$9:$DQ$9,$E65)&lt;=1,0,SUMIF(Distance_Matrix!$E$9:$DQ$9,$E65,Distance_Matrix!$E$56:$DQ$56)/(COUNTIF(Distance_Matrix!$E$9:$DQ$9,$E65)-1))</f>
        <v>1.2317089671885011</v>
      </c>
      <c r="I65" s="18">
        <f>MIN(IF(1=$E65,1E+99,IF(COUNTIF(Distance_Matrix!$E$9:$DQ$9,1)=0,1E+99,SUMIF(Distance_Matrix!$E$9:$DQ$9,1,Distance_Matrix!$E$56:$DQ$56)/COUNTIF(Distance_Matrix!$E$9:$DQ$9,1))),IF(2=$E65,1E+99,IF(COUNTIF(Distance_Matrix!$E$9:$DQ$9,2)=0,1E+99,SUMIF(Distance_Matrix!$E$9:$DQ$9,2,Distance_Matrix!$E$56:$DQ$56)/COUNTIF(Distance_Matrix!$E$9:$DQ$9,2))),IF(3=$E65,1E+99,IF(COUNTIF(Distance_Matrix!$E$9:$DQ$9,3)=0,1E+99,SUMIF(Distance_Matrix!$E$9:$DQ$9,3,Distance_Matrix!$E$56:$DQ$56)/COUNTIF(Distance_Matrix!$E$9:$DQ$9,3))))</f>
        <v>1.6751407257677282</v>
      </c>
      <c r="J65" s="18">
        <f>IF(COUNTIF(Distance_Matrix!$E$9:$DQ$9,$E65)&lt;=1,0,(I65-H65)/MAX(H65,I65))</f>
        <v>0.26471313828036708</v>
      </c>
      <c r="X65" s="18">
        <f t="shared" si="54"/>
        <v>6.4590993672190296</v>
      </c>
      <c r="Y65" s="18">
        <f t="shared" si="54"/>
        <v>2.4536778056908317</v>
      </c>
      <c r="Z65" s="18">
        <f t="shared" si="54"/>
        <v>2.3057169172843408</v>
      </c>
      <c r="AA65" s="56">
        <f t="shared" si="42"/>
        <v>3</v>
      </c>
      <c r="AC65" s="18">
        <f t="shared" si="55"/>
        <v>5.4434325211476553</v>
      </c>
      <c r="AD65" s="18">
        <f t="shared" si="55"/>
        <v>1.1560962632111347</v>
      </c>
      <c r="AE65" s="18">
        <f t="shared" si="55"/>
        <v>1.3445415383534214</v>
      </c>
      <c r="AF65" s="56">
        <f t="shared" si="43"/>
        <v>2</v>
      </c>
      <c r="AH65" s="18">
        <f t="shared" si="56"/>
        <v>4.8106916056375573</v>
      </c>
      <c r="AI65" s="18">
        <f t="shared" si="56"/>
        <v>1.0317284291986177</v>
      </c>
      <c r="AJ65" s="18">
        <f t="shared" si="56"/>
        <v>1.4639062916269696</v>
      </c>
      <c r="AK65" s="56">
        <f t="shared" si="44"/>
        <v>2</v>
      </c>
      <c r="AM65" s="18">
        <f t="shared" si="57"/>
        <v>4.8106916056375573</v>
      </c>
      <c r="AN65" s="18">
        <f t="shared" si="57"/>
        <v>1.0232960789549859</v>
      </c>
      <c r="AO65" s="18">
        <f t="shared" si="57"/>
        <v>1.4821964894494044</v>
      </c>
      <c r="AP65" s="56">
        <f t="shared" si="45"/>
        <v>2</v>
      </c>
      <c r="AR65" s="18">
        <f t="shared" si="58"/>
        <v>4.8106916056375573</v>
      </c>
      <c r="AS65" s="18">
        <f t="shared" si="58"/>
        <v>1.0232960789549859</v>
      </c>
      <c r="AT65" s="18">
        <f t="shared" si="58"/>
        <v>1.4821964894494044</v>
      </c>
      <c r="AU65" s="56">
        <f t="shared" si="46"/>
        <v>2</v>
      </c>
      <c r="AW65" s="18">
        <f t="shared" si="59"/>
        <v>4.8106916056375573</v>
      </c>
      <c r="AX65" s="18">
        <f t="shared" si="59"/>
        <v>1.0232960789549859</v>
      </c>
      <c r="AY65" s="18">
        <f t="shared" si="59"/>
        <v>1.4821964894494044</v>
      </c>
      <c r="AZ65" s="56">
        <f t="shared" si="47"/>
        <v>2</v>
      </c>
      <c r="BB65" s="18">
        <f t="shared" si="60"/>
        <v>4.8106916056375573</v>
      </c>
      <c r="BC65" s="18">
        <f t="shared" si="60"/>
        <v>1.0232960789549859</v>
      </c>
      <c r="BD65" s="18">
        <f t="shared" si="60"/>
        <v>1.4821964894494044</v>
      </c>
      <c r="BE65" s="56">
        <f t="shared" si="48"/>
        <v>2</v>
      </c>
      <c r="BG65" s="18">
        <f t="shared" si="61"/>
        <v>4.8106916056375573</v>
      </c>
      <c r="BH65" s="18">
        <f t="shared" si="61"/>
        <v>1.0232960789549859</v>
      </c>
      <c r="BI65" s="18">
        <f t="shared" si="61"/>
        <v>1.4821964894494044</v>
      </c>
      <c r="BJ65" s="56">
        <f t="shared" si="49"/>
        <v>2</v>
      </c>
      <c r="BL65" s="18">
        <f t="shared" si="62"/>
        <v>4.8106916056375573</v>
      </c>
      <c r="BM65" s="18">
        <f t="shared" si="62"/>
        <v>1.0232960789549859</v>
      </c>
      <c r="BN65" s="18">
        <f t="shared" si="62"/>
        <v>1.4821964894494044</v>
      </c>
      <c r="BO65" s="56">
        <f t="shared" si="50"/>
        <v>2</v>
      </c>
      <c r="BQ65" s="18">
        <f t="shared" si="63"/>
        <v>4.8106916056375573</v>
      </c>
      <c r="BR65" s="18">
        <f t="shared" si="63"/>
        <v>1.0232960789549859</v>
      </c>
      <c r="BS65" s="18">
        <f t="shared" si="63"/>
        <v>1.4821964894494044</v>
      </c>
      <c r="BT65" s="56">
        <f t="shared" si="51"/>
        <v>2</v>
      </c>
      <c r="BV65" s="18">
        <f t="shared" si="64"/>
        <v>4.8106916056375573</v>
      </c>
      <c r="BW65" s="18">
        <f t="shared" si="64"/>
        <v>1.0232960789549859</v>
      </c>
      <c r="BX65" s="18">
        <f t="shared" si="64"/>
        <v>1.4821964894494044</v>
      </c>
      <c r="BY65" s="56">
        <f t="shared" si="52"/>
        <v>2</v>
      </c>
      <c r="CA65" s="18">
        <f t="shared" si="65"/>
        <v>4.8106916056375573</v>
      </c>
      <c r="CB65" s="18">
        <f t="shared" si="65"/>
        <v>1.0232960789549859</v>
      </c>
      <c r="CC65" s="18">
        <f t="shared" si="65"/>
        <v>1.4821964894494044</v>
      </c>
      <c r="CD65" s="56">
        <f t="shared" si="53"/>
        <v>2</v>
      </c>
    </row>
    <row r="66" spans="1:82" x14ac:dyDescent="0.25">
      <c r="A66" s="36" t="str">
        <f>KMeans_Data!A48</f>
        <v>Jamshoro</v>
      </c>
      <c r="B66" s="18">
        <f>KMeans_Data!H48</f>
        <v>0.25646266846194293</v>
      </c>
      <c r="C66" s="18">
        <f>KMeans_Data!I48</f>
        <v>-0.67265054538827607</v>
      </c>
      <c r="D66" s="18">
        <f>KMeans_Data!J48</f>
        <v>0.514925973520034</v>
      </c>
      <c r="E66" s="56">
        <f t="shared" si="39"/>
        <v>3</v>
      </c>
      <c r="F66" s="38">
        <f t="shared" si="40"/>
        <v>1.3341295455894053</v>
      </c>
      <c r="G66" s="13" t="str">
        <f t="shared" si="41"/>
        <v>Medium burden</v>
      </c>
      <c r="H66" s="18">
        <f>IF(COUNTIF(Distance_Matrix!$E$9:$DQ$9,$E66)&lt;=1,0,SUMIF(Distance_Matrix!$E$9:$DQ$9,$E66,Distance_Matrix!$E$57:$DQ$57)/(COUNTIF(Distance_Matrix!$E$9:$DQ$9,$E66)-1))</f>
        <v>1.3795496268946779</v>
      </c>
      <c r="I66" s="18">
        <f>MIN(IF(1=$E66,1E+99,IF(COUNTIF(Distance_Matrix!$E$9:$DQ$9,1)=0,1E+99,SUMIF(Distance_Matrix!$E$9:$DQ$9,1,Distance_Matrix!$E$57:$DQ$57)/COUNTIF(Distance_Matrix!$E$9:$DQ$9,1))),IF(2=$E66,1E+99,IF(COUNTIF(Distance_Matrix!$E$9:$DQ$9,2)=0,1E+99,SUMIF(Distance_Matrix!$E$9:$DQ$9,2,Distance_Matrix!$E$57:$DQ$57)/COUNTIF(Distance_Matrix!$E$9:$DQ$9,2))),IF(3=$E66,1E+99,IF(COUNTIF(Distance_Matrix!$E$9:$DQ$9,3)=0,1E+99,SUMIF(Distance_Matrix!$E$9:$DQ$9,3,Distance_Matrix!$E$57:$DQ$57)/COUNTIF(Distance_Matrix!$E$9:$DQ$9,3))))</f>
        <v>1.6469799145258708</v>
      </c>
      <c r="J66" s="18">
        <f>IF(COUNTIF(Distance_Matrix!$E$9:$DQ$9,$E66)&lt;=1,0,(I66-H66)/MAX(H66,I66))</f>
        <v>0.16237616820492934</v>
      </c>
      <c r="X66" s="18">
        <f t="shared" si="54"/>
        <v>6.2290550244489014</v>
      </c>
      <c r="Y66" s="18">
        <f t="shared" si="54"/>
        <v>2.8662390866109257</v>
      </c>
      <c r="Z66" s="18">
        <f t="shared" si="54"/>
        <v>1.6211134796330222</v>
      </c>
      <c r="AA66" s="56">
        <f t="shared" si="42"/>
        <v>3</v>
      </c>
      <c r="AC66" s="18">
        <f t="shared" si="55"/>
        <v>5.2838049249774457</v>
      </c>
      <c r="AD66" s="18">
        <f t="shared" si="55"/>
        <v>1.6858761628674681</v>
      </c>
      <c r="AE66" s="18">
        <f t="shared" si="55"/>
        <v>1.0566670654328634</v>
      </c>
      <c r="AF66" s="56">
        <f t="shared" si="43"/>
        <v>3</v>
      </c>
      <c r="AH66" s="18">
        <f t="shared" si="56"/>
        <v>4.6531587544065998</v>
      </c>
      <c r="AI66" s="18">
        <f t="shared" si="56"/>
        <v>1.5565553687394911</v>
      </c>
      <c r="AJ66" s="18">
        <f t="shared" si="56"/>
        <v>1.1375130874606942</v>
      </c>
      <c r="AK66" s="56">
        <f t="shared" si="44"/>
        <v>3</v>
      </c>
      <c r="AM66" s="18">
        <f t="shared" si="57"/>
        <v>4.6531587544065998</v>
      </c>
      <c r="AN66" s="18">
        <f t="shared" si="57"/>
        <v>1.5430255704091516</v>
      </c>
      <c r="AO66" s="18">
        <f t="shared" si="57"/>
        <v>1.1550452569442486</v>
      </c>
      <c r="AP66" s="56">
        <f t="shared" si="45"/>
        <v>3</v>
      </c>
      <c r="AR66" s="18">
        <f t="shared" si="58"/>
        <v>4.6531587544065998</v>
      </c>
      <c r="AS66" s="18">
        <f t="shared" si="58"/>
        <v>1.5430255704091516</v>
      </c>
      <c r="AT66" s="18">
        <f t="shared" si="58"/>
        <v>1.1550452569442486</v>
      </c>
      <c r="AU66" s="56">
        <f t="shared" si="46"/>
        <v>3</v>
      </c>
      <c r="AW66" s="18">
        <f t="shared" si="59"/>
        <v>4.6531587544065998</v>
      </c>
      <c r="AX66" s="18">
        <f t="shared" si="59"/>
        <v>1.5430255704091516</v>
      </c>
      <c r="AY66" s="18">
        <f t="shared" si="59"/>
        <v>1.1550452569442486</v>
      </c>
      <c r="AZ66" s="56">
        <f t="shared" si="47"/>
        <v>3</v>
      </c>
      <c r="BB66" s="18">
        <f t="shared" si="60"/>
        <v>4.6531587544065998</v>
      </c>
      <c r="BC66" s="18">
        <f t="shared" si="60"/>
        <v>1.5430255704091516</v>
      </c>
      <c r="BD66" s="18">
        <f t="shared" si="60"/>
        <v>1.1550452569442486</v>
      </c>
      <c r="BE66" s="56">
        <f t="shared" si="48"/>
        <v>3</v>
      </c>
      <c r="BG66" s="18">
        <f t="shared" si="61"/>
        <v>4.6531587544065998</v>
      </c>
      <c r="BH66" s="18">
        <f t="shared" si="61"/>
        <v>1.5430255704091516</v>
      </c>
      <c r="BI66" s="18">
        <f t="shared" si="61"/>
        <v>1.1550452569442486</v>
      </c>
      <c r="BJ66" s="56">
        <f t="shared" si="49"/>
        <v>3</v>
      </c>
      <c r="BL66" s="18">
        <f t="shared" si="62"/>
        <v>4.6531587544065998</v>
      </c>
      <c r="BM66" s="18">
        <f t="shared" si="62"/>
        <v>1.5430255704091516</v>
      </c>
      <c r="BN66" s="18">
        <f t="shared" si="62"/>
        <v>1.1550452569442486</v>
      </c>
      <c r="BO66" s="56">
        <f t="shared" si="50"/>
        <v>3</v>
      </c>
      <c r="BQ66" s="18">
        <f t="shared" si="63"/>
        <v>4.6531587544065998</v>
      </c>
      <c r="BR66" s="18">
        <f t="shared" si="63"/>
        <v>1.5430255704091516</v>
      </c>
      <c r="BS66" s="18">
        <f t="shared" si="63"/>
        <v>1.1550452569442486</v>
      </c>
      <c r="BT66" s="56">
        <f t="shared" si="51"/>
        <v>3</v>
      </c>
      <c r="BV66" s="18">
        <f t="shared" si="64"/>
        <v>4.6531587544065998</v>
      </c>
      <c r="BW66" s="18">
        <f t="shared" si="64"/>
        <v>1.5430255704091516</v>
      </c>
      <c r="BX66" s="18">
        <f t="shared" si="64"/>
        <v>1.1550452569442486</v>
      </c>
      <c r="BY66" s="56">
        <f t="shared" si="52"/>
        <v>3</v>
      </c>
      <c r="CA66" s="18">
        <f t="shared" si="65"/>
        <v>4.6531587544065998</v>
      </c>
      <c r="CB66" s="18">
        <f t="shared" si="65"/>
        <v>1.5430255704091516</v>
      </c>
      <c r="CC66" s="18">
        <f t="shared" si="65"/>
        <v>1.1550452569442486</v>
      </c>
      <c r="CD66" s="56">
        <f t="shared" si="53"/>
        <v>3</v>
      </c>
    </row>
    <row r="67" spans="1:82" x14ac:dyDescent="0.25">
      <c r="A67" s="36" t="str">
        <f>KMeans_Data!A49</f>
        <v>Gujranwala</v>
      </c>
      <c r="B67" s="18">
        <f>KMeans_Data!H49</f>
        <v>0.23861623378571303</v>
      </c>
      <c r="C67" s="18">
        <f>KMeans_Data!I49</f>
        <v>-0.67265054538827607</v>
      </c>
      <c r="D67" s="18">
        <f>KMeans_Data!J49</f>
        <v>-0.82444601589876665</v>
      </c>
      <c r="E67" s="56">
        <f t="shared" si="39"/>
        <v>2</v>
      </c>
      <c r="F67" s="38">
        <f t="shared" si="40"/>
        <v>0.77722756129156978</v>
      </c>
      <c r="G67" s="13" t="str">
        <f t="shared" si="41"/>
        <v>Low burden</v>
      </c>
      <c r="H67" s="18">
        <f>IF(COUNTIF(Distance_Matrix!$E$9:$DQ$9,$E67)&lt;=1,0,SUMIF(Distance_Matrix!$E$9:$DQ$9,$E67,Distance_Matrix!$E$58:$DQ$58)/(COUNTIF(Distance_Matrix!$E$9:$DQ$9,$E67)-1))</f>
        <v>1.0996016796090873</v>
      </c>
      <c r="I67" s="18">
        <f>MIN(IF(1=$E67,1E+99,IF(COUNTIF(Distance_Matrix!$E$9:$DQ$9,1)=0,1E+99,SUMIF(Distance_Matrix!$E$9:$DQ$9,1,Distance_Matrix!$E$58:$DQ$58)/COUNTIF(Distance_Matrix!$E$9:$DQ$9,1))),IF(2=$E67,1E+99,IF(COUNTIF(Distance_Matrix!$E$9:$DQ$9,2)=0,1E+99,SUMIF(Distance_Matrix!$E$9:$DQ$9,2,Distance_Matrix!$E$58:$DQ$58)/COUNTIF(Distance_Matrix!$E$9:$DQ$9,2))),IF(3=$E67,1E+99,IF(COUNTIF(Distance_Matrix!$E$9:$DQ$9,3)=0,1E+99,SUMIF(Distance_Matrix!$E$9:$DQ$9,3,Distance_Matrix!$E$58:$DQ$58)/COUNTIF(Distance_Matrix!$E$9:$DQ$9,3))))</f>
        <v>2.0442402066093019</v>
      </c>
      <c r="J67" s="18">
        <f>IF(COUNTIF(Distance_Matrix!$E$9:$DQ$9,$E67)&lt;=1,0,(I67-H67)/MAX(H67,I67))</f>
        <v>0.46209761648659098</v>
      </c>
      <c r="X67" s="18">
        <f t="shared" si="54"/>
        <v>6.9308663269636464</v>
      </c>
      <c r="Y67" s="18">
        <f t="shared" si="54"/>
        <v>2.3404987692076227</v>
      </c>
      <c r="Z67" s="18">
        <f t="shared" si="54"/>
        <v>2.6475647490986587</v>
      </c>
      <c r="AA67" s="56">
        <f t="shared" si="42"/>
        <v>2</v>
      </c>
      <c r="AC67" s="18">
        <f t="shared" si="55"/>
        <v>5.9232534625207061</v>
      </c>
      <c r="AD67" s="18">
        <f t="shared" si="55"/>
        <v>1.003427895920721</v>
      </c>
      <c r="AE67" s="18">
        <f t="shared" si="55"/>
        <v>1.7649491297125945</v>
      </c>
      <c r="AF67" s="56">
        <f t="shared" si="43"/>
        <v>2</v>
      </c>
      <c r="AH67" s="18">
        <f t="shared" si="56"/>
        <v>5.2904010670613255</v>
      </c>
      <c r="AI67" s="18">
        <f t="shared" si="56"/>
        <v>0.88372789006372432</v>
      </c>
      <c r="AJ67" s="18">
        <f t="shared" si="56"/>
        <v>1.8879388858351811</v>
      </c>
      <c r="AK67" s="56">
        <f t="shared" si="44"/>
        <v>2</v>
      </c>
      <c r="AM67" s="18">
        <f t="shared" si="57"/>
        <v>5.2904010670613255</v>
      </c>
      <c r="AN67" s="18">
        <f t="shared" si="57"/>
        <v>0.88160510507345058</v>
      </c>
      <c r="AO67" s="18">
        <f t="shared" si="57"/>
        <v>1.9068006932837938</v>
      </c>
      <c r="AP67" s="56">
        <f t="shared" si="45"/>
        <v>2</v>
      </c>
      <c r="AR67" s="18">
        <f t="shared" si="58"/>
        <v>5.2904010670613255</v>
      </c>
      <c r="AS67" s="18">
        <f t="shared" si="58"/>
        <v>0.88160510507345058</v>
      </c>
      <c r="AT67" s="18">
        <f t="shared" si="58"/>
        <v>1.9068006932837938</v>
      </c>
      <c r="AU67" s="56">
        <f t="shared" si="46"/>
        <v>2</v>
      </c>
      <c r="AW67" s="18">
        <f t="shared" si="59"/>
        <v>5.2904010670613255</v>
      </c>
      <c r="AX67" s="18">
        <f t="shared" si="59"/>
        <v>0.88160510507345058</v>
      </c>
      <c r="AY67" s="18">
        <f t="shared" si="59"/>
        <v>1.9068006932837938</v>
      </c>
      <c r="AZ67" s="56">
        <f t="shared" si="47"/>
        <v>2</v>
      </c>
      <c r="BB67" s="18">
        <f t="shared" si="60"/>
        <v>5.2904010670613255</v>
      </c>
      <c r="BC67" s="18">
        <f t="shared" si="60"/>
        <v>0.88160510507345058</v>
      </c>
      <c r="BD67" s="18">
        <f t="shared" si="60"/>
        <v>1.9068006932837938</v>
      </c>
      <c r="BE67" s="56">
        <f t="shared" si="48"/>
        <v>2</v>
      </c>
      <c r="BG67" s="18">
        <f t="shared" si="61"/>
        <v>5.2904010670613255</v>
      </c>
      <c r="BH67" s="18">
        <f t="shared" si="61"/>
        <v>0.88160510507345058</v>
      </c>
      <c r="BI67" s="18">
        <f t="shared" si="61"/>
        <v>1.9068006932837938</v>
      </c>
      <c r="BJ67" s="56">
        <f t="shared" si="49"/>
        <v>2</v>
      </c>
      <c r="BL67" s="18">
        <f t="shared" si="62"/>
        <v>5.2904010670613255</v>
      </c>
      <c r="BM67" s="18">
        <f t="shared" si="62"/>
        <v>0.88160510507345058</v>
      </c>
      <c r="BN67" s="18">
        <f t="shared" si="62"/>
        <v>1.9068006932837938</v>
      </c>
      <c r="BO67" s="56">
        <f t="shared" si="50"/>
        <v>2</v>
      </c>
      <c r="BQ67" s="18">
        <f t="shared" si="63"/>
        <v>5.2904010670613255</v>
      </c>
      <c r="BR67" s="18">
        <f t="shared" si="63"/>
        <v>0.88160510507345058</v>
      </c>
      <c r="BS67" s="18">
        <f t="shared" si="63"/>
        <v>1.9068006932837938</v>
      </c>
      <c r="BT67" s="56">
        <f t="shared" si="51"/>
        <v>2</v>
      </c>
      <c r="BV67" s="18">
        <f t="shared" si="64"/>
        <v>5.2904010670613255</v>
      </c>
      <c r="BW67" s="18">
        <f t="shared" si="64"/>
        <v>0.88160510507345058</v>
      </c>
      <c r="BX67" s="18">
        <f t="shared" si="64"/>
        <v>1.9068006932837938</v>
      </c>
      <c r="BY67" s="56">
        <f t="shared" si="52"/>
        <v>2</v>
      </c>
      <c r="CA67" s="18">
        <f t="shared" si="65"/>
        <v>5.2904010670613255</v>
      </c>
      <c r="CB67" s="18">
        <f t="shared" si="65"/>
        <v>0.88160510507345058</v>
      </c>
      <c r="CC67" s="18">
        <f t="shared" si="65"/>
        <v>1.9068006932837938</v>
      </c>
      <c r="CD67" s="56">
        <f t="shared" si="53"/>
        <v>2</v>
      </c>
    </row>
    <row r="68" spans="1:82" x14ac:dyDescent="0.25">
      <c r="A68" s="36" t="str">
        <f>KMeans_Data!A50</f>
        <v>Bannu</v>
      </c>
      <c r="B68" s="18">
        <f>KMeans_Data!H50</f>
        <v>0.23252879576454735</v>
      </c>
      <c r="C68" s="18">
        <f>KMeans_Data!I50</f>
        <v>0.16051258962499582</v>
      </c>
      <c r="D68" s="18">
        <f>KMeans_Data!J50</f>
        <v>0.38161671714246476</v>
      </c>
      <c r="E68" s="56">
        <f t="shared" si="39"/>
        <v>3</v>
      </c>
      <c r="F68" s="38">
        <f t="shared" si="40"/>
        <v>0.26359393771534029</v>
      </c>
      <c r="G68" s="13" t="str">
        <f t="shared" si="41"/>
        <v>Medium burden</v>
      </c>
      <c r="H68" s="18">
        <f>IF(COUNTIF(Distance_Matrix!$E$9:$DQ$9,$E68)&lt;=1,0,SUMIF(Distance_Matrix!$E$9:$DQ$9,$E68,Distance_Matrix!$E$59:$DQ$59)/(COUNTIF(Distance_Matrix!$E$9:$DQ$9,$E68)-1))</f>
        <v>0.98593855087316229</v>
      </c>
      <c r="I68" s="18">
        <f>MIN(IF(1=$E68,1E+99,IF(COUNTIF(Distance_Matrix!$E$9:$DQ$9,1)=0,1E+99,SUMIF(Distance_Matrix!$E$9:$DQ$9,1,Distance_Matrix!$E$59:$DQ$59)/COUNTIF(Distance_Matrix!$E$9:$DQ$9,1))),IF(2=$E68,1E+99,IF(COUNTIF(Distance_Matrix!$E$9:$DQ$9,2)=0,1E+99,SUMIF(Distance_Matrix!$E$9:$DQ$9,2,Distance_Matrix!$E$59:$DQ$59)/COUNTIF(Distance_Matrix!$E$9:$DQ$9,2))),IF(3=$E68,1E+99,IF(COUNTIF(Distance_Matrix!$E$9:$DQ$9,3)=0,1E+99,SUMIF(Distance_Matrix!$E$9:$DQ$9,3,Distance_Matrix!$E$59:$DQ$59)/COUNTIF(Distance_Matrix!$E$9:$DQ$9,3))))</f>
        <v>1.740676132786348</v>
      </c>
      <c r="J68" s="18">
        <f>IF(COUNTIF(Distance_Matrix!$E$9:$DQ$9,$E68)&lt;=1,0,(I68-H68)/MAX(H68,I68))</f>
        <v>0.43358874617592225</v>
      </c>
      <c r="X68" s="18">
        <f t="shared" si="54"/>
        <v>5.7041330215925905</v>
      </c>
      <c r="Y68" s="18">
        <f t="shared" si="54"/>
        <v>2.8936592946750208</v>
      </c>
      <c r="Z68" s="18">
        <f t="shared" si="54"/>
        <v>1.3714131638754321</v>
      </c>
      <c r="AA68" s="56">
        <f t="shared" si="42"/>
        <v>3</v>
      </c>
      <c r="AC68" s="18">
        <f t="shared" si="55"/>
        <v>4.7227536444255627</v>
      </c>
      <c r="AD68" s="18">
        <f t="shared" si="55"/>
        <v>1.7605477563125729</v>
      </c>
      <c r="AE68" s="18">
        <f t="shared" si="55"/>
        <v>0.39402198692509915</v>
      </c>
      <c r="AF68" s="56">
        <f t="shared" si="43"/>
        <v>3</v>
      </c>
      <c r="AH68" s="18">
        <f t="shared" si="56"/>
        <v>4.0863924662916453</v>
      </c>
      <c r="AI68" s="18">
        <f t="shared" si="56"/>
        <v>1.6379677023589996</v>
      </c>
      <c r="AJ68" s="18">
        <f t="shared" si="56"/>
        <v>0.48910379998346043</v>
      </c>
      <c r="AK68" s="56">
        <f t="shared" si="44"/>
        <v>3</v>
      </c>
      <c r="AM68" s="18">
        <f t="shared" si="57"/>
        <v>4.0863924662916453</v>
      </c>
      <c r="AN68" s="18">
        <f t="shared" si="57"/>
        <v>1.6224015515505714</v>
      </c>
      <c r="AO68" s="18">
        <f t="shared" si="57"/>
        <v>0.51341400225874279</v>
      </c>
      <c r="AP68" s="56">
        <f t="shared" si="45"/>
        <v>3</v>
      </c>
      <c r="AR68" s="18">
        <f t="shared" si="58"/>
        <v>4.0863924662916453</v>
      </c>
      <c r="AS68" s="18">
        <f t="shared" si="58"/>
        <v>1.6224015515505714</v>
      </c>
      <c r="AT68" s="18">
        <f t="shared" si="58"/>
        <v>0.51341400225874279</v>
      </c>
      <c r="AU68" s="56">
        <f t="shared" si="46"/>
        <v>3</v>
      </c>
      <c r="AW68" s="18">
        <f t="shared" si="59"/>
        <v>4.0863924662916453</v>
      </c>
      <c r="AX68" s="18">
        <f t="shared" si="59"/>
        <v>1.6224015515505714</v>
      </c>
      <c r="AY68" s="18">
        <f t="shared" si="59"/>
        <v>0.51341400225874279</v>
      </c>
      <c r="AZ68" s="56">
        <f t="shared" si="47"/>
        <v>3</v>
      </c>
      <c r="BB68" s="18">
        <f t="shared" si="60"/>
        <v>4.0863924662916453</v>
      </c>
      <c r="BC68" s="18">
        <f t="shared" si="60"/>
        <v>1.6224015515505714</v>
      </c>
      <c r="BD68" s="18">
        <f t="shared" si="60"/>
        <v>0.51341400225874279</v>
      </c>
      <c r="BE68" s="56">
        <f t="shared" si="48"/>
        <v>3</v>
      </c>
      <c r="BG68" s="18">
        <f t="shared" si="61"/>
        <v>4.0863924662916453</v>
      </c>
      <c r="BH68" s="18">
        <f t="shared" si="61"/>
        <v>1.6224015515505714</v>
      </c>
      <c r="BI68" s="18">
        <f t="shared" si="61"/>
        <v>0.51341400225874279</v>
      </c>
      <c r="BJ68" s="56">
        <f t="shared" si="49"/>
        <v>3</v>
      </c>
      <c r="BL68" s="18">
        <f t="shared" si="62"/>
        <v>4.0863924662916453</v>
      </c>
      <c r="BM68" s="18">
        <f t="shared" si="62"/>
        <v>1.6224015515505714</v>
      </c>
      <c r="BN68" s="18">
        <f t="shared" si="62"/>
        <v>0.51341400225874279</v>
      </c>
      <c r="BO68" s="56">
        <f t="shared" si="50"/>
        <v>3</v>
      </c>
      <c r="BQ68" s="18">
        <f t="shared" si="63"/>
        <v>4.0863924662916453</v>
      </c>
      <c r="BR68" s="18">
        <f t="shared" si="63"/>
        <v>1.6224015515505714</v>
      </c>
      <c r="BS68" s="18">
        <f t="shared" si="63"/>
        <v>0.51341400225874279</v>
      </c>
      <c r="BT68" s="56">
        <f t="shared" si="51"/>
        <v>3</v>
      </c>
      <c r="BV68" s="18">
        <f t="shared" si="64"/>
        <v>4.0863924662916453</v>
      </c>
      <c r="BW68" s="18">
        <f t="shared" si="64"/>
        <v>1.6224015515505714</v>
      </c>
      <c r="BX68" s="18">
        <f t="shared" si="64"/>
        <v>0.51341400225874279</v>
      </c>
      <c r="BY68" s="56">
        <f t="shared" si="52"/>
        <v>3</v>
      </c>
      <c r="CA68" s="18">
        <f t="shared" si="65"/>
        <v>4.0863924662916453</v>
      </c>
      <c r="CB68" s="18">
        <f t="shared" si="65"/>
        <v>1.6224015515505714</v>
      </c>
      <c r="CC68" s="18">
        <f t="shared" si="65"/>
        <v>0.51341400225874279</v>
      </c>
      <c r="CD68" s="56">
        <f t="shared" si="53"/>
        <v>3</v>
      </c>
    </row>
    <row r="69" spans="1:82" x14ac:dyDescent="0.25">
      <c r="A69" s="36" t="str">
        <f>KMeans_Data!A51</f>
        <v>Lodhran</v>
      </c>
      <c r="B69" s="18">
        <f>KMeans_Data!H51</f>
        <v>0.20097549778195881</v>
      </c>
      <c r="C69" s="18">
        <f>KMeans_Data!I51</f>
        <v>-0.67265054538827607</v>
      </c>
      <c r="D69" s="18">
        <f>KMeans_Data!J51</f>
        <v>-1.1456441163335547</v>
      </c>
      <c r="E69" s="56">
        <f t="shared" si="39"/>
        <v>2</v>
      </c>
      <c r="F69" s="38">
        <f t="shared" si="40"/>
        <v>0.86903841885267208</v>
      </c>
      <c r="G69" s="13" t="str">
        <f t="shared" si="41"/>
        <v>Low burden</v>
      </c>
      <c r="H69" s="18">
        <f>IF(COUNTIF(Distance_Matrix!$E$9:$DQ$9,$E69)&lt;=1,0,SUMIF(Distance_Matrix!$E$9:$DQ$9,$E69,Distance_Matrix!$E$60:$DQ$60)/(COUNTIF(Distance_Matrix!$E$9:$DQ$9,$E69)-1))</f>
        <v>1.138450547531942</v>
      </c>
      <c r="I69" s="18">
        <f>MIN(IF(1=$E69,1E+99,IF(COUNTIF(Distance_Matrix!$E$9:$DQ$9,1)=0,1E+99,SUMIF(Distance_Matrix!$E$9:$DQ$9,1,Distance_Matrix!$E$60:$DQ$60)/COUNTIF(Distance_Matrix!$E$9:$DQ$9,1))),IF(2=$E69,1E+99,IF(COUNTIF(Distance_Matrix!$E$9:$DQ$9,2)=0,1E+99,SUMIF(Distance_Matrix!$E$9:$DQ$9,2,Distance_Matrix!$E$60:$DQ$60)/COUNTIF(Distance_Matrix!$E$9:$DQ$9,2))),IF(3=$E69,1E+99,IF(COUNTIF(Distance_Matrix!$E$9:$DQ$9,3)=0,1E+99,SUMIF(Distance_Matrix!$E$9:$DQ$9,3,Distance_Matrix!$E$60:$DQ$60)/COUNTIF(Distance_Matrix!$E$9:$DQ$9,3))))</f>
        <v>2.2988798252662499</v>
      </c>
      <c r="J69" s="18">
        <f>IF(COUNTIF(Distance_Matrix!$E$9:$DQ$9,$E69)&lt;=1,0,(I69-H69)/MAX(H69,I69))</f>
        <v>0.504780312994356</v>
      </c>
      <c r="X69" s="18">
        <f t="shared" si="54"/>
        <v>7.1406705471015224</v>
      </c>
      <c r="Y69" s="18">
        <f t="shared" si="54"/>
        <v>2.2807134795852875</v>
      </c>
      <c r="Z69" s="18">
        <f t="shared" si="54"/>
        <v>2.9408359957094516</v>
      </c>
      <c r="AA69" s="56">
        <f t="shared" si="42"/>
        <v>2</v>
      </c>
      <c r="AC69" s="18">
        <f t="shared" si="55"/>
        <v>6.1245281414908899</v>
      </c>
      <c r="AD69" s="18">
        <f t="shared" si="55"/>
        <v>1.0171922973685916</v>
      </c>
      <c r="AE69" s="18">
        <f t="shared" si="55"/>
        <v>2.0364747510115753</v>
      </c>
      <c r="AF69" s="56">
        <f t="shared" si="43"/>
        <v>2</v>
      </c>
      <c r="AH69" s="18">
        <f t="shared" si="56"/>
        <v>5.494773131229775</v>
      </c>
      <c r="AI69" s="18">
        <f t="shared" si="56"/>
        <v>0.92918058407000281</v>
      </c>
      <c r="AJ69" s="18">
        <f t="shared" si="56"/>
        <v>2.1590706210378237</v>
      </c>
      <c r="AK69" s="56">
        <f t="shared" si="44"/>
        <v>2</v>
      </c>
      <c r="AM69" s="18">
        <f t="shared" si="57"/>
        <v>5.494773131229775</v>
      </c>
      <c r="AN69" s="18">
        <f t="shared" si="57"/>
        <v>0.93222230119895333</v>
      </c>
      <c r="AO69" s="18">
        <f t="shared" si="57"/>
        <v>2.17760305337218</v>
      </c>
      <c r="AP69" s="56">
        <f t="shared" si="45"/>
        <v>2</v>
      </c>
      <c r="AR69" s="18">
        <f t="shared" si="58"/>
        <v>5.494773131229775</v>
      </c>
      <c r="AS69" s="18">
        <f t="shared" si="58"/>
        <v>0.93222230119895333</v>
      </c>
      <c r="AT69" s="18">
        <f t="shared" si="58"/>
        <v>2.17760305337218</v>
      </c>
      <c r="AU69" s="56">
        <f t="shared" si="46"/>
        <v>2</v>
      </c>
      <c r="AW69" s="18">
        <f t="shared" si="59"/>
        <v>5.494773131229775</v>
      </c>
      <c r="AX69" s="18">
        <f t="shared" si="59"/>
        <v>0.93222230119895333</v>
      </c>
      <c r="AY69" s="18">
        <f t="shared" si="59"/>
        <v>2.17760305337218</v>
      </c>
      <c r="AZ69" s="56">
        <f t="shared" si="47"/>
        <v>2</v>
      </c>
      <c r="BB69" s="18">
        <f t="shared" si="60"/>
        <v>5.494773131229775</v>
      </c>
      <c r="BC69" s="18">
        <f t="shared" si="60"/>
        <v>0.93222230119895333</v>
      </c>
      <c r="BD69" s="18">
        <f t="shared" si="60"/>
        <v>2.17760305337218</v>
      </c>
      <c r="BE69" s="56">
        <f t="shared" si="48"/>
        <v>2</v>
      </c>
      <c r="BG69" s="18">
        <f t="shared" si="61"/>
        <v>5.494773131229775</v>
      </c>
      <c r="BH69" s="18">
        <f t="shared" si="61"/>
        <v>0.93222230119895333</v>
      </c>
      <c r="BI69" s="18">
        <f t="shared" si="61"/>
        <v>2.17760305337218</v>
      </c>
      <c r="BJ69" s="56">
        <f t="shared" si="49"/>
        <v>2</v>
      </c>
      <c r="BL69" s="18">
        <f t="shared" si="62"/>
        <v>5.494773131229775</v>
      </c>
      <c r="BM69" s="18">
        <f t="shared" si="62"/>
        <v>0.93222230119895333</v>
      </c>
      <c r="BN69" s="18">
        <f t="shared" si="62"/>
        <v>2.17760305337218</v>
      </c>
      <c r="BO69" s="56">
        <f t="shared" si="50"/>
        <v>2</v>
      </c>
      <c r="BQ69" s="18">
        <f t="shared" si="63"/>
        <v>5.494773131229775</v>
      </c>
      <c r="BR69" s="18">
        <f t="shared" si="63"/>
        <v>0.93222230119895333</v>
      </c>
      <c r="BS69" s="18">
        <f t="shared" si="63"/>
        <v>2.17760305337218</v>
      </c>
      <c r="BT69" s="56">
        <f t="shared" si="51"/>
        <v>2</v>
      </c>
      <c r="BV69" s="18">
        <f t="shared" si="64"/>
        <v>5.494773131229775</v>
      </c>
      <c r="BW69" s="18">
        <f t="shared" si="64"/>
        <v>0.93222230119895333</v>
      </c>
      <c r="BX69" s="18">
        <f t="shared" si="64"/>
        <v>2.17760305337218</v>
      </c>
      <c r="BY69" s="56">
        <f t="shared" si="52"/>
        <v>2</v>
      </c>
      <c r="CA69" s="18">
        <f t="shared" si="65"/>
        <v>5.494773131229775</v>
      </c>
      <c r="CB69" s="18">
        <f t="shared" si="65"/>
        <v>0.93222230119895333</v>
      </c>
      <c r="CC69" s="18">
        <f t="shared" si="65"/>
        <v>2.17760305337218</v>
      </c>
      <c r="CD69" s="56">
        <f t="shared" si="53"/>
        <v>2</v>
      </c>
    </row>
    <row r="70" spans="1:82" x14ac:dyDescent="0.25">
      <c r="A70" s="36" t="str">
        <f>KMeans_Data!A52</f>
        <v>Jacobabad</v>
      </c>
      <c r="B70" s="18">
        <f>KMeans_Data!H52</f>
        <v>0.20097549778195881</v>
      </c>
      <c r="C70" s="18">
        <f>KMeans_Data!I52</f>
        <v>-0.67265054538827607</v>
      </c>
      <c r="D70" s="18">
        <f>KMeans_Data!J52</f>
        <v>1.0325157420155633</v>
      </c>
      <c r="E70" s="56">
        <f t="shared" si="39"/>
        <v>3</v>
      </c>
      <c r="F70" s="38">
        <f t="shared" si="40"/>
        <v>1.4426752384135331</v>
      </c>
      <c r="G70" s="13" t="str">
        <f t="shared" si="41"/>
        <v>Medium burden</v>
      </c>
      <c r="H70" s="18">
        <f>IF(COUNTIF(Distance_Matrix!$E$9:$DQ$9,$E70)&lt;=1,0,SUMIF(Distance_Matrix!$E$9:$DQ$9,$E70,Distance_Matrix!$E$61:$DQ$61)/(COUNTIF(Distance_Matrix!$E$9:$DQ$9,$E70)-1))</f>
        <v>1.4308137624402137</v>
      </c>
      <c r="I70" s="18">
        <f>MIN(IF(1=$E70,1E+99,IF(COUNTIF(Distance_Matrix!$E$9:$DQ$9,1)=0,1E+99,SUMIF(Distance_Matrix!$E$9:$DQ$9,1,Distance_Matrix!$E$61:$DQ$61)/COUNTIF(Distance_Matrix!$E$9:$DQ$9,1))),IF(2=$E70,1E+99,IF(COUNTIF(Distance_Matrix!$E$9:$DQ$9,2)=0,1E+99,SUMIF(Distance_Matrix!$E$9:$DQ$9,2,Distance_Matrix!$E$61:$DQ$61)/COUNTIF(Distance_Matrix!$E$9:$DQ$9,2))),IF(3=$E70,1E+99,IF(COUNTIF(Distance_Matrix!$E$9:$DQ$9,3)=0,1E+99,SUMIF(Distance_Matrix!$E$9:$DQ$9,3,Distance_Matrix!$E$61:$DQ$61)/COUNTIF(Distance_Matrix!$E$9:$DQ$9,3))))</f>
        <v>2.0493761001048139</v>
      </c>
      <c r="J70" s="18">
        <f>IF(COUNTIF(Distance_Matrix!$E$9:$DQ$9,$E70)&lt;=1,0,(I70-H70)/MAX(H70,I70))</f>
        <v>0.30182958493219675</v>
      </c>
      <c r="X70" s="18">
        <f t="shared" si="54"/>
        <v>6.0475538042601258</v>
      </c>
      <c r="Y70" s="18">
        <f t="shared" si="54"/>
        <v>3.1537333978136894</v>
      </c>
      <c r="Z70" s="18">
        <f t="shared" si="54"/>
        <v>1.4129939650691847</v>
      </c>
      <c r="AA70" s="56">
        <f t="shared" si="42"/>
        <v>3</v>
      </c>
      <c r="AC70" s="18">
        <f t="shared" si="55"/>
        <v>5.1412046007849659</v>
      </c>
      <c r="AD70" s="18">
        <f t="shared" si="55"/>
        <v>2.0948502486993417</v>
      </c>
      <c r="AE70" s="18">
        <f t="shared" si="55"/>
        <v>1.1576354465597485</v>
      </c>
      <c r="AF70" s="56">
        <f t="shared" si="43"/>
        <v>3</v>
      </c>
      <c r="AH70" s="18">
        <f t="shared" si="56"/>
        <v>4.5216569195371532</v>
      </c>
      <c r="AI70" s="18">
        <f t="shared" si="56"/>
        <v>1.9772908307554038</v>
      </c>
      <c r="AJ70" s="18">
        <f t="shared" si="56"/>
        <v>1.1883764773063403</v>
      </c>
      <c r="AK70" s="56">
        <f t="shared" si="44"/>
        <v>3</v>
      </c>
      <c r="AM70" s="18">
        <f t="shared" si="57"/>
        <v>4.5216569195371532</v>
      </c>
      <c r="AN70" s="18">
        <f t="shared" si="57"/>
        <v>1.9630215918826346</v>
      </c>
      <c r="AO70" s="18">
        <f t="shared" si="57"/>
        <v>1.2011141654370467</v>
      </c>
      <c r="AP70" s="56">
        <f t="shared" si="45"/>
        <v>3</v>
      </c>
      <c r="AR70" s="18">
        <f t="shared" si="58"/>
        <v>4.5216569195371532</v>
      </c>
      <c r="AS70" s="18">
        <f t="shared" si="58"/>
        <v>1.9630215918826346</v>
      </c>
      <c r="AT70" s="18">
        <f t="shared" si="58"/>
        <v>1.2011141654370467</v>
      </c>
      <c r="AU70" s="56">
        <f t="shared" si="46"/>
        <v>3</v>
      </c>
      <c r="AW70" s="18">
        <f t="shared" si="59"/>
        <v>4.5216569195371532</v>
      </c>
      <c r="AX70" s="18">
        <f t="shared" si="59"/>
        <v>1.9630215918826346</v>
      </c>
      <c r="AY70" s="18">
        <f t="shared" si="59"/>
        <v>1.2011141654370467</v>
      </c>
      <c r="AZ70" s="56">
        <f t="shared" si="47"/>
        <v>3</v>
      </c>
      <c r="BB70" s="18">
        <f t="shared" si="60"/>
        <v>4.5216569195371532</v>
      </c>
      <c r="BC70" s="18">
        <f t="shared" si="60"/>
        <v>1.9630215918826346</v>
      </c>
      <c r="BD70" s="18">
        <f t="shared" si="60"/>
        <v>1.2011141654370467</v>
      </c>
      <c r="BE70" s="56">
        <f t="shared" si="48"/>
        <v>3</v>
      </c>
      <c r="BG70" s="18">
        <f t="shared" si="61"/>
        <v>4.5216569195371532</v>
      </c>
      <c r="BH70" s="18">
        <f t="shared" si="61"/>
        <v>1.9630215918826346</v>
      </c>
      <c r="BI70" s="18">
        <f t="shared" si="61"/>
        <v>1.2011141654370467</v>
      </c>
      <c r="BJ70" s="56">
        <f t="shared" si="49"/>
        <v>3</v>
      </c>
      <c r="BL70" s="18">
        <f t="shared" si="62"/>
        <v>4.5216569195371532</v>
      </c>
      <c r="BM70" s="18">
        <f t="shared" si="62"/>
        <v>1.9630215918826346</v>
      </c>
      <c r="BN70" s="18">
        <f t="shared" si="62"/>
        <v>1.2011141654370467</v>
      </c>
      <c r="BO70" s="56">
        <f t="shared" si="50"/>
        <v>3</v>
      </c>
      <c r="BQ70" s="18">
        <f t="shared" si="63"/>
        <v>4.5216569195371532</v>
      </c>
      <c r="BR70" s="18">
        <f t="shared" si="63"/>
        <v>1.9630215918826346</v>
      </c>
      <c r="BS70" s="18">
        <f t="shared" si="63"/>
        <v>1.2011141654370467</v>
      </c>
      <c r="BT70" s="56">
        <f t="shared" si="51"/>
        <v>3</v>
      </c>
      <c r="BV70" s="18">
        <f t="shared" si="64"/>
        <v>4.5216569195371532</v>
      </c>
      <c r="BW70" s="18">
        <f t="shared" si="64"/>
        <v>1.9630215918826346</v>
      </c>
      <c r="BX70" s="18">
        <f t="shared" si="64"/>
        <v>1.2011141654370467</v>
      </c>
      <c r="BY70" s="56">
        <f t="shared" si="52"/>
        <v>3</v>
      </c>
      <c r="CA70" s="18">
        <f t="shared" si="65"/>
        <v>4.5216569195371532</v>
      </c>
      <c r="CB70" s="18">
        <f t="shared" si="65"/>
        <v>1.9630215918826346</v>
      </c>
      <c r="CC70" s="18">
        <f t="shared" si="65"/>
        <v>1.2011141654370467</v>
      </c>
      <c r="CD70" s="56">
        <f t="shared" si="53"/>
        <v>3</v>
      </c>
    </row>
    <row r="71" spans="1:82" x14ac:dyDescent="0.25">
      <c r="A71" s="36" t="str">
        <f>KMeans_Data!A53</f>
        <v>Skardu</v>
      </c>
      <c r="B71" s="18">
        <f>KMeans_Data!H53</f>
        <v>0.19442861878561798</v>
      </c>
      <c r="C71" s="18">
        <f>KMeans_Data!I53</f>
        <v>-0.14698313392952958</v>
      </c>
      <c r="D71" s="18">
        <f>KMeans_Data!J53</f>
        <v>0.79580379308358284</v>
      </c>
      <c r="E71" s="56">
        <f t="shared" si="39"/>
        <v>3</v>
      </c>
      <c r="F71" s="38">
        <f t="shared" si="40"/>
        <v>0.45789752468103501</v>
      </c>
      <c r="G71" s="13" t="str">
        <f t="shared" si="41"/>
        <v>Medium burden</v>
      </c>
      <c r="H71" s="18">
        <f>IF(COUNTIF(Distance_Matrix!$E$9:$DQ$9,$E71)&lt;=1,0,SUMIF(Distance_Matrix!$E$9:$DQ$9,$E71,Distance_Matrix!$E$62:$DQ$62)/(COUNTIF(Distance_Matrix!$E$9:$DQ$9,$E71)-1))</f>
        <v>1.0606866676186502</v>
      </c>
      <c r="I71" s="18">
        <f>MIN(IF(1=$E71,1E+99,IF(COUNTIF(Distance_Matrix!$E$9:$DQ$9,1)=0,1E+99,SUMIF(Distance_Matrix!$E$9:$DQ$9,1,Distance_Matrix!$E$62:$DQ$62)/COUNTIF(Distance_Matrix!$E$9:$DQ$9,1))),IF(2=$E71,1E+99,IF(COUNTIF(Distance_Matrix!$E$9:$DQ$9,2)=0,1E+99,SUMIF(Distance_Matrix!$E$9:$DQ$9,2,Distance_Matrix!$E$62:$DQ$62)/COUNTIF(Distance_Matrix!$E$9:$DQ$9,2))),IF(3=$E71,1E+99,IF(COUNTIF(Distance_Matrix!$E$9:$DQ$9,3)=0,1E+99,SUMIF(Distance_Matrix!$E$9:$DQ$9,3,Distance_Matrix!$E$62:$DQ$62)/COUNTIF(Distance_Matrix!$E$9:$DQ$9,3))))</f>
        <v>1.907944912929723</v>
      </c>
      <c r="J71" s="18">
        <f>IF(COUNTIF(Distance_Matrix!$E$9:$DQ$9,$E71)&lt;=1,0,(I71-H71)/MAX(H71,I71))</f>
        <v>0.44406850510692947</v>
      </c>
      <c r="X71" s="18">
        <f t="shared" si="54"/>
        <v>5.748328281005314</v>
      </c>
      <c r="Y71" s="18">
        <f t="shared" si="54"/>
        <v>3.0360138240271897</v>
      </c>
      <c r="Z71" s="18">
        <f t="shared" si="54"/>
        <v>1.2007942594917329</v>
      </c>
      <c r="AA71" s="56">
        <f t="shared" si="42"/>
        <v>3</v>
      </c>
      <c r="AC71" s="18">
        <f t="shared" si="55"/>
        <v>4.8048320616874376</v>
      </c>
      <c r="AD71" s="18">
        <f t="shared" si="55"/>
        <v>1.9486902612717349</v>
      </c>
      <c r="AE71" s="18">
        <f t="shared" si="55"/>
        <v>0.62456549613209555</v>
      </c>
      <c r="AF71" s="56">
        <f t="shared" si="43"/>
        <v>3</v>
      </c>
      <c r="AH71" s="18">
        <f t="shared" si="56"/>
        <v>4.174821089882478</v>
      </c>
      <c r="AI71" s="18">
        <f t="shared" si="56"/>
        <v>1.8275195625401552</v>
      </c>
      <c r="AJ71" s="18">
        <f t="shared" si="56"/>
        <v>0.65899187989918273</v>
      </c>
      <c r="AK71" s="56">
        <f t="shared" si="44"/>
        <v>3</v>
      </c>
      <c r="AM71" s="18">
        <f t="shared" si="57"/>
        <v>4.174821089882478</v>
      </c>
      <c r="AN71" s="18">
        <f t="shared" si="57"/>
        <v>1.8117153548561213</v>
      </c>
      <c r="AO71" s="18">
        <f t="shared" si="57"/>
        <v>0.6766812578171757</v>
      </c>
      <c r="AP71" s="56">
        <f t="shared" si="45"/>
        <v>3</v>
      </c>
      <c r="AR71" s="18">
        <f t="shared" si="58"/>
        <v>4.174821089882478</v>
      </c>
      <c r="AS71" s="18">
        <f t="shared" si="58"/>
        <v>1.8117153548561213</v>
      </c>
      <c r="AT71" s="18">
        <f t="shared" si="58"/>
        <v>0.6766812578171757</v>
      </c>
      <c r="AU71" s="56">
        <f t="shared" si="46"/>
        <v>3</v>
      </c>
      <c r="AW71" s="18">
        <f t="shared" si="59"/>
        <v>4.174821089882478</v>
      </c>
      <c r="AX71" s="18">
        <f t="shared" si="59"/>
        <v>1.8117153548561213</v>
      </c>
      <c r="AY71" s="18">
        <f t="shared" si="59"/>
        <v>0.6766812578171757</v>
      </c>
      <c r="AZ71" s="56">
        <f t="shared" si="47"/>
        <v>3</v>
      </c>
      <c r="BB71" s="18">
        <f t="shared" si="60"/>
        <v>4.174821089882478</v>
      </c>
      <c r="BC71" s="18">
        <f t="shared" si="60"/>
        <v>1.8117153548561213</v>
      </c>
      <c r="BD71" s="18">
        <f t="shared" si="60"/>
        <v>0.6766812578171757</v>
      </c>
      <c r="BE71" s="56">
        <f t="shared" si="48"/>
        <v>3</v>
      </c>
      <c r="BG71" s="18">
        <f t="shared" si="61"/>
        <v>4.174821089882478</v>
      </c>
      <c r="BH71" s="18">
        <f t="shared" si="61"/>
        <v>1.8117153548561213</v>
      </c>
      <c r="BI71" s="18">
        <f t="shared" si="61"/>
        <v>0.6766812578171757</v>
      </c>
      <c r="BJ71" s="56">
        <f t="shared" si="49"/>
        <v>3</v>
      </c>
      <c r="BL71" s="18">
        <f t="shared" si="62"/>
        <v>4.174821089882478</v>
      </c>
      <c r="BM71" s="18">
        <f t="shared" si="62"/>
        <v>1.8117153548561213</v>
      </c>
      <c r="BN71" s="18">
        <f t="shared" si="62"/>
        <v>0.6766812578171757</v>
      </c>
      <c r="BO71" s="56">
        <f t="shared" si="50"/>
        <v>3</v>
      </c>
      <c r="BQ71" s="18">
        <f t="shared" si="63"/>
        <v>4.174821089882478</v>
      </c>
      <c r="BR71" s="18">
        <f t="shared" si="63"/>
        <v>1.8117153548561213</v>
      </c>
      <c r="BS71" s="18">
        <f t="shared" si="63"/>
        <v>0.6766812578171757</v>
      </c>
      <c r="BT71" s="56">
        <f t="shared" si="51"/>
        <v>3</v>
      </c>
      <c r="BV71" s="18">
        <f t="shared" si="64"/>
        <v>4.174821089882478</v>
      </c>
      <c r="BW71" s="18">
        <f t="shared" si="64"/>
        <v>1.8117153548561213</v>
      </c>
      <c r="BX71" s="18">
        <f t="shared" si="64"/>
        <v>0.6766812578171757</v>
      </c>
      <c r="BY71" s="56">
        <f t="shared" si="52"/>
        <v>3</v>
      </c>
      <c r="CA71" s="18">
        <f t="shared" si="65"/>
        <v>4.174821089882478</v>
      </c>
      <c r="CB71" s="18">
        <f t="shared" si="65"/>
        <v>1.8117153548561213</v>
      </c>
      <c r="CC71" s="18">
        <f t="shared" si="65"/>
        <v>0.6766812578171757</v>
      </c>
      <c r="CD71" s="56">
        <f t="shared" si="53"/>
        <v>3</v>
      </c>
    </row>
    <row r="72" spans="1:82" x14ac:dyDescent="0.25">
      <c r="A72" s="36" t="str">
        <f>KMeans_Data!A54</f>
        <v>Sialkot</v>
      </c>
      <c r="B72" s="18">
        <f>KMeans_Data!H54</f>
        <v>0.19442861878561798</v>
      </c>
      <c r="C72" s="18">
        <f>KMeans_Data!I54</f>
        <v>-0.67265054538827607</v>
      </c>
      <c r="D72" s="18">
        <f>KMeans_Data!J54</f>
        <v>-1.1456441163335547</v>
      </c>
      <c r="E72" s="56">
        <f t="shared" si="39"/>
        <v>2</v>
      </c>
      <c r="F72" s="38">
        <f t="shared" si="40"/>
        <v>0.85810035617177749</v>
      </c>
      <c r="G72" s="13" t="str">
        <f t="shared" si="41"/>
        <v>Low burden</v>
      </c>
      <c r="H72" s="18">
        <f>IF(COUNTIF(Distance_Matrix!$E$9:$DQ$9,$E72)&lt;=1,0,SUMIF(Distance_Matrix!$E$9:$DQ$9,$E72,Distance_Matrix!$E$63:$DQ$63)/(COUNTIF(Distance_Matrix!$E$9:$DQ$9,$E72)-1))</f>
        <v>1.1339245734805676</v>
      </c>
      <c r="I72" s="18">
        <f>MIN(IF(1=$E72,1E+99,IF(COUNTIF(Distance_Matrix!$E$9:$DQ$9,1)=0,1E+99,SUMIF(Distance_Matrix!$E$9:$DQ$9,1,Distance_Matrix!$E$63:$DQ$63)/COUNTIF(Distance_Matrix!$E$9:$DQ$9,1))),IF(2=$E72,1E+99,IF(COUNTIF(Distance_Matrix!$E$9:$DQ$9,2)=0,1E+99,SUMIF(Distance_Matrix!$E$9:$DQ$9,2,Distance_Matrix!$E$63:$DQ$63)/COUNTIF(Distance_Matrix!$E$9:$DQ$9,2))),IF(3=$E72,1E+99,IF(COUNTIF(Distance_Matrix!$E$9:$DQ$9,3)=0,1E+99,SUMIF(Distance_Matrix!$E$9:$DQ$9,3,Distance_Matrix!$E$63:$DQ$63)/COUNTIF(Distance_Matrix!$E$9:$DQ$9,3))))</f>
        <v>2.2997137335510467</v>
      </c>
      <c r="J72" s="18">
        <f>IF(COUNTIF(Distance_Matrix!$E$9:$DQ$9,$E72)&lt;=1,0,(I72-H72)/MAX(H72,I72))</f>
        <v>0.50692794631893345</v>
      </c>
      <c r="X72" s="18">
        <f t="shared" si="54"/>
        <v>7.1434907577509605</v>
      </c>
      <c r="Y72" s="18">
        <f t="shared" si="54"/>
        <v>2.2741666005889467</v>
      </c>
      <c r="Z72" s="18">
        <f t="shared" si="54"/>
        <v>2.9427045941981942</v>
      </c>
      <c r="AA72" s="56">
        <f t="shared" si="42"/>
        <v>2</v>
      </c>
      <c r="AC72" s="18">
        <f t="shared" si="55"/>
        <v>6.127318406271403</v>
      </c>
      <c r="AD72" s="18">
        <f t="shared" si="55"/>
        <v>1.0109811269680844</v>
      </c>
      <c r="AE72" s="18">
        <f t="shared" si="55"/>
        <v>2.0374758977269436</v>
      </c>
      <c r="AF72" s="56">
        <f t="shared" si="43"/>
        <v>2</v>
      </c>
      <c r="AH72" s="18">
        <f t="shared" si="56"/>
        <v>5.4974955486345447</v>
      </c>
      <c r="AI72" s="18">
        <f t="shared" si="56"/>
        <v>0.92324928081128255</v>
      </c>
      <c r="AJ72" s="18">
        <f t="shared" si="56"/>
        <v>2.1600099140344406</v>
      </c>
      <c r="AK72" s="56">
        <f t="shared" si="44"/>
        <v>2</v>
      </c>
      <c r="AM72" s="18">
        <f t="shared" si="57"/>
        <v>5.4974955486345447</v>
      </c>
      <c r="AN72" s="18">
        <f t="shared" si="57"/>
        <v>0.92633706401707661</v>
      </c>
      <c r="AO72" s="18">
        <f t="shared" si="57"/>
        <v>2.1785914501220911</v>
      </c>
      <c r="AP72" s="56">
        <f t="shared" si="45"/>
        <v>2</v>
      </c>
      <c r="AR72" s="18">
        <f t="shared" si="58"/>
        <v>5.4974955486345447</v>
      </c>
      <c r="AS72" s="18">
        <f t="shared" si="58"/>
        <v>0.92633706401707661</v>
      </c>
      <c r="AT72" s="18">
        <f t="shared" si="58"/>
        <v>2.1785914501220911</v>
      </c>
      <c r="AU72" s="56">
        <f t="shared" si="46"/>
        <v>2</v>
      </c>
      <c r="AW72" s="18">
        <f t="shared" si="59"/>
        <v>5.4974955486345447</v>
      </c>
      <c r="AX72" s="18">
        <f t="shared" si="59"/>
        <v>0.92633706401707661</v>
      </c>
      <c r="AY72" s="18">
        <f t="shared" si="59"/>
        <v>2.1785914501220911</v>
      </c>
      <c r="AZ72" s="56">
        <f t="shared" si="47"/>
        <v>2</v>
      </c>
      <c r="BB72" s="18">
        <f t="shared" si="60"/>
        <v>5.4974955486345447</v>
      </c>
      <c r="BC72" s="18">
        <f t="shared" si="60"/>
        <v>0.92633706401707661</v>
      </c>
      <c r="BD72" s="18">
        <f t="shared" si="60"/>
        <v>2.1785914501220911</v>
      </c>
      <c r="BE72" s="56">
        <f t="shared" si="48"/>
        <v>2</v>
      </c>
      <c r="BG72" s="18">
        <f t="shared" si="61"/>
        <v>5.4974955486345447</v>
      </c>
      <c r="BH72" s="18">
        <f t="shared" si="61"/>
        <v>0.92633706401707661</v>
      </c>
      <c r="BI72" s="18">
        <f t="shared" si="61"/>
        <v>2.1785914501220911</v>
      </c>
      <c r="BJ72" s="56">
        <f t="shared" si="49"/>
        <v>2</v>
      </c>
      <c r="BL72" s="18">
        <f t="shared" si="62"/>
        <v>5.4974955486345447</v>
      </c>
      <c r="BM72" s="18">
        <f t="shared" si="62"/>
        <v>0.92633706401707661</v>
      </c>
      <c r="BN72" s="18">
        <f t="shared" si="62"/>
        <v>2.1785914501220911</v>
      </c>
      <c r="BO72" s="56">
        <f t="shared" si="50"/>
        <v>2</v>
      </c>
      <c r="BQ72" s="18">
        <f t="shared" si="63"/>
        <v>5.4974955486345447</v>
      </c>
      <c r="BR72" s="18">
        <f t="shared" si="63"/>
        <v>0.92633706401707661</v>
      </c>
      <c r="BS72" s="18">
        <f t="shared" si="63"/>
        <v>2.1785914501220911</v>
      </c>
      <c r="BT72" s="56">
        <f t="shared" si="51"/>
        <v>2</v>
      </c>
      <c r="BV72" s="18">
        <f t="shared" si="64"/>
        <v>5.4974955486345447</v>
      </c>
      <c r="BW72" s="18">
        <f t="shared" si="64"/>
        <v>0.92633706401707661</v>
      </c>
      <c r="BX72" s="18">
        <f t="shared" si="64"/>
        <v>2.1785914501220911</v>
      </c>
      <c r="BY72" s="56">
        <f t="shared" si="52"/>
        <v>2</v>
      </c>
      <c r="CA72" s="18">
        <f t="shared" si="65"/>
        <v>5.4974955486345447</v>
      </c>
      <c r="CB72" s="18">
        <f t="shared" si="65"/>
        <v>0.92633706401707661</v>
      </c>
      <c r="CC72" s="18">
        <f t="shared" si="65"/>
        <v>2.1785914501220911</v>
      </c>
      <c r="CD72" s="56">
        <f t="shared" si="53"/>
        <v>2</v>
      </c>
    </row>
    <row r="73" spans="1:82" x14ac:dyDescent="0.25">
      <c r="A73" s="36" t="str">
        <f>KMeans_Data!A55</f>
        <v>Faisalabad</v>
      </c>
      <c r="B73" s="18">
        <f>KMeans_Data!H55</f>
        <v>0.18779833781528543</v>
      </c>
      <c r="C73" s="18">
        <f>KMeans_Data!I55</f>
        <v>-0.67265054538827607</v>
      </c>
      <c r="D73" s="18">
        <f>KMeans_Data!J55</f>
        <v>-1.1456441163335547</v>
      </c>
      <c r="E73" s="56">
        <f t="shared" si="39"/>
        <v>2</v>
      </c>
      <c r="F73" s="38">
        <f t="shared" si="40"/>
        <v>0.8471103196407217</v>
      </c>
      <c r="G73" s="13" t="str">
        <f t="shared" si="41"/>
        <v>Low burden</v>
      </c>
      <c r="H73" s="18">
        <f>IF(COUNTIF(Distance_Matrix!$E$9:$DQ$9,$E73)&lt;=1,0,SUMIF(Distance_Matrix!$E$9:$DQ$9,$E73,Distance_Matrix!$E$64:$DQ$64)/(COUNTIF(Distance_Matrix!$E$9:$DQ$9,$E73)-1))</f>
        <v>1.1295707394520975</v>
      </c>
      <c r="I73" s="18">
        <f>MIN(IF(1=$E73,1E+99,IF(COUNTIF(Distance_Matrix!$E$9:$DQ$9,1)=0,1E+99,SUMIF(Distance_Matrix!$E$9:$DQ$9,1,Distance_Matrix!$E$64:$DQ$64)/COUNTIF(Distance_Matrix!$E$9:$DQ$9,1))),IF(2=$E73,1E+99,IF(COUNTIF(Distance_Matrix!$E$9:$DQ$9,2)=0,1E+99,SUMIF(Distance_Matrix!$E$9:$DQ$9,2,Distance_Matrix!$E$64:$DQ$64)/COUNTIF(Distance_Matrix!$E$9:$DQ$9,2))),IF(3=$E73,1E+99,IF(COUNTIF(Distance_Matrix!$E$9:$DQ$9,3)=0,1E+99,SUMIF(Distance_Matrix!$E$9:$DQ$9,3,Distance_Matrix!$E$64:$DQ$64)/COUNTIF(Distance_Matrix!$E$9:$DQ$9,3))))</f>
        <v>2.3005770139139181</v>
      </c>
      <c r="J73" s="18">
        <f>IF(COUNTIF(Distance_Matrix!$E$9:$DQ$9,$E73)&lt;=1,0,(I73-H73)/MAX(H73,I73))</f>
        <v>0.50900546575035754</v>
      </c>
      <c r="X73" s="18">
        <f t="shared" si="54"/>
        <v>7.1463518740909944</v>
      </c>
      <c r="Y73" s="18">
        <f t="shared" si="54"/>
        <v>2.267536319618614</v>
      </c>
      <c r="Z73" s="18">
        <f t="shared" si="54"/>
        <v>2.9446106239101808</v>
      </c>
      <c r="AA73" s="56">
        <f t="shared" si="42"/>
        <v>2</v>
      </c>
      <c r="AC73" s="18">
        <f t="shared" si="55"/>
        <v>6.1301500484774829</v>
      </c>
      <c r="AD73" s="18">
        <f t="shared" si="55"/>
        <v>1.004695176038146</v>
      </c>
      <c r="AE73" s="18">
        <f t="shared" si="55"/>
        <v>2.0385107266753129</v>
      </c>
      <c r="AF73" s="56">
        <f t="shared" si="43"/>
        <v>2</v>
      </c>
      <c r="AH73" s="18">
        <f t="shared" si="56"/>
        <v>5.500259216297283</v>
      </c>
      <c r="AI73" s="18">
        <f t="shared" si="56"/>
        <v>0.91725095248446964</v>
      </c>
      <c r="AJ73" s="18">
        <f t="shared" si="56"/>
        <v>2.1609809718075272</v>
      </c>
      <c r="AK73" s="56">
        <f t="shared" si="44"/>
        <v>2</v>
      </c>
      <c r="AM73" s="18">
        <f t="shared" si="57"/>
        <v>5.500259216297283</v>
      </c>
      <c r="AN73" s="18">
        <f t="shared" si="57"/>
        <v>0.9203859623227213</v>
      </c>
      <c r="AO73" s="18">
        <f t="shared" si="57"/>
        <v>2.1796120236883469</v>
      </c>
      <c r="AP73" s="56">
        <f t="shared" si="45"/>
        <v>2</v>
      </c>
      <c r="AR73" s="18">
        <f t="shared" si="58"/>
        <v>5.500259216297283</v>
      </c>
      <c r="AS73" s="18">
        <f t="shared" si="58"/>
        <v>0.9203859623227213</v>
      </c>
      <c r="AT73" s="18">
        <f t="shared" si="58"/>
        <v>2.1796120236883469</v>
      </c>
      <c r="AU73" s="56">
        <f t="shared" si="46"/>
        <v>2</v>
      </c>
      <c r="AW73" s="18">
        <f t="shared" si="59"/>
        <v>5.500259216297283</v>
      </c>
      <c r="AX73" s="18">
        <f t="shared" si="59"/>
        <v>0.9203859623227213</v>
      </c>
      <c r="AY73" s="18">
        <f t="shared" si="59"/>
        <v>2.1796120236883469</v>
      </c>
      <c r="AZ73" s="56">
        <f t="shared" si="47"/>
        <v>2</v>
      </c>
      <c r="BB73" s="18">
        <f t="shared" si="60"/>
        <v>5.500259216297283</v>
      </c>
      <c r="BC73" s="18">
        <f t="shared" si="60"/>
        <v>0.9203859623227213</v>
      </c>
      <c r="BD73" s="18">
        <f t="shared" si="60"/>
        <v>2.1796120236883469</v>
      </c>
      <c r="BE73" s="56">
        <f t="shared" si="48"/>
        <v>2</v>
      </c>
      <c r="BG73" s="18">
        <f t="shared" si="61"/>
        <v>5.500259216297283</v>
      </c>
      <c r="BH73" s="18">
        <f t="shared" si="61"/>
        <v>0.9203859623227213</v>
      </c>
      <c r="BI73" s="18">
        <f t="shared" si="61"/>
        <v>2.1796120236883469</v>
      </c>
      <c r="BJ73" s="56">
        <f t="shared" si="49"/>
        <v>2</v>
      </c>
      <c r="BL73" s="18">
        <f t="shared" si="62"/>
        <v>5.500259216297283</v>
      </c>
      <c r="BM73" s="18">
        <f t="shared" si="62"/>
        <v>0.9203859623227213</v>
      </c>
      <c r="BN73" s="18">
        <f t="shared" si="62"/>
        <v>2.1796120236883469</v>
      </c>
      <c r="BO73" s="56">
        <f t="shared" si="50"/>
        <v>2</v>
      </c>
      <c r="BQ73" s="18">
        <f t="shared" si="63"/>
        <v>5.500259216297283</v>
      </c>
      <c r="BR73" s="18">
        <f t="shared" si="63"/>
        <v>0.9203859623227213</v>
      </c>
      <c r="BS73" s="18">
        <f t="shared" si="63"/>
        <v>2.1796120236883469</v>
      </c>
      <c r="BT73" s="56">
        <f t="shared" si="51"/>
        <v>2</v>
      </c>
      <c r="BV73" s="18">
        <f t="shared" si="64"/>
        <v>5.500259216297283</v>
      </c>
      <c r="BW73" s="18">
        <f t="shared" si="64"/>
        <v>0.9203859623227213</v>
      </c>
      <c r="BX73" s="18">
        <f t="shared" si="64"/>
        <v>2.1796120236883469</v>
      </c>
      <c r="BY73" s="56">
        <f t="shared" si="52"/>
        <v>2</v>
      </c>
      <c r="CA73" s="18">
        <f t="shared" si="65"/>
        <v>5.500259216297283</v>
      </c>
      <c r="CB73" s="18">
        <f t="shared" si="65"/>
        <v>0.9203859623227213</v>
      </c>
      <c r="CC73" s="18">
        <f t="shared" si="65"/>
        <v>2.1796120236883469</v>
      </c>
      <c r="CD73" s="56">
        <f t="shared" si="53"/>
        <v>2</v>
      </c>
    </row>
    <row r="74" spans="1:82" x14ac:dyDescent="0.25">
      <c r="A74" s="36" t="str">
        <f>KMeans_Data!A56</f>
        <v>Jhelum</v>
      </c>
      <c r="B74" s="18">
        <f>KMeans_Data!H56</f>
        <v>0.16738513255089196</v>
      </c>
      <c r="C74" s="18">
        <f>KMeans_Data!I56</f>
        <v>-0.67265054538827607</v>
      </c>
      <c r="D74" s="18">
        <f>KMeans_Data!J56</f>
        <v>-0.50324791546397885</v>
      </c>
      <c r="E74" s="56">
        <f t="shared" si="39"/>
        <v>2</v>
      </c>
      <c r="F74" s="38">
        <f t="shared" si="40"/>
        <v>0.70743966467017594</v>
      </c>
      <c r="G74" s="13" t="str">
        <f t="shared" si="41"/>
        <v>Low burden</v>
      </c>
      <c r="H74" s="18">
        <f>IF(COUNTIF(Distance_Matrix!$E$9:$DQ$9,$E74)&lt;=1,0,SUMIF(Distance_Matrix!$E$9:$DQ$9,$E74,Distance_Matrix!$E$65:$DQ$65)/(COUNTIF(Distance_Matrix!$E$9:$DQ$9,$E74)-1))</f>
        <v>1.0692695226670206</v>
      </c>
      <c r="I74" s="18">
        <f>MIN(IF(1=$E74,1E+99,IF(COUNTIF(Distance_Matrix!$E$9:$DQ$9,1)=0,1E+99,SUMIF(Distance_Matrix!$E$9:$DQ$9,1,Distance_Matrix!$E$65:$DQ$65)/COUNTIF(Distance_Matrix!$E$9:$DQ$9,1))),IF(2=$E74,1E+99,IF(COUNTIF(Distance_Matrix!$E$9:$DQ$9,2)=0,1E+99,SUMIF(Distance_Matrix!$E$9:$DQ$9,2,Distance_Matrix!$E$65:$DQ$65)/COUNTIF(Distance_Matrix!$E$9:$DQ$9,2))),IF(3=$E74,1E+99,IF(COUNTIF(Distance_Matrix!$E$9:$DQ$9,3)=0,1E+99,SUMIF(Distance_Matrix!$E$9:$DQ$9,3,Distance_Matrix!$E$65:$DQ$65)/COUNTIF(Distance_Matrix!$E$9:$DQ$9,3))))</f>
        <v>1.8255719749754251</v>
      </c>
      <c r="J74" s="18">
        <f>IF(COUNTIF(Distance_Matrix!$E$9:$DQ$9,$E74)&lt;=1,0,(I74-H74)/MAX(H74,I74))</f>
        <v>0.41428246197665558</v>
      </c>
      <c r="X74" s="18">
        <f t="shared" si="54"/>
        <v>6.7792676747337426</v>
      </c>
      <c r="Y74" s="18">
        <f t="shared" si="54"/>
        <v>2.3371425223885418</v>
      </c>
      <c r="Z74" s="18">
        <f t="shared" si="54"/>
        <v>2.3994635543365552</v>
      </c>
      <c r="AA74" s="56">
        <f t="shared" si="42"/>
        <v>2</v>
      </c>
      <c r="AC74" s="18">
        <f t="shared" si="55"/>
        <v>5.7820786550070125</v>
      </c>
      <c r="AD74" s="18">
        <f t="shared" si="55"/>
        <v>0.98665340800812462</v>
      </c>
      <c r="AE74" s="18">
        <f t="shared" si="55"/>
        <v>1.5344724012015489</v>
      </c>
      <c r="AF74" s="56">
        <f t="shared" si="43"/>
        <v>2</v>
      </c>
      <c r="AH74" s="18">
        <f t="shared" si="56"/>
        <v>5.14642814386431</v>
      </c>
      <c r="AI74" s="18">
        <f t="shared" si="56"/>
        <v>0.8483968335941755</v>
      </c>
      <c r="AJ74" s="18">
        <f t="shared" si="56"/>
        <v>1.6548181461168781</v>
      </c>
      <c r="AK74" s="56">
        <f t="shared" si="44"/>
        <v>2</v>
      </c>
      <c r="AM74" s="18">
        <f t="shared" si="57"/>
        <v>5.14642814386431</v>
      </c>
      <c r="AN74" s="18">
        <f t="shared" si="57"/>
        <v>0.84109432566756503</v>
      </c>
      <c r="AO74" s="18">
        <f t="shared" si="57"/>
        <v>1.6749155680201337</v>
      </c>
      <c r="AP74" s="56">
        <f t="shared" si="45"/>
        <v>2</v>
      </c>
      <c r="AR74" s="18">
        <f t="shared" si="58"/>
        <v>5.14642814386431</v>
      </c>
      <c r="AS74" s="18">
        <f t="shared" si="58"/>
        <v>0.84109432566756503</v>
      </c>
      <c r="AT74" s="18">
        <f t="shared" si="58"/>
        <v>1.6749155680201337</v>
      </c>
      <c r="AU74" s="56">
        <f t="shared" si="46"/>
        <v>2</v>
      </c>
      <c r="AW74" s="18">
        <f t="shared" si="59"/>
        <v>5.14642814386431</v>
      </c>
      <c r="AX74" s="18">
        <f t="shared" si="59"/>
        <v>0.84109432566756503</v>
      </c>
      <c r="AY74" s="18">
        <f t="shared" si="59"/>
        <v>1.6749155680201337</v>
      </c>
      <c r="AZ74" s="56">
        <f t="shared" si="47"/>
        <v>2</v>
      </c>
      <c r="BB74" s="18">
        <f t="shared" si="60"/>
        <v>5.14642814386431</v>
      </c>
      <c r="BC74" s="18">
        <f t="shared" si="60"/>
        <v>0.84109432566756503</v>
      </c>
      <c r="BD74" s="18">
        <f t="shared" si="60"/>
        <v>1.6749155680201337</v>
      </c>
      <c r="BE74" s="56">
        <f t="shared" si="48"/>
        <v>2</v>
      </c>
      <c r="BG74" s="18">
        <f t="shared" si="61"/>
        <v>5.14642814386431</v>
      </c>
      <c r="BH74" s="18">
        <f t="shared" si="61"/>
        <v>0.84109432566756503</v>
      </c>
      <c r="BI74" s="18">
        <f t="shared" si="61"/>
        <v>1.6749155680201337</v>
      </c>
      <c r="BJ74" s="56">
        <f t="shared" si="49"/>
        <v>2</v>
      </c>
      <c r="BL74" s="18">
        <f t="shared" si="62"/>
        <v>5.14642814386431</v>
      </c>
      <c r="BM74" s="18">
        <f t="shared" si="62"/>
        <v>0.84109432566756503</v>
      </c>
      <c r="BN74" s="18">
        <f t="shared" si="62"/>
        <v>1.6749155680201337</v>
      </c>
      <c r="BO74" s="56">
        <f t="shared" si="50"/>
        <v>2</v>
      </c>
      <c r="BQ74" s="18">
        <f t="shared" si="63"/>
        <v>5.14642814386431</v>
      </c>
      <c r="BR74" s="18">
        <f t="shared" si="63"/>
        <v>0.84109432566756503</v>
      </c>
      <c r="BS74" s="18">
        <f t="shared" si="63"/>
        <v>1.6749155680201337</v>
      </c>
      <c r="BT74" s="56">
        <f t="shared" si="51"/>
        <v>2</v>
      </c>
      <c r="BV74" s="18">
        <f t="shared" si="64"/>
        <v>5.14642814386431</v>
      </c>
      <c r="BW74" s="18">
        <f t="shared" si="64"/>
        <v>0.84109432566756503</v>
      </c>
      <c r="BX74" s="18">
        <f t="shared" si="64"/>
        <v>1.6749155680201337</v>
      </c>
      <c r="BY74" s="56">
        <f t="shared" si="52"/>
        <v>2</v>
      </c>
      <c r="CA74" s="18">
        <f t="shared" si="65"/>
        <v>5.14642814386431</v>
      </c>
      <c r="CB74" s="18">
        <f t="shared" si="65"/>
        <v>0.84109432566756503</v>
      </c>
      <c r="CC74" s="18">
        <f t="shared" si="65"/>
        <v>1.6749155680201337</v>
      </c>
      <c r="CD74" s="56">
        <f t="shared" si="53"/>
        <v>2</v>
      </c>
    </row>
    <row r="75" spans="1:82" x14ac:dyDescent="0.25">
      <c r="A75" s="36" t="str">
        <f>KMeans_Data!A57</f>
        <v>Vehari</v>
      </c>
      <c r="B75" s="18">
        <f>KMeans_Data!H57</f>
        <v>0.15331751895798426</v>
      </c>
      <c r="C75" s="18">
        <f>KMeans_Data!I57</f>
        <v>-0.67265054538827607</v>
      </c>
      <c r="D75" s="18">
        <f>KMeans_Data!J57</f>
        <v>-0.24392704812240026</v>
      </c>
      <c r="E75" s="56">
        <f t="shared" si="39"/>
        <v>2</v>
      </c>
      <c r="F75" s="38">
        <f t="shared" si="40"/>
        <v>0.87587548195410758</v>
      </c>
      <c r="G75" s="13" t="str">
        <f t="shared" si="41"/>
        <v>Low burden</v>
      </c>
      <c r="H75" s="18">
        <f>IF(COUNTIF(Distance_Matrix!$E$9:$DQ$9,$E75)&lt;=1,0,SUMIF(Distance_Matrix!$E$9:$DQ$9,$E75,Distance_Matrix!$E$66:$DQ$66)/(COUNTIF(Distance_Matrix!$E$9:$DQ$9,$E75)-1))</f>
        <v>1.1375438411947234</v>
      </c>
      <c r="I75" s="18">
        <f>MIN(IF(1=$E75,1E+99,IF(COUNTIF(Distance_Matrix!$E$9:$DQ$9,1)=0,1E+99,SUMIF(Distance_Matrix!$E$9:$DQ$9,1,Distance_Matrix!$E$66:$DQ$66)/COUNTIF(Distance_Matrix!$E$9:$DQ$9,1))),IF(2=$E75,1E+99,IF(COUNTIF(Distance_Matrix!$E$9:$DQ$9,2)=0,1E+99,SUMIF(Distance_Matrix!$E$9:$DQ$9,2,Distance_Matrix!$E$66:$DQ$66)/COUNTIF(Distance_Matrix!$E$9:$DQ$9,2))),IF(3=$E75,1E+99,IF(COUNTIF(Distance_Matrix!$E$9:$DQ$9,3)=0,1E+99,SUMIF(Distance_Matrix!$E$9:$DQ$9,3,Distance_Matrix!$E$66:$DQ$66)/COUNTIF(Distance_Matrix!$E$9:$DQ$9,3))))</f>
        <v>1.6648141245006389</v>
      </c>
      <c r="J75" s="18">
        <f>IF(COUNTIF(Distance_Matrix!$E$9:$DQ$9,$E75)&lt;=1,0,(I75-H75)/MAX(H75,I75))</f>
        <v>0.31671420583608412</v>
      </c>
      <c r="X75" s="18">
        <f t="shared" si="54"/>
        <v>6.645700219429111</v>
      </c>
      <c r="Y75" s="18">
        <f t="shared" si="54"/>
        <v>2.4082422097006102</v>
      </c>
      <c r="Z75" s="18">
        <f t="shared" si="54"/>
        <v>2.1967540288821787</v>
      </c>
      <c r="AA75" s="56">
        <f t="shared" si="42"/>
        <v>3</v>
      </c>
      <c r="AC75" s="18">
        <f t="shared" si="55"/>
        <v>5.658943809291249</v>
      </c>
      <c r="AD75" s="18">
        <f t="shared" si="55"/>
        <v>1.0873466205293902</v>
      </c>
      <c r="AE75" s="18">
        <f t="shared" si="55"/>
        <v>1.3659422989695296</v>
      </c>
      <c r="AF75" s="56">
        <f t="shared" si="43"/>
        <v>2</v>
      </c>
      <c r="AH75" s="18">
        <f t="shared" si="56"/>
        <v>5.022569794766774</v>
      </c>
      <c r="AI75" s="18">
        <f t="shared" si="56"/>
        <v>0.94629547612143683</v>
      </c>
      <c r="AJ75" s="18">
        <f t="shared" si="56"/>
        <v>1.4822005858325522</v>
      </c>
      <c r="AK75" s="56">
        <f t="shared" si="44"/>
        <v>2</v>
      </c>
      <c r="AM75" s="18">
        <f t="shared" si="57"/>
        <v>5.022569794766774</v>
      </c>
      <c r="AN75" s="18">
        <f t="shared" si="57"/>
        <v>0.93588219448502574</v>
      </c>
      <c r="AO75" s="18">
        <f t="shared" si="57"/>
        <v>1.5028065275337448</v>
      </c>
      <c r="AP75" s="56">
        <f t="shared" si="45"/>
        <v>2</v>
      </c>
      <c r="AR75" s="18">
        <f t="shared" si="58"/>
        <v>5.022569794766774</v>
      </c>
      <c r="AS75" s="18">
        <f t="shared" si="58"/>
        <v>0.93588219448502574</v>
      </c>
      <c r="AT75" s="18">
        <f t="shared" si="58"/>
        <v>1.5028065275337448</v>
      </c>
      <c r="AU75" s="56">
        <f t="shared" si="46"/>
        <v>2</v>
      </c>
      <c r="AW75" s="18">
        <f t="shared" si="59"/>
        <v>5.022569794766774</v>
      </c>
      <c r="AX75" s="18">
        <f t="shared" si="59"/>
        <v>0.93588219448502574</v>
      </c>
      <c r="AY75" s="18">
        <f t="shared" si="59"/>
        <v>1.5028065275337448</v>
      </c>
      <c r="AZ75" s="56">
        <f t="shared" si="47"/>
        <v>2</v>
      </c>
      <c r="BB75" s="18">
        <f t="shared" si="60"/>
        <v>5.022569794766774</v>
      </c>
      <c r="BC75" s="18">
        <f t="shared" si="60"/>
        <v>0.93588219448502574</v>
      </c>
      <c r="BD75" s="18">
        <f t="shared" si="60"/>
        <v>1.5028065275337448</v>
      </c>
      <c r="BE75" s="56">
        <f t="shared" si="48"/>
        <v>2</v>
      </c>
      <c r="BG75" s="18">
        <f t="shared" si="61"/>
        <v>5.022569794766774</v>
      </c>
      <c r="BH75" s="18">
        <f t="shared" si="61"/>
        <v>0.93588219448502574</v>
      </c>
      <c r="BI75" s="18">
        <f t="shared" si="61"/>
        <v>1.5028065275337448</v>
      </c>
      <c r="BJ75" s="56">
        <f t="shared" si="49"/>
        <v>2</v>
      </c>
      <c r="BL75" s="18">
        <f t="shared" si="62"/>
        <v>5.022569794766774</v>
      </c>
      <c r="BM75" s="18">
        <f t="shared" si="62"/>
        <v>0.93588219448502574</v>
      </c>
      <c r="BN75" s="18">
        <f t="shared" si="62"/>
        <v>1.5028065275337448</v>
      </c>
      <c r="BO75" s="56">
        <f t="shared" si="50"/>
        <v>2</v>
      </c>
      <c r="BQ75" s="18">
        <f t="shared" si="63"/>
        <v>5.022569794766774</v>
      </c>
      <c r="BR75" s="18">
        <f t="shared" si="63"/>
        <v>0.93588219448502574</v>
      </c>
      <c r="BS75" s="18">
        <f t="shared" si="63"/>
        <v>1.5028065275337448</v>
      </c>
      <c r="BT75" s="56">
        <f t="shared" si="51"/>
        <v>2</v>
      </c>
      <c r="BV75" s="18">
        <f t="shared" si="64"/>
        <v>5.022569794766774</v>
      </c>
      <c r="BW75" s="18">
        <f t="shared" si="64"/>
        <v>0.93588219448502574</v>
      </c>
      <c r="BX75" s="18">
        <f t="shared" si="64"/>
        <v>1.5028065275337448</v>
      </c>
      <c r="BY75" s="56">
        <f t="shared" si="52"/>
        <v>2</v>
      </c>
      <c r="CA75" s="18">
        <f t="shared" si="65"/>
        <v>5.022569794766774</v>
      </c>
      <c r="CB75" s="18">
        <f t="shared" si="65"/>
        <v>0.93588219448502574</v>
      </c>
      <c r="CC75" s="18">
        <f t="shared" si="65"/>
        <v>1.5028065275337448</v>
      </c>
      <c r="CD75" s="56">
        <f t="shared" si="53"/>
        <v>2</v>
      </c>
    </row>
    <row r="76" spans="1:82" x14ac:dyDescent="0.25">
      <c r="A76" s="36" t="str">
        <f>KMeans_Data!A58</f>
        <v>Astore</v>
      </c>
      <c r="B76" s="18">
        <f>KMeans_Data!H58</f>
        <v>0.13147641151517545</v>
      </c>
      <c r="C76" s="18">
        <f>KMeans_Data!I58</f>
        <v>1.3810745208577742</v>
      </c>
      <c r="D76" s="18">
        <f>KMeans_Data!J58</f>
        <v>0.77424684086161255</v>
      </c>
      <c r="E76" s="56">
        <f t="shared" si="39"/>
        <v>3</v>
      </c>
      <c r="F76" s="38">
        <f t="shared" si="40"/>
        <v>1.056732320759167</v>
      </c>
      <c r="G76" s="13" t="str">
        <f t="shared" si="41"/>
        <v>Medium burden</v>
      </c>
      <c r="H76" s="18">
        <f>IF(COUNTIF(Distance_Matrix!$E$9:$DQ$9,$E76)&lt;=1,0,SUMIF(Distance_Matrix!$E$9:$DQ$9,$E76,Distance_Matrix!$E$67:$DQ$67)/(COUNTIF(Distance_Matrix!$E$9:$DQ$9,$E76)-1))</f>
        <v>1.3239053551301829</v>
      </c>
      <c r="I76" s="18">
        <f>MIN(IF(1=$E76,1E+99,IF(COUNTIF(Distance_Matrix!$E$9:$DQ$9,1)=0,1E+99,SUMIF(Distance_Matrix!$E$9:$DQ$9,1,Distance_Matrix!$E$67:$DQ$67)/COUNTIF(Distance_Matrix!$E$9:$DQ$9,1))),IF(2=$E76,1E+99,IF(COUNTIF(Distance_Matrix!$E$9:$DQ$9,2)=0,1E+99,SUMIF(Distance_Matrix!$E$9:$DQ$9,2,Distance_Matrix!$E$67:$DQ$67)/COUNTIF(Distance_Matrix!$E$9:$DQ$9,2))),IF(3=$E76,1E+99,IF(COUNTIF(Distance_Matrix!$E$9:$DQ$9,3)=0,1E+99,SUMIF(Distance_Matrix!$E$9:$DQ$9,3,Distance_Matrix!$E$67:$DQ$67)/COUNTIF(Distance_Matrix!$E$9:$DQ$9,3))))</f>
        <v>2.7226532266855861</v>
      </c>
      <c r="J76" s="18">
        <f>IF(COUNTIF(Distance_Matrix!$E$9:$DQ$9,$E76)&lt;=1,0,(I76-H76)/MAX(H76,I76))</f>
        <v>0.51374440852247816</v>
      </c>
      <c r="X76" s="18">
        <f t="shared" si="54"/>
        <v>4.8045779357516958</v>
      </c>
      <c r="Y76" s="18">
        <f t="shared" si="54"/>
        <v>3.5767634851169623</v>
      </c>
      <c r="Z76" s="18">
        <f t="shared" si="54"/>
        <v>1.5198700784169752</v>
      </c>
      <c r="AA76" s="56">
        <f t="shared" si="42"/>
        <v>3</v>
      </c>
      <c r="AC76" s="18">
        <f t="shared" si="55"/>
        <v>3.8265918164432917</v>
      </c>
      <c r="AD76" s="18">
        <f t="shared" si="55"/>
        <v>2.7319174223152878</v>
      </c>
      <c r="AE76" s="18">
        <f t="shared" si="55"/>
        <v>1.1130984033914428</v>
      </c>
      <c r="AF76" s="56">
        <f t="shared" si="43"/>
        <v>3</v>
      </c>
      <c r="AH76" s="18">
        <f t="shared" si="56"/>
        <v>3.2127030963766607</v>
      </c>
      <c r="AI76" s="18">
        <f t="shared" si="56"/>
        <v>2.6427304067550974</v>
      </c>
      <c r="AJ76" s="18">
        <f t="shared" si="56"/>
        <v>1.0327197628485378</v>
      </c>
      <c r="AK76" s="56">
        <f t="shared" si="44"/>
        <v>3</v>
      </c>
      <c r="AM76" s="18">
        <f t="shared" si="57"/>
        <v>3.2127030963766607</v>
      </c>
      <c r="AN76" s="18">
        <f t="shared" si="57"/>
        <v>2.6275751912638214</v>
      </c>
      <c r="AO76" s="18">
        <f t="shared" si="57"/>
        <v>1.0279748638751665</v>
      </c>
      <c r="AP76" s="56">
        <f t="shared" si="45"/>
        <v>3</v>
      </c>
      <c r="AR76" s="18">
        <f t="shared" si="58"/>
        <v>3.2127030963766607</v>
      </c>
      <c r="AS76" s="18">
        <f t="shared" si="58"/>
        <v>2.6275751912638214</v>
      </c>
      <c r="AT76" s="18">
        <f t="shared" si="58"/>
        <v>1.0279748638751665</v>
      </c>
      <c r="AU76" s="56">
        <f t="shared" si="46"/>
        <v>3</v>
      </c>
      <c r="AW76" s="18">
        <f t="shared" si="59"/>
        <v>3.2127030963766607</v>
      </c>
      <c r="AX76" s="18">
        <f t="shared" si="59"/>
        <v>2.6275751912638214</v>
      </c>
      <c r="AY76" s="18">
        <f t="shared" si="59"/>
        <v>1.0279748638751665</v>
      </c>
      <c r="AZ76" s="56">
        <f t="shared" si="47"/>
        <v>3</v>
      </c>
      <c r="BB76" s="18">
        <f t="shared" si="60"/>
        <v>3.2127030963766607</v>
      </c>
      <c r="BC76" s="18">
        <f t="shared" si="60"/>
        <v>2.6275751912638214</v>
      </c>
      <c r="BD76" s="18">
        <f t="shared" si="60"/>
        <v>1.0279748638751665</v>
      </c>
      <c r="BE76" s="56">
        <f t="shared" si="48"/>
        <v>3</v>
      </c>
      <c r="BG76" s="18">
        <f t="shared" si="61"/>
        <v>3.2127030963766607</v>
      </c>
      <c r="BH76" s="18">
        <f t="shared" si="61"/>
        <v>2.6275751912638214</v>
      </c>
      <c r="BI76" s="18">
        <f t="shared" si="61"/>
        <v>1.0279748638751665</v>
      </c>
      <c r="BJ76" s="56">
        <f t="shared" si="49"/>
        <v>3</v>
      </c>
      <c r="BL76" s="18">
        <f t="shared" si="62"/>
        <v>3.2127030963766607</v>
      </c>
      <c r="BM76" s="18">
        <f t="shared" si="62"/>
        <v>2.6275751912638214</v>
      </c>
      <c r="BN76" s="18">
        <f t="shared" si="62"/>
        <v>1.0279748638751665</v>
      </c>
      <c r="BO76" s="56">
        <f t="shared" si="50"/>
        <v>3</v>
      </c>
      <c r="BQ76" s="18">
        <f t="shared" si="63"/>
        <v>3.2127030963766607</v>
      </c>
      <c r="BR76" s="18">
        <f t="shared" si="63"/>
        <v>2.6275751912638214</v>
      </c>
      <c r="BS76" s="18">
        <f t="shared" si="63"/>
        <v>1.0279748638751665</v>
      </c>
      <c r="BT76" s="56">
        <f t="shared" si="51"/>
        <v>3</v>
      </c>
      <c r="BV76" s="18">
        <f t="shared" si="64"/>
        <v>3.2127030963766607</v>
      </c>
      <c r="BW76" s="18">
        <f t="shared" si="64"/>
        <v>2.6275751912638214</v>
      </c>
      <c r="BX76" s="18">
        <f t="shared" si="64"/>
        <v>1.0279748638751665</v>
      </c>
      <c r="BY76" s="56">
        <f t="shared" si="52"/>
        <v>3</v>
      </c>
      <c r="CA76" s="18">
        <f t="shared" si="65"/>
        <v>3.2127030963766607</v>
      </c>
      <c r="CB76" s="18">
        <f t="shared" si="65"/>
        <v>2.6275751912638214</v>
      </c>
      <c r="CC76" s="18">
        <f t="shared" si="65"/>
        <v>1.0279748638751665</v>
      </c>
      <c r="CD76" s="56">
        <f t="shared" si="53"/>
        <v>3</v>
      </c>
    </row>
    <row r="77" spans="1:82" x14ac:dyDescent="0.25">
      <c r="A77" s="36" t="str">
        <f>KMeans_Data!A59</f>
        <v>Sanghar</v>
      </c>
      <c r="B77" s="18">
        <f>KMeans_Data!H59</f>
        <v>0.10085169543381561</v>
      </c>
      <c r="C77" s="18">
        <f>KMeans_Data!I59</f>
        <v>-0.14698313392952958</v>
      </c>
      <c r="D77" s="18">
        <f>KMeans_Data!J59</f>
        <v>0.61832866607444492</v>
      </c>
      <c r="E77" s="56">
        <f t="shared" si="39"/>
        <v>3</v>
      </c>
      <c r="F77" s="38">
        <f t="shared" si="40"/>
        <v>0.5265814846263126</v>
      </c>
      <c r="G77" s="13" t="str">
        <f t="shared" si="41"/>
        <v>Medium burden</v>
      </c>
      <c r="H77" s="18">
        <f>IF(COUNTIF(Distance_Matrix!$E$9:$DQ$9,$E77)&lt;=1,0,SUMIF(Distance_Matrix!$E$9:$DQ$9,$E77,Distance_Matrix!$E$68:$DQ$68)/(COUNTIF(Distance_Matrix!$E$9:$DQ$9,$E77)-1))</f>
        <v>1.0769752910573773</v>
      </c>
      <c r="I77" s="18">
        <f>MIN(IF(1=$E77,1E+99,IF(COUNTIF(Distance_Matrix!$E$9:$DQ$9,1)=0,1E+99,SUMIF(Distance_Matrix!$E$9:$DQ$9,1,Distance_Matrix!$E$68:$DQ$68)/COUNTIF(Distance_Matrix!$E$9:$DQ$9,1))),IF(2=$E77,1E+99,IF(COUNTIF(Distance_Matrix!$E$9:$DQ$9,2)=0,1E+99,SUMIF(Distance_Matrix!$E$9:$DQ$9,2,Distance_Matrix!$E$68:$DQ$68)/COUNTIF(Distance_Matrix!$E$9:$DQ$9,2))),IF(3=$E77,1E+99,IF(COUNTIF(Distance_Matrix!$E$9:$DQ$9,3)=0,1E+99,SUMIF(Distance_Matrix!$E$9:$DQ$9,3,Distance_Matrix!$E$68:$DQ$68)/COUNTIF(Distance_Matrix!$E$9:$DQ$9,3))))</f>
        <v>1.7289542058180001</v>
      </c>
      <c r="J77" s="18">
        <f>IF(COUNTIF(Distance_Matrix!$E$9:$DQ$9,$E77)&lt;=1,0,(I77-H77)/MAX(H77,I77))</f>
        <v>0.37709438027143094</v>
      </c>
      <c r="X77" s="18">
        <f t="shared" si="54"/>
        <v>5.8763954941776619</v>
      </c>
      <c r="Y77" s="18">
        <f t="shared" si="54"/>
        <v>2.8535762728581746</v>
      </c>
      <c r="Z77" s="18">
        <f t="shared" si="54"/>
        <v>1.3708990403778827</v>
      </c>
      <c r="AA77" s="56">
        <f t="shared" si="42"/>
        <v>3</v>
      </c>
      <c r="AC77" s="18">
        <f t="shared" si="55"/>
        <v>4.9209733081336617</v>
      </c>
      <c r="AD77" s="18">
        <f t="shared" si="55"/>
        <v>1.7556751228992484</v>
      </c>
      <c r="AE77" s="18">
        <f t="shared" si="55"/>
        <v>0.6445303117415343</v>
      </c>
      <c r="AF77" s="56">
        <f t="shared" si="43"/>
        <v>3</v>
      </c>
      <c r="AH77" s="18">
        <f t="shared" si="56"/>
        <v>4.288283819025235</v>
      </c>
      <c r="AI77" s="18">
        <f t="shared" si="56"/>
        <v>1.6348974143632387</v>
      </c>
      <c r="AJ77" s="18">
        <f t="shared" si="56"/>
        <v>0.70379690091992231</v>
      </c>
      <c r="AK77" s="56">
        <f t="shared" si="44"/>
        <v>3</v>
      </c>
      <c r="AM77" s="18">
        <f t="shared" si="57"/>
        <v>4.288283819025235</v>
      </c>
      <c r="AN77" s="18">
        <f t="shared" si="57"/>
        <v>1.6189876328885642</v>
      </c>
      <c r="AO77" s="18">
        <f t="shared" si="57"/>
        <v>0.72565934475228289</v>
      </c>
      <c r="AP77" s="56">
        <f t="shared" si="45"/>
        <v>3</v>
      </c>
      <c r="AR77" s="18">
        <f t="shared" si="58"/>
        <v>4.288283819025235</v>
      </c>
      <c r="AS77" s="18">
        <f t="shared" si="58"/>
        <v>1.6189876328885642</v>
      </c>
      <c r="AT77" s="18">
        <f t="shared" si="58"/>
        <v>0.72565934475228289</v>
      </c>
      <c r="AU77" s="56">
        <f t="shared" si="46"/>
        <v>3</v>
      </c>
      <c r="AW77" s="18">
        <f t="shared" si="59"/>
        <v>4.288283819025235</v>
      </c>
      <c r="AX77" s="18">
        <f t="shared" si="59"/>
        <v>1.6189876328885642</v>
      </c>
      <c r="AY77" s="18">
        <f t="shared" si="59"/>
        <v>0.72565934475228289</v>
      </c>
      <c r="AZ77" s="56">
        <f t="shared" si="47"/>
        <v>3</v>
      </c>
      <c r="BB77" s="18">
        <f t="shared" si="60"/>
        <v>4.288283819025235</v>
      </c>
      <c r="BC77" s="18">
        <f t="shared" si="60"/>
        <v>1.6189876328885642</v>
      </c>
      <c r="BD77" s="18">
        <f t="shared" si="60"/>
        <v>0.72565934475228289</v>
      </c>
      <c r="BE77" s="56">
        <f t="shared" si="48"/>
        <v>3</v>
      </c>
      <c r="BG77" s="18">
        <f t="shared" si="61"/>
        <v>4.288283819025235</v>
      </c>
      <c r="BH77" s="18">
        <f t="shared" si="61"/>
        <v>1.6189876328885642</v>
      </c>
      <c r="BI77" s="18">
        <f t="shared" si="61"/>
        <v>0.72565934475228289</v>
      </c>
      <c r="BJ77" s="56">
        <f t="shared" si="49"/>
        <v>3</v>
      </c>
      <c r="BL77" s="18">
        <f t="shared" si="62"/>
        <v>4.288283819025235</v>
      </c>
      <c r="BM77" s="18">
        <f t="shared" si="62"/>
        <v>1.6189876328885642</v>
      </c>
      <c r="BN77" s="18">
        <f t="shared" si="62"/>
        <v>0.72565934475228289</v>
      </c>
      <c r="BO77" s="56">
        <f t="shared" si="50"/>
        <v>3</v>
      </c>
      <c r="BQ77" s="18">
        <f t="shared" si="63"/>
        <v>4.288283819025235</v>
      </c>
      <c r="BR77" s="18">
        <f t="shared" si="63"/>
        <v>1.6189876328885642</v>
      </c>
      <c r="BS77" s="18">
        <f t="shared" si="63"/>
        <v>0.72565934475228289</v>
      </c>
      <c r="BT77" s="56">
        <f t="shared" si="51"/>
        <v>3</v>
      </c>
      <c r="BV77" s="18">
        <f t="shared" si="64"/>
        <v>4.288283819025235</v>
      </c>
      <c r="BW77" s="18">
        <f t="shared" si="64"/>
        <v>1.6189876328885642</v>
      </c>
      <c r="BX77" s="18">
        <f t="shared" si="64"/>
        <v>0.72565934475228289</v>
      </c>
      <c r="BY77" s="56">
        <f t="shared" si="52"/>
        <v>3</v>
      </c>
      <c r="CA77" s="18">
        <f t="shared" si="65"/>
        <v>4.288283819025235</v>
      </c>
      <c r="CB77" s="18">
        <f t="shared" si="65"/>
        <v>1.6189876328885642</v>
      </c>
      <c r="CC77" s="18">
        <f t="shared" si="65"/>
        <v>0.72565934475228289</v>
      </c>
      <c r="CD77" s="56">
        <f t="shared" si="53"/>
        <v>3</v>
      </c>
    </row>
    <row r="78" spans="1:82" x14ac:dyDescent="0.25">
      <c r="A78" s="36" t="str">
        <f>KMeans_Data!A60</f>
        <v>Bhakkar</v>
      </c>
      <c r="B78" s="18">
        <f>KMeans_Data!H60</f>
        <v>8.4835969706560738E-2</v>
      </c>
      <c r="C78" s="18">
        <f>KMeans_Data!I60</f>
        <v>-0.67265054538827607</v>
      </c>
      <c r="D78" s="18">
        <f>KMeans_Data!J60</f>
        <v>-1.1456441163335547</v>
      </c>
      <c r="E78" s="56">
        <f t="shared" si="39"/>
        <v>2</v>
      </c>
      <c r="F78" s="38">
        <f t="shared" si="40"/>
        <v>0.68772874285750163</v>
      </c>
      <c r="G78" s="13" t="str">
        <f t="shared" si="41"/>
        <v>Low burden</v>
      </c>
      <c r="H78" s="18">
        <f>IF(COUNTIF(Distance_Matrix!$E$9:$DQ$9,$E78)&lt;=1,0,SUMIF(Distance_Matrix!$E$9:$DQ$9,$E78,Distance_Matrix!$E$69:$DQ$69)/(COUNTIF(Distance_Matrix!$E$9:$DQ$9,$E78)-1))</f>
        <v>1.067376677625161</v>
      </c>
      <c r="I78" s="18">
        <f>MIN(IF(1=$E78,1E+99,IF(COUNTIF(Distance_Matrix!$E$9:$DQ$9,1)=0,1E+99,SUMIF(Distance_Matrix!$E$9:$DQ$9,1,Distance_Matrix!$E$69:$DQ$69)/COUNTIF(Distance_Matrix!$E$9:$DQ$9,1))),IF(2=$E78,1E+99,IF(COUNTIF(Distance_Matrix!$E$9:$DQ$9,2)=0,1E+99,SUMIF(Distance_Matrix!$E$9:$DQ$9,2,Distance_Matrix!$E$69:$DQ$69)/COUNTIF(Distance_Matrix!$E$9:$DQ$9,2))),IF(3=$E78,1E+99,IF(COUNTIF(Distance_Matrix!$E$9:$DQ$9,3)=0,1E+99,SUMIF(Distance_Matrix!$E$9:$DQ$9,3,Distance_Matrix!$E$69:$DQ$69)/COUNTIF(Distance_Matrix!$E$9:$DQ$9,3))))</f>
        <v>2.316393335014959</v>
      </c>
      <c r="J78" s="18">
        <f>IF(COUNTIF(Distance_Matrix!$E$9:$DQ$9,$E78)&lt;=1,0,(I78-H78)/MAX(H78,I78))</f>
        <v>0.53920749922280886</v>
      </c>
      <c r="X78" s="18">
        <f t="shared" si="54"/>
        <v>7.1914209448379909</v>
      </c>
      <c r="Y78" s="18">
        <f t="shared" si="54"/>
        <v>2.1645739515098894</v>
      </c>
      <c r="Z78" s="18">
        <f t="shared" si="54"/>
        <v>2.975949255998326</v>
      </c>
      <c r="AA78" s="56">
        <f t="shared" si="42"/>
        <v>2</v>
      </c>
      <c r="AC78" s="18">
        <f t="shared" si="55"/>
        <v>6.174870022493244</v>
      </c>
      <c r="AD78" s="18">
        <f t="shared" si="55"/>
        <v>0.90770899083200607</v>
      </c>
      <c r="AE78" s="18">
        <f t="shared" si="55"/>
        <v>2.0572581020023133</v>
      </c>
      <c r="AF78" s="56">
        <f t="shared" si="43"/>
        <v>2</v>
      </c>
      <c r="AH78" s="18">
        <f t="shared" si="56"/>
        <v>5.5440174352049958</v>
      </c>
      <c r="AI78" s="18">
        <f t="shared" si="56"/>
        <v>0.82534417934574245</v>
      </c>
      <c r="AJ78" s="18">
        <f t="shared" si="56"/>
        <v>2.1785962840790147</v>
      </c>
      <c r="AK78" s="56">
        <f t="shared" si="44"/>
        <v>2</v>
      </c>
      <c r="AM78" s="18">
        <f t="shared" si="57"/>
        <v>5.5440174352049958</v>
      </c>
      <c r="AN78" s="18">
        <f t="shared" si="57"/>
        <v>0.82929412325031082</v>
      </c>
      <c r="AO78" s="18">
        <f t="shared" si="57"/>
        <v>2.1979681335737946</v>
      </c>
      <c r="AP78" s="56">
        <f t="shared" si="45"/>
        <v>2</v>
      </c>
      <c r="AR78" s="18">
        <f t="shared" si="58"/>
        <v>5.5440174352049958</v>
      </c>
      <c r="AS78" s="18">
        <f t="shared" si="58"/>
        <v>0.82929412325031082</v>
      </c>
      <c r="AT78" s="18">
        <f t="shared" si="58"/>
        <v>2.1979681335737946</v>
      </c>
      <c r="AU78" s="56">
        <f t="shared" si="46"/>
        <v>2</v>
      </c>
      <c r="AW78" s="18">
        <f t="shared" si="59"/>
        <v>5.5440174352049958</v>
      </c>
      <c r="AX78" s="18">
        <f t="shared" si="59"/>
        <v>0.82929412325031082</v>
      </c>
      <c r="AY78" s="18">
        <f t="shared" si="59"/>
        <v>2.1979681335737946</v>
      </c>
      <c r="AZ78" s="56">
        <f t="shared" si="47"/>
        <v>2</v>
      </c>
      <c r="BB78" s="18">
        <f t="shared" si="60"/>
        <v>5.5440174352049958</v>
      </c>
      <c r="BC78" s="18">
        <f t="shared" si="60"/>
        <v>0.82929412325031082</v>
      </c>
      <c r="BD78" s="18">
        <f t="shared" si="60"/>
        <v>2.1979681335737946</v>
      </c>
      <c r="BE78" s="56">
        <f t="shared" si="48"/>
        <v>2</v>
      </c>
      <c r="BG78" s="18">
        <f t="shared" si="61"/>
        <v>5.5440174352049958</v>
      </c>
      <c r="BH78" s="18">
        <f t="shared" si="61"/>
        <v>0.82929412325031082</v>
      </c>
      <c r="BI78" s="18">
        <f t="shared" si="61"/>
        <v>2.1979681335737946</v>
      </c>
      <c r="BJ78" s="56">
        <f t="shared" si="49"/>
        <v>2</v>
      </c>
      <c r="BL78" s="18">
        <f t="shared" si="62"/>
        <v>5.5440174352049958</v>
      </c>
      <c r="BM78" s="18">
        <f t="shared" si="62"/>
        <v>0.82929412325031082</v>
      </c>
      <c r="BN78" s="18">
        <f t="shared" si="62"/>
        <v>2.1979681335737946</v>
      </c>
      <c r="BO78" s="56">
        <f t="shared" si="50"/>
        <v>2</v>
      </c>
      <c r="BQ78" s="18">
        <f t="shared" si="63"/>
        <v>5.5440174352049958</v>
      </c>
      <c r="BR78" s="18">
        <f t="shared" si="63"/>
        <v>0.82929412325031082</v>
      </c>
      <c r="BS78" s="18">
        <f t="shared" si="63"/>
        <v>2.1979681335737946</v>
      </c>
      <c r="BT78" s="56">
        <f t="shared" si="51"/>
        <v>2</v>
      </c>
      <c r="BV78" s="18">
        <f t="shared" si="64"/>
        <v>5.5440174352049958</v>
      </c>
      <c r="BW78" s="18">
        <f t="shared" si="64"/>
        <v>0.82929412325031082</v>
      </c>
      <c r="BX78" s="18">
        <f t="shared" si="64"/>
        <v>2.1979681335737946</v>
      </c>
      <c r="BY78" s="56">
        <f t="shared" si="52"/>
        <v>2</v>
      </c>
      <c r="CA78" s="18">
        <f t="shared" si="65"/>
        <v>5.5440174352049958</v>
      </c>
      <c r="CB78" s="18">
        <f t="shared" si="65"/>
        <v>0.82929412325031082</v>
      </c>
      <c r="CC78" s="18">
        <f t="shared" si="65"/>
        <v>2.1979681335737946</v>
      </c>
      <c r="CD78" s="56">
        <f t="shared" si="53"/>
        <v>2</v>
      </c>
    </row>
    <row r="79" spans="1:82" x14ac:dyDescent="0.25">
      <c r="A79" s="36" t="str">
        <f>KMeans_Data!A61</f>
        <v>Muzaffargar</v>
      </c>
      <c r="B79" s="18">
        <f>KMeans_Data!H61</f>
        <v>6.8311724136625313E-2</v>
      </c>
      <c r="C79" s="18">
        <f>KMeans_Data!I61</f>
        <v>-0.67265054538827607</v>
      </c>
      <c r="D79" s="18">
        <f>KMeans_Data!J61</f>
        <v>-1.1456441163335547</v>
      </c>
      <c r="E79" s="56">
        <f t="shared" si="39"/>
        <v>2</v>
      </c>
      <c r="F79" s="38">
        <f t="shared" si="40"/>
        <v>0.66412430594518934</v>
      </c>
      <c r="G79" s="13" t="str">
        <f t="shared" si="41"/>
        <v>Low burden</v>
      </c>
      <c r="H79" s="18">
        <f>IF(COUNTIF(Distance_Matrix!$E$9:$DQ$9,$E79)&lt;=1,0,SUMIF(Distance_Matrix!$E$9:$DQ$9,$E79,Distance_Matrix!$E$70:$DQ$70)/(COUNTIF(Distance_Matrix!$E$9:$DQ$9,$E79)-1))</f>
        <v>1.0583019024695646</v>
      </c>
      <c r="I79" s="18">
        <f>MIN(IF(1=$E79,1E+99,IF(COUNTIF(Distance_Matrix!$E$9:$DQ$9,1)=0,1E+99,SUMIF(Distance_Matrix!$E$9:$DQ$9,1,Distance_Matrix!$E$70:$DQ$70)/COUNTIF(Distance_Matrix!$E$9:$DQ$9,1))),IF(2=$E79,1E+99,IF(COUNTIF(Distance_Matrix!$E$9:$DQ$9,2)=0,1E+99,SUMIF(Distance_Matrix!$E$9:$DQ$9,2,Distance_Matrix!$E$70:$DQ$70)/COUNTIF(Distance_Matrix!$E$9:$DQ$9,2))),IF(3=$E79,1E+99,IF(COUNTIF(Distance_Matrix!$E$9:$DQ$9,3)=0,1E+99,SUMIF(Distance_Matrix!$E$9:$DQ$9,3,Distance_Matrix!$E$70:$DQ$70)/COUNTIF(Distance_Matrix!$E$9:$DQ$9,3))))</f>
        <v>2.319350998904814</v>
      </c>
      <c r="J79" s="18">
        <f>IF(COUNTIF(Distance_Matrix!$E$9:$DQ$9,$E79)&lt;=1,0,(I79-H79)/MAX(H79,I79))</f>
        <v>0.54370774282577783</v>
      </c>
      <c r="X79" s="18">
        <f t="shared" si="54"/>
        <v>7.1987648607522274</v>
      </c>
      <c r="Y79" s="18">
        <f t="shared" si="54"/>
        <v>2.1480497059399539</v>
      </c>
      <c r="Z79" s="18">
        <f t="shared" si="54"/>
        <v>2.9812792124527978</v>
      </c>
      <c r="AA79" s="56">
        <f t="shared" si="42"/>
        <v>2</v>
      </c>
      <c r="AC79" s="18">
        <f t="shared" si="55"/>
        <v>6.1821766149507962</v>
      </c>
      <c r="AD79" s="18">
        <f t="shared" si="55"/>
        <v>0.89226857058980891</v>
      </c>
      <c r="AE79" s="18">
        <f t="shared" si="55"/>
        <v>2.0607300642261461</v>
      </c>
      <c r="AF79" s="56">
        <f t="shared" si="43"/>
        <v>2</v>
      </c>
      <c r="AH79" s="18">
        <f t="shared" si="56"/>
        <v>5.5511858324516146</v>
      </c>
      <c r="AI79" s="18">
        <f t="shared" si="56"/>
        <v>0.81084168877734564</v>
      </c>
      <c r="AJ79" s="18">
        <f t="shared" si="56"/>
        <v>2.1818625979457393</v>
      </c>
      <c r="AK79" s="56">
        <f t="shared" si="44"/>
        <v>2</v>
      </c>
      <c r="AM79" s="18">
        <f t="shared" si="57"/>
        <v>5.5511858324516146</v>
      </c>
      <c r="AN79" s="18">
        <f t="shared" si="57"/>
        <v>0.81493822216483958</v>
      </c>
      <c r="AO79" s="18">
        <f t="shared" si="57"/>
        <v>2.2013483202259181</v>
      </c>
      <c r="AP79" s="56">
        <f t="shared" si="45"/>
        <v>2</v>
      </c>
      <c r="AR79" s="18">
        <f t="shared" si="58"/>
        <v>5.5511858324516146</v>
      </c>
      <c r="AS79" s="18">
        <f t="shared" si="58"/>
        <v>0.81493822216483958</v>
      </c>
      <c r="AT79" s="18">
        <f t="shared" si="58"/>
        <v>2.2013483202259181</v>
      </c>
      <c r="AU79" s="56">
        <f t="shared" si="46"/>
        <v>2</v>
      </c>
      <c r="AW79" s="18">
        <f t="shared" si="59"/>
        <v>5.5511858324516146</v>
      </c>
      <c r="AX79" s="18">
        <f t="shared" si="59"/>
        <v>0.81493822216483958</v>
      </c>
      <c r="AY79" s="18">
        <f t="shared" si="59"/>
        <v>2.2013483202259181</v>
      </c>
      <c r="AZ79" s="56">
        <f t="shared" si="47"/>
        <v>2</v>
      </c>
      <c r="BB79" s="18">
        <f t="shared" si="60"/>
        <v>5.5511858324516146</v>
      </c>
      <c r="BC79" s="18">
        <f t="shared" si="60"/>
        <v>0.81493822216483958</v>
      </c>
      <c r="BD79" s="18">
        <f t="shared" si="60"/>
        <v>2.2013483202259181</v>
      </c>
      <c r="BE79" s="56">
        <f t="shared" si="48"/>
        <v>2</v>
      </c>
      <c r="BG79" s="18">
        <f t="shared" si="61"/>
        <v>5.5511858324516146</v>
      </c>
      <c r="BH79" s="18">
        <f t="shared" si="61"/>
        <v>0.81493822216483958</v>
      </c>
      <c r="BI79" s="18">
        <f t="shared" si="61"/>
        <v>2.2013483202259181</v>
      </c>
      <c r="BJ79" s="56">
        <f t="shared" si="49"/>
        <v>2</v>
      </c>
      <c r="BL79" s="18">
        <f t="shared" si="62"/>
        <v>5.5511858324516146</v>
      </c>
      <c r="BM79" s="18">
        <f t="shared" si="62"/>
        <v>0.81493822216483958</v>
      </c>
      <c r="BN79" s="18">
        <f t="shared" si="62"/>
        <v>2.2013483202259181</v>
      </c>
      <c r="BO79" s="56">
        <f t="shared" si="50"/>
        <v>2</v>
      </c>
      <c r="BQ79" s="18">
        <f t="shared" si="63"/>
        <v>5.5511858324516146</v>
      </c>
      <c r="BR79" s="18">
        <f t="shared" si="63"/>
        <v>0.81493822216483958</v>
      </c>
      <c r="BS79" s="18">
        <f t="shared" si="63"/>
        <v>2.2013483202259181</v>
      </c>
      <c r="BT79" s="56">
        <f t="shared" si="51"/>
        <v>2</v>
      </c>
      <c r="BV79" s="18">
        <f t="shared" si="64"/>
        <v>5.5511858324516146</v>
      </c>
      <c r="BW79" s="18">
        <f t="shared" si="64"/>
        <v>0.81493822216483958</v>
      </c>
      <c r="BX79" s="18">
        <f t="shared" si="64"/>
        <v>2.2013483202259181</v>
      </c>
      <c r="BY79" s="56">
        <f t="shared" si="52"/>
        <v>2</v>
      </c>
      <c r="CA79" s="18">
        <f t="shared" si="65"/>
        <v>5.5511858324516146</v>
      </c>
      <c r="CB79" s="18">
        <f t="shared" si="65"/>
        <v>0.81493822216483958</v>
      </c>
      <c r="CC79" s="18">
        <f t="shared" si="65"/>
        <v>2.2013483202259181</v>
      </c>
      <c r="CD79" s="56">
        <f t="shared" si="53"/>
        <v>2</v>
      </c>
    </row>
    <row r="80" spans="1:82" x14ac:dyDescent="0.25">
      <c r="A80" s="36" t="str">
        <f>KMeans_Data!A62</f>
        <v>Badin</v>
      </c>
      <c r="B80" s="18">
        <f>KMeans_Data!H62</f>
        <v>2.4548982643863189E-2</v>
      </c>
      <c r="C80" s="18">
        <f>KMeans_Data!I62</f>
        <v>0.54791138584450239</v>
      </c>
      <c r="D80" s="18">
        <f>KMeans_Data!J62</f>
        <v>5.8390290280275915E-3</v>
      </c>
      <c r="E80" s="56">
        <f t="shared" si="39"/>
        <v>3</v>
      </c>
      <c r="F80" s="38">
        <f t="shared" si="40"/>
        <v>0.74772083541131518</v>
      </c>
      <c r="G80" s="13" t="str">
        <f t="shared" si="41"/>
        <v>Medium burden</v>
      </c>
      <c r="H80" s="18">
        <f>IF(COUNTIF(Distance_Matrix!$E$9:$DQ$9,$E80)&lt;=1,0,SUMIF(Distance_Matrix!$E$9:$DQ$9,$E80,Distance_Matrix!$E$71:$DQ$71)/(COUNTIF(Distance_Matrix!$E$9:$DQ$9,$E80)-1))</f>
        <v>1.2195106050985491</v>
      </c>
      <c r="I80" s="18">
        <f>MIN(IF(1=$E80,1E+99,IF(COUNTIF(Distance_Matrix!$E$9:$DQ$9,1)=0,1E+99,SUMIF(Distance_Matrix!$E$9:$DQ$9,1,Distance_Matrix!$E$71:$DQ$71)/COUNTIF(Distance_Matrix!$E$9:$DQ$9,1))),IF(2=$E80,1E+99,IF(COUNTIF(Distance_Matrix!$E$9:$DQ$9,2)=0,1E+99,SUMIF(Distance_Matrix!$E$9:$DQ$9,2,Distance_Matrix!$E$71:$DQ$71)/COUNTIF(Distance_Matrix!$E$9:$DQ$9,2))),IF(3=$E80,1E+99,IF(COUNTIF(Distance_Matrix!$E$9:$DQ$9,3)=0,1E+99,SUMIF(Distance_Matrix!$E$9:$DQ$9,3,Distance_Matrix!$E$71:$DQ$71)/COUNTIF(Distance_Matrix!$E$9:$DQ$9,3))))</f>
        <v>1.6942384508549755</v>
      </c>
      <c r="J80" s="18">
        <f>IF(COUNTIF(Distance_Matrix!$E$9:$DQ$9,$E80)&lt;=1,0,(I80-H80)/MAX(H80,I80))</f>
        <v>0.2802013173038666</v>
      </c>
      <c r="X80" s="18">
        <f t="shared" si="54"/>
        <v>5.7697307870114276</v>
      </c>
      <c r="Y80" s="18">
        <f t="shared" si="54"/>
        <v>2.6914138460610011</v>
      </c>
      <c r="Z80" s="18">
        <f t="shared" si="54"/>
        <v>1.7886669762678886</v>
      </c>
      <c r="AA80" s="56">
        <f t="shared" si="42"/>
        <v>3</v>
      </c>
      <c r="AC80" s="18">
        <f t="shared" si="55"/>
        <v>4.7639156799358142</v>
      </c>
      <c r="AD80" s="18">
        <f t="shared" si="55"/>
        <v>1.6536014716090051</v>
      </c>
      <c r="AE80" s="18">
        <f t="shared" si="55"/>
        <v>0.78258920087802242</v>
      </c>
      <c r="AF80" s="56">
        <f t="shared" si="43"/>
        <v>3</v>
      </c>
      <c r="AH80" s="18">
        <f t="shared" si="56"/>
        <v>4.1323834819397174</v>
      </c>
      <c r="AI80" s="18">
        <f t="shared" si="56"/>
        <v>1.5529876951422876</v>
      </c>
      <c r="AJ80" s="18">
        <f t="shared" si="56"/>
        <v>0.84618730794929464</v>
      </c>
      <c r="AK80" s="56">
        <f t="shared" si="44"/>
        <v>3</v>
      </c>
      <c r="AM80" s="18">
        <f t="shared" si="57"/>
        <v>4.1323834819397174</v>
      </c>
      <c r="AN80" s="18">
        <f t="shared" si="57"/>
        <v>1.5386089810841317</v>
      </c>
      <c r="AO80" s="18">
        <f t="shared" si="57"/>
        <v>0.86470852627420947</v>
      </c>
      <c r="AP80" s="56">
        <f t="shared" si="45"/>
        <v>3</v>
      </c>
      <c r="AR80" s="18">
        <f t="shared" si="58"/>
        <v>4.1323834819397174</v>
      </c>
      <c r="AS80" s="18">
        <f t="shared" si="58"/>
        <v>1.5386089810841317</v>
      </c>
      <c r="AT80" s="18">
        <f t="shared" si="58"/>
        <v>0.86470852627420947</v>
      </c>
      <c r="AU80" s="56">
        <f t="shared" si="46"/>
        <v>3</v>
      </c>
      <c r="AW80" s="18">
        <f t="shared" si="59"/>
        <v>4.1323834819397174</v>
      </c>
      <c r="AX80" s="18">
        <f t="shared" si="59"/>
        <v>1.5386089810841317</v>
      </c>
      <c r="AY80" s="18">
        <f t="shared" si="59"/>
        <v>0.86470852627420947</v>
      </c>
      <c r="AZ80" s="56">
        <f t="shared" si="47"/>
        <v>3</v>
      </c>
      <c r="BB80" s="18">
        <f t="shared" si="60"/>
        <v>4.1323834819397174</v>
      </c>
      <c r="BC80" s="18">
        <f t="shared" si="60"/>
        <v>1.5386089810841317</v>
      </c>
      <c r="BD80" s="18">
        <f t="shared" si="60"/>
        <v>0.86470852627420947</v>
      </c>
      <c r="BE80" s="56">
        <f t="shared" si="48"/>
        <v>3</v>
      </c>
      <c r="BG80" s="18">
        <f t="shared" si="61"/>
        <v>4.1323834819397174</v>
      </c>
      <c r="BH80" s="18">
        <f t="shared" si="61"/>
        <v>1.5386089810841317</v>
      </c>
      <c r="BI80" s="18">
        <f t="shared" si="61"/>
        <v>0.86470852627420947</v>
      </c>
      <c r="BJ80" s="56">
        <f t="shared" si="49"/>
        <v>3</v>
      </c>
      <c r="BL80" s="18">
        <f t="shared" si="62"/>
        <v>4.1323834819397174</v>
      </c>
      <c r="BM80" s="18">
        <f t="shared" si="62"/>
        <v>1.5386089810841317</v>
      </c>
      <c r="BN80" s="18">
        <f t="shared" si="62"/>
        <v>0.86470852627420947</v>
      </c>
      <c r="BO80" s="56">
        <f t="shared" si="50"/>
        <v>3</v>
      </c>
      <c r="BQ80" s="18">
        <f t="shared" si="63"/>
        <v>4.1323834819397174</v>
      </c>
      <c r="BR80" s="18">
        <f t="shared" si="63"/>
        <v>1.5386089810841317</v>
      </c>
      <c r="BS80" s="18">
        <f t="shared" si="63"/>
        <v>0.86470852627420947</v>
      </c>
      <c r="BT80" s="56">
        <f t="shared" si="51"/>
        <v>3</v>
      </c>
      <c r="BV80" s="18">
        <f t="shared" si="64"/>
        <v>4.1323834819397174</v>
      </c>
      <c r="BW80" s="18">
        <f t="shared" si="64"/>
        <v>1.5386089810841317</v>
      </c>
      <c r="BX80" s="18">
        <f t="shared" si="64"/>
        <v>0.86470852627420947</v>
      </c>
      <c r="BY80" s="56">
        <f t="shared" si="52"/>
        <v>3</v>
      </c>
      <c r="CA80" s="18">
        <f t="shared" si="65"/>
        <v>4.1323834819397174</v>
      </c>
      <c r="CB80" s="18">
        <f t="shared" si="65"/>
        <v>1.5386089810841317</v>
      </c>
      <c r="CC80" s="18">
        <f t="shared" si="65"/>
        <v>0.86470852627420947</v>
      </c>
      <c r="CD80" s="56">
        <f t="shared" si="53"/>
        <v>3</v>
      </c>
    </row>
    <row r="81" spans="1:82" x14ac:dyDescent="0.25">
      <c r="A81" s="36" t="str">
        <f>KMeans_Data!A63</f>
        <v>Bahawalpur</v>
      </c>
      <c r="B81" s="18">
        <f>KMeans_Data!H63</f>
        <v>5.9587915640307559E-3</v>
      </c>
      <c r="C81" s="18">
        <f>KMeans_Data!I63</f>
        <v>-0.67265054538827607</v>
      </c>
      <c r="D81" s="18">
        <f>KMeans_Data!J63</f>
        <v>-0.39984522290956798</v>
      </c>
      <c r="E81" s="56">
        <f t="shared" si="39"/>
        <v>2</v>
      </c>
      <c r="F81" s="38">
        <f t="shared" si="40"/>
        <v>0.53357948075499029</v>
      </c>
      <c r="G81" s="13" t="str">
        <f t="shared" si="41"/>
        <v>Low burden</v>
      </c>
      <c r="H81" s="18">
        <f>IF(COUNTIF(Distance_Matrix!$E$9:$DQ$9,$E81)&lt;=1,0,SUMIF(Distance_Matrix!$E$9:$DQ$9,$E81,Distance_Matrix!$E$72:$DQ$72)/(COUNTIF(Distance_Matrix!$E$9:$DQ$9,$E81)-1))</f>
        <v>0.998844394370625</v>
      </c>
      <c r="I81" s="18">
        <f>MIN(IF(1=$E81,1E+99,IF(COUNTIF(Distance_Matrix!$E$9:$DQ$9,1)=0,1E+99,SUMIF(Distance_Matrix!$E$9:$DQ$9,1,Distance_Matrix!$E$72:$DQ$72)/COUNTIF(Distance_Matrix!$E$9:$DQ$9,1))),IF(2=$E81,1E+99,IF(COUNTIF(Distance_Matrix!$E$9:$DQ$9,2)=0,1E+99,SUMIF(Distance_Matrix!$E$9:$DQ$9,2,Distance_Matrix!$E$72:$DQ$72)/COUNTIF(Distance_Matrix!$E$9:$DQ$9,2))),IF(3=$E81,1E+99,IF(COUNTIF(Distance_Matrix!$E$9:$DQ$9,3)=0,1E+99,SUMIF(Distance_Matrix!$E$9:$DQ$9,3,Distance_Matrix!$E$72:$DQ$72)/COUNTIF(Distance_Matrix!$E$9:$DQ$9,3))))</f>
        <v>1.7914651580121299</v>
      </c>
      <c r="J81" s="18">
        <f>IF(COUNTIF(Distance_Matrix!$E$9:$DQ$9,$E81)&lt;=1,0,(I81-H81)/MAX(H81,I81))</f>
        <v>0.44244274587010313</v>
      </c>
      <c r="X81" s="18">
        <f t="shared" si="54"/>
        <v>6.798642989836301</v>
      </c>
      <c r="Y81" s="18">
        <f t="shared" si="54"/>
        <v>2.215027543816884</v>
      </c>
      <c r="Z81" s="18">
        <f t="shared" si="54"/>
        <v>2.3805209943410395</v>
      </c>
      <c r="AA81" s="56">
        <f t="shared" si="42"/>
        <v>2</v>
      </c>
      <c r="AC81" s="18">
        <f t="shared" si="55"/>
        <v>5.8054821585145424</v>
      </c>
      <c r="AD81" s="18">
        <f t="shared" si="55"/>
        <v>0.881047045224012</v>
      </c>
      <c r="AE81" s="18">
        <f t="shared" si="55"/>
        <v>1.5086661257986427</v>
      </c>
      <c r="AF81" s="56">
        <f t="shared" si="43"/>
        <v>2</v>
      </c>
      <c r="AH81" s="18">
        <f t="shared" si="56"/>
        <v>5.1686590916003823</v>
      </c>
      <c r="AI81" s="18">
        <f t="shared" si="56"/>
        <v>0.74002724347438964</v>
      </c>
      <c r="AJ81" s="18">
        <f t="shared" si="56"/>
        <v>1.6243031884873464</v>
      </c>
      <c r="AK81" s="56">
        <f t="shared" si="44"/>
        <v>2</v>
      </c>
      <c r="AM81" s="18">
        <f t="shared" si="57"/>
        <v>5.1686590916003823</v>
      </c>
      <c r="AN81" s="18">
        <f t="shared" si="57"/>
        <v>0.73046524951909264</v>
      </c>
      <c r="AO81" s="18">
        <f t="shared" si="57"/>
        <v>1.6459171669571837</v>
      </c>
      <c r="AP81" s="56">
        <f t="shared" si="45"/>
        <v>2</v>
      </c>
      <c r="AR81" s="18">
        <f t="shared" si="58"/>
        <v>5.1686590916003823</v>
      </c>
      <c r="AS81" s="18">
        <f t="shared" si="58"/>
        <v>0.73046524951909264</v>
      </c>
      <c r="AT81" s="18">
        <f t="shared" si="58"/>
        <v>1.6459171669571837</v>
      </c>
      <c r="AU81" s="56">
        <f t="shared" si="46"/>
        <v>2</v>
      </c>
      <c r="AW81" s="18">
        <f t="shared" si="59"/>
        <v>5.1686590916003823</v>
      </c>
      <c r="AX81" s="18">
        <f t="shared" si="59"/>
        <v>0.73046524951909264</v>
      </c>
      <c r="AY81" s="18">
        <f t="shared" si="59"/>
        <v>1.6459171669571837</v>
      </c>
      <c r="AZ81" s="56">
        <f t="shared" si="47"/>
        <v>2</v>
      </c>
      <c r="BB81" s="18">
        <f t="shared" si="60"/>
        <v>5.1686590916003823</v>
      </c>
      <c r="BC81" s="18">
        <f t="shared" si="60"/>
        <v>0.73046524951909264</v>
      </c>
      <c r="BD81" s="18">
        <f t="shared" si="60"/>
        <v>1.6459171669571837</v>
      </c>
      <c r="BE81" s="56">
        <f t="shared" si="48"/>
        <v>2</v>
      </c>
      <c r="BG81" s="18">
        <f t="shared" si="61"/>
        <v>5.1686590916003823</v>
      </c>
      <c r="BH81" s="18">
        <f t="shared" si="61"/>
        <v>0.73046524951909264</v>
      </c>
      <c r="BI81" s="18">
        <f t="shared" si="61"/>
        <v>1.6459171669571837</v>
      </c>
      <c r="BJ81" s="56">
        <f t="shared" si="49"/>
        <v>2</v>
      </c>
      <c r="BL81" s="18">
        <f t="shared" si="62"/>
        <v>5.1686590916003823</v>
      </c>
      <c r="BM81" s="18">
        <f t="shared" si="62"/>
        <v>0.73046524951909264</v>
      </c>
      <c r="BN81" s="18">
        <f t="shared" si="62"/>
        <v>1.6459171669571837</v>
      </c>
      <c r="BO81" s="56">
        <f t="shared" si="50"/>
        <v>2</v>
      </c>
      <c r="BQ81" s="18">
        <f t="shared" si="63"/>
        <v>5.1686590916003823</v>
      </c>
      <c r="BR81" s="18">
        <f t="shared" si="63"/>
        <v>0.73046524951909264</v>
      </c>
      <c r="BS81" s="18">
        <f t="shared" si="63"/>
        <v>1.6459171669571837</v>
      </c>
      <c r="BT81" s="56">
        <f t="shared" si="51"/>
        <v>2</v>
      </c>
      <c r="BV81" s="18">
        <f t="shared" si="64"/>
        <v>5.1686590916003823</v>
      </c>
      <c r="BW81" s="18">
        <f t="shared" si="64"/>
        <v>0.73046524951909264</v>
      </c>
      <c r="BX81" s="18">
        <f t="shared" si="64"/>
        <v>1.6459171669571837</v>
      </c>
      <c r="BY81" s="56">
        <f t="shared" si="52"/>
        <v>2</v>
      </c>
      <c r="CA81" s="18">
        <f t="shared" si="65"/>
        <v>5.1686590916003823</v>
      </c>
      <c r="CB81" s="18">
        <f t="shared" si="65"/>
        <v>0.73046524951909264</v>
      </c>
      <c r="CC81" s="18">
        <f t="shared" si="65"/>
        <v>1.6459171669571837</v>
      </c>
      <c r="CD81" s="56">
        <f t="shared" si="53"/>
        <v>2</v>
      </c>
    </row>
    <row r="82" spans="1:82" x14ac:dyDescent="0.25">
      <c r="A82" s="36" t="str">
        <f>KMeans_Data!A64</f>
        <v>Dadu</v>
      </c>
      <c r="B82" s="18">
        <f>KMeans_Data!H64</f>
        <v>-3.5913849611856918E-3</v>
      </c>
      <c r="C82" s="18">
        <f>KMeans_Data!I64</f>
        <v>-0.67265054538827607</v>
      </c>
      <c r="D82" s="18">
        <f>KMeans_Data!J64</f>
        <v>0.36412819234159388</v>
      </c>
      <c r="E82" s="56">
        <f t="shared" si="39"/>
        <v>3</v>
      </c>
      <c r="F82" s="38">
        <f t="shared" si="40"/>
        <v>1.621019982611728</v>
      </c>
      <c r="G82" s="13" t="str">
        <f t="shared" si="41"/>
        <v>Medium burden</v>
      </c>
      <c r="H82" s="18">
        <f>IF(COUNTIF(Distance_Matrix!$E$9:$DQ$9,$E82)&lt;=1,0,SUMIF(Distance_Matrix!$E$9:$DQ$9,$E82,Distance_Matrix!$E$73:$DQ$73)/(COUNTIF(Distance_Matrix!$E$9:$DQ$9,$E82)-1))</f>
        <v>1.4635168910972594</v>
      </c>
      <c r="I82" s="18">
        <f>MIN(IF(1=$E82,1E+99,IF(COUNTIF(Distance_Matrix!$E$9:$DQ$9,1)=0,1E+99,SUMIF(Distance_Matrix!$E$9:$DQ$9,1,Distance_Matrix!$E$73:$DQ$73)/COUNTIF(Distance_Matrix!$E$9:$DQ$9,1))),IF(2=$E82,1E+99,IF(COUNTIF(Distance_Matrix!$E$9:$DQ$9,2)=0,1E+99,SUMIF(Distance_Matrix!$E$9:$DQ$9,2,Distance_Matrix!$E$73:$DQ$73)/COUNTIF(Distance_Matrix!$E$9:$DQ$9,2))),IF(3=$E82,1E+99,IF(COUNTIF(Distance_Matrix!$E$9:$DQ$9,3)=0,1E+99,SUMIF(Distance_Matrix!$E$9:$DQ$9,3,Distance_Matrix!$E$73:$DQ$73)/COUNTIF(Distance_Matrix!$E$9:$DQ$9,3))))</f>
        <v>1.4069357008458403</v>
      </c>
      <c r="J82" s="18">
        <f>IF(COUNTIF(Distance_Matrix!$E$9:$DQ$9,$E82)&lt;=1,0,(I82-H82)/MAX(H82,I82))</f>
        <v>-3.8661111870733372E-2</v>
      </c>
      <c r="X82" s="18">
        <f t="shared" si="54"/>
        <v>6.425480929982732</v>
      </c>
      <c r="Y82" s="18">
        <f t="shared" si="54"/>
        <v>2.5670600140280122</v>
      </c>
      <c r="Z82" s="18">
        <f t="shared" si="54"/>
        <v>1.8473451558485976</v>
      </c>
      <c r="AA82" s="56">
        <f t="shared" si="42"/>
        <v>3</v>
      </c>
      <c r="AC82" s="18">
        <f t="shared" si="55"/>
        <v>5.4709147139321752</v>
      </c>
      <c r="AD82" s="18">
        <f t="shared" si="55"/>
        <v>1.4131712495670152</v>
      </c>
      <c r="AE82" s="18">
        <f t="shared" si="55"/>
        <v>1.1663378710212515</v>
      </c>
      <c r="AF82" s="56">
        <f t="shared" si="43"/>
        <v>3</v>
      </c>
      <c r="AH82" s="18">
        <f t="shared" si="56"/>
        <v>4.8376485359484329</v>
      </c>
      <c r="AI82" s="18">
        <f t="shared" si="56"/>
        <v>1.2895636779422048</v>
      </c>
      <c r="AJ82" s="18">
        <f t="shared" si="56"/>
        <v>1.25199364542669</v>
      </c>
      <c r="AK82" s="56">
        <f t="shared" si="44"/>
        <v>3</v>
      </c>
      <c r="AM82" s="18">
        <f t="shared" si="57"/>
        <v>4.8376485359484329</v>
      </c>
      <c r="AN82" s="18">
        <f t="shared" si="57"/>
        <v>1.2756484817603595</v>
      </c>
      <c r="AO82" s="18">
        <f t="shared" si="57"/>
        <v>1.2731928300975182</v>
      </c>
      <c r="AP82" s="56">
        <f t="shared" si="45"/>
        <v>3</v>
      </c>
      <c r="AR82" s="18">
        <f t="shared" si="58"/>
        <v>4.8376485359484329</v>
      </c>
      <c r="AS82" s="18">
        <f t="shared" si="58"/>
        <v>1.2756484817603595</v>
      </c>
      <c r="AT82" s="18">
        <f t="shared" si="58"/>
        <v>1.2731928300975182</v>
      </c>
      <c r="AU82" s="56">
        <f t="shared" si="46"/>
        <v>3</v>
      </c>
      <c r="AW82" s="18">
        <f t="shared" si="59"/>
        <v>4.8376485359484329</v>
      </c>
      <c r="AX82" s="18">
        <f t="shared" si="59"/>
        <v>1.2756484817603595</v>
      </c>
      <c r="AY82" s="18">
        <f t="shared" si="59"/>
        <v>1.2731928300975182</v>
      </c>
      <c r="AZ82" s="56">
        <f t="shared" si="47"/>
        <v>3</v>
      </c>
      <c r="BB82" s="18">
        <f t="shared" si="60"/>
        <v>4.8376485359484329</v>
      </c>
      <c r="BC82" s="18">
        <f t="shared" si="60"/>
        <v>1.2756484817603595</v>
      </c>
      <c r="BD82" s="18">
        <f t="shared" si="60"/>
        <v>1.2731928300975182</v>
      </c>
      <c r="BE82" s="56">
        <f t="shared" si="48"/>
        <v>3</v>
      </c>
      <c r="BG82" s="18">
        <f t="shared" si="61"/>
        <v>4.8376485359484329</v>
      </c>
      <c r="BH82" s="18">
        <f t="shared" si="61"/>
        <v>1.2756484817603595</v>
      </c>
      <c r="BI82" s="18">
        <f t="shared" si="61"/>
        <v>1.2731928300975182</v>
      </c>
      <c r="BJ82" s="56">
        <f t="shared" si="49"/>
        <v>3</v>
      </c>
      <c r="BL82" s="18">
        <f t="shared" si="62"/>
        <v>4.8376485359484329</v>
      </c>
      <c r="BM82" s="18">
        <f t="shared" si="62"/>
        <v>1.2756484817603595</v>
      </c>
      <c r="BN82" s="18">
        <f t="shared" si="62"/>
        <v>1.2731928300975182</v>
      </c>
      <c r="BO82" s="56">
        <f t="shared" si="50"/>
        <v>3</v>
      </c>
      <c r="BQ82" s="18">
        <f t="shared" si="63"/>
        <v>4.8376485359484329</v>
      </c>
      <c r="BR82" s="18">
        <f t="shared" si="63"/>
        <v>1.2756484817603595</v>
      </c>
      <c r="BS82" s="18">
        <f t="shared" si="63"/>
        <v>1.2731928300975182</v>
      </c>
      <c r="BT82" s="56">
        <f t="shared" si="51"/>
        <v>3</v>
      </c>
      <c r="BV82" s="18">
        <f t="shared" si="64"/>
        <v>4.8376485359484329</v>
      </c>
      <c r="BW82" s="18">
        <f t="shared" si="64"/>
        <v>1.2756484817603595</v>
      </c>
      <c r="BX82" s="18">
        <f t="shared" si="64"/>
        <v>1.2731928300975182</v>
      </c>
      <c r="BY82" s="56">
        <f t="shared" si="52"/>
        <v>3</v>
      </c>
      <c r="CA82" s="18">
        <f t="shared" si="65"/>
        <v>4.8376485359484329</v>
      </c>
      <c r="CB82" s="18">
        <f t="shared" si="65"/>
        <v>1.2756484817603595</v>
      </c>
      <c r="CC82" s="18">
        <f t="shared" si="65"/>
        <v>1.2731928300975182</v>
      </c>
      <c r="CD82" s="56">
        <f t="shared" si="53"/>
        <v>3</v>
      </c>
    </row>
    <row r="83" spans="1:82" x14ac:dyDescent="0.25">
      <c r="A83" s="36" t="str">
        <f>KMeans_Data!A65</f>
        <v>Other</v>
      </c>
      <c r="B83" s="18">
        <f>KMeans_Data!H65</f>
        <v>-3.3340625617315857E-2</v>
      </c>
      <c r="C83" s="18">
        <f>KMeans_Data!I65</f>
        <v>0.54791138584450239</v>
      </c>
      <c r="D83" s="18">
        <f>KMeans_Data!J65</f>
        <v>0.50187184530158635</v>
      </c>
      <c r="E83" s="56">
        <f t="shared" si="39"/>
        <v>3</v>
      </c>
      <c r="F83" s="38">
        <f t="shared" si="40"/>
        <v>0.36580243047097788</v>
      </c>
      <c r="G83" s="13" t="str">
        <f t="shared" si="41"/>
        <v>Medium burden</v>
      </c>
      <c r="H83" s="18">
        <f>IF(COUNTIF(Distance_Matrix!$E$9:$DQ$9,$E83)&lt;=1,0,SUMIF(Distance_Matrix!$E$9:$DQ$9,$E83,Distance_Matrix!$E$74:$DQ$74)/(COUNTIF(Distance_Matrix!$E$9:$DQ$9,$E83)-1))</f>
        <v>1.0619856552484996</v>
      </c>
      <c r="I83" s="18">
        <f>MIN(IF(1=$E83,1E+99,IF(COUNTIF(Distance_Matrix!$E$9:$DQ$9,1)=0,1E+99,SUMIF(Distance_Matrix!$E$9:$DQ$9,1,Distance_Matrix!$E$74:$DQ$74)/COUNTIF(Distance_Matrix!$E$9:$DQ$9,1))),IF(2=$E83,1E+99,IF(COUNTIF(Distance_Matrix!$E$9:$DQ$9,2)=0,1E+99,SUMIF(Distance_Matrix!$E$9:$DQ$9,2,Distance_Matrix!$E$74:$DQ$74)/COUNTIF(Distance_Matrix!$E$9:$DQ$9,2))),IF(3=$E83,1E+99,IF(COUNTIF(Distance_Matrix!$E$9:$DQ$9,3)=0,1E+99,SUMIF(Distance_Matrix!$E$9:$DQ$9,3,Distance_Matrix!$E$74:$DQ$74)/COUNTIF(Distance_Matrix!$E$9:$DQ$9,3))))</f>
        <v>1.9363508156675124</v>
      </c>
      <c r="J83" s="18">
        <f>IF(COUNTIF(Distance_Matrix!$E$9:$DQ$9,$E83)&lt;=1,0,(I83-H83)/MAX(H83,I83))</f>
        <v>0.45155307258596916</v>
      </c>
      <c r="X83" s="18">
        <f t="shared" ref="X83:Z102" si="66">SQRT(($B83-X$16)^2+($C83-X$17)^2+($D83-X$18)^2)</f>
        <v>5.5402469095381823</v>
      </c>
      <c r="Y83" s="18">
        <f t="shared" si="66"/>
        <v>2.8968642376235647</v>
      </c>
      <c r="Z83" s="18">
        <f t="shared" si="66"/>
        <v>1.4536312781079959</v>
      </c>
      <c r="AA83" s="56">
        <f t="shared" si="42"/>
        <v>3</v>
      </c>
      <c r="AC83" s="18">
        <f t="shared" ref="AC83:AE102" si="67">SQRT(($B83-AC$16)^2+($C83-AC$17)^2+($D83-AC$18)^2)</f>
        <v>4.5613339227977097</v>
      </c>
      <c r="AD83" s="18">
        <f t="shared" si="67"/>
        <v>1.9282391821174889</v>
      </c>
      <c r="AE83" s="18">
        <f t="shared" si="67"/>
        <v>0.58361121324081133</v>
      </c>
      <c r="AF83" s="56">
        <f t="shared" si="43"/>
        <v>3</v>
      </c>
      <c r="AH83" s="18">
        <f t="shared" ref="AH83:AJ102" si="68">SQRT(($B83-AH$16)^2+($C83-AH$17)^2+($D83-AH$18)^2)</f>
        <v>3.9310099471759026</v>
      </c>
      <c r="AI83" s="18">
        <f t="shared" si="68"/>
        <v>1.8274867534670713</v>
      </c>
      <c r="AJ83" s="18">
        <f t="shared" si="68"/>
        <v>0.58590615930025536</v>
      </c>
      <c r="AK83" s="56">
        <f t="shared" si="44"/>
        <v>3</v>
      </c>
      <c r="AM83" s="18">
        <f t="shared" ref="AM83:AO102" si="69">SQRT(($B83-AM$16)^2+($C83-AM$17)^2+($D83-AM$18)^2)</f>
        <v>3.9310099471759026</v>
      </c>
      <c r="AN83" s="18">
        <f t="shared" si="69"/>
        <v>1.8115177781043308</v>
      </c>
      <c r="AO83" s="18">
        <f t="shared" si="69"/>
        <v>0.60481603026951747</v>
      </c>
      <c r="AP83" s="56">
        <f t="shared" si="45"/>
        <v>3</v>
      </c>
      <c r="AR83" s="18">
        <f t="shared" ref="AR83:AT102" si="70">SQRT(($B83-AR$16)^2+($C83-AR$17)^2+($D83-AR$18)^2)</f>
        <v>3.9310099471759026</v>
      </c>
      <c r="AS83" s="18">
        <f t="shared" si="70"/>
        <v>1.8115177781043308</v>
      </c>
      <c r="AT83" s="18">
        <f t="shared" si="70"/>
        <v>0.60481603026951747</v>
      </c>
      <c r="AU83" s="56">
        <f t="shared" si="46"/>
        <v>3</v>
      </c>
      <c r="AW83" s="18">
        <f t="shared" ref="AW83:AY102" si="71">SQRT(($B83-AW$16)^2+($C83-AW$17)^2+($D83-AW$18)^2)</f>
        <v>3.9310099471759026</v>
      </c>
      <c r="AX83" s="18">
        <f t="shared" si="71"/>
        <v>1.8115177781043308</v>
      </c>
      <c r="AY83" s="18">
        <f t="shared" si="71"/>
        <v>0.60481603026951747</v>
      </c>
      <c r="AZ83" s="56">
        <f t="shared" si="47"/>
        <v>3</v>
      </c>
      <c r="BB83" s="18">
        <f t="shared" ref="BB83:BD102" si="72">SQRT(($B83-BB$16)^2+($C83-BB$17)^2+($D83-BB$18)^2)</f>
        <v>3.9310099471759026</v>
      </c>
      <c r="BC83" s="18">
        <f t="shared" si="72"/>
        <v>1.8115177781043308</v>
      </c>
      <c r="BD83" s="18">
        <f t="shared" si="72"/>
        <v>0.60481603026951747</v>
      </c>
      <c r="BE83" s="56">
        <f t="shared" si="48"/>
        <v>3</v>
      </c>
      <c r="BG83" s="18">
        <f t="shared" ref="BG83:BI102" si="73">SQRT(($B83-BG$16)^2+($C83-BG$17)^2+($D83-BG$18)^2)</f>
        <v>3.9310099471759026</v>
      </c>
      <c r="BH83" s="18">
        <f t="shared" si="73"/>
        <v>1.8115177781043308</v>
      </c>
      <c r="BI83" s="18">
        <f t="shared" si="73"/>
        <v>0.60481603026951747</v>
      </c>
      <c r="BJ83" s="56">
        <f t="shared" si="49"/>
        <v>3</v>
      </c>
      <c r="BL83" s="18">
        <f t="shared" ref="BL83:BN102" si="74">SQRT(($B83-BL$16)^2+($C83-BL$17)^2+($D83-BL$18)^2)</f>
        <v>3.9310099471759026</v>
      </c>
      <c r="BM83" s="18">
        <f t="shared" si="74"/>
        <v>1.8115177781043308</v>
      </c>
      <c r="BN83" s="18">
        <f t="shared" si="74"/>
        <v>0.60481603026951747</v>
      </c>
      <c r="BO83" s="56">
        <f t="shared" si="50"/>
        <v>3</v>
      </c>
      <c r="BQ83" s="18">
        <f t="shared" ref="BQ83:BS102" si="75">SQRT(($B83-BQ$16)^2+($C83-BQ$17)^2+($D83-BQ$18)^2)</f>
        <v>3.9310099471759026</v>
      </c>
      <c r="BR83" s="18">
        <f t="shared" si="75"/>
        <v>1.8115177781043308</v>
      </c>
      <c r="BS83" s="18">
        <f t="shared" si="75"/>
        <v>0.60481603026951747</v>
      </c>
      <c r="BT83" s="56">
        <f t="shared" si="51"/>
        <v>3</v>
      </c>
      <c r="BV83" s="18">
        <f t="shared" ref="BV83:BX102" si="76">SQRT(($B83-BV$16)^2+($C83-BV$17)^2+($D83-BV$18)^2)</f>
        <v>3.9310099471759026</v>
      </c>
      <c r="BW83" s="18">
        <f t="shared" si="76"/>
        <v>1.8115177781043308</v>
      </c>
      <c r="BX83" s="18">
        <f t="shared" si="76"/>
        <v>0.60481603026951747</v>
      </c>
      <c r="BY83" s="56">
        <f t="shared" si="52"/>
        <v>3</v>
      </c>
      <c r="CA83" s="18">
        <f t="shared" ref="CA83:CC102" si="77">SQRT(($B83-CA$16)^2+($C83-CA$17)^2+($D83-CA$18)^2)</f>
        <v>3.9310099471759026</v>
      </c>
      <c r="CB83" s="18">
        <f t="shared" si="77"/>
        <v>1.8115177781043308</v>
      </c>
      <c r="CC83" s="18">
        <f t="shared" si="77"/>
        <v>0.60481603026951747</v>
      </c>
      <c r="CD83" s="56">
        <f t="shared" si="53"/>
        <v>3</v>
      </c>
    </row>
    <row r="84" spans="1:82" x14ac:dyDescent="0.25">
      <c r="A84" s="36" t="str">
        <f>KMeans_Data!A66</f>
        <v>Thatta</v>
      </c>
      <c r="B84" s="18">
        <f>KMeans_Data!H66</f>
        <v>-4.3647299394291184E-2</v>
      </c>
      <c r="C84" s="18">
        <f>KMeans_Data!I66</f>
        <v>0.16051258962499582</v>
      </c>
      <c r="D84" s="18">
        <f>KMeans_Data!J66</f>
        <v>4.2930091906806002E-2</v>
      </c>
      <c r="E84" s="56">
        <f t="shared" si="39"/>
        <v>3</v>
      </c>
      <c r="F84" s="38">
        <f t="shared" si="40"/>
        <v>0.83317021850674189</v>
      </c>
      <c r="G84" s="13" t="str">
        <f t="shared" si="41"/>
        <v>Medium burden</v>
      </c>
      <c r="H84" s="18">
        <f>IF(COUNTIF(Distance_Matrix!$E$9:$DQ$9,$E84)&lt;=1,0,SUMIF(Distance_Matrix!$E$9:$DQ$9,$E84,Distance_Matrix!$E$75:$DQ$75)/(COUNTIF(Distance_Matrix!$E$9:$DQ$9,$E84)-1))</f>
        <v>1.2215383632605836</v>
      </c>
      <c r="I84" s="18">
        <f>MIN(IF(1=$E84,1E+99,IF(COUNTIF(Distance_Matrix!$E$9:$DQ$9,1)=0,1E+99,SUMIF(Distance_Matrix!$E$9:$DQ$9,1,Distance_Matrix!$E$75:$DQ$75)/COUNTIF(Distance_Matrix!$E$9:$DQ$9,1))),IF(2=$E84,1E+99,IF(COUNTIF(Distance_Matrix!$E$9:$DQ$9,2)=0,1E+99,SUMIF(Distance_Matrix!$E$9:$DQ$9,2,Distance_Matrix!$E$75:$DQ$75)/COUNTIF(Distance_Matrix!$E$9:$DQ$9,2))),IF(3=$E84,1E+99,IF(COUNTIF(Distance_Matrix!$E$9:$DQ$9,3)=0,1E+99,SUMIF(Distance_Matrix!$E$9:$DQ$9,3,Distance_Matrix!$E$75:$DQ$75)/COUNTIF(Distance_Matrix!$E$9:$DQ$9,3))))</f>
        <v>1.4303866301618138</v>
      </c>
      <c r="J84" s="18">
        <f>IF(COUNTIF(Distance_Matrix!$E$9:$DQ$9,$E84)&lt;=1,0,(I84-H84)/MAX(H84,I84))</f>
        <v>0.1460082627293601</v>
      </c>
      <c r="X84" s="18">
        <f t="shared" si="66"/>
        <v>6.0293492978854237</v>
      </c>
      <c r="Y84" s="18">
        <f t="shared" si="66"/>
        <v>2.5005068936182209</v>
      </c>
      <c r="Z84" s="18">
        <f t="shared" si="66"/>
        <v>1.8038318241503604</v>
      </c>
      <c r="AA84" s="56">
        <f t="shared" si="42"/>
        <v>3</v>
      </c>
      <c r="AC84" s="18">
        <f t="shared" si="67"/>
        <v>5.034279092308946</v>
      </c>
      <c r="AD84" s="18">
        <f t="shared" si="67"/>
        <v>1.3862086381657113</v>
      </c>
      <c r="AE84" s="18">
        <f t="shared" si="67"/>
        <v>0.79920214491793728</v>
      </c>
      <c r="AF84" s="56">
        <f t="shared" si="43"/>
        <v>3</v>
      </c>
      <c r="AH84" s="18">
        <f t="shared" si="68"/>
        <v>4.3990376426070368</v>
      </c>
      <c r="AI84" s="18">
        <f t="shared" si="68"/>
        <v>1.2730679283630522</v>
      </c>
      <c r="AJ84" s="18">
        <f t="shared" si="68"/>
        <v>0.88912352179030851</v>
      </c>
      <c r="AK84" s="56">
        <f t="shared" si="44"/>
        <v>3</v>
      </c>
      <c r="AM84" s="18">
        <f t="shared" si="69"/>
        <v>4.3990376426070368</v>
      </c>
      <c r="AN84" s="18">
        <f t="shared" si="69"/>
        <v>1.2576372836418015</v>
      </c>
      <c r="AO84" s="18">
        <f t="shared" si="69"/>
        <v>0.91278158313297597</v>
      </c>
      <c r="AP84" s="56">
        <f t="shared" si="45"/>
        <v>3</v>
      </c>
      <c r="AR84" s="18">
        <f t="shared" si="70"/>
        <v>4.3990376426070368</v>
      </c>
      <c r="AS84" s="18">
        <f t="shared" si="70"/>
        <v>1.2576372836418015</v>
      </c>
      <c r="AT84" s="18">
        <f t="shared" si="70"/>
        <v>0.91278158313297597</v>
      </c>
      <c r="AU84" s="56">
        <f t="shared" si="46"/>
        <v>3</v>
      </c>
      <c r="AW84" s="18">
        <f t="shared" si="71"/>
        <v>4.3990376426070368</v>
      </c>
      <c r="AX84" s="18">
        <f t="shared" si="71"/>
        <v>1.2576372836418015</v>
      </c>
      <c r="AY84" s="18">
        <f t="shared" si="71"/>
        <v>0.91278158313297597</v>
      </c>
      <c r="AZ84" s="56">
        <f t="shared" si="47"/>
        <v>3</v>
      </c>
      <c r="BB84" s="18">
        <f t="shared" si="72"/>
        <v>4.3990376426070368</v>
      </c>
      <c r="BC84" s="18">
        <f t="shared" si="72"/>
        <v>1.2576372836418015</v>
      </c>
      <c r="BD84" s="18">
        <f t="shared" si="72"/>
        <v>0.91278158313297597</v>
      </c>
      <c r="BE84" s="56">
        <f t="shared" si="48"/>
        <v>3</v>
      </c>
      <c r="BG84" s="18">
        <f t="shared" si="73"/>
        <v>4.3990376426070368</v>
      </c>
      <c r="BH84" s="18">
        <f t="shared" si="73"/>
        <v>1.2576372836418015</v>
      </c>
      <c r="BI84" s="18">
        <f t="shared" si="73"/>
        <v>0.91278158313297597</v>
      </c>
      <c r="BJ84" s="56">
        <f t="shared" si="49"/>
        <v>3</v>
      </c>
      <c r="BL84" s="18">
        <f t="shared" si="74"/>
        <v>4.3990376426070368</v>
      </c>
      <c r="BM84" s="18">
        <f t="shared" si="74"/>
        <v>1.2576372836418015</v>
      </c>
      <c r="BN84" s="18">
        <f t="shared" si="74"/>
        <v>0.91278158313297597</v>
      </c>
      <c r="BO84" s="56">
        <f t="shared" si="50"/>
        <v>3</v>
      </c>
      <c r="BQ84" s="18">
        <f t="shared" si="75"/>
        <v>4.3990376426070368</v>
      </c>
      <c r="BR84" s="18">
        <f t="shared" si="75"/>
        <v>1.2576372836418015</v>
      </c>
      <c r="BS84" s="18">
        <f t="shared" si="75"/>
        <v>0.91278158313297597</v>
      </c>
      <c r="BT84" s="56">
        <f t="shared" si="51"/>
        <v>3</v>
      </c>
      <c r="BV84" s="18">
        <f t="shared" si="76"/>
        <v>4.3990376426070368</v>
      </c>
      <c r="BW84" s="18">
        <f t="shared" si="76"/>
        <v>1.2576372836418015</v>
      </c>
      <c r="BX84" s="18">
        <f t="shared" si="76"/>
        <v>0.91278158313297597</v>
      </c>
      <c r="BY84" s="56">
        <f t="shared" si="52"/>
        <v>3</v>
      </c>
      <c r="CA84" s="18">
        <f t="shared" si="77"/>
        <v>4.3990376426070368</v>
      </c>
      <c r="CB84" s="18">
        <f t="shared" si="77"/>
        <v>1.2576372836418015</v>
      </c>
      <c r="CC84" s="18">
        <f t="shared" si="77"/>
        <v>0.91278158313297597</v>
      </c>
      <c r="CD84" s="56">
        <f t="shared" si="53"/>
        <v>3</v>
      </c>
    </row>
    <row r="85" spans="1:82" x14ac:dyDescent="0.25">
      <c r="A85" s="36" t="str">
        <f>KMeans_Data!A67</f>
        <v>Hafizabad</v>
      </c>
      <c r="B85" s="18">
        <f>KMeans_Data!H67</f>
        <v>-6.4893923599903938E-2</v>
      </c>
      <c r="C85" s="18">
        <f>KMeans_Data!I67</f>
        <v>-0.67265054538827607</v>
      </c>
      <c r="D85" s="18">
        <f>KMeans_Data!J67</f>
        <v>-0.82444601589876665</v>
      </c>
      <c r="E85" s="56">
        <f t="shared" si="39"/>
        <v>2</v>
      </c>
      <c r="F85" s="38">
        <f t="shared" si="40"/>
        <v>0.33742692296672816</v>
      </c>
      <c r="G85" s="13" t="str">
        <f t="shared" si="41"/>
        <v>Low burden</v>
      </c>
      <c r="H85" s="18">
        <f>IF(COUNTIF(Distance_Matrix!$E$9:$DQ$9,$E85)&lt;=1,0,SUMIF(Distance_Matrix!$E$9:$DQ$9,$E85,Distance_Matrix!$E$76:$DQ$76)/(COUNTIF(Distance_Matrix!$E$9:$DQ$9,$E85)-1))</f>
        <v>0.92000782878827514</v>
      </c>
      <c r="I85" s="18">
        <f>MIN(IF(1=$E85,1E+99,IF(COUNTIF(Distance_Matrix!$E$9:$DQ$9,1)=0,1E+99,SUMIF(Distance_Matrix!$E$9:$DQ$9,1,Distance_Matrix!$E$76:$DQ$76)/COUNTIF(Distance_Matrix!$E$9:$DQ$9,1))),IF(2=$E85,1E+99,IF(COUNTIF(Distance_Matrix!$E$9:$DQ$9,2)=0,1E+99,SUMIF(Distance_Matrix!$E$9:$DQ$9,2,Distance_Matrix!$E$76:$DQ$76)/COUNTIF(Distance_Matrix!$E$9:$DQ$9,2))),IF(3=$E85,1E+99,IF(COUNTIF(Distance_Matrix!$E$9:$DQ$9,3)=0,1E+99,SUMIF(Distance_Matrix!$E$9:$DQ$9,3,Distance_Matrix!$E$76:$DQ$76)/COUNTIF(Distance_Matrix!$E$9:$DQ$9,3))))</f>
        <v>2.1015828724545225</v>
      </c>
      <c r="J85" s="18">
        <f>IF(COUNTIF(Distance_Matrix!$E$9:$DQ$9,$E85)&lt;=1,0,(I85-H85)/MAX(H85,I85))</f>
        <v>0.56223100176213303</v>
      </c>
      <c r="X85" s="18">
        <f t="shared" si="66"/>
        <v>7.0690702006543615</v>
      </c>
      <c r="Y85" s="18">
        <f t="shared" si="66"/>
        <v>2.0402854698792918</v>
      </c>
      <c r="Z85" s="18">
        <f t="shared" si="66"/>
        <v>2.7543705577879942</v>
      </c>
      <c r="AA85" s="56">
        <f t="shared" si="42"/>
        <v>2</v>
      </c>
      <c r="AC85" s="18">
        <f t="shared" si="67"/>
        <v>6.0611101237761948</v>
      </c>
      <c r="AD85" s="18">
        <f t="shared" si="67"/>
        <v>0.70010287517727876</v>
      </c>
      <c r="AE85" s="18">
        <f t="shared" si="67"/>
        <v>1.8361402660276567</v>
      </c>
      <c r="AF85" s="56">
        <f t="shared" si="43"/>
        <v>2</v>
      </c>
      <c r="AH85" s="18">
        <f t="shared" si="68"/>
        <v>5.4261367397610059</v>
      </c>
      <c r="AI85" s="18">
        <f t="shared" si="68"/>
        <v>0.58214314996027816</v>
      </c>
      <c r="AJ85" s="18">
        <f t="shared" si="68"/>
        <v>1.9543978655684038</v>
      </c>
      <c r="AK85" s="56">
        <f t="shared" si="44"/>
        <v>2</v>
      </c>
      <c r="AM85" s="18">
        <f t="shared" si="69"/>
        <v>5.4261367397610059</v>
      </c>
      <c r="AN85" s="18">
        <f t="shared" si="69"/>
        <v>0.58088460382999318</v>
      </c>
      <c r="AO85" s="18">
        <f t="shared" si="69"/>
        <v>1.9755453308575928</v>
      </c>
      <c r="AP85" s="56">
        <f t="shared" si="45"/>
        <v>2</v>
      </c>
      <c r="AR85" s="18">
        <f t="shared" si="70"/>
        <v>5.4261367397610059</v>
      </c>
      <c r="AS85" s="18">
        <f t="shared" si="70"/>
        <v>0.58088460382999318</v>
      </c>
      <c r="AT85" s="18">
        <f t="shared" si="70"/>
        <v>1.9755453308575928</v>
      </c>
      <c r="AU85" s="56">
        <f t="shared" si="46"/>
        <v>2</v>
      </c>
      <c r="AW85" s="18">
        <f t="shared" si="71"/>
        <v>5.4261367397610059</v>
      </c>
      <c r="AX85" s="18">
        <f t="shared" si="71"/>
        <v>0.58088460382999318</v>
      </c>
      <c r="AY85" s="18">
        <f t="shared" si="71"/>
        <v>1.9755453308575928</v>
      </c>
      <c r="AZ85" s="56">
        <f t="shared" si="47"/>
        <v>2</v>
      </c>
      <c r="BB85" s="18">
        <f t="shared" si="72"/>
        <v>5.4261367397610059</v>
      </c>
      <c r="BC85" s="18">
        <f t="shared" si="72"/>
        <v>0.58088460382999318</v>
      </c>
      <c r="BD85" s="18">
        <f t="shared" si="72"/>
        <v>1.9755453308575928</v>
      </c>
      <c r="BE85" s="56">
        <f t="shared" si="48"/>
        <v>2</v>
      </c>
      <c r="BG85" s="18">
        <f t="shared" si="73"/>
        <v>5.4261367397610059</v>
      </c>
      <c r="BH85" s="18">
        <f t="shared" si="73"/>
        <v>0.58088460382999318</v>
      </c>
      <c r="BI85" s="18">
        <f t="shared" si="73"/>
        <v>1.9755453308575928</v>
      </c>
      <c r="BJ85" s="56">
        <f t="shared" si="49"/>
        <v>2</v>
      </c>
      <c r="BL85" s="18">
        <f t="shared" si="74"/>
        <v>5.4261367397610059</v>
      </c>
      <c r="BM85" s="18">
        <f t="shared" si="74"/>
        <v>0.58088460382999318</v>
      </c>
      <c r="BN85" s="18">
        <f t="shared" si="74"/>
        <v>1.9755453308575928</v>
      </c>
      <c r="BO85" s="56">
        <f t="shared" si="50"/>
        <v>2</v>
      </c>
      <c r="BQ85" s="18">
        <f t="shared" si="75"/>
        <v>5.4261367397610059</v>
      </c>
      <c r="BR85" s="18">
        <f t="shared" si="75"/>
        <v>0.58088460382999318</v>
      </c>
      <c r="BS85" s="18">
        <f t="shared" si="75"/>
        <v>1.9755453308575928</v>
      </c>
      <c r="BT85" s="56">
        <f t="shared" si="51"/>
        <v>2</v>
      </c>
      <c r="BV85" s="18">
        <f t="shared" si="76"/>
        <v>5.4261367397610059</v>
      </c>
      <c r="BW85" s="18">
        <f t="shared" si="76"/>
        <v>0.58088460382999318</v>
      </c>
      <c r="BX85" s="18">
        <f t="shared" si="76"/>
        <v>1.9755453308575928</v>
      </c>
      <c r="BY85" s="56">
        <f t="shared" si="52"/>
        <v>2</v>
      </c>
      <c r="CA85" s="18">
        <f t="shared" si="77"/>
        <v>5.4261367397610059</v>
      </c>
      <c r="CB85" s="18">
        <f t="shared" si="77"/>
        <v>0.58088460382999318</v>
      </c>
      <c r="CC85" s="18">
        <f t="shared" si="77"/>
        <v>1.9755453308575928</v>
      </c>
      <c r="CD85" s="56">
        <f t="shared" si="53"/>
        <v>2</v>
      </c>
    </row>
    <row r="86" spans="1:82" x14ac:dyDescent="0.25">
      <c r="A86" s="36" t="str">
        <f>KMeans_Data!A68</f>
        <v>Mirpurkhas</v>
      </c>
      <c r="B86" s="18">
        <f>KMeans_Data!H68</f>
        <v>-9.8484288830971004E-2</v>
      </c>
      <c r="C86" s="18">
        <f>KMeans_Data!I68</f>
        <v>0.16051258962499582</v>
      </c>
      <c r="D86" s="18">
        <f>KMeans_Data!J68</f>
        <v>0.26515989636960624</v>
      </c>
      <c r="E86" s="56">
        <f t="shared" si="39"/>
        <v>3</v>
      </c>
      <c r="F86" s="38">
        <f t="shared" si="40"/>
        <v>0.65570502627556704</v>
      </c>
      <c r="G86" s="13" t="str">
        <f t="shared" si="41"/>
        <v>Medium burden</v>
      </c>
      <c r="H86" s="18">
        <f>IF(COUNTIF(Distance_Matrix!$E$9:$DQ$9,$E86)&lt;=1,0,SUMIF(Distance_Matrix!$E$9:$DQ$9,$E86,Distance_Matrix!$E$77:$DQ$77)/(COUNTIF(Distance_Matrix!$E$9:$DQ$9,$E86)-1))</f>
        <v>1.1452203266143266</v>
      </c>
      <c r="I86" s="18">
        <f>MIN(IF(1=$E86,1E+99,IF(COUNTIF(Distance_Matrix!$E$9:$DQ$9,1)=0,1E+99,SUMIF(Distance_Matrix!$E$9:$DQ$9,1,Distance_Matrix!$E$77:$DQ$77)/COUNTIF(Distance_Matrix!$E$9:$DQ$9,1))),IF(2=$E86,1E+99,IF(COUNTIF(Distance_Matrix!$E$9:$DQ$9,2)=0,1E+99,SUMIF(Distance_Matrix!$E$9:$DQ$9,2,Distance_Matrix!$E$77:$DQ$77)/COUNTIF(Distance_Matrix!$E$9:$DQ$9,2))),IF(3=$E86,1E+99,IF(COUNTIF(Distance_Matrix!$E$9:$DQ$9,3)=0,1E+99,SUMIF(Distance_Matrix!$E$9:$DQ$9,3,Distance_Matrix!$E$77:$DQ$77)/COUNTIF(Distance_Matrix!$E$9:$DQ$9,3))))</f>
        <v>1.5379480347960928</v>
      </c>
      <c r="J86" s="18">
        <f>IF(COUNTIF(Distance_Matrix!$E$9:$DQ$9,$E86)&lt;=1,0,(I86-H86)/MAX(H86,I86))</f>
        <v>0.2553582431241479</v>
      </c>
      <c r="X86" s="18">
        <f t="shared" si="66"/>
        <v>5.9449744144455829</v>
      </c>
      <c r="Y86" s="18">
        <f t="shared" si="66"/>
        <v>2.5709715999444818</v>
      </c>
      <c r="Z86" s="18">
        <f t="shared" si="66"/>
        <v>1.67042015284584</v>
      </c>
      <c r="AA86" s="56">
        <f t="shared" si="42"/>
        <v>3</v>
      </c>
      <c r="AC86" s="18">
        <f t="shared" si="67"/>
        <v>4.9621727813443472</v>
      </c>
      <c r="AD86" s="18">
        <f t="shared" si="67"/>
        <v>1.5104007180166643</v>
      </c>
      <c r="AE86" s="18">
        <f t="shared" si="67"/>
        <v>0.71384287468136887</v>
      </c>
      <c r="AF86" s="56">
        <f t="shared" si="43"/>
        <v>3</v>
      </c>
      <c r="AH86" s="18">
        <f t="shared" si="68"/>
        <v>4.3279102935343206</v>
      </c>
      <c r="AI86" s="18">
        <f t="shared" si="68"/>
        <v>1.4009136151724451</v>
      </c>
      <c r="AJ86" s="18">
        <f t="shared" si="68"/>
        <v>0.78491158772953629</v>
      </c>
      <c r="AK86" s="56">
        <f t="shared" si="44"/>
        <v>3</v>
      </c>
      <c r="AM86" s="18">
        <f t="shared" si="69"/>
        <v>4.3279102935343206</v>
      </c>
      <c r="AN86" s="18">
        <f t="shared" si="69"/>
        <v>1.3847768894612571</v>
      </c>
      <c r="AO86" s="18">
        <f t="shared" si="69"/>
        <v>0.8097561523542548</v>
      </c>
      <c r="AP86" s="56">
        <f t="shared" si="45"/>
        <v>3</v>
      </c>
      <c r="AR86" s="18">
        <f t="shared" si="70"/>
        <v>4.3279102935343206</v>
      </c>
      <c r="AS86" s="18">
        <f t="shared" si="70"/>
        <v>1.3847768894612571</v>
      </c>
      <c r="AT86" s="18">
        <f t="shared" si="70"/>
        <v>0.8097561523542548</v>
      </c>
      <c r="AU86" s="56">
        <f t="shared" si="46"/>
        <v>3</v>
      </c>
      <c r="AW86" s="18">
        <f t="shared" si="71"/>
        <v>4.3279102935343206</v>
      </c>
      <c r="AX86" s="18">
        <f t="shared" si="71"/>
        <v>1.3847768894612571</v>
      </c>
      <c r="AY86" s="18">
        <f t="shared" si="71"/>
        <v>0.8097561523542548</v>
      </c>
      <c r="AZ86" s="56">
        <f t="shared" si="47"/>
        <v>3</v>
      </c>
      <c r="BB86" s="18">
        <f t="shared" si="72"/>
        <v>4.3279102935343206</v>
      </c>
      <c r="BC86" s="18">
        <f t="shared" si="72"/>
        <v>1.3847768894612571</v>
      </c>
      <c r="BD86" s="18">
        <f t="shared" si="72"/>
        <v>0.8097561523542548</v>
      </c>
      <c r="BE86" s="56">
        <f t="shared" si="48"/>
        <v>3</v>
      </c>
      <c r="BG86" s="18">
        <f t="shared" si="73"/>
        <v>4.3279102935343206</v>
      </c>
      <c r="BH86" s="18">
        <f t="shared" si="73"/>
        <v>1.3847768894612571</v>
      </c>
      <c r="BI86" s="18">
        <f t="shared" si="73"/>
        <v>0.8097561523542548</v>
      </c>
      <c r="BJ86" s="56">
        <f t="shared" si="49"/>
        <v>3</v>
      </c>
      <c r="BL86" s="18">
        <f t="shared" si="74"/>
        <v>4.3279102935343206</v>
      </c>
      <c r="BM86" s="18">
        <f t="shared" si="74"/>
        <v>1.3847768894612571</v>
      </c>
      <c r="BN86" s="18">
        <f t="shared" si="74"/>
        <v>0.8097561523542548</v>
      </c>
      <c r="BO86" s="56">
        <f t="shared" si="50"/>
        <v>3</v>
      </c>
      <c r="BQ86" s="18">
        <f t="shared" si="75"/>
        <v>4.3279102935343206</v>
      </c>
      <c r="BR86" s="18">
        <f t="shared" si="75"/>
        <v>1.3847768894612571</v>
      </c>
      <c r="BS86" s="18">
        <f t="shared" si="75"/>
        <v>0.8097561523542548</v>
      </c>
      <c r="BT86" s="56">
        <f t="shared" si="51"/>
        <v>3</v>
      </c>
      <c r="BV86" s="18">
        <f t="shared" si="76"/>
        <v>4.3279102935343206</v>
      </c>
      <c r="BW86" s="18">
        <f t="shared" si="76"/>
        <v>1.3847768894612571</v>
      </c>
      <c r="BX86" s="18">
        <f t="shared" si="76"/>
        <v>0.8097561523542548</v>
      </c>
      <c r="BY86" s="56">
        <f t="shared" si="52"/>
        <v>3</v>
      </c>
      <c r="CA86" s="18">
        <f t="shared" si="77"/>
        <v>4.3279102935343206</v>
      </c>
      <c r="CB86" s="18">
        <f t="shared" si="77"/>
        <v>1.3847768894612571</v>
      </c>
      <c r="CC86" s="18">
        <f t="shared" si="77"/>
        <v>0.8097561523542548</v>
      </c>
      <c r="CD86" s="56">
        <f t="shared" si="53"/>
        <v>3</v>
      </c>
    </row>
    <row r="87" spans="1:82" x14ac:dyDescent="0.25">
      <c r="A87" s="36" t="str">
        <f>KMeans_Data!A69</f>
        <v>Kashmore</v>
      </c>
      <c r="B87" s="18">
        <f>KMeans_Data!H69</f>
        <v>-0.11018073651136755</v>
      </c>
      <c r="C87" s="18">
        <f>KMeans_Data!I69</f>
        <v>-0.14698313392952958</v>
      </c>
      <c r="D87" s="18">
        <f>KMeans_Data!J69</f>
        <v>0.38161671714246476</v>
      </c>
      <c r="E87" s="56">
        <f t="shared" ref="E87:E118" si="78">CD87</f>
        <v>3</v>
      </c>
      <c r="F87" s="38">
        <f t="shared" ref="F87:F118" si="79">($B87-INDEX($L$16:$N$16,E87))^2+($C87-INDEX($L$17:$N$17,E87))^2+($D87-INDEX($L$18:$N$18,E87))^2</f>
        <v>0.84585382219134919</v>
      </c>
      <c r="G87" s="13" t="str">
        <f t="shared" ref="G87:G118" si="80">INDEX($M$5:$M$7,E87)</f>
        <v>Medium burden</v>
      </c>
      <c r="H87" s="18">
        <f>IF(COUNTIF(Distance_Matrix!$E$9:$DQ$9,$E87)&lt;=1,0,SUMIF(Distance_Matrix!$E$9:$DQ$9,$E87,Distance_Matrix!$E$78:$DQ$78)/(COUNTIF(Distance_Matrix!$E$9:$DQ$9,$E87)-1))</f>
        <v>1.1957410841965814</v>
      </c>
      <c r="I87" s="18">
        <f>MIN(IF(1=$E87,1E+99,IF(COUNTIF(Distance_Matrix!$E$9:$DQ$9,1)=0,1E+99,SUMIF(Distance_Matrix!$E$9:$DQ$9,1,Distance_Matrix!$E$78:$DQ$78)/COUNTIF(Distance_Matrix!$E$9:$DQ$9,1))),IF(2=$E87,1E+99,IF(COUNTIF(Distance_Matrix!$E$9:$DQ$9,2)=0,1E+99,SUMIF(Distance_Matrix!$E$9:$DQ$9,2,Distance_Matrix!$E$78:$DQ$78)/COUNTIF(Distance_Matrix!$E$9:$DQ$9,2))),IF(3=$E87,1E+99,IF(COUNTIF(Distance_Matrix!$E$9:$DQ$9,3)=0,1E+99,SUMIF(Distance_Matrix!$E$9:$DQ$9,3,Distance_Matrix!$E$78:$DQ$78)/COUNTIF(Distance_Matrix!$E$9:$DQ$9,3))))</f>
        <v>1.4714846325833226</v>
      </c>
      <c r="J87" s="18">
        <f>IF(COUNTIF(Distance_Matrix!$E$9:$DQ$9,$E87)&lt;=1,0,(I87-H87)/MAX(H87,I87))</f>
        <v>0.18739138845279599</v>
      </c>
      <c r="X87" s="18">
        <f t="shared" si="66"/>
        <v>6.1007521178289013</v>
      </c>
      <c r="Y87" s="18">
        <f t="shared" si="66"/>
        <v>2.5471567724468125</v>
      </c>
      <c r="Z87" s="18">
        <f t="shared" si="66"/>
        <v>1.6669079250150307</v>
      </c>
      <c r="AA87" s="56">
        <f t="shared" ref="AA87:AA118" si="81">MATCH(MIN(X87:Z87),X87:Z87,0)</f>
        <v>3</v>
      </c>
      <c r="AC87" s="18">
        <f t="shared" si="67"/>
        <v>5.1326163703268701</v>
      </c>
      <c r="AD87" s="18">
        <f t="shared" si="67"/>
        <v>1.4607533003559647</v>
      </c>
      <c r="AE87" s="18">
        <f t="shared" si="67"/>
        <v>0.82090620062903741</v>
      </c>
      <c r="AF87" s="56">
        <f t="shared" ref="AF87:AF118" si="82">MATCH(MIN(AC87:AE87),AC87:AE87,0)</f>
        <v>3</v>
      </c>
      <c r="AH87" s="18">
        <f t="shared" si="68"/>
        <v>4.4983560398414522</v>
      </c>
      <c r="AI87" s="18">
        <f t="shared" si="68"/>
        <v>1.3452137607127461</v>
      </c>
      <c r="AJ87" s="18">
        <f t="shared" si="68"/>
        <v>0.89507387396426885</v>
      </c>
      <c r="AK87" s="56">
        <f t="shared" ref="AK87:AK118" si="83">MATCH(MIN(AH87:AJ87),AH87:AJ87,0)</f>
        <v>3</v>
      </c>
      <c r="AM87" s="18">
        <f t="shared" si="69"/>
        <v>4.4983560398414522</v>
      </c>
      <c r="AN87" s="18">
        <f t="shared" si="69"/>
        <v>1.3289638542836146</v>
      </c>
      <c r="AO87" s="18">
        <f t="shared" si="69"/>
        <v>0.91970311633230273</v>
      </c>
      <c r="AP87" s="56">
        <f t="shared" ref="AP87:AP118" si="84">MATCH(MIN(AM87:AO87),AM87:AO87,0)</f>
        <v>3</v>
      </c>
      <c r="AR87" s="18">
        <f t="shared" si="70"/>
        <v>4.4983560398414522</v>
      </c>
      <c r="AS87" s="18">
        <f t="shared" si="70"/>
        <v>1.3289638542836146</v>
      </c>
      <c r="AT87" s="18">
        <f t="shared" si="70"/>
        <v>0.91970311633230273</v>
      </c>
      <c r="AU87" s="56">
        <f t="shared" ref="AU87:AU118" si="85">MATCH(MIN(AR87:AT87),AR87:AT87,0)</f>
        <v>3</v>
      </c>
      <c r="AW87" s="18">
        <f t="shared" si="71"/>
        <v>4.4983560398414522</v>
      </c>
      <c r="AX87" s="18">
        <f t="shared" si="71"/>
        <v>1.3289638542836146</v>
      </c>
      <c r="AY87" s="18">
        <f t="shared" si="71"/>
        <v>0.91970311633230273</v>
      </c>
      <c r="AZ87" s="56">
        <f t="shared" ref="AZ87:AZ118" si="86">MATCH(MIN(AW87:AY87),AW87:AY87,0)</f>
        <v>3</v>
      </c>
      <c r="BB87" s="18">
        <f t="shared" si="72"/>
        <v>4.4983560398414522</v>
      </c>
      <c r="BC87" s="18">
        <f t="shared" si="72"/>
        <v>1.3289638542836146</v>
      </c>
      <c r="BD87" s="18">
        <f t="shared" si="72"/>
        <v>0.91970311633230273</v>
      </c>
      <c r="BE87" s="56">
        <f t="shared" ref="BE87:BE118" si="87">MATCH(MIN(BB87:BD87),BB87:BD87,0)</f>
        <v>3</v>
      </c>
      <c r="BG87" s="18">
        <f t="shared" si="73"/>
        <v>4.4983560398414522</v>
      </c>
      <c r="BH87" s="18">
        <f t="shared" si="73"/>
        <v>1.3289638542836146</v>
      </c>
      <c r="BI87" s="18">
        <f t="shared" si="73"/>
        <v>0.91970311633230273</v>
      </c>
      <c r="BJ87" s="56">
        <f t="shared" ref="BJ87:BJ118" si="88">MATCH(MIN(BG87:BI87),BG87:BI87,0)</f>
        <v>3</v>
      </c>
      <c r="BL87" s="18">
        <f t="shared" si="74"/>
        <v>4.4983560398414522</v>
      </c>
      <c r="BM87" s="18">
        <f t="shared" si="74"/>
        <v>1.3289638542836146</v>
      </c>
      <c r="BN87" s="18">
        <f t="shared" si="74"/>
        <v>0.91970311633230273</v>
      </c>
      <c r="BO87" s="56">
        <f t="shared" ref="BO87:BO118" si="89">MATCH(MIN(BL87:BN87),BL87:BN87,0)</f>
        <v>3</v>
      </c>
      <c r="BQ87" s="18">
        <f t="shared" si="75"/>
        <v>4.4983560398414522</v>
      </c>
      <c r="BR87" s="18">
        <f t="shared" si="75"/>
        <v>1.3289638542836146</v>
      </c>
      <c r="BS87" s="18">
        <f t="shared" si="75"/>
        <v>0.91970311633230273</v>
      </c>
      <c r="BT87" s="56">
        <f t="shared" ref="BT87:BT118" si="90">MATCH(MIN(BQ87:BS87),BQ87:BS87,0)</f>
        <v>3</v>
      </c>
      <c r="BV87" s="18">
        <f t="shared" si="76"/>
        <v>4.4983560398414522</v>
      </c>
      <c r="BW87" s="18">
        <f t="shared" si="76"/>
        <v>1.3289638542836146</v>
      </c>
      <c r="BX87" s="18">
        <f t="shared" si="76"/>
        <v>0.91970311633230273</v>
      </c>
      <c r="BY87" s="56">
        <f t="shared" ref="BY87:BY118" si="91">MATCH(MIN(BV87:BX87),BV87:BX87,0)</f>
        <v>3</v>
      </c>
      <c r="CA87" s="18">
        <f t="shared" si="77"/>
        <v>4.4983560398414522</v>
      </c>
      <c r="CB87" s="18">
        <f t="shared" si="77"/>
        <v>1.3289638542836146</v>
      </c>
      <c r="CC87" s="18">
        <f t="shared" si="77"/>
        <v>0.91970311633230273</v>
      </c>
      <c r="CD87" s="56">
        <f t="shared" ref="CD87:CD118" si="92">MATCH(MIN(CA87:CC87),CA87:CC87,0)</f>
        <v>3</v>
      </c>
    </row>
    <row r="88" spans="1:82" x14ac:dyDescent="0.25">
      <c r="A88" s="36" t="str">
        <f>KMeans_Data!A70</f>
        <v>Naushero Feroz</v>
      </c>
      <c r="B88" s="18">
        <f>KMeans_Data!H70</f>
        <v>-0.13439300986668776</v>
      </c>
      <c r="C88" s="18">
        <f>KMeans_Data!I70</f>
        <v>-0.14698313392952958</v>
      </c>
      <c r="D88" s="18">
        <f>KMeans_Data!J70</f>
        <v>0.43043982201722641</v>
      </c>
      <c r="E88" s="56">
        <f t="shared" si="78"/>
        <v>3</v>
      </c>
      <c r="F88" s="38">
        <f t="shared" si="79"/>
        <v>0.84849025912806775</v>
      </c>
      <c r="G88" s="13" t="str">
        <f t="shared" si="80"/>
        <v>Medium burden</v>
      </c>
      <c r="H88" s="18">
        <f>IF(COUNTIF(Distance_Matrix!$E$9:$DQ$9,$E88)&lt;=1,0,SUMIF(Distance_Matrix!$E$9:$DQ$9,$E88,Distance_Matrix!$E$79:$DQ$79)/(COUNTIF(Distance_Matrix!$E$9:$DQ$9,$E88)-1))</f>
        <v>1.1972248319884444</v>
      </c>
      <c r="I88" s="18">
        <f>MIN(IF(1=$E88,1E+99,IF(COUNTIF(Distance_Matrix!$E$9:$DQ$9,1)=0,1E+99,SUMIF(Distance_Matrix!$E$9:$DQ$9,1,Distance_Matrix!$E$79:$DQ$79)/COUNTIF(Distance_Matrix!$E$9:$DQ$9,1))),IF(2=$E88,1E+99,IF(COUNTIF(Distance_Matrix!$E$9:$DQ$9,2)=0,1E+99,SUMIF(Distance_Matrix!$E$9:$DQ$9,2,Distance_Matrix!$E$79:$DQ$79)/COUNTIF(Distance_Matrix!$E$9:$DQ$9,2))),IF(3=$E88,1E+99,IF(COUNTIF(Distance_Matrix!$E$9:$DQ$9,3)=0,1E+99,SUMIF(Distance_Matrix!$E$9:$DQ$9,3,Distance_Matrix!$E$79:$DQ$79)/COUNTIF(Distance_Matrix!$E$9:$DQ$9,3))))</f>
        <v>1.5007600533195462</v>
      </c>
      <c r="J88" s="18">
        <f>IF(COUNTIF(Distance_Matrix!$E$9:$DQ$9,$E88)&lt;=1,0,(I88-H88)/MAX(H88,I88))</f>
        <v>0.20225433150336669</v>
      </c>
      <c r="X88" s="18">
        <f t="shared" si="66"/>
        <v>6.091443757222688</v>
      </c>
      <c r="Y88" s="18">
        <f t="shared" si="66"/>
        <v>2.5582677475268727</v>
      </c>
      <c r="Z88" s="18">
        <f t="shared" si="66"/>
        <v>1.6525144375726144</v>
      </c>
      <c r="AA88" s="56">
        <f t="shared" si="81"/>
        <v>3</v>
      </c>
      <c r="AC88" s="18">
        <f t="shared" si="67"/>
        <v>5.1266497345564463</v>
      </c>
      <c r="AD88" s="18">
        <f t="shared" si="67"/>
        <v>1.4909897213019216</v>
      </c>
      <c r="AE88" s="18">
        <f t="shared" si="67"/>
        <v>0.82868313309134489</v>
      </c>
      <c r="AF88" s="56">
        <f t="shared" si="82"/>
        <v>3</v>
      </c>
      <c r="AH88" s="18">
        <f t="shared" si="68"/>
        <v>4.493113104973971</v>
      </c>
      <c r="AI88" s="18">
        <f t="shared" si="68"/>
        <v>1.3776479334836798</v>
      </c>
      <c r="AJ88" s="18">
        <f t="shared" si="68"/>
        <v>0.89665650919192108</v>
      </c>
      <c r="AK88" s="56">
        <f t="shared" si="83"/>
        <v>3</v>
      </c>
      <c r="AM88" s="18">
        <f t="shared" si="69"/>
        <v>4.493113104973971</v>
      </c>
      <c r="AN88" s="18">
        <f t="shared" si="69"/>
        <v>1.3613426030453288</v>
      </c>
      <c r="AO88" s="18">
        <f t="shared" si="69"/>
        <v>0.92113530989104297</v>
      </c>
      <c r="AP88" s="56">
        <f t="shared" si="84"/>
        <v>3</v>
      </c>
      <c r="AR88" s="18">
        <f t="shared" si="70"/>
        <v>4.493113104973971</v>
      </c>
      <c r="AS88" s="18">
        <f t="shared" si="70"/>
        <v>1.3613426030453288</v>
      </c>
      <c r="AT88" s="18">
        <f t="shared" si="70"/>
        <v>0.92113530989104297</v>
      </c>
      <c r="AU88" s="56">
        <f t="shared" si="85"/>
        <v>3</v>
      </c>
      <c r="AW88" s="18">
        <f t="shared" si="71"/>
        <v>4.493113104973971</v>
      </c>
      <c r="AX88" s="18">
        <f t="shared" si="71"/>
        <v>1.3613426030453288</v>
      </c>
      <c r="AY88" s="18">
        <f t="shared" si="71"/>
        <v>0.92113530989104297</v>
      </c>
      <c r="AZ88" s="56">
        <f t="shared" si="86"/>
        <v>3</v>
      </c>
      <c r="BB88" s="18">
        <f t="shared" si="72"/>
        <v>4.493113104973971</v>
      </c>
      <c r="BC88" s="18">
        <f t="shared" si="72"/>
        <v>1.3613426030453288</v>
      </c>
      <c r="BD88" s="18">
        <f t="shared" si="72"/>
        <v>0.92113530989104297</v>
      </c>
      <c r="BE88" s="56">
        <f t="shared" si="87"/>
        <v>3</v>
      </c>
      <c r="BG88" s="18">
        <f t="shared" si="73"/>
        <v>4.493113104973971</v>
      </c>
      <c r="BH88" s="18">
        <f t="shared" si="73"/>
        <v>1.3613426030453288</v>
      </c>
      <c r="BI88" s="18">
        <f t="shared" si="73"/>
        <v>0.92113530989104297</v>
      </c>
      <c r="BJ88" s="56">
        <f t="shared" si="88"/>
        <v>3</v>
      </c>
      <c r="BL88" s="18">
        <f t="shared" si="74"/>
        <v>4.493113104973971</v>
      </c>
      <c r="BM88" s="18">
        <f t="shared" si="74"/>
        <v>1.3613426030453288</v>
      </c>
      <c r="BN88" s="18">
        <f t="shared" si="74"/>
        <v>0.92113530989104297</v>
      </c>
      <c r="BO88" s="56">
        <f t="shared" si="89"/>
        <v>3</v>
      </c>
      <c r="BQ88" s="18">
        <f t="shared" si="75"/>
        <v>4.493113104973971</v>
      </c>
      <c r="BR88" s="18">
        <f t="shared" si="75"/>
        <v>1.3613426030453288</v>
      </c>
      <c r="BS88" s="18">
        <f t="shared" si="75"/>
        <v>0.92113530989104297</v>
      </c>
      <c r="BT88" s="56">
        <f t="shared" si="90"/>
        <v>3</v>
      </c>
      <c r="BV88" s="18">
        <f t="shared" si="76"/>
        <v>4.493113104973971</v>
      </c>
      <c r="BW88" s="18">
        <f t="shared" si="76"/>
        <v>1.3613426030453288</v>
      </c>
      <c r="BX88" s="18">
        <f t="shared" si="76"/>
        <v>0.92113530989104297</v>
      </c>
      <c r="BY88" s="56">
        <f t="shared" si="91"/>
        <v>3</v>
      </c>
      <c r="CA88" s="18">
        <f t="shared" si="77"/>
        <v>4.493113104973971</v>
      </c>
      <c r="CB88" s="18">
        <f t="shared" si="77"/>
        <v>1.3613426030453288</v>
      </c>
      <c r="CC88" s="18">
        <f t="shared" si="77"/>
        <v>0.92113530989104297</v>
      </c>
      <c r="CD88" s="56">
        <f t="shared" si="92"/>
        <v>3</v>
      </c>
    </row>
    <row r="89" spans="1:82" x14ac:dyDescent="0.25">
      <c r="A89" s="36" t="str">
        <f>KMeans_Data!A71</f>
        <v>Tando M. Khan</v>
      </c>
      <c r="B89" s="18">
        <f>KMeans_Data!H71</f>
        <v>-0.17296398743636285</v>
      </c>
      <c r="C89" s="18">
        <f>KMeans_Data!I71</f>
        <v>-0.67265054538827607</v>
      </c>
      <c r="D89" s="18">
        <f>KMeans_Data!J71</f>
        <v>0.59726181533299938</v>
      </c>
      <c r="E89" s="56">
        <f t="shared" si="78"/>
        <v>3</v>
      </c>
      <c r="F89" s="38">
        <f t="shared" si="79"/>
        <v>1.7266611692890939</v>
      </c>
      <c r="G89" s="13" t="str">
        <f t="shared" si="80"/>
        <v>Medium burden</v>
      </c>
      <c r="H89" s="18">
        <f>IF(COUNTIF(Distance_Matrix!$E$9:$DQ$9,$E89)&lt;=1,0,SUMIF(Distance_Matrix!$E$9:$DQ$9,$E89,Distance_Matrix!$E$80:$DQ$80)/(COUNTIF(Distance_Matrix!$E$9:$DQ$9,$E89)-1))</f>
        <v>1.4971964131391831</v>
      </c>
      <c r="I89" s="18">
        <f>MIN(IF(1=$E89,1E+99,IF(COUNTIF(Distance_Matrix!$E$9:$DQ$9,1)=0,1E+99,SUMIF(Distance_Matrix!$E$9:$DQ$9,1,Distance_Matrix!$E$80:$DQ$80)/COUNTIF(Distance_Matrix!$E$9:$DQ$9,1))),IF(2=$E89,1E+99,IF(COUNTIF(Distance_Matrix!$E$9:$DQ$9,2)=0,1E+99,SUMIF(Distance_Matrix!$E$9:$DQ$9,2,Distance_Matrix!$E$80:$DQ$80)/COUNTIF(Distance_Matrix!$E$9:$DQ$9,2))),IF(3=$E89,1E+99,IF(COUNTIF(Distance_Matrix!$E$9:$DQ$9,3)=0,1E+99,SUMIF(Distance_Matrix!$E$9:$DQ$9,3,Distance_Matrix!$E$80:$DQ$80)/COUNTIF(Distance_Matrix!$E$9:$DQ$9,3))))</f>
        <v>1.5426817905170842</v>
      </c>
      <c r="J89" s="18">
        <f>IF(COUNTIF(Distance_Matrix!$E$9:$DQ$9,$E89)&lt;=1,0,(I89-H89)/MAX(H89,I89))</f>
        <v>2.9484614168327688E-2</v>
      </c>
      <c r="X89" s="18">
        <f t="shared" si="66"/>
        <v>6.4135297684832393</v>
      </c>
      <c r="Y89" s="18">
        <f t="shared" si="66"/>
        <v>2.5833134057316025</v>
      </c>
      <c r="Z89" s="18">
        <f t="shared" si="66"/>
        <v>1.8255167686819782</v>
      </c>
      <c r="AA89" s="56">
        <f t="shared" si="81"/>
        <v>3</v>
      </c>
      <c r="AC89" s="18">
        <f t="shared" si="67"/>
        <v>5.4751267714779992</v>
      </c>
      <c r="AD89" s="18">
        <f t="shared" si="67"/>
        <v>1.5419104009567575</v>
      </c>
      <c r="AE89" s="18">
        <f t="shared" si="67"/>
        <v>1.2299552959816729</v>
      </c>
      <c r="AF89" s="56">
        <f t="shared" si="82"/>
        <v>3</v>
      </c>
      <c r="AH89" s="18">
        <f t="shared" si="68"/>
        <v>4.8457361950186852</v>
      </c>
      <c r="AI89" s="18">
        <f t="shared" si="68"/>
        <v>1.4325354856579522</v>
      </c>
      <c r="AJ89" s="18">
        <f t="shared" si="68"/>
        <v>1.2930730455183768</v>
      </c>
      <c r="AK89" s="56">
        <f t="shared" si="83"/>
        <v>3</v>
      </c>
      <c r="AM89" s="18">
        <f t="shared" si="69"/>
        <v>4.8457361950186852</v>
      </c>
      <c r="AN89" s="18">
        <f t="shared" si="69"/>
        <v>1.4181371479005076</v>
      </c>
      <c r="AO89" s="18">
        <f t="shared" si="69"/>
        <v>1.3140247978212183</v>
      </c>
      <c r="AP89" s="56">
        <f t="shared" si="84"/>
        <v>3</v>
      </c>
      <c r="AR89" s="18">
        <f t="shared" si="70"/>
        <v>4.8457361950186852</v>
      </c>
      <c r="AS89" s="18">
        <f t="shared" si="70"/>
        <v>1.4181371479005076</v>
      </c>
      <c r="AT89" s="18">
        <f t="shared" si="70"/>
        <v>1.3140247978212183</v>
      </c>
      <c r="AU89" s="56">
        <f t="shared" si="85"/>
        <v>3</v>
      </c>
      <c r="AW89" s="18">
        <f t="shared" si="71"/>
        <v>4.8457361950186852</v>
      </c>
      <c r="AX89" s="18">
        <f t="shared" si="71"/>
        <v>1.4181371479005076</v>
      </c>
      <c r="AY89" s="18">
        <f t="shared" si="71"/>
        <v>1.3140247978212183</v>
      </c>
      <c r="AZ89" s="56">
        <f t="shared" si="86"/>
        <v>3</v>
      </c>
      <c r="BB89" s="18">
        <f t="shared" si="72"/>
        <v>4.8457361950186852</v>
      </c>
      <c r="BC89" s="18">
        <f t="shared" si="72"/>
        <v>1.4181371479005076</v>
      </c>
      <c r="BD89" s="18">
        <f t="shared" si="72"/>
        <v>1.3140247978212183</v>
      </c>
      <c r="BE89" s="56">
        <f t="shared" si="87"/>
        <v>3</v>
      </c>
      <c r="BG89" s="18">
        <f t="shared" si="73"/>
        <v>4.8457361950186852</v>
      </c>
      <c r="BH89" s="18">
        <f t="shared" si="73"/>
        <v>1.4181371479005076</v>
      </c>
      <c r="BI89" s="18">
        <f t="shared" si="73"/>
        <v>1.3140247978212183</v>
      </c>
      <c r="BJ89" s="56">
        <f t="shared" si="88"/>
        <v>3</v>
      </c>
      <c r="BL89" s="18">
        <f t="shared" si="74"/>
        <v>4.8457361950186852</v>
      </c>
      <c r="BM89" s="18">
        <f t="shared" si="74"/>
        <v>1.4181371479005076</v>
      </c>
      <c r="BN89" s="18">
        <f t="shared" si="74"/>
        <v>1.3140247978212183</v>
      </c>
      <c r="BO89" s="56">
        <f t="shared" si="89"/>
        <v>3</v>
      </c>
      <c r="BQ89" s="18">
        <f t="shared" si="75"/>
        <v>4.8457361950186852</v>
      </c>
      <c r="BR89" s="18">
        <f t="shared" si="75"/>
        <v>1.4181371479005076</v>
      </c>
      <c r="BS89" s="18">
        <f t="shared" si="75"/>
        <v>1.3140247978212183</v>
      </c>
      <c r="BT89" s="56">
        <f t="shared" si="90"/>
        <v>3</v>
      </c>
      <c r="BV89" s="18">
        <f t="shared" si="76"/>
        <v>4.8457361950186852</v>
      </c>
      <c r="BW89" s="18">
        <f t="shared" si="76"/>
        <v>1.4181371479005076</v>
      </c>
      <c r="BX89" s="18">
        <f t="shared" si="76"/>
        <v>1.3140247978212183</v>
      </c>
      <c r="BY89" s="56">
        <f t="shared" si="91"/>
        <v>3</v>
      </c>
      <c r="CA89" s="18">
        <f t="shared" si="77"/>
        <v>4.8457361950186852</v>
      </c>
      <c r="CB89" s="18">
        <f t="shared" si="77"/>
        <v>1.4181371479005076</v>
      </c>
      <c r="CC89" s="18">
        <f t="shared" si="77"/>
        <v>1.3140247978212183</v>
      </c>
      <c r="CD89" s="56">
        <f t="shared" si="92"/>
        <v>3</v>
      </c>
    </row>
    <row r="90" spans="1:82" x14ac:dyDescent="0.25">
      <c r="A90" s="36" t="str">
        <f>KMeans_Data!A72</f>
        <v>Chitral Lower</v>
      </c>
      <c r="B90" s="18">
        <f>KMeans_Data!H72</f>
        <v>-0.21462381690636909</v>
      </c>
      <c r="C90" s="18">
        <f>KMeans_Data!I72</f>
        <v>-0.67265054538827607</v>
      </c>
      <c r="D90" s="18">
        <f>KMeans_Data!J72</f>
        <v>0.19372787308524608</v>
      </c>
      <c r="E90" s="56">
        <f t="shared" si="78"/>
        <v>2</v>
      </c>
      <c r="F90" s="38">
        <f t="shared" si="79"/>
        <v>1.056383842091154</v>
      </c>
      <c r="G90" s="13" t="str">
        <f t="shared" si="80"/>
        <v>Low burden</v>
      </c>
      <c r="H90" s="18">
        <f>IF(COUNTIF(Distance_Matrix!$E$9:$DQ$9,$E90)&lt;=1,0,SUMIF(Distance_Matrix!$E$9:$DQ$9,$E90,Distance_Matrix!$E$81:$DQ$81)/(COUNTIF(Distance_Matrix!$E$9:$DQ$9,$E90)-1))</f>
        <v>1.2151958592430738</v>
      </c>
      <c r="I90" s="18">
        <f>MIN(IF(1=$E90,1E+99,IF(COUNTIF(Distance_Matrix!$E$9:$DQ$9,1)=0,1E+99,SUMIF(Distance_Matrix!$E$9:$DQ$9,1,Distance_Matrix!$E$81:$DQ$81)/COUNTIF(Distance_Matrix!$E$9:$DQ$9,1))),IF(2=$E90,1E+99,IF(COUNTIF(Distance_Matrix!$E$9:$DQ$9,2)=0,1E+99,SUMIF(Distance_Matrix!$E$9:$DQ$9,2,Distance_Matrix!$E$81:$DQ$81)/COUNTIF(Distance_Matrix!$E$9:$DQ$9,2))),IF(3=$E90,1E+99,IF(COUNTIF(Distance_Matrix!$E$9:$DQ$9,3)=0,1E+99,SUMIF(Distance_Matrix!$E$9:$DQ$9,3,Distance_Matrix!$E$81:$DQ$81)/COUNTIF(Distance_Matrix!$E$9:$DQ$9,3))))</f>
        <v>1.5680453048670187</v>
      </c>
      <c r="J90" s="18">
        <f>IF(COUNTIF(Distance_Matrix!$E$9:$DQ$9,$E90)&lt;=1,0,(I90-H90)/MAX(H90,I90))</f>
        <v>0.22502503245840141</v>
      </c>
      <c r="X90" s="18">
        <f t="shared" si="66"/>
        <v>6.6127372640193443</v>
      </c>
      <c r="Y90" s="18">
        <f t="shared" si="66"/>
        <v>2.2962073456330026</v>
      </c>
      <c r="Z90" s="18">
        <f t="shared" si="66"/>
        <v>2.0742743415084681</v>
      </c>
      <c r="AA90" s="56">
        <f t="shared" si="81"/>
        <v>3</v>
      </c>
      <c r="AC90" s="18">
        <f t="shared" si="67"/>
        <v>5.6493053515531111</v>
      </c>
      <c r="AD90" s="18">
        <f t="shared" si="67"/>
        <v>1.1592160524479387</v>
      </c>
      <c r="AE90" s="18">
        <f t="shared" si="67"/>
        <v>1.3139924085109569</v>
      </c>
      <c r="AF90" s="56">
        <f t="shared" si="82"/>
        <v>2</v>
      </c>
      <c r="AH90" s="18">
        <f t="shared" si="68"/>
        <v>5.0144944821445483</v>
      </c>
      <c r="AI90" s="18">
        <f t="shared" si="68"/>
        <v>1.0419452444147133</v>
      </c>
      <c r="AJ90" s="18">
        <f t="shared" si="68"/>
        <v>1.4027174244429963</v>
      </c>
      <c r="AK90" s="56">
        <f t="shared" si="83"/>
        <v>2</v>
      </c>
      <c r="AM90" s="18">
        <f t="shared" si="69"/>
        <v>5.0144944821445483</v>
      </c>
      <c r="AN90" s="18">
        <f t="shared" si="69"/>
        <v>1.0278053522390094</v>
      </c>
      <c r="AO90" s="18">
        <f t="shared" si="69"/>
        <v>1.4258587248030359</v>
      </c>
      <c r="AP90" s="56">
        <f t="shared" si="84"/>
        <v>2</v>
      </c>
      <c r="AR90" s="18">
        <f t="shared" si="70"/>
        <v>5.0144944821445483</v>
      </c>
      <c r="AS90" s="18">
        <f t="shared" si="70"/>
        <v>1.0278053522390094</v>
      </c>
      <c r="AT90" s="18">
        <f t="shared" si="70"/>
        <v>1.4258587248030359</v>
      </c>
      <c r="AU90" s="56">
        <f t="shared" si="85"/>
        <v>2</v>
      </c>
      <c r="AW90" s="18">
        <f t="shared" si="71"/>
        <v>5.0144944821445483</v>
      </c>
      <c r="AX90" s="18">
        <f t="shared" si="71"/>
        <v>1.0278053522390094</v>
      </c>
      <c r="AY90" s="18">
        <f t="shared" si="71"/>
        <v>1.4258587248030359</v>
      </c>
      <c r="AZ90" s="56">
        <f t="shared" si="86"/>
        <v>2</v>
      </c>
      <c r="BB90" s="18">
        <f t="shared" si="72"/>
        <v>5.0144944821445483</v>
      </c>
      <c r="BC90" s="18">
        <f t="shared" si="72"/>
        <v>1.0278053522390094</v>
      </c>
      <c r="BD90" s="18">
        <f t="shared" si="72"/>
        <v>1.4258587248030359</v>
      </c>
      <c r="BE90" s="56">
        <f t="shared" si="87"/>
        <v>2</v>
      </c>
      <c r="BG90" s="18">
        <f t="shared" si="73"/>
        <v>5.0144944821445483</v>
      </c>
      <c r="BH90" s="18">
        <f t="shared" si="73"/>
        <v>1.0278053522390094</v>
      </c>
      <c r="BI90" s="18">
        <f t="shared" si="73"/>
        <v>1.4258587248030359</v>
      </c>
      <c r="BJ90" s="56">
        <f t="shared" si="88"/>
        <v>2</v>
      </c>
      <c r="BL90" s="18">
        <f t="shared" si="74"/>
        <v>5.0144944821445483</v>
      </c>
      <c r="BM90" s="18">
        <f t="shared" si="74"/>
        <v>1.0278053522390094</v>
      </c>
      <c r="BN90" s="18">
        <f t="shared" si="74"/>
        <v>1.4258587248030359</v>
      </c>
      <c r="BO90" s="56">
        <f t="shared" si="89"/>
        <v>2</v>
      </c>
      <c r="BQ90" s="18">
        <f t="shared" si="75"/>
        <v>5.0144944821445483</v>
      </c>
      <c r="BR90" s="18">
        <f t="shared" si="75"/>
        <v>1.0278053522390094</v>
      </c>
      <c r="BS90" s="18">
        <f t="shared" si="75"/>
        <v>1.4258587248030359</v>
      </c>
      <c r="BT90" s="56">
        <f t="shared" si="90"/>
        <v>2</v>
      </c>
      <c r="BV90" s="18">
        <f t="shared" si="76"/>
        <v>5.0144944821445483</v>
      </c>
      <c r="BW90" s="18">
        <f t="shared" si="76"/>
        <v>1.0278053522390094</v>
      </c>
      <c r="BX90" s="18">
        <f t="shared" si="76"/>
        <v>1.4258587248030359</v>
      </c>
      <c r="BY90" s="56">
        <f t="shared" si="91"/>
        <v>2</v>
      </c>
      <c r="CA90" s="18">
        <f t="shared" si="77"/>
        <v>5.0144944821445483</v>
      </c>
      <c r="CB90" s="18">
        <f t="shared" si="77"/>
        <v>1.0278053522390094</v>
      </c>
      <c r="CC90" s="18">
        <f t="shared" si="77"/>
        <v>1.4258587248030359</v>
      </c>
      <c r="CD90" s="56">
        <f t="shared" si="92"/>
        <v>2</v>
      </c>
    </row>
    <row r="91" spans="1:82" x14ac:dyDescent="0.25">
      <c r="A91" s="36" t="str">
        <f>KMeans_Data!A73</f>
        <v>Sujawal</v>
      </c>
      <c r="B91" s="18">
        <f>KMeans_Data!H73</f>
        <v>-0.21462381690636909</v>
      </c>
      <c r="C91" s="18">
        <f>KMeans_Data!I73</f>
        <v>-0.67265054538827607</v>
      </c>
      <c r="D91" s="18">
        <f>KMeans_Data!J73</f>
        <v>0.1092417215824385</v>
      </c>
      <c r="E91" s="56">
        <f t="shared" si="78"/>
        <v>2</v>
      </c>
      <c r="F91" s="38">
        <f t="shared" si="79"/>
        <v>0.90547025236729239</v>
      </c>
      <c r="G91" s="13" t="str">
        <f t="shared" si="80"/>
        <v>Low burden</v>
      </c>
      <c r="H91" s="18">
        <f>IF(COUNTIF(Distance_Matrix!$E$9:$DQ$9,$E91)&lt;=1,0,SUMIF(Distance_Matrix!$E$9:$DQ$9,$E91,Distance_Matrix!$E$82:$DQ$82)/(COUNTIF(Distance_Matrix!$E$9:$DQ$9,$E91)-1))</f>
        <v>1.1543811991446282</v>
      </c>
      <c r="I91" s="18">
        <f>MIN(IF(1=$E91,1E+99,IF(COUNTIF(Distance_Matrix!$E$9:$DQ$9,1)=0,1E+99,SUMIF(Distance_Matrix!$E$9:$DQ$9,1,Distance_Matrix!$E$82:$DQ$82)/COUNTIF(Distance_Matrix!$E$9:$DQ$9,1))),IF(2=$E91,1E+99,IF(COUNTIF(Distance_Matrix!$E$9:$DQ$9,2)=0,1E+99,SUMIF(Distance_Matrix!$E$9:$DQ$9,2,Distance_Matrix!$E$82:$DQ$82)/COUNTIF(Distance_Matrix!$E$9:$DQ$9,2))),IF(3=$E91,1E+99,IF(COUNTIF(Distance_Matrix!$E$9:$DQ$9,3)=0,1E+99,SUMIF(Distance_Matrix!$E$9:$DQ$9,3,Distance_Matrix!$E$82:$DQ$82)/COUNTIF(Distance_Matrix!$E$9:$DQ$9,3))))</f>
        <v>1.599458539009883</v>
      </c>
      <c r="J91" s="18">
        <f>IF(COUNTIF(Distance_Matrix!$E$9:$DQ$9,$E91)&lt;=1,0,(I91-H91)/MAX(H91,I91))</f>
        <v>0.2782675067906244</v>
      </c>
      <c r="X91" s="18">
        <f t="shared" si="66"/>
        <v>6.6522414095383775</v>
      </c>
      <c r="Y91" s="18">
        <f t="shared" si="66"/>
        <v>2.2479744914703566</v>
      </c>
      <c r="Z91" s="18">
        <f t="shared" si="66"/>
        <v>2.1273163768296945</v>
      </c>
      <c r="AA91" s="56">
        <f t="shared" si="81"/>
        <v>3</v>
      </c>
      <c r="AC91" s="18">
        <f t="shared" si="67"/>
        <v>5.6841167201699223</v>
      </c>
      <c r="AD91" s="18">
        <f t="shared" si="67"/>
        <v>1.0856075865412376</v>
      </c>
      <c r="AE91" s="18">
        <f t="shared" si="67"/>
        <v>1.3417538137263072</v>
      </c>
      <c r="AF91" s="56">
        <f t="shared" si="82"/>
        <v>2</v>
      </c>
      <c r="AH91" s="18">
        <f t="shared" si="68"/>
        <v>5.048571230223879</v>
      </c>
      <c r="AI91" s="18">
        <f t="shared" si="68"/>
        <v>0.96557539007086635</v>
      </c>
      <c r="AJ91" s="18">
        <f t="shared" si="68"/>
        <v>1.4347462746447721</v>
      </c>
      <c r="AK91" s="56">
        <f t="shared" si="83"/>
        <v>2</v>
      </c>
      <c r="AM91" s="18">
        <f t="shared" si="69"/>
        <v>5.048571230223879</v>
      </c>
      <c r="AN91" s="18">
        <f t="shared" si="69"/>
        <v>0.95156200658038692</v>
      </c>
      <c r="AO91" s="18">
        <f t="shared" si="69"/>
        <v>1.4580434076061954</v>
      </c>
      <c r="AP91" s="56">
        <f t="shared" si="84"/>
        <v>2</v>
      </c>
      <c r="AR91" s="18">
        <f t="shared" si="70"/>
        <v>5.048571230223879</v>
      </c>
      <c r="AS91" s="18">
        <f t="shared" si="70"/>
        <v>0.95156200658038692</v>
      </c>
      <c r="AT91" s="18">
        <f t="shared" si="70"/>
        <v>1.4580434076061954</v>
      </c>
      <c r="AU91" s="56">
        <f t="shared" si="85"/>
        <v>2</v>
      </c>
      <c r="AW91" s="18">
        <f t="shared" si="71"/>
        <v>5.048571230223879</v>
      </c>
      <c r="AX91" s="18">
        <f t="shared" si="71"/>
        <v>0.95156200658038692</v>
      </c>
      <c r="AY91" s="18">
        <f t="shared" si="71"/>
        <v>1.4580434076061954</v>
      </c>
      <c r="AZ91" s="56">
        <f t="shared" si="86"/>
        <v>2</v>
      </c>
      <c r="BB91" s="18">
        <f t="shared" si="72"/>
        <v>5.048571230223879</v>
      </c>
      <c r="BC91" s="18">
        <f t="shared" si="72"/>
        <v>0.95156200658038692</v>
      </c>
      <c r="BD91" s="18">
        <f t="shared" si="72"/>
        <v>1.4580434076061954</v>
      </c>
      <c r="BE91" s="56">
        <f t="shared" si="87"/>
        <v>2</v>
      </c>
      <c r="BG91" s="18">
        <f t="shared" si="73"/>
        <v>5.048571230223879</v>
      </c>
      <c r="BH91" s="18">
        <f t="shared" si="73"/>
        <v>0.95156200658038692</v>
      </c>
      <c r="BI91" s="18">
        <f t="shared" si="73"/>
        <v>1.4580434076061954</v>
      </c>
      <c r="BJ91" s="56">
        <f t="shared" si="88"/>
        <v>2</v>
      </c>
      <c r="BL91" s="18">
        <f t="shared" si="74"/>
        <v>5.048571230223879</v>
      </c>
      <c r="BM91" s="18">
        <f t="shared" si="74"/>
        <v>0.95156200658038692</v>
      </c>
      <c r="BN91" s="18">
        <f t="shared" si="74"/>
        <v>1.4580434076061954</v>
      </c>
      <c r="BO91" s="56">
        <f t="shared" si="89"/>
        <v>2</v>
      </c>
      <c r="BQ91" s="18">
        <f t="shared" si="75"/>
        <v>5.048571230223879</v>
      </c>
      <c r="BR91" s="18">
        <f t="shared" si="75"/>
        <v>0.95156200658038692</v>
      </c>
      <c r="BS91" s="18">
        <f t="shared" si="75"/>
        <v>1.4580434076061954</v>
      </c>
      <c r="BT91" s="56">
        <f t="shared" si="90"/>
        <v>2</v>
      </c>
      <c r="BV91" s="18">
        <f t="shared" si="76"/>
        <v>5.048571230223879</v>
      </c>
      <c r="BW91" s="18">
        <f t="shared" si="76"/>
        <v>0.95156200658038692</v>
      </c>
      <c r="BX91" s="18">
        <f t="shared" si="76"/>
        <v>1.4580434076061954</v>
      </c>
      <c r="BY91" s="56">
        <f t="shared" si="91"/>
        <v>2</v>
      </c>
      <c r="CA91" s="18">
        <f t="shared" si="77"/>
        <v>5.048571230223879</v>
      </c>
      <c r="CB91" s="18">
        <f t="shared" si="77"/>
        <v>0.95156200658038692</v>
      </c>
      <c r="CC91" s="18">
        <f t="shared" si="77"/>
        <v>1.4580434076061954</v>
      </c>
      <c r="CD91" s="56">
        <f t="shared" si="92"/>
        <v>2</v>
      </c>
    </row>
    <row r="92" spans="1:82" x14ac:dyDescent="0.25">
      <c r="A92" s="36" t="str">
        <f>KMeans_Data!A74</f>
        <v>Laiya</v>
      </c>
      <c r="B92" s="18">
        <f>KMeans_Data!H74</f>
        <v>-0.25991062981783247</v>
      </c>
      <c r="C92" s="18">
        <f>KMeans_Data!I74</f>
        <v>-0.67265054538827607</v>
      </c>
      <c r="D92" s="18">
        <f>KMeans_Data!J74</f>
        <v>-1.1456441163335547</v>
      </c>
      <c r="E92" s="56">
        <f t="shared" si="78"/>
        <v>2</v>
      </c>
      <c r="F92" s="38">
        <f t="shared" si="79"/>
        <v>0.30842111009585627</v>
      </c>
      <c r="G92" s="13" t="str">
        <f t="shared" si="80"/>
        <v>Low burden</v>
      </c>
      <c r="H92" s="18">
        <f>IF(COUNTIF(Distance_Matrix!$E$9:$DQ$9,$E92)&lt;=1,0,SUMIF(Distance_Matrix!$E$9:$DQ$9,$E92,Distance_Matrix!$E$83:$DQ$83)/(COUNTIF(Distance_Matrix!$E$9:$DQ$9,$E92)-1))</f>
        <v>0.91108056195807585</v>
      </c>
      <c r="I92" s="18">
        <f>MIN(IF(1=$E92,1E+99,IF(COUNTIF(Distance_Matrix!$E$9:$DQ$9,1)=0,1E+99,SUMIF(Distance_Matrix!$E$9:$DQ$9,1,Distance_Matrix!$E$83:$DQ$83)/COUNTIF(Distance_Matrix!$E$9:$DQ$9,1))),IF(2=$E92,1E+99,IF(COUNTIF(Distance_Matrix!$E$9:$DQ$9,2)=0,1E+99,SUMIF(Distance_Matrix!$E$9:$DQ$9,2,Distance_Matrix!$E$83:$DQ$83)/COUNTIF(Distance_Matrix!$E$9:$DQ$9,2))),IF(3=$E92,1E+99,IF(COUNTIF(Distance_Matrix!$E$9:$DQ$9,3)=0,1E+99,SUMIF(Distance_Matrix!$E$9:$DQ$9,3,Distance_Matrix!$E$83:$DQ$83)/COUNTIF(Distance_Matrix!$E$9:$DQ$9,3))))</f>
        <v>2.4014245176160429</v>
      </c>
      <c r="J92" s="18">
        <f>IF(COUNTIF(Distance_Matrix!$E$9:$DQ$9,$E92)&lt;=1,0,(I92-H92)/MAX(H92,I92))</f>
        <v>0.62060828675867385</v>
      </c>
      <c r="X92" s="18">
        <f t="shared" si="66"/>
        <v>7.3508166372041472</v>
      </c>
      <c r="Y92" s="18">
        <f t="shared" si="66"/>
        <v>1.8198273519854962</v>
      </c>
      <c r="Z92" s="18">
        <f t="shared" si="66"/>
        <v>3.1035249453598421</v>
      </c>
      <c r="AA92" s="56">
        <f t="shared" si="81"/>
        <v>2</v>
      </c>
      <c r="AC92" s="18">
        <f t="shared" si="67"/>
        <v>6.3344973580195756</v>
      </c>
      <c r="AD92" s="18">
        <f t="shared" si="67"/>
        <v>0.59770726686859621</v>
      </c>
      <c r="AE92" s="18">
        <f t="shared" si="67"/>
        <v>2.1549371827213122</v>
      </c>
      <c r="AF92" s="56">
        <f t="shared" si="82"/>
        <v>2</v>
      </c>
      <c r="AH92" s="18">
        <f t="shared" si="68"/>
        <v>5.7016334494440226</v>
      </c>
      <c r="AI92" s="18">
        <f t="shared" si="68"/>
        <v>0.54707532240228485</v>
      </c>
      <c r="AJ92" s="18">
        <f t="shared" si="68"/>
        <v>2.2708105012663173</v>
      </c>
      <c r="AK92" s="56">
        <f t="shared" si="83"/>
        <v>2</v>
      </c>
      <c r="AM92" s="18">
        <f t="shared" si="69"/>
        <v>5.7016334494440226</v>
      </c>
      <c r="AN92" s="18">
        <f t="shared" si="69"/>
        <v>0.55535674128964729</v>
      </c>
      <c r="AO92" s="18">
        <f t="shared" si="69"/>
        <v>2.2922613420359363</v>
      </c>
      <c r="AP92" s="56">
        <f t="shared" si="84"/>
        <v>2</v>
      </c>
      <c r="AR92" s="18">
        <f t="shared" si="70"/>
        <v>5.7016334494440226</v>
      </c>
      <c r="AS92" s="18">
        <f t="shared" si="70"/>
        <v>0.55535674128964729</v>
      </c>
      <c r="AT92" s="18">
        <f t="shared" si="70"/>
        <v>2.2922613420359363</v>
      </c>
      <c r="AU92" s="56">
        <f t="shared" si="85"/>
        <v>2</v>
      </c>
      <c r="AW92" s="18">
        <f t="shared" si="71"/>
        <v>5.7016334494440226</v>
      </c>
      <c r="AX92" s="18">
        <f t="shared" si="71"/>
        <v>0.55535674128964729</v>
      </c>
      <c r="AY92" s="18">
        <f t="shared" si="71"/>
        <v>2.2922613420359363</v>
      </c>
      <c r="AZ92" s="56">
        <f t="shared" si="86"/>
        <v>2</v>
      </c>
      <c r="BB92" s="18">
        <f t="shared" si="72"/>
        <v>5.7016334494440226</v>
      </c>
      <c r="BC92" s="18">
        <f t="shared" si="72"/>
        <v>0.55535674128964729</v>
      </c>
      <c r="BD92" s="18">
        <f t="shared" si="72"/>
        <v>2.2922613420359363</v>
      </c>
      <c r="BE92" s="56">
        <f t="shared" si="87"/>
        <v>2</v>
      </c>
      <c r="BG92" s="18">
        <f t="shared" si="73"/>
        <v>5.7016334494440226</v>
      </c>
      <c r="BH92" s="18">
        <f t="shared" si="73"/>
        <v>0.55535674128964729</v>
      </c>
      <c r="BI92" s="18">
        <f t="shared" si="73"/>
        <v>2.2922613420359363</v>
      </c>
      <c r="BJ92" s="56">
        <f t="shared" si="88"/>
        <v>2</v>
      </c>
      <c r="BL92" s="18">
        <f t="shared" si="74"/>
        <v>5.7016334494440226</v>
      </c>
      <c r="BM92" s="18">
        <f t="shared" si="74"/>
        <v>0.55535674128964729</v>
      </c>
      <c r="BN92" s="18">
        <f t="shared" si="74"/>
        <v>2.2922613420359363</v>
      </c>
      <c r="BO92" s="56">
        <f t="shared" si="89"/>
        <v>2</v>
      </c>
      <c r="BQ92" s="18">
        <f t="shared" si="75"/>
        <v>5.7016334494440226</v>
      </c>
      <c r="BR92" s="18">
        <f t="shared" si="75"/>
        <v>0.55535674128964729</v>
      </c>
      <c r="BS92" s="18">
        <f t="shared" si="75"/>
        <v>2.2922613420359363</v>
      </c>
      <c r="BT92" s="56">
        <f t="shared" si="90"/>
        <v>2</v>
      </c>
      <c r="BV92" s="18">
        <f t="shared" si="76"/>
        <v>5.7016334494440226</v>
      </c>
      <c r="BW92" s="18">
        <f t="shared" si="76"/>
        <v>0.55535674128964729</v>
      </c>
      <c r="BX92" s="18">
        <f t="shared" si="76"/>
        <v>2.2922613420359363</v>
      </c>
      <c r="BY92" s="56">
        <f t="shared" si="91"/>
        <v>2</v>
      </c>
      <c r="CA92" s="18">
        <f t="shared" si="77"/>
        <v>5.7016334494440226</v>
      </c>
      <c r="CB92" s="18">
        <f t="shared" si="77"/>
        <v>0.55535674128964729</v>
      </c>
      <c r="CC92" s="18">
        <f t="shared" si="77"/>
        <v>2.2922613420359363</v>
      </c>
      <c r="CD92" s="56">
        <f t="shared" si="92"/>
        <v>2</v>
      </c>
    </row>
    <row r="93" spans="1:82" x14ac:dyDescent="0.25">
      <c r="A93" s="36" t="str">
        <f>KMeans_Data!A75</f>
        <v>Shigar</v>
      </c>
      <c r="B93" s="18">
        <f>KMeans_Data!H75</f>
        <v>-0.27592635554508732</v>
      </c>
      <c r="C93" s="18">
        <f>KMeans_Data!I75</f>
        <v>-0.67265054538827607</v>
      </c>
      <c r="D93" s="18">
        <f>KMeans_Data!J75</f>
        <v>0.2867168485915767</v>
      </c>
      <c r="E93" s="56">
        <f t="shared" si="78"/>
        <v>2</v>
      </c>
      <c r="F93" s="38">
        <f t="shared" si="79"/>
        <v>1.1908801501795889</v>
      </c>
      <c r="G93" s="13" t="str">
        <f t="shared" si="80"/>
        <v>Low burden</v>
      </c>
      <c r="H93" s="18">
        <f>IF(COUNTIF(Distance_Matrix!$E$9:$DQ$9,$E93)&lt;=1,0,SUMIF(Distance_Matrix!$E$9:$DQ$9,$E93,Distance_Matrix!$E$84:$DQ$84)/(COUNTIF(Distance_Matrix!$E$9:$DQ$9,$E93)-1))</f>
        <v>1.2719207288333769</v>
      </c>
      <c r="I93" s="18">
        <f>MIN(IF(1=$E93,1E+99,IF(COUNTIF(Distance_Matrix!$E$9:$DQ$9,1)=0,1E+99,SUMIF(Distance_Matrix!$E$9:$DQ$9,1,Distance_Matrix!$E$84:$DQ$84)/COUNTIF(Distance_Matrix!$E$9:$DQ$9,1))),IF(2=$E93,1E+99,IF(COUNTIF(Distance_Matrix!$E$9:$DQ$9,2)=0,1E+99,SUMIF(Distance_Matrix!$E$9:$DQ$9,2,Distance_Matrix!$E$84:$DQ$84)/COUNTIF(Distance_Matrix!$E$9:$DQ$9,2))),IF(3=$E93,1E+99,IF(COUNTIF(Distance_Matrix!$E$9:$DQ$9,3)=0,1E+99,SUMIF(Distance_Matrix!$E$9:$DQ$9,3,Distance_Matrix!$E$84:$DQ$84)/COUNTIF(Distance_Matrix!$E$9:$DQ$9,3))))</f>
        <v>1.5683009052356811</v>
      </c>
      <c r="J93" s="18">
        <f>IF(COUNTIF(Distance_Matrix!$E$9:$DQ$9,$E93)&lt;=1,0,(I93-H93)/MAX(H93,I93))</f>
        <v>0.18898170332801331</v>
      </c>
      <c r="X93" s="18">
        <f t="shared" si="66"/>
        <v>6.6029959991080132</v>
      </c>
      <c r="Y93" s="18">
        <f t="shared" si="66"/>
        <v>2.30334415944853</v>
      </c>
      <c r="Z93" s="18">
        <f t="shared" si="66"/>
        <v>2.0569594071030406</v>
      </c>
      <c r="AA93" s="56">
        <f t="shared" si="81"/>
        <v>3</v>
      </c>
      <c r="AC93" s="18">
        <f t="shared" si="67"/>
        <v>5.6454699689101036</v>
      </c>
      <c r="AD93" s="18">
        <f t="shared" si="67"/>
        <v>1.2159389231012407</v>
      </c>
      <c r="AE93" s="18">
        <f t="shared" si="67"/>
        <v>1.3245504713284182</v>
      </c>
      <c r="AF93" s="56">
        <f t="shared" si="82"/>
        <v>2</v>
      </c>
      <c r="AH93" s="18">
        <f t="shared" si="68"/>
        <v>5.0118612117964014</v>
      </c>
      <c r="AI93" s="18">
        <f t="shared" si="68"/>
        <v>1.1055889824908938</v>
      </c>
      <c r="AJ93" s="18">
        <f t="shared" si="68"/>
        <v>1.4058416350570453</v>
      </c>
      <c r="AK93" s="56">
        <f t="shared" si="83"/>
        <v>2</v>
      </c>
      <c r="AM93" s="18">
        <f t="shared" si="69"/>
        <v>5.0118612117964014</v>
      </c>
      <c r="AN93" s="18">
        <f t="shared" si="69"/>
        <v>1.0912745530706693</v>
      </c>
      <c r="AO93" s="18">
        <f t="shared" si="69"/>
        <v>1.4290015021623921</v>
      </c>
      <c r="AP93" s="56">
        <f t="shared" si="84"/>
        <v>2</v>
      </c>
      <c r="AR93" s="18">
        <f t="shared" si="70"/>
        <v>5.0118612117964014</v>
      </c>
      <c r="AS93" s="18">
        <f t="shared" si="70"/>
        <v>1.0912745530706693</v>
      </c>
      <c r="AT93" s="18">
        <f t="shared" si="70"/>
        <v>1.4290015021623921</v>
      </c>
      <c r="AU93" s="56">
        <f t="shared" si="85"/>
        <v>2</v>
      </c>
      <c r="AW93" s="18">
        <f t="shared" si="71"/>
        <v>5.0118612117964014</v>
      </c>
      <c r="AX93" s="18">
        <f t="shared" si="71"/>
        <v>1.0912745530706693</v>
      </c>
      <c r="AY93" s="18">
        <f t="shared" si="71"/>
        <v>1.4290015021623921</v>
      </c>
      <c r="AZ93" s="56">
        <f t="shared" si="86"/>
        <v>2</v>
      </c>
      <c r="BB93" s="18">
        <f t="shared" si="72"/>
        <v>5.0118612117964014</v>
      </c>
      <c r="BC93" s="18">
        <f t="shared" si="72"/>
        <v>1.0912745530706693</v>
      </c>
      <c r="BD93" s="18">
        <f t="shared" si="72"/>
        <v>1.4290015021623921</v>
      </c>
      <c r="BE93" s="56">
        <f t="shared" si="87"/>
        <v>2</v>
      </c>
      <c r="BG93" s="18">
        <f t="shared" si="73"/>
        <v>5.0118612117964014</v>
      </c>
      <c r="BH93" s="18">
        <f t="shared" si="73"/>
        <v>1.0912745530706693</v>
      </c>
      <c r="BI93" s="18">
        <f t="shared" si="73"/>
        <v>1.4290015021623921</v>
      </c>
      <c r="BJ93" s="56">
        <f t="shared" si="88"/>
        <v>2</v>
      </c>
      <c r="BL93" s="18">
        <f t="shared" si="74"/>
        <v>5.0118612117964014</v>
      </c>
      <c r="BM93" s="18">
        <f t="shared" si="74"/>
        <v>1.0912745530706693</v>
      </c>
      <c r="BN93" s="18">
        <f t="shared" si="74"/>
        <v>1.4290015021623921</v>
      </c>
      <c r="BO93" s="56">
        <f t="shared" si="89"/>
        <v>2</v>
      </c>
      <c r="BQ93" s="18">
        <f t="shared" si="75"/>
        <v>5.0118612117964014</v>
      </c>
      <c r="BR93" s="18">
        <f t="shared" si="75"/>
        <v>1.0912745530706693</v>
      </c>
      <c r="BS93" s="18">
        <f t="shared" si="75"/>
        <v>1.4290015021623921</v>
      </c>
      <c r="BT93" s="56">
        <f t="shared" si="90"/>
        <v>2</v>
      </c>
      <c r="BV93" s="18">
        <f t="shared" si="76"/>
        <v>5.0118612117964014</v>
      </c>
      <c r="BW93" s="18">
        <f t="shared" si="76"/>
        <v>1.0912745530706693</v>
      </c>
      <c r="BX93" s="18">
        <f t="shared" si="76"/>
        <v>1.4290015021623921</v>
      </c>
      <c r="BY93" s="56">
        <f t="shared" si="91"/>
        <v>2</v>
      </c>
      <c r="CA93" s="18">
        <f t="shared" si="77"/>
        <v>5.0118612117964014</v>
      </c>
      <c r="CB93" s="18">
        <f t="shared" si="77"/>
        <v>1.0912745530706693</v>
      </c>
      <c r="CC93" s="18">
        <f t="shared" si="77"/>
        <v>1.4290015021623921</v>
      </c>
      <c r="CD93" s="56">
        <f t="shared" si="92"/>
        <v>2</v>
      </c>
    </row>
    <row r="94" spans="1:82" x14ac:dyDescent="0.25">
      <c r="A94" s="36" t="str">
        <f>KMeans_Data!A76</f>
        <v>Narowal</v>
      </c>
      <c r="B94" s="18">
        <f>KMeans_Data!H76</f>
        <v>-0.27592635554508732</v>
      </c>
      <c r="C94" s="18">
        <f>KMeans_Data!I76</f>
        <v>-0.67265054538827607</v>
      </c>
      <c r="D94" s="18">
        <f>KMeans_Data!J76</f>
        <v>-1.1456441163335547</v>
      </c>
      <c r="E94" s="56">
        <f t="shared" si="78"/>
        <v>2</v>
      </c>
      <c r="F94" s="38">
        <f t="shared" si="79"/>
        <v>0.29657766964799265</v>
      </c>
      <c r="G94" s="13" t="str">
        <f t="shared" si="80"/>
        <v>Low burden</v>
      </c>
      <c r="H94" s="18">
        <f>IF(COUNTIF(Distance_Matrix!$E$9:$DQ$9,$E94)&lt;=1,0,SUMIF(Distance_Matrix!$E$9:$DQ$9,$E94,Distance_Matrix!$E$85:$DQ$85)/(COUNTIF(Distance_Matrix!$E$9:$DQ$9,$E94)-1))</f>
        <v>0.90552698945098686</v>
      </c>
      <c r="I94" s="18">
        <f>MIN(IF(1=$E94,1E+99,IF(COUNTIF(Distance_Matrix!$E$9:$DQ$9,1)=0,1E+99,SUMIF(Distance_Matrix!$E$9:$DQ$9,1,Distance_Matrix!$E$85:$DQ$85)/COUNTIF(Distance_Matrix!$E$9:$DQ$9,1))),IF(2=$E94,1E+99,IF(COUNTIF(Distance_Matrix!$E$9:$DQ$9,2)=0,1E+99,SUMIF(Distance_Matrix!$E$9:$DQ$9,2,Distance_Matrix!$E$85:$DQ$85)/COUNTIF(Distance_Matrix!$E$9:$DQ$9,2))),IF(3=$E94,1E+99,IF(COUNTIF(Distance_Matrix!$E$9:$DQ$9,3)=0,1E+99,SUMIF(Distance_Matrix!$E$9:$DQ$9,3,Distance_Matrix!$E$85:$DQ$85)/COUNTIF(Distance_Matrix!$E$9:$DQ$9,3))))</f>
        <v>2.406529948607349</v>
      </c>
      <c r="J94" s="18">
        <f>IF(COUNTIF(Distance_Matrix!$E$9:$DQ$9,$E94)&lt;=1,0,(I94-H94)/MAX(H94,I94))</f>
        <v>0.62372087246410024</v>
      </c>
      <c r="X94" s="18">
        <f t="shared" si="66"/>
        <v>7.3585302822416772</v>
      </c>
      <c r="Y94" s="18">
        <f t="shared" si="66"/>
        <v>1.8038116262582413</v>
      </c>
      <c r="Z94" s="18">
        <f t="shared" si="66"/>
        <v>3.1102534157725112</v>
      </c>
      <c r="AA94" s="56">
        <f t="shared" si="81"/>
        <v>2</v>
      </c>
      <c r="AC94" s="18">
        <f t="shared" si="67"/>
        <v>6.3422709448125314</v>
      </c>
      <c r="AD94" s="18">
        <f t="shared" si="67"/>
        <v>0.58425289449589801</v>
      </c>
      <c r="AE94" s="18">
        <f t="shared" si="67"/>
        <v>2.1607050601341276</v>
      </c>
      <c r="AF94" s="56">
        <f t="shared" si="82"/>
        <v>2</v>
      </c>
      <c r="AH94" s="18">
        <f t="shared" si="68"/>
        <v>5.7093559871752273</v>
      </c>
      <c r="AI94" s="18">
        <f t="shared" si="68"/>
        <v>0.53602934712192041</v>
      </c>
      <c r="AJ94" s="18">
        <f t="shared" si="68"/>
        <v>2.2762731041501127</v>
      </c>
      <c r="AK94" s="56">
        <f t="shared" si="83"/>
        <v>2</v>
      </c>
      <c r="AM94" s="18">
        <f t="shared" si="69"/>
        <v>5.7093559871752273</v>
      </c>
      <c r="AN94" s="18">
        <f t="shared" si="69"/>
        <v>0.54458945054783481</v>
      </c>
      <c r="AO94" s="18">
        <f t="shared" si="69"/>
        <v>2.2978053731907107</v>
      </c>
      <c r="AP94" s="56">
        <f t="shared" si="84"/>
        <v>2</v>
      </c>
      <c r="AR94" s="18">
        <f t="shared" si="70"/>
        <v>5.7093559871752273</v>
      </c>
      <c r="AS94" s="18">
        <f t="shared" si="70"/>
        <v>0.54458945054783481</v>
      </c>
      <c r="AT94" s="18">
        <f t="shared" si="70"/>
        <v>2.2978053731907107</v>
      </c>
      <c r="AU94" s="56">
        <f t="shared" si="85"/>
        <v>2</v>
      </c>
      <c r="AW94" s="18">
        <f t="shared" si="71"/>
        <v>5.7093559871752273</v>
      </c>
      <c r="AX94" s="18">
        <f t="shared" si="71"/>
        <v>0.54458945054783481</v>
      </c>
      <c r="AY94" s="18">
        <f t="shared" si="71"/>
        <v>2.2978053731907107</v>
      </c>
      <c r="AZ94" s="56">
        <f t="shared" si="86"/>
        <v>2</v>
      </c>
      <c r="BB94" s="18">
        <f t="shared" si="72"/>
        <v>5.7093559871752273</v>
      </c>
      <c r="BC94" s="18">
        <f t="shared" si="72"/>
        <v>0.54458945054783481</v>
      </c>
      <c r="BD94" s="18">
        <f t="shared" si="72"/>
        <v>2.2978053731907107</v>
      </c>
      <c r="BE94" s="56">
        <f t="shared" si="87"/>
        <v>2</v>
      </c>
      <c r="BG94" s="18">
        <f t="shared" si="73"/>
        <v>5.7093559871752273</v>
      </c>
      <c r="BH94" s="18">
        <f t="shared" si="73"/>
        <v>0.54458945054783481</v>
      </c>
      <c r="BI94" s="18">
        <f t="shared" si="73"/>
        <v>2.2978053731907107</v>
      </c>
      <c r="BJ94" s="56">
        <f t="shared" si="88"/>
        <v>2</v>
      </c>
      <c r="BL94" s="18">
        <f t="shared" si="74"/>
        <v>5.7093559871752273</v>
      </c>
      <c r="BM94" s="18">
        <f t="shared" si="74"/>
        <v>0.54458945054783481</v>
      </c>
      <c r="BN94" s="18">
        <f t="shared" si="74"/>
        <v>2.2978053731907107</v>
      </c>
      <c r="BO94" s="56">
        <f t="shared" si="89"/>
        <v>2</v>
      </c>
      <c r="BQ94" s="18">
        <f t="shared" si="75"/>
        <v>5.7093559871752273</v>
      </c>
      <c r="BR94" s="18">
        <f t="shared" si="75"/>
        <v>0.54458945054783481</v>
      </c>
      <c r="BS94" s="18">
        <f t="shared" si="75"/>
        <v>2.2978053731907107</v>
      </c>
      <c r="BT94" s="56">
        <f t="shared" si="90"/>
        <v>2</v>
      </c>
      <c r="BV94" s="18">
        <f t="shared" si="76"/>
        <v>5.7093559871752273</v>
      </c>
      <c r="BW94" s="18">
        <f t="shared" si="76"/>
        <v>0.54458945054783481</v>
      </c>
      <c r="BX94" s="18">
        <f t="shared" si="76"/>
        <v>2.2978053731907107</v>
      </c>
      <c r="BY94" s="56">
        <f t="shared" si="91"/>
        <v>2</v>
      </c>
      <c r="CA94" s="18">
        <f t="shared" si="77"/>
        <v>5.7093559871752273</v>
      </c>
      <c r="CB94" s="18">
        <f t="shared" si="77"/>
        <v>0.54458945054783481</v>
      </c>
      <c r="CC94" s="18">
        <f t="shared" si="77"/>
        <v>2.2978053731907107</v>
      </c>
      <c r="CD94" s="56">
        <f t="shared" si="92"/>
        <v>2</v>
      </c>
    </row>
    <row r="95" spans="1:82" x14ac:dyDescent="0.25">
      <c r="A95" s="36" t="str">
        <f>KMeans_Data!A77</f>
        <v>Mandi Bahauddin</v>
      </c>
      <c r="B95" s="18">
        <f>KMeans_Data!H77</f>
        <v>-0.30951672077615416</v>
      </c>
      <c r="C95" s="18">
        <f>KMeans_Data!I77</f>
        <v>-0.67265054538827607</v>
      </c>
      <c r="D95" s="18">
        <f>KMeans_Data!J77</f>
        <v>-0.1820498150291911</v>
      </c>
      <c r="E95" s="56">
        <f t="shared" si="78"/>
        <v>2</v>
      </c>
      <c r="F95" s="38">
        <f t="shared" si="79"/>
        <v>0.42332881611611001</v>
      </c>
      <c r="G95" s="13" t="str">
        <f t="shared" si="80"/>
        <v>Low burden</v>
      </c>
      <c r="H95" s="18">
        <f>IF(COUNTIF(Distance_Matrix!$E$9:$DQ$9,$E95)&lt;=1,0,SUMIF(Distance_Matrix!$E$9:$DQ$9,$E95,Distance_Matrix!$E$86:$DQ$86)/(COUNTIF(Distance_Matrix!$E$9:$DQ$9,$E95)-1))</f>
        <v>0.95178045285756707</v>
      </c>
      <c r="I95" s="18">
        <f>MIN(IF(1=$E95,1E+99,IF(COUNTIF(Distance_Matrix!$E$9:$DQ$9,1)=0,1E+99,SUMIF(Distance_Matrix!$E$9:$DQ$9,1,Distance_Matrix!$E$86:$DQ$86)/COUNTIF(Distance_Matrix!$E$9:$DQ$9,1))),IF(2=$E95,1E+99,IF(COUNTIF(Distance_Matrix!$E$9:$DQ$9,2)=0,1E+99,SUMIF(Distance_Matrix!$E$9:$DQ$9,2,Distance_Matrix!$E$86:$DQ$86)/COUNTIF(Distance_Matrix!$E$9:$DQ$9,2))),IF(3=$E95,1E+99,IF(COUNTIF(Distance_Matrix!$E$9:$DQ$9,3)=0,1E+99,SUMIF(Distance_Matrix!$E$9:$DQ$9,3,Distance_Matrix!$E$86:$DQ$86)/COUNTIF(Distance_Matrix!$E$9:$DQ$9,3))))</f>
        <v>1.7763383972060398</v>
      </c>
      <c r="J95" s="18">
        <f>IF(COUNTIF(Distance_Matrix!$E$9:$DQ$9,$E95)&lt;=1,0,(I95-H95)/MAX(H95,I95))</f>
        <v>0.46418967559638424</v>
      </c>
      <c r="X95" s="18">
        <f t="shared" si="66"/>
        <v>6.8439501868573736</v>
      </c>
      <c r="Y95" s="18">
        <f t="shared" si="66"/>
        <v>2.0154893426904752</v>
      </c>
      <c r="Z95" s="18">
        <f t="shared" si="66"/>
        <v>2.3769571381083732</v>
      </c>
      <c r="AA95" s="56">
        <f t="shared" si="81"/>
        <v>2</v>
      </c>
      <c r="AC95" s="18">
        <f t="shared" si="67"/>
        <v>5.8618830748159558</v>
      </c>
      <c r="AD95" s="18">
        <f t="shared" si="67"/>
        <v>0.78928102061146721</v>
      </c>
      <c r="AE95" s="18">
        <f t="shared" si="67"/>
        <v>1.5199790963636508</v>
      </c>
      <c r="AF95" s="56">
        <f t="shared" si="82"/>
        <v>2</v>
      </c>
      <c r="AH95" s="18">
        <f t="shared" si="68"/>
        <v>5.2250216280149679</v>
      </c>
      <c r="AI95" s="18">
        <f t="shared" si="68"/>
        <v>0.66423192839158929</v>
      </c>
      <c r="AJ95" s="18">
        <f t="shared" si="68"/>
        <v>1.6209122833242968</v>
      </c>
      <c r="AK95" s="56">
        <f t="shared" si="83"/>
        <v>2</v>
      </c>
      <c r="AM95" s="18">
        <f t="shared" si="69"/>
        <v>5.2250216280149679</v>
      </c>
      <c r="AN95" s="18">
        <f t="shared" si="69"/>
        <v>0.6506372384947775</v>
      </c>
      <c r="AO95" s="18">
        <f t="shared" si="69"/>
        <v>1.6446986556706977</v>
      </c>
      <c r="AP95" s="56">
        <f t="shared" si="84"/>
        <v>2</v>
      </c>
      <c r="AR95" s="18">
        <f t="shared" si="70"/>
        <v>5.2250216280149679</v>
      </c>
      <c r="AS95" s="18">
        <f t="shared" si="70"/>
        <v>0.6506372384947775</v>
      </c>
      <c r="AT95" s="18">
        <f t="shared" si="70"/>
        <v>1.6446986556706977</v>
      </c>
      <c r="AU95" s="56">
        <f t="shared" si="85"/>
        <v>2</v>
      </c>
      <c r="AW95" s="18">
        <f t="shared" si="71"/>
        <v>5.2250216280149679</v>
      </c>
      <c r="AX95" s="18">
        <f t="shared" si="71"/>
        <v>0.6506372384947775</v>
      </c>
      <c r="AY95" s="18">
        <f t="shared" si="71"/>
        <v>1.6446986556706977</v>
      </c>
      <c r="AZ95" s="56">
        <f t="shared" si="86"/>
        <v>2</v>
      </c>
      <c r="BB95" s="18">
        <f t="shared" si="72"/>
        <v>5.2250216280149679</v>
      </c>
      <c r="BC95" s="18">
        <f t="shared" si="72"/>
        <v>0.6506372384947775</v>
      </c>
      <c r="BD95" s="18">
        <f t="shared" si="72"/>
        <v>1.6446986556706977</v>
      </c>
      <c r="BE95" s="56">
        <f t="shared" si="87"/>
        <v>2</v>
      </c>
      <c r="BG95" s="18">
        <f t="shared" si="73"/>
        <v>5.2250216280149679</v>
      </c>
      <c r="BH95" s="18">
        <f t="shared" si="73"/>
        <v>0.6506372384947775</v>
      </c>
      <c r="BI95" s="18">
        <f t="shared" si="73"/>
        <v>1.6446986556706977</v>
      </c>
      <c r="BJ95" s="56">
        <f t="shared" si="88"/>
        <v>2</v>
      </c>
      <c r="BL95" s="18">
        <f t="shared" si="74"/>
        <v>5.2250216280149679</v>
      </c>
      <c r="BM95" s="18">
        <f t="shared" si="74"/>
        <v>0.6506372384947775</v>
      </c>
      <c r="BN95" s="18">
        <f t="shared" si="74"/>
        <v>1.6446986556706977</v>
      </c>
      <c r="BO95" s="56">
        <f t="shared" si="89"/>
        <v>2</v>
      </c>
      <c r="BQ95" s="18">
        <f t="shared" si="75"/>
        <v>5.2250216280149679</v>
      </c>
      <c r="BR95" s="18">
        <f t="shared" si="75"/>
        <v>0.6506372384947775</v>
      </c>
      <c r="BS95" s="18">
        <f t="shared" si="75"/>
        <v>1.6446986556706977</v>
      </c>
      <c r="BT95" s="56">
        <f t="shared" si="90"/>
        <v>2</v>
      </c>
      <c r="BV95" s="18">
        <f t="shared" si="76"/>
        <v>5.2250216280149679</v>
      </c>
      <c r="BW95" s="18">
        <f t="shared" si="76"/>
        <v>0.6506372384947775</v>
      </c>
      <c r="BX95" s="18">
        <f t="shared" si="76"/>
        <v>1.6446986556706977</v>
      </c>
      <c r="BY95" s="56">
        <f t="shared" si="91"/>
        <v>2</v>
      </c>
      <c r="CA95" s="18">
        <f t="shared" si="77"/>
        <v>5.2250216280149679</v>
      </c>
      <c r="CB95" s="18">
        <f t="shared" si="77"/>
        <v>0.6506372384947775</v>
      </c>
      <c r="CC95" s="18">
        <f t="shared" si="77"/>
        <v>1.6446986556706977</v>
      </c>
      <c r="CD95" s="56">
        <f t="shared" si="92"/>
        <v>2</v>
      </c>
    </row>
    <row r="96" spans="1:82" x14ac:dyDescent="0.25">
      <c r="A96" s="36" t="str">
        <f>KMeans_Data!A78</f>
        <v>Ghanche</v>
      </c>
      <c r="B96" s="18">
        <f>KMeans_Data!H78</f>
        <v>-0.3271614619727895</v>
      </c>
      <c r="C96" s="18">
        <f>KMeans_Data!I78</f>
        <v>-0.67265054538827607</v>
      </c>
      <c r="D96" s="18">
        <f>KMeans_Data!J78</f>
        <v>-0.24392704812240026</v>
      </c>
      <c r="E96" s="56">
        <f t="shared" si="78"/>
        <v>2</v>
      </c>
      <c r="F96" s="38">
        <f t="shared" si="79"/>
        <v>0.34663688937253889</v>
      </c>
      <c r="G96" s="13" t="str">
        <f t="shared" si="80"/>
        <v>Low burden</v>
      </c>
      <c r="H96" s="18">
        <f>IF(COUNTIF(Distance_Matrix!$E$9:$DQ$9,$E96)&lt;=1,0,SUMIF(Distance_Matrix!$E$9:$DQ$9,$E96,Distance_Matrix!$E$87:$DQ$87)/(COUNTIF(Distance_Matrix!$E$9:$DQ$9,$E96)-1))</f>
        <v>0.91816787692920809</v>
      </c>
      <c r="I96" s="18">
        <f>MIN(IF(1=$E96,1E+99,IF(COUNTIF(Distance_Matrix!$E$9:$DQ$9,1)=0,1E+99,SUMIF(Distance_Matrix!$E$9:$DQ$9,1,Distance_Matrix!$E$87:$DQ$87)/COUNTIF(Distance_Matrix!$E$9:$DQ$9,1))),IF(2=$E96,1E+99,IF(COUNTIF(Distance_Matrix!$E$9:$DQ$9,2)=0,1E+99,SUMIF(Distance_Matrix!$E$9:$DQ$9,2,Distance_Matrix!$E$87:$DQ$87)/COUNTIF(Distance_Matrix!$E$9:$DQ$9,2))),IF(3=$E96,1E+99,IF(COUNTIF(Distance_Matrix!$E$9:$DQ$9,3)=0,1E+99,SUMIF(Distance_Matrix!$E$9:$DQ$9,3,Distance_Matrix!$E$87:$DQ$87)/COUNTIF(Distance_Matrix!$E$9:$DQ$9,3))))</f>
        <v>1.8171936461427347</v>
      </c>
      <c r="J96" s="18">
        <f>IF(COUNTIF(Distance_Matrix!$E$9:$DQ$9,$E96)&lt;=1,0,(I96-H96)/MAX(H96,I96))</f>
        <v>0.4947330578234429</v>
      </c>
      <c r="X96" s="18">
        <f t="shared" si="66"/>
        <v>6.8844268357778047</v>
      </c>
      <c r="Y96" s="18">
        <f t="shared" si="66"/>
        <v>1.9709434616357322</v>
      </c>
      <c r="Z96" s="18">
        <f t="shared" si="66"/>
        <v>2.4302456152411116</v>
      </c>
      <c r="AA96" s="56">
        <f t="shared" si="81"/>
        <v>2</v>
      </c>
      <c r="AC96" s="18">
        <f t="shared" si="67"/>
        <v>5.8996676267078225</v>
      </c>
      <c r="AD96" s="18">
        <f t="shared" si="67"/>
        <v>0.72890980423015417</v>
      </c>
      <c r="AE96" s="18">
        <f t="shared" si="67"/>
        <v>1.5616153121244749</v>
      </c>
      <c r="AF96" s="56">
        <f t="shared" si="82"/>
        <v>2</v>
      </c>
      <c r="AH96" s="18">
        <f t="shared" si="68"/>
        <v>5.262696158383684</v>
      </c>
      <c r="AI96" s="18">
        <f t="shared" si="68"/>
        <v>0.60218043190594905</v>
      </c>
      <c r="AJ96" s="18">
        <f t="shared" si="68"/>
        <v>1.6637809560438053</v>
      </c>
      <c r="AK96" s="56">
        <f t="shared" si="83"/>
        <v>2</v>
      </c>
      <c r="AM96" s="18">
        <f t="shared" si="69"/>
        <v>5.262696158383684</v>
      </c>
      <c r="AN96" s="18">
        <f t="shared" si="69"/>
        <v>0.58875877010244093</v>
      </c>
      <c r="AO96" s="18">
        <f t="shared" si="69"/>
        <v>1.6875820133719552</v>
      </c>
      <c r="AP96" s="56">
        <f t="shared" si="84"/>
        <v>2</v>
      </c>
      <c r="AR96" s="18">
        <f t="shared" si="70"/>
        <v>5.262696158383684</v>
      </c>
      <c r="AS96" s="18">
        <f t="shared" si="70"/>
        <v>0.58875877010244093</v>
      </c>
      <c r="AT96" s="18">
        <f t="shared" si="70"/>
        <v>1.6875820133719552</v>
      </c>
      <c r="AU96" s="56">
        <f t="shared" si="85"/>
        <v>2</v>
      </c>
      <c r="AW96" s="18">
        <f t="shared" si="71"/>
        <v>5.262696158383684</v>
      </c>
      <c r="AX96" s="18">
        <f t="shared" si="71"/>
        <v>0.58875877010244093</v>
      </c>
      <c r="AY96" s="18">
        <f t="shared" si="71"/>
        <v>1.6875820133719552</v>
      </c>
      <c r="AZ96" s="56">
        <f t="shared" si="86"/>
        <v>2</v>
      </c>
      <c r="BB96" s="18">
        <f t="shared" si="72"/>
        <v>5.262696158383684</v>
      </c>
      <c r="BC96" s="18">
        <f t="shared" si="72"/>
        <v>0.58875877010244093</v>
      </c>
      <c r="BD96" s="18">
        <f t="shared" si="72"/>
        <v>1.6875820133719552</v>
      </c>
      <c r="BE96" s="56">
        <f t="shared" si="87"/>
        <v>2</v>
      </c>
      <c r="BG96" s="18">
        <f t="shared" si="73"/>
        <v>5.262696158383684</v>
      </c>
      <c r="BH96" s="18">
        <f t="shared" si="73"/>
        <v>0.58875877010244093</v>
      </c>
      <c r="BI96" s="18">
        <f t="shared" si="73"/>
        <v>1.6875820133719552</v>
      </c>
      <c r="BJ96" s="56">
        <f t="shared" si="88"/>
        <v>2</v>
      </c>
      <c r="BL96" s="18">
        <f t="shared" si="74"/>
        <v>5.262696158383684</v>
      </c>
      <c r="BM96" s="18">
        <f t="shared" si="74"/>
        <v>0.58875877010244093</v>
      </c>
      <c r="BN96" s="18">
        <f t="shared" si="74"/>
        <v>1.6875820133719552</v>
      </c>
      <c r="BO96" s="56">
        <f t="shared" si="89"/>
        <v>2</v>
      </c>
      <c r="BQ96" s="18">
        <f t="shared" si="75"/>
        <v>5.262696158383684</v>
      </c>
      <c r="BR96" s="18">
        <f t="shared" si="75"/>
        <v>0.58875877010244093</v>
      </c>
      <c r="BS96" s="18">
        <f t="shared" si="75"/>
        <v>1.6875820133719552</v>
      </c>
      <c r="BT96" s="56">
        <f t="shared" si="90"/>
        <v>2</v>
      </c>
      <c r="BV96" s="18">
        <f t="shared" si="76"/>
        <v>5.262696158383684</v>
      </c>
      <c r="BW96" s="18">
        <f t="shared" si="76"/>
        <v>0.58875877010244093</v>
      </c>
      <c r="BX96" s="18">
        <f t="shared" si="76"/>
        <v>1.6875820133719552</v>
      </c>
      <c r="BY96" s="56">
        <f t="shared" si="91"/>
        <v>2</v>
      </c>
      <c r="CA96" s="18">
        <f t="shared" si="77"/>
        <v>5.262696158383684</v>
      </c>
      <c r="CB96" s="18">
        <f t="shared" si="77"/>
        <v>0.58875877010244093</v>
      </c>
      <c r="CC96" s="18">
        <f t="shared" si="77"/>
        <v>1.6875820133719552</v>
      </c>
      <c r="CD96" s="56">
        <f t="shared" si="92"/>
        <v>2</v>
      </c>
    </row>
    <row r="97" spans="1:82" x14ac:dyDescent="0.25">
      <c r="A97" s="36" t="str">
        <f>KMeans_Data!A79</f>
        <v>Hunza</v>
      </c>
      <c r="B97" s="18">
        <f>KMeans_Data!H79</f>
        <v>-0.3271614619727895</v>
      </c>
      <c r="C97" s="18">
        <f>KMeans_Data!I79</f>
        <v>-0.67265054538827607</v>
      </c>
      <c r="D97" s="18">
        <f>KMeans_Data!J79</f>
        <v>-1.1456441163335547</v>
      </c>
      <c r="E97" s="56">
        <f t="shared" si="78"/>
        <v>2</v>
      </c>
      <c r="F97" s="38">
        <f t="shared" si="79"/>
        <v>0.2621355157360275</v>
      </c>
      <c r="G97" s="13" t="str">
        <f t="shared" si="80"/>
        <v>Low burden</v>
      </c>
      <c r="H97" s="18">
        <f>IF(COUNTIF(Distance_Matrix!$E$9:$DQ$9,$E97)&lt;=1,0,SUMIF(Distance_Matrix!$E$9:$DQ$9,$E97,Distance_Matrix!$E$88:$DQ$88)/(COUNTIF(Distance_Matrix!$E$9:$DQ$9,$E97)-1))</f>
        <v>0.89011812863691986</v>
      </c>
      <c r="I97" s="18">
        <f>MIN(IF(1=$E97,1E+99,IF(COUNTIF(Distance_Matrix!$E$9:$DQ$9,1)=0,1E+99,SUMIF(Distance_Matrix!$E$9:$DQ$9,1,Distance_Matrix!$E$88:$DQ$88)/COUNTIF(Distance_Matrix!$E$9:$DQ$9,1))),IF(2=$E97,1E+99,IF(COUNTIF(Distance_Matrix!$E$9:$DQ$9,2)=0,1E+99,SUMIF(Distance_Matrix!$E$9:$DQ$9,2,Distance_Matrix!$E$88:$DQ$88)/COUNTIF(Distance_Matrix!$E$9:$DQ$9,2))),IF(3=$E97,1E+99,IF(COUNTIF(Distance_Matrix!$E$9:$DQ$9,3)=0,1E+99,SUMIF(Distance_Matrix!$E$9:$DQ$9,3,Distance_Matrix!$E$88:$DQ$88)/COUNTIF(Distance_Matrix!$E$9:$DQ$9,3))))</f>
        <v>2.4235213042224806</v>
      </c>
      <c r="J97" s="18">
        <f>IF(COUNTIF(Distance_Matrix!$E$9:$DQ$9,$E97)&lt;=1,0,(I97-H97)/MAX(H97,I97))</f>
        <v>0.63271701920421553</v>
      </c>
      <c r="X97" s="18">
        <f t="shared" si="66"/>
        <v>7.3833858290521244</v>
      </c>
      <c r="Y97" s="18">
        <f t="shared" si="66"/>
        <v>1.752576519830539</v>
      </c>
      <c r="Z97" s="18">
        <f t="shared" si="66"/>
        <v>3.1322311072030558</v>
      </c>
      <c r="AA97" s="56">
        <f t="shared" si="81"/>
        <v>2</v>
      </c>
      <c r="AC97" s="18">
        <f t="shared" si="67"/>
        <v>6.367345866684806</v>
      </c>
      <c r="AD97" s="18">
        <f t="shared" si="67"/>
        <v>0.54214763098094498</v>
      </c>
      <c r="AE97" s="18">
        <f t="shared" si="67"/>
        <v>2.1798447230881286</v>
      </c>
      <c r="AF97" s="56">
        <f t="shared" si="82"/>
        <v>2</v>
      </c>
      <c r="AH97" s="18">
        <f t="shared" si="68"/>
        <v>5.7342913615865596</v>
      </c>
      <c r="AI97" s="18">
        <f t="shared" si="68"/>
        <v>0.50249358134012756</v>
      </c>
      <c r="AJ97" s="18">
        <f t="shared" si="68"/>
        <v>2.2944118567108185</v>
      </c>
      <c r="AK97" s="56">
        <f t="shared" si="83"/>
        <v>2</v>
      </c>
      <c r="AM97" s="18">
        <f t="shared" si="69"/>
        <v>5.7342913615865596</v>
      </c>
      <c r="AN97" s="18">
        <f t="shared" si="69"/>
        <v>0.51199171451892411</v>
      </c>
      <c r="AO97" s="18">
        <f t="shared" si="69"/>
        <v>2.3161957760888199</v>
      </c>
      <c r="AP97" s="56">
        <f t="shared" si="84"/>
        <v>2</v>
      </c>
      <c r="AR97" s="18">
        <f t="shared" si="70"/>
        <v>5.7342913615865596</v>
      </c>
      <c r="AS97" s="18">
        <f t="shared" si="70"/>
        <v>0.51199171451892411</v>
      </c>
      <c r="AT97" s="18">
        <f t="shared" si="70"/>
        <v>2.3161957760888199</v>
      </c>
      <c r="AU97" s="56">
        <f t="shared" si="85"/>
        <v>2</v>
      </c>
      <c r="AW97" s="18">
        <f t="shared" si="71"/>
        <v>5.7342913615865596</v>
      </c>
      <c r="AX97" s="18">
        <f t="shared" si="71"/>
        <v>0.51199171451892411</v>
      </c>
      <c r="AY97" s="18">
        <f t="shared" si="71"/>
        <v>2.3161957760888199</v>
      </c>
      <c r="AZ97" s="56">
        <f t="shared" si="86"/>
        <v>2</v>
      </c>
      <c r="BB97" s="18">
        <f t="shared" si="72"/>
        <v>5.7342913615865596</v>
      </c>
      <c r="BC97" s="18">
        <f t="shared" si="72"/>
        <v>0.51199171451892411</v>
      </c>
      <c r="BD97" s="18">
        <f t="shared" si="72"/>
        <v>2.3161957760888199</v>
      </c>
      <c r="BE97" s="56">
        <f t="shared" si="87"/>
        <v>2</v>
      </c>
      <c r="BG97" s="18">
        <f t="shared" si="73"/>
        <v>5.7342913615865596</v>
      </c>
      <c r="BH97" s="18">
        <f t="shared" si="73"/>
        <v>0.51199171451892411</v>
      </c>
      <c r="BI97" s="18">
        <f t="shared" si="73"/>
        <v>2.3161957760888199</v>
      </c>
      <c r="BJ97" s="56">
        <f t="shared" si="88"/>
        <v>2</v>
      </c>
      <c r="BL97" s="18">
        <f t="shared" si="74"/>
        <v>5.7342913615865596</v>
      </c>
      <c r="BM97" s="18">
        <f t="shared" si="74"/>
        <v>0.51199171451892411</v>
      </c>
      <c r="BN97" s="18">
        <f t="shared" si="74"/>
        <v>2.3161957760888199</v>
      </c>
      <c r="BO97" s="56">
        <f t="shared" si="89"/>
        <v>2</v>
      </c>
      <c r="BQ97" s="18">
        <f t="shared" si="75"/>
        <v>5.7342913615865596</v>
      </c>
      <c r="BR97" s="18">
        <f t="shared" si="75"/>
        <v>0.51199171451892411</v>
      </c>
      <c r="BS97" s="18">
        <f t="shared" si="75"/>
        <v>2.3161957760888199</v>
      </c>
      <c r="BT97" s="56">
        <f t="shared" si="90"/>
        <v>2</v>
      </c>
      <c r="BV97" s="18">
        <f t="shared" si="76"/>
        <v>5.7342913615865596</v>
      </c>
      <c r="BW97" s="18">
        <f t="shared" si="76"/>
        <v>0.51199171451892411</v>
      </c>
      <c r="BX97" s="18">
        <f t="shared" si="76"/>
        <v>2.3161957760888199</v>
      </c>
      <c r="BY97" s="56">
        <f t="shared" si="91"/>
        <v>2</v>
      </c>
      <c r="CA97" s="18">
        <f t="shared" si="77"/>
        <v>5.7342913615865596</v>
      </c>
      <c r="CB97" s="18">
        <f t="shared" si="77"/>
        <v>0.51199171451892411</v>
      </c>
      <c r="CC97" s="18">
        <f t="shared" si="77"/>
        <v>2.3161957760888199</v>
      </c>
      <c r="CD97" s="56">
        <f t="shared" si="92"/>
        <v>2</v>
      </c>
    </row>
    <row r="98" spans="1:82" x14ac:dyDescent="0.25">
      <c r="A98" s="36" t="str">
        <f>KMeans_Data!A80</f>
        <v>Nankana Sahib</v>
      </c>
      <c r="B98" s="18">
        <f>KMeans_Data!H80</f>
        <v>-0.34542544181187113</v>
      </c>
      <c r="C98" s="18">
        <f>KMeans_Data!I80</f>
        <v>-0.67265054538827607</v>
      </c>
      <c r="D98" s="18">
        <f>KMeans_Data!J80</f>
        <v>-0.24392704812240026</v>
      </c>
      <c r="E98" s="56">
        <f t="shared" si="78"/>
        <v>2</v>
      </c>
      <c r="F98" s="38">
        <f t="shared" si="79"/>
        <v>0.33562848925519395</v>
      </c>
      <c r="G98" s="13" t="str">
        <f t="shared" si="80"/>
        <v>Low burden</v>
      </c>
      <c r="H98" s="18">
        <f>IF(COUNTIF(Distance_Matrix!$E$9:$DQ$9,$E98)&lt;=1,0,SUMIF(Distance_Matrix!$E$9:$DQ$9,$E98,Distance_Matrix!$E$89:$DQ$89)/(COUNTIF(Distance_Matrix!$E$9:$DQ$9,$E98)-1))</f>
        <v>0.91377838121854349</v>
      </c>
      <c r="I98" s="18">
        <f>MIN(IF(1=$E98,1E+99,IF(COUNTIF(Distance_Matrix!$E$9:$DQ$9,1)=0,1E+99,SUMIF(Distance_Matrix!$E$9:$DQ$9,1,Distance_Matrix!$E$89:$DQ$89)/COUNTIF(Distance_Matrix!$E$9:$DQ$9,1))),IF(2=$E98,1E+99,IF(COUNTIF(Distance_Matrix!$E$9:$DQ$9,2)=0,1E+99,SUMIF(Distance_Matrix!$E$9:$DQ$9,2,Distance_Matrix!$E$89:$DQ$89)/COUNTIF(Distance_Matrix!$E$9:$DQ$9,2))),IF(3=$E98,1E+99,IF(COUNTIF(Distance_Matrix!$E$9:$DQ$9,3)=0,1E+99,SUMIF(Distance_Matrix!$E$9:$DQ$9,3,Distance_Matrix!$E$89:$DQ$89)/COUNTIF(Distance_Matrix!$E$9:$DQ$9,3))))</f>
        <v>1.8255164041441878</v>
      </c>
      <c r="J98" s="18">
        <f>IF(COUNTIF(Distance_Matrix!$E$9:$DQ$9,$E98)&lt;=1,0,(I98-H98)/MAX(H98,I98))</f>
        <v>0.49944115585916748</v>
      </c>
      <c r="X98" s="18">
        <f t="shared" si="66"/>
        <v>6.8939988968562389</v>
      </c>
      <c r="Y98" s="18">
        <f t="shared" si="66"/>
        <v>1.9547208643371412</v>
      </c>
      <c r="Z98" s="18">
        <f t="shared" si="66"/>
        <v>2.4405470008765069</v>
      </c>
      <c r="AA98" s="56">
        <f t="shared" si="81"/>
        <v>2</v>
      </c>
      <c r="AC98" s="18">
        <f t="shared" si="67"/>
        <v>5.9093953207613898</v>
      </c>
      <c r="AD98" s="18">
        <f t="shared" si="67"/>
        <v>0.71810319876918138</v>
      </c>
      <c r="AE98" s="18">
        <f t="shared" si="67"/>
        <v>1.5714726776402617</v>
      </c>
      <c r="AF98" s="56">
        <f t="shared" si="82"/>
        <v>2</v>
      </c>
      <c r="AH98" s="18">
        <f t="shared" si="68"/>
        <v>5.2724719632585773</v>
      </c>
      <c r="AI98" s="18">
        <f t="shared" si="68"/>
        <v>0.59285364887164183</v>
      </c>
      <c r="AJ98" s="18">
        <f t="shared" si="68"/>
        <v>1.6730183543611721</v>
      </c>
      <c r="AK98" s="56">
        <f t="shared" si="83"/>
        <v>2</v>
      </c>
      <c r="AM98" s="18">
        <f t="shared" si="69"/>
        <v>5.2724719632585773</v>
      </c>
      <c r="AN98" s="18">
        <f t="shared" si="69"/>
        <v>0.57933452275450836</v>
      </c>
      <c r="AO98" s="18">
        <f t="shared" si="69"/>
        <v>1.696894335410752</v>
      </c>
      <c r="AP98" s="56">
        <f t="shared" si="84"/>
        <v>2</v>
      </c>
      <c r="AR98" s="18">
        <f t="shared" si="70"/>
        <v>5.2724719632585773</v>
      </c>
      <c r="AS98" s="18">
        <f t="shared" si="70"/>
        <v>0.57933452275450836</v>
      </c>
      <c r="AT98" s="18">
        <f t="shared" si="70"/>
        <v>1.696894335410752</v>
      </c>
      <c r="AU98" s="56">
        <f t="shared" si="85"/>
        <v>2</v>
      </c>
      <c r="AW98" s="18">
        <f t="shared" si="71"/>
        <v>5.2724719632585773</v>
      </c>
      <c r="AX98" s="18">
        <f t="shared" si="71"/>
        <v>0.57933452275450836</v>
      </c>
      <c r="AY98" s="18">
        <f t="shared" si="71"/>
        <v>1.696894335410752</v>
      </c>
      <c r="AZ98" s="56">
        <f t="shared" si="86"/>
        <v>2</v>
      </c>
      <c r="BB98" s="18">
        <f t="shared" si="72"/>
        <v>5.2724719632585773</v>
      </c>
      <c r="BC98" s="18">
        <f t="shared" si="72"/>
        <v>0.57933452275450836</v>
      </c>
      <c r="BD98" s="18">
        <f t="shared" si="72"/>
        <v>1.696894335410752</v>
      </c>
      <c r="BE98" s="56">
        <f t="shared" si="87"/>
        <v>2</v>
      </c>
      <c r="BG98" s="18">
        <f t="shared" si="73"/>
        <v>5.2724719632585773</v>
      </c>
      <c r="BH98" s="18">
        <f t="shared" si="73"/>
        <v>0.57933452275450836</v>
      </c>
      <c r="BI98" s="18">
        <f t="shared" si="73"/>
        <v>1.696894335410752</v>
      </c>
      <c r="BJ98" s="56">
        <f t="shared" si="88"/>
        <v>2</v>
      </c>
      <c r="BL98" s="18">
        <f t="shared" si="74"/>
        <v>5.2724719632585773</v>
      </c>
      <c r="BM98" s="18">
        <f t="shared" si="74"/>
        <v>0.57933452275450836</v>
      </c>
      <c r="BN98" s="18">
        <f t="shared" si="74"/>
        <v>1.696894335410752</v>
      </c>
      <c r="BO98" s="56">
        <f t="shared" si="89"/>
        <v>2</v>
      </c>
      <c r="BQ98" s="18">
        <f t="shared" si="75"/>
        <v>5.2724719632585773</v>
      </c>
      <c r="BR98" s="18">
        <f t="shared" si="75"/>
        <v>0.57933452275450836</v>
      </c>
      <c r="BS98" s="18">
        <f t="shared" si="75"/>
        <v>1.696894335410752</v>
      </c>
      <c r="BT98" s="56">
        <f t="shared" si="90"/>
        <v>2</v>
      </c>
      <c r="BV98" s="18">
        <f t="shared" si="76"/>
        <v>5.2724719632585773</v>
      </c>
      <c r="BW98" s="18">
        <f t="shared" si="76"/>
        <v>0.57933452275450836</v>
      </c>
      <c r="BX98" s="18">
        <f t="shared" si="76"/>
        <v>1.696894335410752</v>
      </c>
      <c r="BY98" s="56">
        <f t="shared" si="91"/>
        <v>2</v>
      </c>
      <c r="CA98" s="18">
        <f t="shared" si="77"/>
        <v>5.2724719632585773</v>
      </c>
      <c r="CB98" s="18">
        <f t="shared" si="77"/>
        <v>0.57933452275450836</v>
      </c>
      <c r="CC98" s="18">
        <f t="shared" si="77"/>
        <v>1.696894335410752</v>
      </c>
      <c r="CD98" s="56">
        <f t="shared" si="92"/>
        <v>2</v>
      </c>
    </row>
    <row r="99" spans="1:82" x14ac:dyDescent="0.25">
      <c r="A99" s="36" t="str">
        <f>KMeans_Data!A81</f>
        <v>Khushab</v>
      </c>
      <c r="B99" s="18">
        <f>KMeans_Data!H81</f>
        <v>-0.34542544181187113</v>
      </c>
      <c r="C99" s="18">
        <f>KMeans_Data!I81</f>
        <v>-0.67265054538827607</v>
      </c>
      <c r="D99" s="18">
        <f>KMeans_Data!J81</f>
        <v>-1.1456441163335547</v>
      </c>
      <c r="E99" s="56">
        <f t="shared" si="78"/>
        <v>2</v>
      </c>
      <c r="F99" s="38">
        <f t="shared" si="79"/>
        <v>0.25112711561868256</v>
      </c>
      <c r="G99" s="13" t="str">
        <f t="shared" si="80"/>
        <v>Low burden</v>
      </c>
      <c r="H99" s="18">
        <f>IF(COUNTIF(Distance_Matrix!$E$9:$DQ$9,$E99)&lt;=1,0,SUMIF(Distance_Matrix!$E$9:$DQ$9,$E99,Distance_Matrix!$E$90:$DQ$90)/(COUNTIF(Distance_Matrix!$E$9:$DQ$9,$E99)-1))</f>
        <v>0.88547541133034258</v>
      </c>
      <c r="I99" s="18">
        <f>MIN(IF(1=$E99,1E+99,IF(COUNTIF(Distance_Matrix!$E$9:$DQ$9,1)=0,1E+99,SUMIF(Distance_Matrix!$E$9:$DQ$9,1,Distance_Matrix!$E$90:$DQ$90)/COUNTIF(Distance_Matrix!$E$9:$DQ$9,1))),IF(2=$E99,1E+99,IF(COUNTIF(Distance_Matrix!$E$9:$DQ$9,2)=0,1E+99,SUMIF(Distance_Matrix!$E$9:$DQ$9,2,Distance_Matrix!$E$90:$DQ$90)/COUNTIF(Distance_Matrix!$E$9:$DQ$9,2))),IF(3=$E99,1E+99,IF(COUNTIF(Distance_Matrix!$E$9:$DQ$9,3)=0,1E+99,SUMIF(Distance_Matrix!$E$9:$DQ$9,3,Distance_Matrix!$E$90:$DQ$90)/COUNTIF(Distance_Matrix!$E$9:$DQ$9,3))))</f>
        <v>2.4298183588452309</v>
      </c>
      <c r="J99" s="18">
        <f>IF(COUNTIF(Distance_Matrix!$E$9:$DQ$9,$E99)&lt;=1,0,(I99-H99)/MAX(H99,I99))</f>
        <v>0.63557958638885081</v>
      </c>
      <c r="X99" s="18">
        <f t="shared" si="66"/>
        <v>7.39231183279799</v>
      </c>
      <c r="Y99" s="18">
        <f t="shared" si="66"/>
        <v>1.7343125399914574</v>
      </c>
      <c r="Z99" s="18">
        <f t="shared" si="66"/>
        <v>3.1402305045998049</v>
      </c>
      <c r="AA99" s="56">
        <f t="shared" si="81"/>
        <v>2</v>
      </c>
      <c r="AC99" s="18">
        <f t="shared" si="67"/>
        <v>6.3763601166653361</v>
      </c>
      <c r="AD99" s="18">
        <f t="shared" si="67"/>
        <v>0.52752891404921087</v>
      </c>
      <c r="AE99" s="18">
        <f t="shared" si="67"/>
        <v>2.1869172390109766</v>
      </c>
      <c r="AF99" s="56">
        <f t="shared" si="82"/>
        <v>2</v>
      </c>
      <c r="AH99" s="18">
        <f t="shared" si="68"/>
        <v>5.743264504395353</v>
      </c>
      <c r="AI99" s="18">
        <f t="shared" si="68"/>
        <v>0.49127790068149002</v>
      </c>
      <c r="AJ99" s="18">
        <f t="shared" si="68"/>
        <v>2.3011191000360047</v>
      </c>
      <c r="AK99" s="56">
        <f t="shared" si="83"/>
        <v>2</v>
      </c>
      <c r="AM99" s="18">
        <f t="shared" si="69"/>
        <v>5.743264504395353</v>
      </c>
      <c r="AN99" s="18">
        <f t="shared" si="69"/>
        <v>0.50112584808477256</v>
      </c>
      <c r="AO99" s="18">
        <f t="shared" si="69"/>
        <v>2.322989497794651</v>
      </c>
      <c r="AP99" s="56">
        <f t="shared" si="84"/>
        <v>2</v>
      </c>
      <c r="AR99" s="18">
        <f t="shared" si="70"/>
        <v>5.743264504395353</v>
      </c>
      <c r="AS99" s="18">
        <f t="shared" si="70"/>
        <v>0.50112584808477256</v>
      </c>
      <c r="AT99" s="18">
        <f t="shared" si="70"/>
        <v>2.322989497794651</v>
      </c>
      <c r="AU99" s="56">
        <f t="shared" si="85"/>
        <v>2</v>
      </c>
      <c r="AW99" s="18">
        <f t="shared" si="71"/>
        <v>5.743264504395353</v>
      </c>
      <c r="AX99" s="18">
        <f t="shared" si="71"/>
        <v>0.50112584808477256</v>
      </c>
      <c r="AY99" s="18">
        <f t="shared" si="71"/>
        <v>2.322989497794651</v>
      </c>
      <c r="AZ99" s="56">
        <f t="shared" si="86"/>
        <v>2</v>
      </c>
      <c r="BB99" s="18">
        <f t="shared" si="72"/>
        <v>5.743264504395353</v>
      </c>
      <c r="BC99" s="18">
        <f t="shared" si="72"/>
        <v>0.50112584808477256</v>
      </c>
      <c r="BD99" s="18">
        <f t="shared" si="72"/>
        <v>2.322989497794651</v>
      </c>
      <c r="BE99" s="56">
        <f t="shared" si="87"/>
        <v>2</v>
      </c>
      <c r="BG99" s="18">
        <f t="shared" si="73"/>
        <v>5.743264504395353</v>
      </c>
      <c r="BH99" s="18">
        <f t="shared" si="73"/>
        <v>0.50112584808477256</v>
      </c>
      <c r="BI99" s="18">
        <f t="shared" si="73"/>
        <v>2.322989497794651</v>
      </c>
      <c r="BJ99" s="56">
        <f t="shared" si="88"/>
        <v>2</v>
      </c>
      <c r="BL99" s="18">
        <f t="shared" si="74"/>
        <v>5.743264504395353</v>
      </c>
      <c r="BM99" s="18">
        <f t="shared" si="74"/>
        <v>0.50112584808477256</v>
      </c>
      <c r="BN99" s="18">
        <f t="shared" si="74"/>
        <v>2.322989497794651</v>
      </c>
      <c r="BO99" s="56">
        <f t="shared" si="89"/>
        <v>2</v>
      </c>
      <c r="BQ99" s="18">
        <f t="shared" si="75"/>
        <v>5.743264504395353</v>
      </c>
      <c r="BR99" s="18">
        <f t="shared" si="75"/>
        <v>0.50112584808477256</v>
      </c>
      <c r="BS99" s="18">
        <f t="shared" si="75"/>
        <v>2.322989497794651</v>
      </c>
      <c r="BT99" s="56">
        <f t="shared" si="90"/>
        <v>2</v>
      </c>
      <c r="BV99" s="18">
        <f t="shared" si="76"/>
        <v>5.743264504395353</v>
      </c>
      <c r="BW99" s="18">
        <f t="shared" si="76"/>
        <v>0.50112584808477256</v>
      </c>
      <c r="BX99" s="18">
        <f t="shared" si="76"/>
        <v>2.322989497794651</v>
      </c>
      <c r="BY99" s="56">
        <f t="shared" si="91"/>
        <v>2</v>
      </c>
      <c r="CA99" s="18">
        <f t="shared" si="77"/>
        <v>5.743264504395353</v>
      </c>
      <c r="CB99" s="18">
        <f t="shared" si="77"/>
        <v>0.50112584808477256</v>
      </c>
      <c r="CC99" s="18">
        <f t="shared" si="77"/>
        <v>2.322989497794651</v>
      </c>
      <c r="CD99" s="56">
        <f t="shared" si="92"/>
        <v>2</v>
      </c>
    </row>
    <row r="100" spans="1:82" x14ac:dyDescent="0.25">
      <c r="A100" s="36" t="str">
        <f>KMeans_Data!A82</f>
        <v>Sheikhupura</v>
      </c>
      <c r="B100" s="18">
        <f>KMeans_Data!H82</f>
        <v>-0.38399641938154599</v>
      </c>
      <c r="C100" s="18">
        <f>KMeans_Data!I82</f>
        <v>-0.67265054538827607</v>
      </c>
      <c r="D100" s="18">
        <f>KMeans_Data!J82</f>
        <v>-1.1456441163335547</v>
      </c>
      <c r="E100" s="56">
        <f t="shared" si="78"/>
        <v>2</v>
      </c>
      <c r="F100" s="38">
        <f t="shared" si="79"/>
        <v>0.23007109012528895</v>
      </c>
      <c r="G100" s="13" t="str">
        <f t="shared" si="80"/>
        <v>Low burden</v>
      </c>
      <c r="H100" s="18">
        <f>IF(COUNTIF(Distance_Matrix!$E$9:$DQ$9,$E100)&lt;=1,0,SUMIF(Distance_Matrix!$E$9:$DQ$9,$E100,Distance_Matrix!$E$91:$DQ$91)/(COUNTIF(Distance_Matrix!$E$9:$DQ$9,$E100)-1))</f>
        <v>0.87736954440005976</v>
      </c>
      <c r="I100" s="18">
        <f>MIN(IF(1=$E100,1E+99,IF(COUNTIF(Distance_Matrix!$E$9:$DQ$9,1)=0,1E+99,SUMIF(Distance_Matrix!$E$9:$DQ$9,1,Distance_Matrix!$E$91:$DQ$91)/COUNTIF(Distance_Matrix!$E$9:$DQ$9,1))),IF(2=$E100,1E+99,IF(COUNTIF(Distance_Matrix!$E$9:$DQ$9,2)=0,1E+99,SUMIF(Distance_Matrix!$E$9:$DQ$9,2,Distance_Matrix!$E$91:$DQ$91)/COUNTIF(Distance_Matrix!$E$9:$DQ$9,2))),IF(3=$E100,1E+99,IF(COUNTIF(Distance_Matrix!$E$9:$DQ$9,3)=0,1E+99,SUMIF(Distance_Matrix!$E$9:$DQ$9,3,Distance_Matrix!$E$91:$DQ$91)/COUNTIF(Distance_Matrix!$E$9:$DQ$9,3))))</f>
        <v>2.443525581511635</v>
      </c>
      <c r="J100" s="18">
        <f>IF(COUNTIF(Distance_Matrix!$E$9:$DQ$9,$E100)&lt;=1,0,(I100-H100)/MAX(H100,I100))</f>
        <v>0.64094112579034523</v>
      </c>
      <c r="X100" s="18">
        <f t="shared" si="66"/>
        <v>7.4112748787545444</v>
      </c>
      <c r="Y100" s="18">
        <f t="shared" si="66"/>
        <v>1.6957415624217826</v>
      </c>
      <c r="Z100" s="18">
        <f t="shared" si="66"/>
        <v>3.1574046827609017</v>
      </c>
      <c r="AA100" s="56">
        <f t="shared" si="81"/>
        <v>2</v>
      </c>
      <c r="AC100" s="18">
        <f t="shared" si="67"/>
        <v>6.3955265920357043</v>
      </c>
      <c r="AD100" s="18">
        <f t="shared" si="67"/>
        <v>0.49744863228682129</v>
      </c>
      <c r="AE100" s="18">
        <f t="shared" si="67"/>
        <v>2.2022765212571125</v>
      </c>
      <c r="AF100" s="56">
        <f t="shared" si="82"/>
        <v>2</v>
      </c>
      <c r="AH100" s="18">
        <f t="shared" si="68"/>
        <v>5.7623588336399232</v>
      </c>
      <c r="AI100" s="18">
        <f t="shared" si="68"/>
        <v>0.4690498171848092</v>
      </c>
      <c r="AJ100" s="18">
        <f t="shared" si="68"/>
        <v>2.315693394159708</v>
      </c>
      <c r="AK100" s="56">
        <f t="shared" si="83"/>
        <v>2</v>
      </c>
      <c r="AM100" s="18">
        <f t="shared" si="69"/>
        <v>5.7623588336399232</v>
      </c>
      <c r="AN100" s="18">
        <f t="shared" si="69"/>
        <v>0.47965726318412916</v>
      </c>
      <c r="AO100" s="18">
        <f t="shared" si="69"/>
        <v>2.3377409178047595</v>
      </c>
      <c r="AP100" s="56">
        <f t="shared" si="84"/>
        <v>2</v>
      </c>
      <c r="AR100" s="18">
        <f t="shared" si="70"/>
        <v>5.7623588336399232</v>
      </c>
      <c r="AS100" s="18">
        <f t="shared" si="70"/>
        <v>0.47965726318412916</v>
      </c>
      <c r="AT100" s="18">
        <f t="shared" si="70"/>
        <v>2.3377409178047595</v>
      </c>
      <c r="AU100" s="56">
        <f t="shared" si="85"/>
        <v>2</v>
      </c>
      <c r="AW100" s="18">
        <f t="shared" si="71"/>
        <v>5.7623588336399232</v>
      </c>
      <c r="AX100" s="18">
        <f t="shared" si="71"/>
        <v>0.47965726318412916</v>
      </c>
      <c r="AY100" s="18">
        <f t="shared" si="71"/>
        <v>2.3377409178047595</v>
      </c>
      <c r="AZ100" s="56">
        <f t="shared" si="86"/>
        <v>2</v>
      </c>
      <c r="BB100" s="18">
        <f t="shared" si="72"/>
        <v>5.7623588336399232</v>
      </c>
      <c r="BC100" s="18">
        <f t="shared" si="72"/>
        <v>0.47965726318412916</v>
      </c>
      <c r="BD100" s="18">
        <f t="shared" si="72"/>
        <v>2.3377409178047595</v>
      </c>
      <c r="BE100" s="56">
        <f t="shared" si="87"/>
        <v>2</v>
      </c>
      <c r="BG100" s="18">
        <f t="shared" si="73"/>
        <v>5.7623588336399232</v>
      </c>
      <c r="BH100" s="18">
        <f t="shared" si="73"/>
        <v>0.47965726318412916</v>
      </c>
      <c r="BI100" s="18">
        <f t="shared" si="73"/>
        <v>2.3377409178047595</v>
      </c>
      <c r="BJ100" s="56">
        <f t="shared" si="88"/>
        <v>2</v>
      </c>
      <c r="BL100" s="18">
        <f t="shared" si="74"/>
        <v>5.7623588336399232</v>
      </c>
      <c r="BM100" s="18">
        <f t="shared" si="74"/>
        <v>0.47965726318412916</v>
      </c>
      <c r="BN100" s="18">
        <f t="shared" si="74"/>
        <v>2.3377409178047595</v>
      </c>
      <c r="BO100" s="56">
        <f t="shared" si="89"/>
        <v>2</v>
      </c>
      <c r="BQ100" s="18">
        <f t="shared" si="75"/>
        <v>5.7623588336399232</v>
      </c>
      <c r="BR100" s="18">
        <f t="shared" si="75"/>
        <v>0.47965726318412916</v>
      </c>
      <c r="BS100" s="18">
        <f t="shared" si="75"/>
        <v>2.3377409178047595</v>
      </c>
      <c r="BT100" s="56">
        <f t="shared" si="90"/>
        <v>2</v>
      </c>
      <c r="BV100" s="18">
        <f t="shared" si="76"/>
        <v>5.7623588336399232</v>
      </c>
      <c r="BW100" s="18">
        <f t="shared" si="76"/>
        <v>0.47965726318412916</v>
      </c>
      <c r="BX100" s="18">
        <f t="shared" si="76"/>
        <v>2.3377409178047595</v>
      </c>
      <c r="BY100" s="56">
        <f t="shared" si="91"/>
        <v>2</v>
      </c>
      <c r="CA100" s="18">
        <f t="shared" si="77"/>
        <v>5.7623588336399232</v>
      </c>
      <c r="CB100" s="18">
        <f t="shared" si="77"/>
        <v>0.47965726318412916</v>
      </c>
      <c r="CC100" s="18">
        <f t="shared" si="77"/>
        <v>2.3377409178047595</v>
      </c>
      <c r="CD100" s="56">
        <f t="shared" si="92"/>
        <v>2</v>
      </c>
    </row>
    <row r="101" spans="1:82" x14ac:dyDescent="0.25">
      <c r="A101" s="36" t="str">
        <f>KMeans_Data!A83</f>
        <v>Diamer</v>
      </c>
      <c r="B101" s="18">
        <f>KMeans_Data!H83</f>
        <v>-0.40440962464593949</v>
      </c>
      <c r="C101" s="18">
        <f>KMeans_Data!I83</f>
        <v>-0.67265054538827607</v>
      </c>
      <c r="D101" s="18">
        <f>KMeans_Data!J83</f>
        <v>4.2930091906806002E-2</v>
      </c>
      <c r="E101" s="56">
        <f t="shared" si="78"/>
        <v>2</v>
      </c>
      <c r="F101" s="38">
        <f t="shared" si="79"/>
        <v>0.67246573047627023</v>
      </c>
      <c r="G101" s="13" t="str">
        <f t="shared" si="80"/>
        <v>Low burden</v>
      </c>
      <c r="H101" s="18">
        <f>IF(COUNTIF(Distance_Matrix!$E$9:$DQ$9,$E101)&lt;=1,0,SUMIF(Distance_Matrix!$E$9:$DQ$9,$E101,Distance_Matrix!$E$92:$DQ$92)/(COUNTIF(Distance_Matrix!$E$9:$DQ$9,$E101)-1))</f>
        <v>1.065803165078242</v>
      </c>
      <c r="I101" s="18">
        <f>MIN(IF(1=$E101,1E+99,IF(COUNTIF(Distance_Matrix!$E$9:$DQ$9,1)=0,1E+99,SUMIF(Distance_Matrix!$E$9:$DQ$9,1,Distance_Matrix!$E$92:$DQ$92)/COUNTIF(Distance_Matrix!$E$9:$DQ$9,1))),IF(2=$E101,1E+99,IF(COUNTIF(Distance_Matrix!$E$9:$DQ$9,2)=0,1E+99,SUMIF(Distance_Matrix!$E$9:$DQ$9,2,Distance_Matrix!$E$92:$DQ$92)/COUNTIF(Distance_Matrix!$E$9:$DQ$9,2))),IF(3=$E101,1E+99,IF(COUNTIF(Distance_Matrix!$E$9:$DQ$9,3)=0,1E+99,SUMIF(Distance_Matrix!$E$9:$DQ$9,3,Distance_Matrix!$E$92:$DQ$92)/COUNTIF(Distance_Matrix!$E$9:$DQ$9,3))))</f>
        <v>1.7186970360913181</v>
      </c>
      <c r="J101" s="18">
        <f>IF(COUNTIF(Distance_Matrix!$E$9:$DQ$9,$E101)&lt;=1,0,(I101-H101)/MAX(H101,I101))</f>
        <v>0.37987723100861065</v>
      </c>
      <c r="X101" s="18">
        <f t="shared" si="66"/>
        <v>6.784830788256877</v>
      </c>
      <c r="Y101" s="18">
        <f t="shared" si="66"/>
        <v>2.0541260313792522</v>
      </c>
      <c r="Z101" s="18">
        <f t="shared" si="66"/>
        <v>2.2850867502514411</v>
      </c>
      <c r="AA101" s="56">
        <f t="shared" si="81"/>
        <v>2</v>
      </c>
      <c r="AC101" s="18">
        <f t="shared" si="67"/>
        <v>5.8148409685532618</v>
      </c>
      <c r="AD101" s="18">
        <f t="shared" si="67"/>
        <v>0.94137995788888507</v>
      </c>
      <c r="AE101" s="18">
        <f t="shared" si="67"/>
        <v>1.4761199480378953</v>
      </c>
      <c r="AF101" s="56">
        <f t="shared" si="82"/>
        <v>2</v>
      </c>
      <c r="AH101" s="18">
        <f t="shared" si="68"/>
        <v>5.1795028560262653</v>
      </c>
      <c r="AI101" s="18">
        <f t="shared" si="68"/>
        <v>0.83427766649084956</v>
      </c>
      <c r="AJ101" s="18">
        <f t="shared" si="68"/>
        <v>1.5652338118348346</v>
      </c>
      <c r="AK101" s="56">
        <f t="shared" si="83"/>
        <v>2</v>
      </c>
      <c r="AM101" s="18">
        <f t="shared" si="69"/>
        <v>5.1795028560262653</v>
      </c>
      <c r="AN101" s="18">
        <f t="shared" si="69"/>
        <v>0.82004007857925465</v>
      </c>
      <c r="AO101" s="18">
        <f t="shared" si="69"/>
        <v>1.5893653314228084</v>
      </c>
      <c r="AP101" s="56">
        <f t="shared" si="84"/>
        <v>2</v>
      </c>
      <c r="AR101" s="18">
        <f t="shared" si="70"/>
        <v>5.1795028560262653</v>
      </c>
      <c r="AS101" s="18">
        <f t="shared" si="70"/>
        <v>0.82004007857925465</v>
      </c>
      <c r="AT101" s="18">
        <f t="shared" si="70"/>
        <v>1.5893653314228084</v>
      </c>
      <c r="AU101" s="56">
        <f t="shared" si="85"/>
        <v>2</v>
      </c>
      <c r="AW101" s="18">
        <f t="shared" si="71"/>
        <v>5.1795028560262653</v>
      </c>
      <c r="AX101" s="18">
        <f t="shared" si="71"/>
        <v>0.82004007857925465</v>
      </c>
      <c r="AY101" s="18">
        <f t="shared" si="71"/>
        <v>1.5893653314228084</v>
      </c>
      <c r="AZ101" s="56">
        <f t="shared" si="86"/>
        <v>2</v>
      </c>
      <c r="BB101" s="18">
        <f t="shared" si="72"/>
        <v>5.1795028560262653</v>
      </c>
      <c r="BC101" s="18">
        <f t="shared" si="72"/>
        <v>0.82004007857925465</v>
      </c>
      <c r="BD101" s="18">
        <f t="shared" si="72"/>
        <v>1.5893653314228084</v>
      </c>
      <c r="BE101" s="56">
        <f t="shared" si="87"/>
        <v>2</v>
      </c>
      <c r="BG101" s="18">
        <f t="shared" si="73"/>
        <v>5.1795028560262653</v>
      </c>
      <c r="BH101" s="18">
        <f t="shared" si="73"/>
        <v>0.82004007857925465</v>
      </c>
      <c r="BI101" s="18">
        <f t="shared" si="73"/>
        <v>1.5893653314228084</v>
      </c>
      <c r="BJ101" s="56">
        <f t="shared" si="88"/>
        <v>2</v>
      </c>
      <c r="BL101" s="18">
        <f t="shared" si="74"/>
        <v>5.1795028560262653</v>
      </c>
      <c r="BM101" s="18">
        <f t="shared" si="74"/>
        <v>0.82004007857925465</v>
      </c>
      <c r="BN101" s="18">
        <f t="shared" si="74"/>
        <v>1.5893653314228084</v>
      </c>
      <c r="BO101" s="56">
        <f t="shared" si="89"/>
        <v>2</v>
      </c>
      <c r="BQ101" s="18">
        <f t="shared" si="75"/>
        <v>5.1795028560262653</v>
      </c>
      <c r="BR101" s="18">
        <f t="shared" si="75"/>
        <v>0.82004007857925465</v>
      </c>
      <c r="BS101" s="18">
        <f t="shared" si="75"/>
        <v>1.5893653314228084</v>
      </c>
      <c r="BT101" s="56">
        <f t="shared" si="90"/>
        <v>2</v>
      </c>
      <c r="BV101" s="18">
        <f t="shared" si="76"/>
        <v>5.1795028560262653</v>
      </c>
      <c r="BW101" s="18">
        <f t="shared" si="76"/>
        <v>0.82004007857925465</v>
      </c>
      <c r="BX101" s="18">
        <f t="shared" si="76"/>
        <v>1.5893653314228084</v>
      </c>
      <c r="BY101" s="56">
        <f t="shared" si="91"/>
        <v>2</v>
      </c>
      <c r="CA101" s="18">
        <f t="shared" si="77"/>
        <v>5.1795028560262653</v>
      </c>
      <c r="CB101" s="18">
        <f t="shared" si="77"/>
        <v>0.82004007857925465</v>
      </c>
      <c r="CC101" s="18">
        <f t="shared" si="77"/>
        <v>1.5893653314228084</v>
      </c>
      <c r="CD101" s="56">
        <f t="shared" si="92"/>
        <v>2</v>
      </c>
    </row>
    <row r="102" spans="1:82" x14ac:dyDescent="0.25">
      <c r="A102" s="36" t="str">
        <f>KMeans_Data!A84</f>
        <v>Hangu</v>
      </c>
      <c r="B102" s="18">
        <f>KMeans_Data!H84</f>
        <v>-0.40440962464593949</v>
      </c>
      <c r="C102" s="18">
        <f>KMeans_Data!I84</f>
        <v>-0.14698313392952958</v>
      </c>
      <c r="D102" s="18">
        <f>KMeans_Data!J84</f>
        <v>0.13914828540559679</v>
      </c>
      <c r="E102" s="56">
        <f t="shared" si="78"/>
        <v>2</v>
      </c>
      <c r="F102" s="38">
        <f t="shared" si="79"/>
        <v>1.0563964339994623</v>
      </c>
      <c r="G102" s="13" t="str">
        <f t="shared" si="80"/>
        <v>Low burden</v>
      </c>
      <c r="H102" s="18">
        <f>IF(COUNTIF(Distance_Matrix!$E$9:$DQ$9,$E102)&lt;=1,0,SUMIF(Distance_Matrix!$E$9:$DQ$9,$E102,Distance_Matrix!$E$93:$DQ$93)/(COUNTIF(Distance_Matrix!$E$9:$DQ$9,$E102)-1))</f>
        <v>1.2493558261871851</v>
      </c>
      <c r="I102" s="18">
        <f>MIN(IF(1=$E102,1E+99,IF(COUNTIF(Distance_Matrix!$E$9:$DQ$9,1)=0,1E+99,SUMIF(Distance_Matrix!$E$9:$DQ$9,1,Distance_Matrix!$E$93:$DQ$93)/COUNTIF(Distance_Matrix!$E$9:$DQ$9,1))),IF(2=$E102,1E+99,IF(COUNTIF(Distance_Matrix!$E$9:$DQ$9,2)=0,1E+99,SUMIF(Distance_Matrix!$E$9:$DQ$9,2,Distance_Matrix!$E$93:$DQ$93)/COUNTIF(Distance_Matrix!$E$9:$DQ$9,2))),IF(3=$E102,1E+99,IF(COUNTIF(Distance_Matrix!$E$9:$DQ$9,3)=0,1E+99,SUMIF(Distance_Matrix!$E$9:$DQ$9,3,Distance_Matrix!$E$93:$DQ$93)/COUNTIF(Distance_Matrix!$E$9:$DQ$9,3))))</f>
        <v>1.4255467237949102</v>
      </c>
      <c r="J102" s="18">
        <f>IF(COUNTIF(Distance_Matrix!$E$9:$DQ$9,$E102)&lt;=1,0,(I102-H102)/MAX(H102,I102))</f>
        <v>0.12359531586498405</v>
      </c>
      <c r="X102" s="18">
        <f t="shared" si="66"/>
        <v>6.3834526327003553</v>
      </c>
      <c r="Y102" s="18">
        <f t="shared" si="66"/>
        <v>2.1757166284541909</v>
      </c>
      <c r="Z102" s="18">
        <f t="shared" si="66"/>
        <v>2.0315517886503232</v>
      </c>
      <c r="AA102" s="56">
        <f t="shared" si="81"/>
        <v>3</v>
      </c>
      <c r="AC102" s="18">
        <f t="shared" si="67"/>
        <v>5.4062317125391628</v>
      </c>
      <c r="AD102" s="18">
        <f t="shared" si="67"/>
        <v>1.1438405296133802</v>
      </c>
      <c r="AE102" s="18">
        <f t="shared" si="67"/>
        <v>1.1330124628031633</v>
      </c>
      <c r="AF102" s="56">
        <f t="shared" si="82"/>
        <v>3</v>
      </c>
      <c r="AH102" s="18">
        <f t="shared" si="68"/>
        <v>4.7727557532675569</v>
      </c>
      <c r="AI102" s="18">
        <f t="shared" si="68"/>
        <v>1.0443890823310864</v>
      </c>
      <c r="AJ102" s="18">
        <f t="shared" si="68"/>
        <v>1.207989846437858</v>
      </c>
      <c r="AK102" s="56">
        <f t="shared" si="83"/>
        <v>2</v>
      </c>
      <c r="AM102" s="18">
        <f t="shared" si="69"/>
        <v>4.7727557532675569</v>
      </c>
      <c r="AN102" s="18">
        <f t="shared" si="69"/>
        <v>1.0278114778496406</v>
      </c>
      <c r="AO102" s="18">
        <f t="shared" si="69"/>
        <v>1.2331563015719802</v>
      </c>
      <c r="AP102" s="56">
        <f t="shared" si="84"/>
        <v>2</v>
      </c>
      <c r="AR102" s="18">
        <f t="shared" si="70"/>
        <v>4.7727557532675569</v>
      </c>
      <c r="AS102" s="18">
        <f t="shared" si="70"/>
        <v>1.0278114778496406</v>
      </c>
      <c r="AT102" s="18">
        <f t="shared" si="70"/>
        <v>1.2331563015719802</v>
      </c>
      <c r="AU102" s="56">
        <f t="shared" si="85"/>
        <v>2</v>
      </c>
      <c r="AW102" s="18">
        <f t="shared" si="71"/>
        <v>4.7727557532675569</v>
      </c>
      <c r="AX102" s="18">
        <f t="shared" si="71"/>
        <v>1.0278114778496406</v>
      </c>
      <c r="AY102" s="18">
        <f t="shared" si="71"/>
        <v>1.2331563015719802</v>
      </c>
      <c r="AZ102" s="56">
        <f t="shared" si="86"/>
        <v>2</v>
      </c>
      <c r="BB102" s="18">
        <f t="shared" si="72"/>
        <v>4.7727557532675569</v>
      </c>
      <c r="BC102" s="18">
        <f t="shared" si="72"/>
        <v>1.0278114778496406</v>
      </c>
      <c r="BD102" s="18">
        <f t="shared" si="72"/>
        <v>1.2331563015719802</v>
      </c>
      <c r="BE102" s="56">
        <f t="shared" si="87"/>
        <v>2</v>
      </c>
      <c r="BG102" s="18">
        <f t="shared" si="73"/>
        <v>4.7727557532675569</v>
      </c>
      <c r="BH102" s="18">
        <f t="shared" si="73"/>
        <v>1.0278114778496406</v>
      </c>
      <c r="BI102" s="18">
        <f t="shared" si="73"/>
        <v>1.2331563015719802</v>
      </c>
      <c r="BJ102" s="56">
        <f t="shared" si="88"/>
        <v>2</v>
      </c>
      <c r="BL102" s="18">
        <f t="shared" si="74"/>
        <v>4.7727557532675569</v>
      </c>
      <c r="BM102" s="18">
        <f t="shared" si="74"/>
        <v>1.0278114778496406</v>
      </c>
      <c r="BN102" s="18">
        <f t="shared" si="74"/>
        <v>1.2331563015719802</v>
      </c>
      <c r="BO102" s="56">
        <f t="shared" si="89"/>
        <v>2</v>
      </c>
      <c r="BQ102" s="18">
        <f t="shared" si="75"/>
        <v>4.7727557532675569</v>
      </c>
      <c r="BR102" s="18">
        <f t="shared" si="75"/>
        <v>1.0278114778496406</v>
      </c>
      <c r="BS102" s="18">
        <f t="shared" si="75"/>
        <v>1.2331563015719802</v>
      </c>
      <c r="BT102" s="56">
        <f t="shared" si="90"/>
        <v>2</v>
      </c>
      <c r="BV102" s="18">
        <f t="shared" si="76"/>
        <v>4.7727557532675569</v>
      </c>
      <c r="BW102" s="18">
        <f t="shared" si="76"/>
        <v>1.0278114778496406</v>
      </c>
      <c r="BX102" s="18">
        <f t="shared" si="76"/>
        <v>1.2331563015719802</v>
      </c>
      <c r="BY102" s="56">
        <f t="shared" si="91"/>
        <v>2</v>
      </c>
      <c r="CA102" s="18">
        <f t="shared" si="77"/>
        <v>4.7727557532675569</v>
      </c>
      <c r="CB102" s="18">
        <f t="shared" si="77"/>
        <v>1.0278114778496406</v>
      </c>
      <c r="CC102" s="18">
        <f t="shared" si="77"/>
        <v>1.2331563015719802</v>
      </c>
      <c r="CD102" s="56">
        <f t="shared" si="92"/>
        <v>2</v>
      </c>
    </row>
    <row r="103" spans="1:82" x14ac:dyDescent="0.25">
      <c r="A103" s="36" t="str">
        <f>KMeans_Data!A85</f>
        <v>Mohmand</v>
      </c>
      <c r="B103" s="18">
        <f>KMeans_Data!H85</f>
        <v>-0.47094306176301559</v>
      </c>
      <c r="C103" s="18">
        <f>KMeans_Data!I85</f>
        <v>-0.14698313392952958</v>
      </c>
      <c r="D103" s="18">
        <f>KMeans_Data!J85</f>
        <v>-0.39984522290956798</v>
      </c>
      <c r="E103" s="56">
        <f t="shared" si="78"/>
        <v>2</v>
      </c>
      <c r="F103" s="38">
        <f t="shared" si="79"/>
        <v>0.37081904913308927</v>
      </c>
      <c r="G103" s="13" t="str">
        <f t="shared" si="80"/>
        <v>Low burden</v>
      </c>
      <c r="H103" s="18">
        <f>IF(COUNTIF(Distance_Matrix!$E$9:$DQ$9,$E103)&lt;=1,0,SUMIF(Distance_Matrix!$E$9:$DQ$9,$E103,Distance_Matrix!$E$94:$DQ$94)/(COUNTIF(Distance_Matrix!$E$9:$DQ$9,$E103)-1))</f>
        <v>0.98017342412018804</v>
      </c>
      <c r="I103" s="18">
        <f>MIN(IF(1=$E103,1E+99,IF(COUNTIF(Distance_Matrix!$E$9:$DQ$9,1)=0,1E+99,SUMIF(Distance_Matrix!$E$9:$DQ$9,1,Distance_Matrix!$E$94:$DQ$94)/COUNTIF(Distance_Matrix!$E$9:$DQ$9,1))),IF(2=$E103,1E+99,IF(COUNTIF(Distance_Matrix!$E$9:$DQ$9,2)=0,1E+99,SUMIF(Distance_Matrix!$E$9:$DQ$9,2,Distance_Matrix!$E$94:$DQ$94)/COUNTIF(Distance_Matrix!$E$9:$DQ$9,2))),IF(3=$E103,1E+99,IF(COUNTIF(Distance_Matrix!$E$9:$DQ$9,3)=0,1E+99,SUMIF(Distance_Matrix!$E$9:$DQ$9,3,Distance_Matrix!$E$94:$DQ$94)/COUNTIF(Distance_Matrix!$E$9:$DQ$9,3))))</f>
        <v>1.7544989957390726</v>
      </c>
      <c r="J103" s="18">
        <f>IF(COUNTIF(Distance_Matrix!$E$9:$DQ$9,$E103)&lt;=1,0,(I103-H103)/MAX(H103,I103))</f>
        <v>0.44133714154262277</v>
      </c>
      <c r="X103" s="18">
        <f t="shared" ref="X103:Z122" si="93">SQRT(($B103-X$16)^2+($C103-X$17)^2+($D103-X$18)^2)</f>
        <v>6.6999482057459137</v>
      </c>
      <c r="Y103" s="18">
        <f t="shared" si="93"/>
        <v>1.8495305652109939</v>
      </c>
      <c r="Z103" s="18">
        <f t="shared" si="93"/>
        <v>2.459485542954774</v>
      </c>
      <c r="AA103" s="56">
        <f t="shared" si="81"/>
        <v>2</v>
      </c>
      <c r="AC103" s="18">
        <f t="shared" ref="AC103:AE122" si="94">SQRT(($B103-AC$16)^2+($C103-AC$17)^2+($D103-AC$18)^2)</f>
        <v>5.6991317164551551</v>
      </c>
      <c r="AD103" s="18">
        <f t="shared" si="94"/>
        <v>0.71731871671898406</v>
      </c>
      <c r="AE103" s="18">
        <f t="shared" si="94"/>
        <v>1.477796476568364</v>
      </c>
      <c r="AF103" s="56">
        <f t="shared" si="82"/>
        <v>2</v>
      </c>
      <c r="AH103" s="18">
        <f t="shared" ref="AH103:AJ122" si="95">SQRT(($B103-AH$16)^2+($C103-AH$17)^2+($D103-AH$18)^2)</f>
        <v>5.0655081888931361</v>
      </c>
      <c r="AI103" s="18">
        <f t="shared" si="95"/>
        <v>0.62398426470654589</v>
      </c>
      <c r="AJ103" s="18">
        <f t="shared" si="95"/>
        <v>1.5711833223484273</v>
      </c>
      <c r="AK103" s="56">
        <f t="shared" si="83"/>
        <v>2</v>
      </c>
      <c r="AM103" s="18">
        <f t="shared" ref="AM103:AO122" si="96">SQRT(($B103-AM$16)^2+($C103-AM$17)^2+($D103-AM$18)^2)</f>
        <v>5.0655081888931361</v>
      </c>
      <c r="AN103" s="18">
        <f t="shared" si="96"/>
        <v>0.6089491350951155</v>
      </c>
      <c r="AO103" s="18">
        <f t="shared" si="96"/>
        <v>1.5952855947288846</v>
      </c>
      <c r="AP103" s="56">
        <f t="shared" si="84"/>
        <v>2</v>
      </c>
      <c r="AR103" s="18">
        <f t="shared" ref="AR103:AT122" si="97">SQRT(($B103-AR$16)^2+($C103-AR$17)^2+($D103-AR$18)^2)</f>
        <v>5.0655081888931361</v>
      </c>
      <c r="AS103" s="18">
        <f t="shared" si="97"/>
        <v>0.6089491350951155</v>
      </c>
      <c r="AT103" s="18">
        <f t="shared" si="97"/>
        <v>1.5952855947288846</v>
      </c>
      <c r="AU103" s="56">
        <f t="shared" si="85"/>
        <v>2</v>
      </c>
      <c r="AW103" s="18">
        <f t="shared" ref="AW103:AY122" si="98">SQRT(($B103-AW$16)^2+($C103-AW$17)^2+($D103-AW$18)^2)</f>
        <v>5.0655081888931361</v>
      </c>
      <c r="AX103" s="18">
        <f t="shared" si="98"/>
        <v>0.6089491350951155</v>
      </c>
      <c r="AY103" s="18">
        <f t="shared" si="98"/>
        <v>1.5952855947288846</v>
      </c>
      <c r="AZ103" s="56">
        <f t="shared" si="86"/>
        <v>2</v>
      </c>
      <c r="BB103" s="18">
        <f t="shared" ref="BB103:BD122" si="99">SQRT(($B103-BB$16)^2+($C103-BB$17)^2+($D103-BB$18)^2)</f>
        <v>5.0655081888931361</v>
      </c>
      <c r="BC103" s="18">
        <f t="shared" si="99"/>
        <v>0.6089491350951155</v>
      </c>
      <c r="BD103" s="18">
        <f t="shared" si="99"/>
        <v>1.5952855947288846</v>
      </c>
      <c r="BE103" s="56">
        <f t="shared" si="87"/>
        <v>2</v>
      </c>
      <c r="BG103" s="18">
        <f t="shared" ref="BG103:BI122" si="100">SQRT(($B103-BG$16)^2+($C103-BG$17)^2+($D103-BG$18)^2)</f>
        <v>5.0655081888931361</v>
      </c>
      <c r="BH103" s="18">
        <f t="shared" si="100"/>
        <v>0.6089491350951155</v>
      </c>
      <c r="BI103" s="18">
        <f t="shared" si="100"/>
        <v>1.5952855947288846</v>
      </c>
      <c r="BJ103" s="56">
        <f t="shared" si="88"/>
        <v>2</v>
      </c>
      <c r="BL103" s="18">
        <f t="shared" ref="BL103:BN122" si="101">SQRT(($B103-BL$16)^2+($C103-BL$17)^2+($D103-BL$18)^2)</f>
        <v>5.0655081888931361</v>
      </c>
      <c r="BM103" s="18">
        <f t="shared" si="101"/>
        <v>0.6089491350951155</v>
      </c>
      <c r="BN103" s="18">
        <f t="shared" si="101"/>
        <v>1.5952855947288846</v>
      </c>
      <c r="BO103" s="56">
        <f t="shared" si="89"/>
        <v>2</v>
      </c>
      <c r="BQ103" s="18">
        <f t="shared" ref="BQ103:BS122" si="102">SQRT(($B103-BQ$16)^2+($C103-BQ$17)^2+($D103-BQ$18)^2)</f>
        <v>5.0655081888931361</v>
      </c>
      <c r="BR103" s="18">
        <f t="shared" si="102"/>
        <v>0.6089491350951155</v>
      </c>
      <c r="BS103" s="18">
        <f t="shared" si="102"/>
        <v>1.5952855947288846</v>
      </c>
      <c r="BT103" s="56">
        <f t="shared" si="90"/>
        <v>2</v>
      </c>
      <c r="BV103" s="18">
        <f t="shared" ref="BV103:BX122" si="103">SQRT(($B103-BV$16)^2+($C103-BV$17)^2+($D103-BV$18)^2)</f>
        <v>5.0655081888931361</v>
      </c>
      <c r="BW103" s="18">
        <f t="shared" si="103"/>
        <v>0.6089491350951155</v>
      </c>
      <c r="BX103" s="18">
        <f t="shared" si="103"/>
        <v>1.5952855947288846</v>
      </c>
      <c r="BY103" s="56">
        <f t="shared" si="91"/>
        <v>2</v>
      </c>
      <c r="CA103" s="18">
        <f t="shared" ref="CA103:CC122" si="104">SQRT(($B103-CA$16)^2+($C103-CA$17)^2+($D103-CA$18)^2)</f>
        <v>5.0655081888931361</v>
      </c>
      <c r="CB103" s="18">
        <f t="shared" si="104"/>
        <v>0.6089491350951155</v>
      </c>
      <c r="CC103" s="18">
        <f t="shared" si="104"/>
        <v>1.5952855947288846</v>
      </c>
      <c r="CD103" s="56">
        <f t="shared" si="92"/>
        <v>2</v>
      </c>
    </row>
    <row r="104" spans="1:82" x14ac:dyDescent="0.25">
      <c r="A104" s="36" t="str">
        <f>KMeans_Data!A86</f>
        <v>Bahawal Nagar</v>
      </c>
      <c r="B104" s="18">
        <f>KMeans_Data!H86</f>
        <v>-0.47094306176301559</v>
      </c>
      <c r="C104" s="18">
        <f>KMeans_Data!I86</f>
        <v>-0.67265054538827607</v>
      </c>
      <c r="D104" s="18">
        <f>KMeans_Data!J86</f>
        <v>-0.39984522290956798</v>
      </c>
      <c r="E104" s="56">
        <f t="shared" si="78"/>
        <v>2</v>
      </c>
      <c r="F104" s="38">
        <f t="shared" si="79"/>
        <v>0.14712638880044265</v>
      </c>
      <c r="G104" s="13" t="str">
        <f t="shared" si="80"/>
        <v>Low burden</v>
      </c>
      <c r="H104" s="18">
        <f>IF(COUNTIF(Distance_Matrix!$E$9:$DQ$9,$E104)&lt;=1,0,SUMIF(Distance_Matrix!$E$9:$DQ$9,$E104,Distance_Matrix!$E$95:$DQ$95)/(COUNTIF(Distance_Matrix!$E$9:$DQ$9,$E104)-1))</f>
        <v>0.83656358295428335</v>
      </c>
      <c r="I104" s="18">
        <f>MIN(IF(1=$E104,1E+99,IF(COUNTIF(Distance_Matrix!$E$9:$DQ$9,1)=0,1E+99,SUMIF(Distance_Matrix!$E$9:$DQ$9,1,Distance_Matrix!$E$95:$DQ$95)/COUNTIF(Distance_Matrix!$E$9:$DQ$9,1))),IF(2=$E104,1E+99,IF(COUNTIF(Distance_Matrix!$E$9:$DQ$9,2)=0,1E+99,SUMIF(Distance_Matrix!$E$9:$DQ$9,2,Distance_Matrix!$E$95:$DQ$95)/COUNTIF(Distance_Matrix!$E$9:$DQ$9,2))),IF(3=$E104,1E+99,IF(COUNTIF(Distance_Matrix!$E$9:$DQ$9,3)=0,1E+99,SUMIF(Distance_Matrix!$E$9:$DQ$9,3,Distance_Matrix!$E$95:$DQ$95)/COUNTIF(Distance_Matrix!$E$9:$DQ$9,3))))</f>
        <v>1.9726468935342309</v>
      </c>
      <c r="J104" s="18">
        <f>IF(COUNTIF(Distance_Matrix!$E$9:$DQ$9,$E104)&lt;=1,0,(I104-H104)/MAX(H104,I104))</f>
        <v>0.57591823164282563</v>
      </c>
      <c r="X104" s="18">
        <f t="shared" si="93"/>
        <v>7.0403370809162977</v>
      </c>
      <c r="Y104" s="18">
        <f t="shared" si="93"/>
        <v>1.7732560684176326</v>
      </c>
      <c r="Z104" s="18">
        <f t="shared" si="93"/>
        <v>2.6226032521928966</v>
      </c>
      <c r="AA104" s="56">
        <f t="shared" si="81"/>
        <v>2</v>
      </c>
      <c r="AC104" s="18">
        <f t="shared" si="94"/>
        <v>6.050139381169676</v>
      </c>
      <c r="AD104" s="18">
        <f t="shared" si="94"/>
        <v>0.51857769721511859</v>
      </c>
      <c r="AE104" s="18">
        <f t="shared" si="94"/>
        <v>1.72728054518193</v>
      </c>
      <c r="AF104" s="56">
        <f t="shared" si="82"/>
        <v>2</v>
      </c>
      <c r="AH104" s="18">
        <f t="shared" si="95"/>
        <v>5.4134331516185163</v>
      </c>
      <c r="AI104" s="18">
        <f t="shared" si="95"/>
        <v>0.3969872560898095</v>
      </c>
      <c r="AJ104" s="18">
        <f t="shared" si="95"/>
        <v>1.8287158892044517</v>
      </c>
      <c r="AK104" s="56">
        <f t="shared" si="83"/>
        <v>2</v>
      </c>
      <c r="AM104" s="18">
        <f t="shared" si="96"/>
        <v>5.4134331516185163</v>
      </c>
      <c r="AN104" s="18">
        <f t="shared" si="96"/>
        <v>0.38357057864289157</v>
      </c>
      <c r="AO104" s="18">
        <f t="shared" si="96"/>
        <v>1.8528371360545304</v>
      </c>
      <c r="AP104" s="56">
        <f t="shared" si="84"/>
        <v>2</v>
      </c>
      <c r="AR104" s="18">
        <f t="shared" si="97"/>
        <v>5.4134331516185163</v>
      </c>
      <c r="AS104" s="18">
        <f t="shared" si="97"/>
        <v>0.38357057864289157</v>
      </c>
      <c r="AT104" s="18">
        <f t="shared" si="97"/>
        <v>1.8528371360545304</v>
      </c>
      <c r="AU104" s="56">
        <f t="shared" si="85"/>
        <v>2</v>
      </c>
      <c r="AW104" s="18">
        <f t="shared" si="98"/>
        <v>5.4134331516185163</v>
      </c>
      <c r="AX104" s="18">
        <f t="shared" si="98"/>
        <v>0.38357057864289157</v>
      </c>
      <c r="AY104" s="18">
        <f t="shared" si="98"/>
        <v>1.8528371360545304</v>
      </c>
      <c r="AZ104" s="56">
        <f t="shared" si="86"/>
        <v>2</v>
      </c>
      <c r="BB104" s="18">
        <f t="shared" si="99"/>
        <v>5.4134331516185163</v>
      </c>
      <c r="BC104" s="18">
        <f t="shared" si="99"/>
        <v>0.38357057864289157</v>
      </c>
      <c r="BD104" s="18">
        <f t="shared" si="99"/>
        <v>1.8528371360545304</v>
      </c>
      <c r="BE104" s="56">
        <f t="shared" si="87"/>
        <v>2</v>
      </c>
      <c r="BG104" s="18">
        <f t="shared" si="100"/>
        <v>5.4134331516185163</v>
      </c>
      <c r="BH104" s="18">
        <f t="shared" si="100"/>
        <v>0.38357057864289157</v>
      </c>
      <c r="BI104" s="18">
        <f t="shared" si="100"/>
        <v>1.8528371360545304</v>
      </c>
      <c r="BJ104" s="56">
        <f t="shared" si="88"/>
        <v>2</v>
      </c>
      <c r="BL104" s="18">
        <f t="shared" si="101"/>
        <v>5.4134331516185163</v>
      </c>
      <c r="BM104" s="18">
        <f t="shared" si="101"/>
        <v>0.38357057864289157</v>
      </c>
      <c r="BN104" s="18">
        <f t="shared" si="101"/>
        <v>1.8528371360545304</v>
      </c>
      <c r="BO104" s="56">
        <f t="shared" si="89"/>
        <v>2</v>
      </c>
      <c r="BQ104" s="18">
        <f t="shared" si="102"/>
        <v>5.4134331516185163</v>
      </c>
      <c r="BR104" s="18">
        <f t="shared" si="102"/>
        <v>0.38357057864289157</v>
      </c>
      <c r="BS104" s="18">
        <f t="shared" si="102"/>
        <v>1.8528371360545304</v>
      </c>
      <c r="BT104" s="56">
        <f t="shared" si="90"/>
        <v>2</v>
      </c>
      <c r="BV104" s="18">
        <f t="shared" si="103"/>
        <v>5.4134331516185163</v>
      </c>
      <c r="BW104" s="18">
        <f t="shared" si="103"/>
        <v>0.38357057864289157</v>
      </c>
      <c r="BX104" s="18">
        <f t="shared" si="103"/>
        <v>1.8528371360545304</v>
      </c>
      <c r="BY104" s="56">
        <f t="shared" si="91"/>
        <v>2</v>
      </c>
      <c r="CA104" s="18">
        <f t="shared" si="104"/>
        <v>5.4134331516185163</v>
      </c>
      <c r="CB104" s="18">
        <f t="shared" si="104"/>
        <v>0.38357057864289157</v>
      </c>
      <c r="CC104" s="18">
        <f t="shared" si="104"/>
        <v>1.8528371360545304</v>
      </c>
      <c r="CD104" s="56">
        <f t="shared" si="92"/>
        <v>2</v>
      </c>
    </row>
    <row r="105" spans="1:82" x14ac:dyDescent="0.25">
      <c r="A105" s="36" t="str">
        <f>KMeans_Data!A87</f>
        <v>Ghizer</v>
      </c>
      <c r="B105" s="18">
        <f>KMeans_Data!H87</f>
        <v>-0.5205491527213375</v>
      </c>
      <c r="C105" s="18">
        <f>KMeans_Data!I87</f>
        <v>-0.67265054538827607</v>
      </c>
      <c r="D105" s="18">
        <f>KMeans_Data!J87</f>
        <v>-0.50324791546397885</v>
      </c>
      <c r="E105" s="56">
        <f t="shared" si="78"/>
        <v>2</v>
      </c>
      <c r="F105" s="38">
        <f t="shared" si="79"/>
        <v>7.30533715003851E-2</v>
      </c>
      <c r="G105" s="13" t="str">
        <f t="shared" si="80"/>
        <v>Low burden</v>
      </c>
      <c r="H105" s="18">
        <f>IF(COUNTIF(Distance_Matrix!$E$9:$DQ$9,$E105)&lt;=1,0,SUMIF(Distance_Matrix!$E$9:$DQ$9,$E105,Distance_Matrix!$E$96:$DQ$96)/(COUNTIF(Distance_Matrix!$E$9:$DQ$9,$E105)-1))</f>
        <v>0.80625228848680741</v>
      </c>
      <c r="I105" s="18">
        <f>MIN(IF(1=$E105,1E+99,IF(COUNTIF(Distance_Matrix!$E$9:$DQ$9,1)=0,1E+99,SUMIF(Distance_Matrix!$E$9:$DQ$9,1,Distance_Matrix!$E$96:$DQ$96)/COUNTIF(Distance_Matrix!$E$9:$DQ$9,1))),IF(2=$E105,1E+99,IF(COUNTIF(Distance_Matrix!$E$9:$DQ$9,2)=0,1E+99,SUMIF(Distance_Matrix!$E$9:$DQ$9,2,Distance_Matrix!$E$96:$DQ$96)/COUNTIF(Distance_Matrix!$E$9:$DQ$9,2))),IF(3=$E105,1E+99,IF(COUNTIF(Distance_Matrix!$E$9:$DQ$9,3)=0,1E+99,SUMIF(Distance_Matrix!$E$9:$DQ$9,3,Distance_Matrix!$E$96:$DQ$96)/COUNTIF(Distance_Matrix!$E$9:$DQ$9,3))))</f>
        <v>2.0582233298141754</v>
      </c>
      <c r="J105" s="18">
        <f>IF(COUNTIF(Distance_Matrix!$E$9:$DQ$9,$E105)&lt;=1,0,(I105-H105)/MAX(H105,I105))</f>
        <v>0.60827754850121185</v>
      </c>
      <c r="X105" s="18">
        <f t="shared" si="93"/>
        <v>7.1208456226614238</v>
      </c>
      <c r="Y105" s="18">
        <f t="shared" si="93"/>
        <v>1.6863400260996402</v>
      </c>
      <c r="Z105" s="18">
        <f t="shared" si="93"/>
        <v>2.7253656976307941</v>
      </c>
      <c r="AA105" s="56">
        <f t="shared" si="81"/>
        <v>2</v>
      </c>
      <c r="AC105" s="18">
        <f t="shared" si="94"/>
        <v>6.1269561608018481</v>
      </c>
      <c r="AD105" s="18">
        <f t="shared" si="94"/>
        <v>0.40588883588469477</v>
      </c>
      <c r="AE105" s="18">
        <f t="shared" si="94"/>
        <v>1.8160797180868962</v>
      </c>
      <c r="AF105" s="56">
        <f t="shared" si="82"/>
        <v>2</v>
      </c>
      <c r="AH105" s="18">
        <f t="shared" si="95"/>
        <v>5.4904654348822399</v>
      </c>
      <c r="AI105" s="18">
        <f t="shared" si="95"/>
        <v>0.28322195770825609</v>
      </c>
      <c r="AJ105" s="18">
        <f t="shared" si="95"/>
        <v>1.9182488542088207</v>
      </c>
      <c r="AK105" s="56">
        <f t="shared" si="83"/>
        <v>2</v>
      </c>
      <c r="AM105" s="18">
        <f t="shared" si="96"/>
        <v>5.4904654348822399</v>
      </c>
      <c r="AN105" s="18">
        <f t="shared" si="96"/>
        <v>0.27028387206858107</v>
      </c>
      <c r="AO105" s="18">
        <f t="shared" si="96"/>
        <v>1.9423536381047803</v>
      </c>
      <c r="AP105" s="56">
        <f t="shared" si="84"/>
        <v>2</v>
      </c>
      <c r="AR105" s="18">
        <f t="shared" si="97"/>
        <v>5.4904654348822399</v>
      </c>
      <c r="AS105" s="18">
        <f t="shared" si="97"/>
        <v>0.27028387206858107</v>
      </c>
      <c r="AT105" s="18">
        <f t="shared" si="97"/>
        <v>1.9423536381047803</v>
      </c>
      <c r="AU105" s="56">
        <f t="shared" si="85"/>
        <v>2</v>
      </c>
      <c r="AW105" s="18">
        <f t="shared" si="98"/>
        <v>5.4904654348822399</v>
      </c>
      <c r="AX105" s="18">
        <f t="shared" si="98"/>
        <v>0.27028387206858107</v>
      </c>
      <c r="AY105" s="18">
        <f t="shared" si="98"/>
        <v>1.9423536381047803</v>
      </c>
      <c r="AZ105" s="56">
        <f t="shared" si="86"/>
        <v>2</v>
      </c>
      <c r="BB105" s="18">
        <f t="shared" si="99"/>
        <v>5.4904654348822399</v>
      </c>
      <c r="BC105" s="18">
        <f t="shared" si="99"/>
        <v>0.27028387206858107</v>
      </c>
      <c r="BD105" s="18">
        <f t="shared" si="99"/>
        <v>1.9423536381047803</v>
      </c>
      <c r="BE105" s="56">
        <f t="shared" si="87"/>
        <v>2</v>
      </c>
      <c r="BG105" s="18">
        <f t="shared" si="100"/>
        <v>5.4904654348822399</v>
      </c>
      <c r="BH105" s="18">
        <f t="shared" si="100"/>
        <v>0.27028387206858107</v>
      </c>
      <c r="BI105" s="18">
        <f t="shared" si="100"/>
        <v>1.9423536381047803</v>
      </c>
      <c r="BJ105" s="56">
        <f t="shared" si="88"/>
        <v>2</v>
      </c>
      <c r="BL105" s="18">
        <f t="shared" si="101"/>
        <v>5.4904654348822399</v>
      </c>
      <c r="BM105" s="18">
        <f t="shared" si="101"/>
        <v>0.27028387206858107</v>
      </c>
      <c r="BN105" s="18">
        <f t="shared" si="101"/>
        <v>1.9423536381047803</v>
      </c>
      <c r="BO105" s="56">
        <f t="shared" si="89"/>
        <v>2</v>
      </c>
      <c r="BQ105" s="18">
        <f t="shared" si="102"/>
        <v>5.4904654348822399</v>
      </c>
      <c r="BR105" s="18">
        <f t="shared" si="102"/>
        <v>0.27028387206858107</v>
      </c>
      <c r="BS105" s="18">
        <f t="shared" si="102"/>
        <v>1.9423536381047803</v>
      </c>
      <c r="BT105" s="56">
        <f t="shared" si="90"/>
        <v>2</v>
      </c>
      <c r="BV105" s="18">
        <f t="shared" si="103"/>
        <v>5.4904654348822399</v>
      </c>
      <c r="BW105" s="18">
        <f t="shared" si="103"/>
        <v>0.27028387206858107</v>
      </c>
      <c r="BX105" s="18">
        <f t="shared" si="103"/>
        <v>1.9423536381047803</v>
      </c>
      <c r="BY105" s="56">
        <f t="shared" si="91"/>
        <v>2</v>
      </c>
      <c r="CA105" s="18">
        <f t="shared" si="104"/>
        <v>5.4904654348822399</v>
      </c>
      <c r="CB105" s="18">
        <f t="shared" si="104"/>
        <v>0.27028387206858107</v>
      </c>
      <c r="CC105" s="18">
        <f t="shared" si="104"/>
        <v>1.9423536381047803</v>
      </c>
      <c r="CD105" s="56">
        <f t="shared" si="92"/>
        <v>2</v>
      </c>
    </row>
    <row r="106" spans="1:82" x14ac:dyDescent="0.25">
      <c r="A106" s="36" t="str">
        <f>KMeans_Data!A88</f>
        <v>Mianwali</v>
      </c>
      <c r="B106" s="18">
        <f>KMeans_Data!H88</f>
        <v>-0.54724577455296852</v>
      </c>
      <c r="C106" s="18">
        <f>KMeans_Data!I88</f>
        <v>-0.67265054538827607</v>
      </c>
      <c r="D106" s="18">
        <f>KMeans_Data!J88</f>
        <v>-0.82444601589876665</v>
      </c>
      <c r="E106" s="56">
        <f t="shared" si="78"/>
        <v>2</v>
      </c>
      <c r="F106" s="38">
        <f t="shared" si="79"/>
        <v>1.7538167911783288E-2</v>
      </c>
      <c r="G106" s="13" t="str">
        <f t="shared" si="80"/>
        <v>Low burden</v>
      </c>
      <c r="H106" s="18">
        <f>IF(COUNTIF(Distance_Matrix!$E$9:$DQ$9,$E106)&lt;=1,0,SUMIF(Distance_Matrix!$E$9:$DQ$9,$E106,Distance_Matrix!$E$97:$DQ$97)/(COUNTIF(Distance_Matrix!$E$9:$DQ$9,$E106)-1))</f>
        <v>0.78259778853347028</v>
      </c>
      <c r="I106" s="18">
        <f>MIN(IF(1=$E106,1E+99,IF(COUNTIF(Distance_Matrix!$E$9:$DQ$9,1)=0,1E+99,SUMIF(Distance_Matrix!$E$9:$DQ$9,1,Distance_Matrix!$E$97:$DQ$97)/COUNTIF(Distance_Matrix!$E$9:$DQ$9,1))),IF(2=$E106,1E+99,IF(COUNTIF(Distance_Matrix!$E$9:$DQ$9,2)=0,1E+99,SUMIF(Distance_Matrix!$E$9:$DQ$9,2,Distance_Matrix!$E$97:$DQ$97)/COUNTIF(Distance_Matrix!$E$9:$DQ$9,2))),IF(3=$E106,1E+99,IF(COUNTIF(Distance_Matrix!$E$9:$DQ$9,3)=0,1E+99,SUMIF(Distance_Matrix!$E$9:$DQ$9,3,Distance_Matrix!$E$97:$DQ$97)/COUNTIF(Distance_Matrix!$E$9:$DQ$9,3))))</f>
        <v>2.2778424997711144</v>
      </c>
      <c r="J106" s="18">
        <f>IF(COUNTIF(Distance_Matrix!$E$9:$DQ$9,$E106)&lt;=1,0,(I106-H106)/MAX(H106,I106))</f>
        <v>0.65643024545722173</v>
      </c>
      <c r="X106" s="18">
        <f t="shared" si="93"/>
        <v>7.3092925798473285</v>
      </c>
      <c r="Y106" s="18">
        <f t="shared" si="93"/>
        <v>1.5657907219695728</v>
      </c>
      <c r="Z106" s="18">
        <f t="shared" si="93"/>
        <v>2.980360147150797</v>
      </c>
      <c r="AA106" s="56">
        <f t="shared" si="81"/>
        <v>2</v>
      </c>
      <c r="AC106" s="18">
        <f t="shared" si="94"/>
        <v>6.3041056050625439</v>
      </c>
      <c r="AD106" s="18">
        <f t="shared" si="94"/>
        <v>0.21910279543762501</v>
      </c>
      <c r="AE106" s="18">
        <f t="shared" si="94"/>
        <v>2.0390931234375582</v>
      </c>
      <c r="AF106" s="56">
        <f t="shared" si="82"/>
        <v>2</v>
      </c>
      <c r="AH106" s="18">
        <f t="shared" si="95"/>
        <v>5.6686650233764997</v>
      </c>
      <c r="AI106" s="18">
        <f t="shared" si="95"/>
        <v>0.12398603549794421</v>
      </c>
      <c r="AJ106" s="18">
        <f t="shared" si="95"/>
        <v>2.1458236090899576</v>
      </c>
      <c r="AK106" s="56">
        <f t="shared" si="83"/>
        <v>2</v>
      </c>
      <c r="AM106" s="18">
        <f t="shared" si="96"/>
        <v>5.6686650233764997</v>
      </c>
      <c r="AN106" s="18">
        <f t="shared" si="96"/>
        <v>0.13243174812628311</v>
      </c>
      <c r="AO106" s="18">
        <f t="shared" si="96"/>
        <v>2.1693306716672347</v>
      </c>
      <c r="AP106" s="56">
        <f t="shared" si="84"/>
        <v>2</v>
      </c>
      <c r="AR106" s="18">
        <f t="shared" si="97"/>
        <v>5.6686650233764997</v>
      </c>
      <c r="AS106" s="18">
        <f t="shared" si="97"/>
        <v>0.13243174812628311</v>
      </c>
      <c r="AT106" s="18">
        <f t="shared" si="97"/>
        <v>2.1693306716672347</v>
      </c>
      <c r="AU106" s="56">
        <f t="shared" si="85"/>
        <v>2</v>
      </c>
      <c r="AW106" s="18">
        <f t="shared" si="98"/>
        <v>5.6686650233764997</v>
      </c>
      <c r="AX106" s="18">
        <f t="shared" si="98"/>
        <v>0.13243174812628311</v>
      </c>
      <c r="AY106" s="18">
        <f t="shared" si="98"/>
        <v>2.1693306716672347</v>
      </c>
      <c r="AZ106" s="56">
        <f t="shared" si="86"/>
        <v>2</v>
      </c>
      <c r="BB106" s="18">
        <f t="shared" si="99"/>
        <v>5.6686650233764997</v>
      </c>
      <c r="BC106" s="18">
        <f t="shared" si="99"/>
        <v>0.13243174812628311</v>
      </c>
      <c r="BD106" s="18">
        <f t="shared" si="99"/>
        <v>2.1693306716672347</v>
      </c>
      <c r="BE106" s="56">
        <f t="shared" si="87"/>
        <v>2</v>
      </c>
      <c r="BG106" s="18">
        <f t="shared" si="100"/>
        <v>5.6686650233764997</v>
      </c>
      <c r="BH106" s="18">
        <f t="shared" si="100"/>
        <v>0.13243174812628311</v>
      </c>
      <c r="BI106" s="18">
        <f t="shared" si="100"/>
        <v>2.1693306716672347</v>
      </c>
      <c r="BJ106" s="56">
        <f t="shared" si="88"/>
        <v>2</v>
      </c>
      <c r="BL106" s="18">
        <f t="shared" si="101"/>
        <v>5.6686650233764997</v>
      </c>
      <c r="BM106" s="18">
        <f t="shared" si="101"/>
        <v>0.13243174812628311</v>
      </c>
      <c r="BN106" s="18">
        <f t="shared" si="101"/>
        <v>2.1693306716672347</v>
      </c>
      <c r="BO106" s="56">
        <f t="shared" si="89"/>
        <v>2</v>
      </c>
      <c r="BQ106" s="18">
        <f t="shared" si="102"/>
        <v>5.6686650233764997</v>
      </c>
      <c r="BR106" s="18">
        <f t="shared" si="102"/>
        <v>0.13243174812628311</v>
      </c>
      <c r="BS106" s="18">
        <f t="shared" si="102"/>
        <v>2.1693306716672347</v>
      </c>
      <c r="BT106" s="56">
        <f t="shared" si="90"/>
        <v>2</v>
      </c>
      <c r="BV106" s="18">
        <f t="shared" si="103"/>
        <v>5.6686650233764997</v>
      </c>
      <c r="BW106" s="18">
        <f t="shared" si="103"/>
        <v>0.13243174812628311</v>
      </c>
      <c r="BX106" s="18">
        <f t="shared" si="103"/>
        <v>2.1693306716672347</v>
      </c>
      <c r="BY106" s="56">
        <f t="shared" si="91"/>
        <v>2</v>
      </c>
      <c r="CA106" s="18">
        <f t="shared" si="104"/>
        <v>5.6686650233764997</v>
      </c>
      <c r="CB106" s="18">
        <f t="shared" si="104"/>
        <v>0.13243174812628311</v>
      </c>
      <c r="CC106" s="18">
        <f t="shared" si="104"/>
        <v>2.1693306716672347</v>
      </c>
      <c r="CD106" s="56">
        <f t="shared" si="92"/>
        <v>2</v>
      </c>
    </row>
    <row r="107" spans="1:82" x14ac:dyDescent="0.25">
      <c r="A107" s="36" t="str">
        <f>KMeans_Data!A89</f>
        <v>Kharmang</v>
      </c>
      <c r="B107" s="18">
        <f>KMeans_Data!H89</f>
        <v>-0.60513538281414725</v>
      </c>
      <c r="C107" s="18">
        <f>KMeans_Data!I89</f>
        <v>-0.67265054538827607</v>
      </c>
      <c r="D107" s="18">
        <f>KMeans_Data!J89</f>
        <v>-3.44812518432112E-2</v>
      </c>
      <c r="E107" s="56">
        <f t="shared" si="78"/>
        <v>2</v>
      </c>
      <c r="F107" s="38">
        <f t="shared" si="79"/>
        <v>0.50363984940831785</v>
      </c>
      <c r="G107" s="13" t="str">
        <f t="shared" si="80"/>
        <v>Low burden</v>
      </c>
      <c r="H107" s="18">
        <f>IF(COUNTIF(Distance_Matrix!$E$9:$DQ$9,$E107)&lt;=1,0,SUMIF(Distance_Matrix!$E$9:$DQ$9,$E107,Distance_Matrix!$E$98:$DQ$98)/(COUNTIF(Distance_Matrix!$E$9:$DQ$9,$E107)-1))</f>
        <v>1.0062176700222023</v>
      </c>
      <c r="I107" s="18">
        <f>MIN(IF(1=$E107,1E+99,IF(COUNTIF(Distance_Matrix!$E$9:$DQ$9,1)=0,1E+99,SUMIF(Distance_Matrix!$E$9:$DQ$9,1,Distance_Matrix!$E$98:$DQ$98)/COUNTIF(Distance_Matrix!$E$9:$DQ$9,1))),IF(2=$E107,1E+99,IF(COUNTIF(Distance_Matrix!$E$9:$DQ$9,2)=0,1E+99,SUMIF(Distance_Matrix!$E$9:$DQ$9,2,Distance_Matrix!$E$98:$DQ$98)/COUNTIF(Distance_Matrix!$E$9:$DQ$9,2))),IF(3=$E107,1E+99,IF(COUNTIF(Distance_Matrix!$E$9:$DQ$9,3)=0,1E+99,SUMIF(Distance_Matrix!$E$9:$DQ$9,3,Distance_Matrix!$E$98:$DQ$98)/COUNTIF(Distance_Matrix!$E$9:$DQ$9,3))))</f>
        <v>1.86497590156703</v>
      </c>
      <c r="J107" s="18">
        <f>IF(COUNTIF(Distance_Matrix!$E$9:$DQ$9,$E107)&lt;=1,0,(I107-H107)/MAX(H107,I107))</f>
        <v>0.4604661276444717</v>
      </c>
      <c r="X107" s="18">
        <f t="shared" si="93"/>
        <v>6.9320982715787478</v>
      </c>
      <c r="Y107" s="18">
        <f t="shared" si="93"/>
        <v>1.8463845039341165</v>
      </c>
      <c r="Z107" s="18">
        <f t="shared" si="93"/>
        <v>2.4632705018895025</v>
      </c>
      <c r="AA107" s="56">
        <f t="shared" si="81"/>
        <v>2</v>
      </c>
      <c r="AC107" s="18">
        <f t="shared" si="94"/>
        <v>5.9604370479086315</v>
      </c>
      <c r="AD107" s="18">
        <f t="shared" si="94"/>
        <v>0.80831470456921495</v>
      </c>
      <c r="AE107" s="18">
        <f t="shared" si="94"/>
        <v>1.6359528727005208</v>
      </c>
      <c r="AF107" s="56">
        <f t="shared" si="82"/>
        <v>2</v>
      </c>
      <c r="AH107" s="18">
        <f t="shared" si="95"/>
        <v>5.3257646972360186</v>
      </c>
      <c r="AI107" s="18">
        <f t="shared" si="95"/>
        <v>0.7235216442937793</v>
      </c>
      <c r="AJ107" s="18">
        <f t="shared" si="95"/>
        <v>1.7211679383429355</v>
      </c>
      <c r="AK107" s="56">
        <f t="shared" si="83"/>
        <v>2</v>
      </c>
      <c r="AM107" s="18">
        <f t="shared" si="96"/>
        <v>5.3257646972360186</v>
      </c>
      <c r="AN107" s="18">
        <f t="shared" si="96"/>
        <v>0.70967587630432938</v>
      </c>
      <c r="AO107" s="18">
        <f t="shared" si="96"/>
        <v>1.7458367773118764</v>
      </c>
      <c r="AP107" s="56">
        <f t="shared" si="84"/>
        <v>2</v>
      </c>
      <c r="AR107" s="18">
        <f t="shared" si="97"/>
        <v>5.3257646972360186</v>
      </c>
      <c r="AS107" s="18">
        <f t="shared" si="97"/>
        <v>0.70967587630432938</v>
      </c>
      <c r="AT107" s="18">
        <f t="shared" si="97"/>
        <v>1.7458367773118764</v>
      </c>
      <c r="AU107" s="56">
        <f t="shared" si="85"/>
        <v>2</v>
      </c>
      <c r="AW107" s="18">
        <f t="shared" si="98"/>
        <v>5.3257646972360186</v>
      </c>
      <c r="AX107" s="18">
        <f t="shared" si="98"/>
        <v>0.70967587630432938</v>
      </c>
      <c r="AY107" s="18">
        <f t="shared" si="98"/>
        <v>1.7458367773118764</v>
      </c>
      <c r="AZ107" s="56">
        <f t="shared" si="86"/>
        <v>2</v>
      </c>
      <c r="BB107" s="18">
        <f t="shared" si="99"/>
        <v>5.3257646972360186</v>
      </c>
      <c r="BC107" s="18">
        <f t="shared" si="99"/>
        <v>0.70967587630432938</v>
      </c>
      <c r="BD107" s="18">
        <f t="shared" si="99"/>
        <v>1.7458367773118764</v>
      </c>
      <c r="BE107" s="56">
        <f t="shared" si="87"/>
        <v>2</v>
      </c>
      <c r="BG107" s="18">
        <f t="shared" si="100"/>
        <v>5.3257646972360186</v>
      </c>
      <c r="BH107" s="18">
        <f t="shared" si="100"/>
        <v>0.70967587630432938</v>
      </c>
      <c r="BI107" s="18">
        <f t="shared" si="100"/>
        <v>1.7458367773118764</v>
      </c>
      <c r="BJ107" s="56">
        <f t="shared" si="88"/>
        <v>2</v>
      </c>
      <c r="BL107" s="18">
        <f t="shared" si="101"/>
        <v>5.3257646972360186</v>
      </c>
      <c r="BM107" s="18">
        <f t="shared" si="101"/>
        <v>0.70967587630432938</v>
      </c>
      <c r="BN107" s="18">
        <f t="shared" si="101"/>
        <v>1.7458367773118764</v>
      </c>
      <c r="BO107" s="56">
        <f t="shared" si="89"/>
        <v>2</v>
      </c>
      <c r="BQ107" s="18">
        <f t="shared" si="102"/>
        <v>5.3257646972360186</v>
      </c>
      <c r="BR107" s="18">
        <f t="shared" si="102"/>
        <v>0.70967587630432938</v>
      </c>
      <c r="BS107" s="18">
        <f t="shared" si="102"/>
        <v>1.7458367773118764</v>
      </c>
      <c r="BT107" s="56">
        <f t="shared" si="90"/>
        <v>2</v>
      </c>
      <c r="BV107" s="18">
        <f t="shared" si="103"/>
        <v>5.3257646972360186</v>
      </c>
      <c r="BW107" s="18">
        <f t="shared" si="103"/>
        <v>0.70967587630432938</v>
      </c>
      <c r="BX107" s="18">
        <f t="shared" si="103"/>
        <v>1.7458367773118764</v>
      </c>
      <c r="BY107" s="56">
        <f t="shared" si="91"/>
        <v>2</v>
      </c>
      <c r="CA107" s="18">
        <f t="shared" si="104"/>
        <v>5.3257646972360186</v>
      </c>
      <c r="CB107" s="18">
        <f t="shared" si="104"/>
        <v>0.70967587630432938</v>
      </c>
      <c r="CC107" s="18">
        <f t="shared" si="104"/>
        <v>1.7458367773118764</v>
      </c>
      <c r="CD107" s="56">
        <f t="shared" si="92"/>
        <v>2</v>
      </c>
    </row>
    <row r="108" spans="1:82" x14ac:dyDescent="0.25">
      <c r="A108" s="36" t="str">
        <f>KMeans_Data!A90</f>
        <v>Attock</v>
      </c>
      <c r="B108" s="18">
        <f>KMeans_Data!H90</f>
        <v>-0.63668868079673557</v>
      </c>
      <c r="C108" s="18">
        <f>KMeans_Data!I90</f>
        <v>-0.67265054538827607</v>
      </c>
      <c r="D108" s="18">
        <f>KMeans_Data!J90</f>
        <v>-1.1456441163335547</v>
      </c>
      <c r="E108" s="56">
        <f t="shared" si="78"/>
        <v>2</v>
      </c>
      <c r="F108" s="38">
        <f t="shared" si="79"/>
        <v>0.16572550708043537</v>
      </c>
      <c r="G108" s="13" t="str">
        <f t="shared" si="80"/>
        <v>Low burden</v>
      </c>
      <c r="H108" s="18">
        <f>IF(COUNTIF(Distance_Matrix!$E$9:$DQ$9,$E108)&lt;=1,0,SUMIF(Distance_Matrix!$E$9:$DQ$9,$E108,Distance_Matrix!$E$99:$DQ$99)/(COUNTIF(Distance_Matrix!$E$9:$DQ$9,$E108)-1))</f>
        <v>0.84807887929088799</v>
      </c>
      <c r="I108" s="18">
        <f>MIN(IF(1=$E108,1E+99,IF(COUNTIF(Distance_Matrix!$E$9:$DQ$9,1)=0,1E+99,SUMIF(Distance_Matrix!$E$9:$DQ$9,1,Distance_Matrix!$E$99:$DQ$99)/COUNTIF(Distance_Matrix!$E$9:$DQ$9,1))),IF(2=$E108,1E+99,IF(COUNTIF(Distance_Matrix!$E$9:$DQ$9,2)=0,1E+99,SUMIF(Distance_Matrix!$E$9:$DQ$9,2,Distance_Matrix!$E$99:$DQ$99)/COUNTIF(Distance_Matrix!$E$9:$DQ$9,2))),IF(3=$E108,1E+99,IF(COUNTIF(Distance_Matrix!$E$9:$DQ$9,3)=0,1E+99,SUMIF(Distance_Matrix!$E$9:$DQ$9,3,Distance_Matrix!$E$99:$DQ$99)/COUNTIF(Distance_Matrix!$E$9:$DQ$9,3))))</f>
        <v>2.5464422713889152</v>
      </c>
      <c r="J108" s="18">
        <f>IF(COUNTIF(Distance_Matrix!$E$9:$DQ$9,$E108)&lt;=1,0,(I108-H108)/MAX(H108,I108))</f>
        <v>0.66695538759324902</v>
      </c>
      <c r="X108" s="18">
        <f t="shared" si="93"/>
        <v>7.5392108031360259</v>
      </c>
      <c r="Y108" s="18">
        <f t="shared" si="93"/>
        <v>1.443049301006593</v>
      </c>
      <c r="Z108" s="18">
        <f t="shared" si="93"/>
        <v>3.278929330896613</v>
      </c>
      <c r="AA108" s="56">
        <f t="shared" si="81"/>
        <v>2</v>
      </c>
      <c r="AC108" s="18">
        <f t="shared" si="94"/>
        <v>6.525341415648894</v>
      </c>
      <c r="AD108" s="18">
        <f t="shared" si="94"/>
        <v>0.34505968767499173</v>
      </c>
      <c r="AE108" s="18">
        <f t="shared" si="94"/>
        <v>2.3163075629471659</v>
      </c>
      <c r="AF108" s="56">
        <f t="shared" si="82"/>
        <v>2</v>
      </c>
      <c r="AH108" s="18">
        <f t="shared" si="95"/>
        <v>5.8921694786701622</v>
      </c>
      <c r="AI108" s="18">
        <f t="shared" si="95"/>
        <v>0.39212347317389606</v>
      </c>
      <c r="AJ108" s="18">
        <f t="shared" si="95"/>
        <v>2.4242226859332541</v>
      </c>
      <c r="AK108" s="56">
        <f t="shared" si="83"/>
        <v>2</v>
      </c>
      <c r="AM108" s="18">
        <f t="shared" si="96"/>
        <v>5.8921694786701622</v>
      </c>
      <c r="AN108" s="18">
        <f t="shared" si="96"/>
        <v>0.40709397819230314</v>
      </c>
      <c r="AO108" s="18">
        <f t="shared" si="96"/>
        <v>2.4472543922862382</v>
      </c>
      <c r="AP108" s="56">
        <f t="shared" si="84"/>
        <v>2</v>
      </c>
      <c r="AR108" s="18">
        <f t="shared" si="97"/>
        <v>5.8921694786701622</v>
      </c>
      <c r="AS108" s="18">
        <f t="shared" si="97"/>
        <v>0.40709397819230314</v>
      </c>
      <c r="AT108" s="18">
        <f t="shared" si="97"/>
        <v>2.4472543922862382</v>
      </c>
      <c r="AU108" s="56">
        <f t="shared" si="85"/>
        <v>2</v>
      </c>
      <c r="AW108" s="18">
        <f t="shared" si="98"/>
        <v>5.8921694786701622</v>
      </c>
      <c r="AX108" s="18">
        <f t="shared" si="98"/>
        <v>0.40709397819230314</v>
      </c>
      <c r="AY108" s="18">
        <f t="shared" si="98"/>
        <v>2.4472543922862382</v>
      </c>
      <c r="AZ108" s="56">
        <f t="shared" si="86"/>
        <v>2</v>
      </c>
      <c r="BB108" s="18">
        <f t="shared" si="99"/>
        <v>5.8921694786701622</v>
      </c>
      <c r="BC108" s="18">
        <f t="shared" si="99"/>
        <v>0.40709397819230314</v>
      </c>
      <c r="BD108" s="18">
        <f t="shared" si="99"/>
        <v>2.4472543922862382</v>
      </c>
      <c r="BE108" s="56">
        <f t="shared" si="87"/>
        <v>2</v>
      </c>
      <c r="BG108" s="18">
        <f t="shared" si="100"/>
        <v>5.8921694786701622</v>
      </c>
      <c r="BH108" s="18">
        <f t="shared" si="100"/>
        <v>0.40709397819230314</v>
      </c>
      <c r="BI108" s="18">
        <f t="shared" si="100"/>
        <v>2.4472543922862382</v>
      </c>
      <c r="BJ108" s="56">
        <f t="shared" si="88"/>
        <v>2</v>
      </c>
      <c r="BL108" s="18">
        <f t="shared" si="101"/>
        <v>5.8921694786701622</v>
      </c>
      <c r="BM108" s="18">
        <f t="shared" si="101"/>
        <v>0.40709397819230314</v>
      </c>
      <c r="BN108" s="18">
        <f t="shared" si="101"/>
        <v>2.4472543922862382</v>
      </c>
      <c r="BO108" s="56">
        <f t="shared" si="89"/>
        <v>2</v>
      </c>
      <c r="BQ108" s="18">
        <f t="shared" si="102"/>
        <v>5.8921694786701622</v>
      </c>
      <c r="BR108" s="18">
        <f t="shared" si="102"/>
        <v>0.40709397819230314</v>
      </c>
      <c r="BS108" s="18">
        <f t="shared" si="102"/>
        <v>2.4472543922862382</v>
      </c>
      <c r="BT108" s="56">
        <f t="shared" si="90"/>
        <v>2</v>
      </c>
      <c r="BV108" s="18">
        <f t="shared" si="103"/>
        <v>5.8921694786701622</v>
      </c>
      <c r="BW108" s="18">
        <f t="shared" si="103"/>
        <v>0.40709397819230314</v>
      </c>
      <c r="BX108" s="18">
        <f t="shared" si="103"/>
        <v>2.4472543922862382</v>
      </c>
      <c r="BY108" s="56">
        <f t="shared" si="91"/>
        <v>2</v>
      </c>
      <c r="CA108" s="18">
        <f t="shared" si="104"/>
        <v>5.8921694786701622</v>
      </c>
      <c r="CB108" s="18">
        <f t="shared" si="104"/>
        <v>0.40709397819230314</v>
      </c>
      <c r="CC108" s="18">
        <f t="shared" si="104"/>
        <v>2.4472543922862382</v>
      </c>
      <c r="CD108" s="56">
        <f t="shared" si="92"/>
        <v>2</v>
      </c>
    </row>
    <row r="109" spans="1:82" x14ac:dyDescent="0.25">
      <c r="A109" s="36" t="str">
        <f>KMeans_Data!A91</f>
        <v>Chitral Upper</v>
      </c>
      <c r="B109" s="18">
        <f>KMeans_Data!H91</f>
        <v>-0.63668868079673557</v>
      </c>
      <c r="C109" s="18">
        <f>KMeans_Data!I91</f>
        <v>-0.67265054538827607</v>
      </c>
      <c r="D109" s="18">
        <f>KMeans_Data!J91</f>
        <v>-0.31535907140676028</v>
      </c>
      <c r="E109" s="56">
        <f t="shared" si="78"/>
        <v>2</v>
      </c>
      <c r="F109" s="38">
        <f t="shared" si="79"/>
        <v>0.18422392892680212</v>
      </c>
      <c r="G109" s="13" t="str">
        <f t="shared" si="80"/>
        <v>Low burden</v>
      </c>
      <c r="H109" s="18">
        <f>IF(COUNTIF(Distance_Matrix!$E$9:$DQ$9,$E109)&lt;=1,0,SUMIF(Distance_Matrix!$E$9:$DQ$9,$E109,Distance_Matrix!$E$100:$DQ$100)/(COUNTIF(Distance_Matrix!$E$9:$DQ$9,$E109)-1))</f>
        <v>0.86103820111941687</v>
      </c>
      <c r="I109" s="18">
        <f>MIN(IF(1=$E109,1E+99,IF(COUNTIF(Distance_Matrix!$E$9:$DQ$9,1)=0,1E+99,SUMIF(Distance_Matrix!$E$9:$DQ$9,1,Distance_Matrix!$E$100:$DQ$100)/COUNTIF(Distance_Matrix!$E$9:$DQ$9,1))),IF(2=$E109,1E+99,IF(COUNTIF(Distance_Matrix!$E$9:$DQ$9,2)=0,1E+99,SUMIF(Distance_Matrix!$E$9:$DQ$9,2,Distance_Matrix!$E$100:$DQ$100)/COUNTIF(Distance_Matrix!$E$9:$DQ$9,2))),IF(3=$E109,1E+99,IF(COUNTIF(Distance_Matrix!$E$9:$DQ$9,3)=0,1E+99,SUMIF(Distance_Matrix!$E$9:$DQ$9,3,Distance_Matrix!$E$100:$DQ$100)/COUNTIF(Distance_Matrix!$E$9:$DQ$9,3))))</f>
        <v>2.0148715986337962</v>
      </c>
      <c r="J109" s="18">
        <f>IF(COUNTIF(Distance_Matrix!$E$9:$DQ$9,$E109)&lt;=1,0,(I109-H109)/MAX(H109,I109))</f>
        <v>0.57265852488900415</v>
      </c>
      <c r="X109" s="18">
        <f t="shared" si="93"/>
        <v>7.0869805101477814</v>
      </c>
      <c r="Y109" s="18">
        <f t="shared" si="93"/>
        <v>1.6648617182711321</v>
      </c>
      <c r="Z109" s="18">
        <f t="shared" si="93"/>
        <v>2.6639479151350605</v>
      </c>
      <c r="AA109" s="56">
        <f t="shared" si="81"/>
        <v>2</v>
      </c>
      <c r="AC109" s="18">
        <f t="shared" si="94"/>
        <v>6.1023134938668502</v>
      </c>
      <c r="AD109" s="18">
        <f t="shared" si="94"/>
        <v>0.52757705439937863</v>
      </c>
      <c r="AE109" s="18">
        <f t="shared" si="94"/>
        <v>1.7821695379137568</v>
      </c>
      <c r="AF109" s="56">
        <f t="shared" si="82"/>
        <v>2</v>
      </c>
      <c r="AH109" s="18">
        <f t="shared" si="95"/>
        <v>5.4665399557483623</v>
      </c>
      <c r="AI109" s="18">
        <f t="shared" si="95"/>
        <v>0.44254917502878266</v>
      </c>
      <c r="AJ109" s="18">
        <f t="shared" si="95"/>
        <v>1.8759339379454225</v>
      </c>
      <c r="AK109" s="56">
        <f t="shared" si="83"/>
        <v>2</v>
      </c>
      <c r="AM109" s="18">
        <f t="shared" si="96"/>
        <v>5.4665399557483623</v>
      </c>
      <c r="AN109" s="18">
        <f t="shared" si="96"/>
        <v>0.42921315092480811</v>
      </c>
      <c r="AO109" s="18">
        <f t="shared" si="96"/>
        <v>1.9006033165145482</v>
      </c>
      <c r="AP109" s="56">
        <f t="shared" si="84"/>
        <v>2</v>
      </c>
      <c r="AR109" s="18">
        <f t="shared" si="97"/>
        <v>5.4665399557483623</v>
      </c>
      <c r="AS109" s="18">
        <f t="shared" si="97"/>
        <v>0.42921315092480811</v>
      </c>
      <c r="AT109" s="18">
        <f t="shared" si="97"/>
        <v>1.9006033165145482</v>
      </c>
      <c r="AU109" s="56">
        <f t="shared" si="85"/>
        <v>2</v>
      </c>
      <c r="AW109" s="18">
        <f t="shared" si="98"/>
        <v>5.4665399557483623</v>
      </c>
      <c r="AX109" s="18">
        <f t="shared" si="98"/>
        <v>0.42921315092480811</v>
      </c>
      <c r="AY109" s="18">
        <f t="shared" si="98"/>
        <v>1.9006033165145482</v>
      </c>
      <c r="AZ109" s="56">
        <f t="shared" si="86"/>
        <v>2</v>
      </c>
      <c r="BB109" s="18">
        <f t="shared" si="99"/>
        <v>5.4665399557483623</v>
      </c>
      <c r="BC109" s="18">
        <f t="shared" si="99"/>
        <v>0.42921315092480811</v>
      </c>
      <c r="BD109" s="18">
        <f t="shared" si="99"/>
        <v>1.9006033165145482</v>
      </c>
      <c r="BE109" s="56">
        <f t="shared" si="87"/>
        <v>2</v>
      </c>
      <c r="BG109" s="18">
        <f t="shared" si="100"/>
        <v>5.4665399557483623</v>
      </c>
      <c r="BH109" s="18">
        <f t="shared" si="100"/>
        <v>0.42921315092480811</v>
      </c>
      <c r="BI109" s="18">
        <f t="shared" si="100"/>
        <v>1.9006033165145482</v>
      </c>
      <c r="BJ109" s="56">
        <f t="shared" si="88"/>
        <v>2</v>
      </c>
      <c r="BL109" s="18">
        <f t="shared" si="101"/>
        <v>5.4665399557483623</v>
      </c>
      <c r="BM109" s="18">
        <f t="shared" si="101"/>
        <v>0.42921315092480811</v>
      </c>
      <c r="BN109" s="18">
        <f t="shared" si="101"/>
        <v>1.9006033165145482</v>
      </c>
      <c r="BO109" s="56">
        <f t="shared" si="89"/>
        <v>2</v>
      </c>
      <c r="BQ109" s="18">
        <f t="shared" si="102"/>
        <v>5.4665399557483623</v>
      </c>
      <c r="BR109" s="18">
        <f t="shared" si="102"/>
        <v>0.42921315092480811</v>
      </c>
      <c r="BS109" s="18">
        <f t="shared" si="102"/>
        <v>1.9006033165145482</v>
      </c>
      <c r="BT109" s="56">
        <f t="shared" si="90"/>
        <v>2</v>
      </c>
      <c r="BV109" s="18">
        <f t="shared" si="103"/>
        <v>5.4665399557483623</v>
      </c>
      <c r="BW109" s="18">
        <f t="shared" si="103"/>
        <v>0.42921315092480811</v>
      </c>
      <c r="BX109" s="18">
        <f t="shared" si="103"/>
        <v>1.9006033165145482</v>
      </c>
      <c r="BY109" s="56">
        <f t="shared" si="91"/>
        <v>2</v>
      </c>
      <c r="CA109" s="18">
        <f t="shared" si="104"/>
        <v>5.4665399557483623</v>
      </c>
      <c r="CB109" s="18">
        <f t="shared" si="104"/>
        <v>0.42921315092480811</v>
      </c>
      <c r="CC109" s="18">
        <f t="shared" si="104"/>
        <v>1.9006033165145482</v>
      </c>
      <c r="CD109" s="56">
        <f t="shared" si="92"/>
        <v>2</v>
      </c>
    </row>
    <row r="110" spans="1:82" x14ac:dyDescent="0.25">
      <c r="A110" s="36" t="str">
        <f>KMeans_Data!A92</f>
        <v>Matiari</v>
      </c>
      <c r="B110" s="18">
        <f>KMeans_Data!H92</f>
        <v>-0.70618776706351938</v>
      </c>
      <c r="C110" s="18">
        <f>KMeans_Data!I92</f>
        <v>-0.14698313392952958</v>
      </c>
      <c r="D110" s="18">
        <f>KMeans_Data!J92</f>
        <v>0.62851349158581915</v>
      </c>
      <c r="E110" s="56">
        <f t="shared" si="78"/>
        <v>3</v>
      </c>
      <c r="F110" s="38">
        <f t="shared" si="79"/>
        <v>1.8634033474663874</v>
      </c>
      <c r="G110" s="13" t="str">
        <f t="shared" si="80"/>
        <v>Medium burden</v>
      </c>
      <c r="H110" s="18">
        <f>IF(COUNTIF(Distance_Matrix!$E$9:$DQ$9,$E110)&lt;=1,0,SUMIF(Distance_Matrix!$E$9:$DQ$9,$E110,Distance_Matrix!$E$101:$DQ$101)/(COUNTIF(Distance_Matrix!$E$9:$DQ$9,$E110)-1))</f>
        <v>1.5794467757181283</v>
      </c>
      <c r="I110" s="18">
        <f>MIN(IF(1=$E110,1E+99,IF(COUNTIF(Distance_Matrix!$E$9:$DQ$9,1)=0,1E+99,SUMIF(Distance_Matrix!$E$9:$DQ$9,1,Distance_Matrix!$E$101:$DQ$101)/COUNTIF(Distance_Matrix!$E$9:$DQ$9,1))),IF(2=$E110,1E+99,IF(COUNTIF(Distance_Matrix!$E$9:$DQ$9,2)=0,1E+99,SUMIF(Distance_Matrix!$E$9:$DQ$9,2,Distance_Matrix!$E$101:$DQ$101)/COUNTIF(Distance_Matrix!$E$9:$DQ$9,2))),IF(3=$E110,1E+99,IF(COUNTIF(Distance_Matrix!$E$9:$DQ$9,3)=0,1E+99,SUMIF(Distance_Matrix!$E$9:$DQ$9,3,Distance_Matrix!$E$101:$DQ$101)/COUNTIF(Distance_Matrix!$E$9:$DQ$9,3))))</f>
        <v>1.6030427531547105</v>
      </c>
      <c r="J110" s="18">
        <f>IF(COUNTIF(Distance_Matrix!$E$9:$DQ$9,$E110)&lt;=1,0,(I110-H110)/MAX(H110,I110))</f>
        <v>1.4719493532001195E-2</v>
      </c>
      <c r="X110" s="18">
        <f t="shared" si="93"/>
        <v>6.3444455343865602</v>
      </c>
      <c r="Y110" s="18">
        <f t="shared" si="93"/>
        <v>2.3044742649072281</v>
      </c>
      <c r="Z110" s="18">
        <f t="shared" si="93"/>
        <v>2.0062365515196272</v>
      </c>
      <c r="AA110" s="56">
        <f t="shared" si="81"/>
        <v>3</v>
      </c>
      <c r="AC110" s="18">
        <f t="shared" si="94"/>
        <v>5.4036832324589623</v>
      </c>
      <c r="AD110" s="18">
        <f t="shared" si="94"/>
        <v>1.5384020003567449</v>
      </c>
      <c r="AE110" s="18">
        <f t="shared" si="94"/>
        <v>1.31398508470151</v>
      </c>
      <c r="AF110" s="56">
        <f t="shared" si="82"/>
        <v>3</v>
      </c>
      <c r="AH110" s="18">
        <f t="shared" si="95"/>
        <v>4.7806105468177584</v>
      </c>
      <c r="AI110" s="18">
        <f t="shared" si="95"/>
        <v>1.4677209247559639</v>
      </c>
      <c r="AJ110" s="18">
        <f t="shared" si="95"/>
        <v>1.3422815539928046</v>
      </c>
      <c r="AK110" s="56">
        <f t="shared" si="83"/>
        <v>3</v>
      </c>
      <c r="AM110" s="18">
        <f t="shared" si="96"/>
        <v>4.7806105468177584</v>
      </c>
      <c r="AN110" s="18">
        <f t="shared" si="96"/>
        <v>1.4519707760298799</v>
      </c>
      <c r="AO110" s="18">
        <f t="shared" si="96"/>
        <v>1.3650653271790283</v>
      </c>
      <c r="AP110" s="56">
        <f t="shared" si="84"/>
        <v>3</v>
      </c>
      <c r="AR110" s="18">
        <f t="shared" si="97"/>
        <v>4.7806105468177584</v>
      </c>
      <c r="AS110" s="18">
        <f t="shared" si="97"/>
        <v>1.4519707760298799</v>
      </c>
      <c r="AT110" s="18">
        <f t="shared" si="97"/>
        <v>1.3650653271790283</v>
      </c>
      <c r="AU110" s="56">
        <f t="shared" si="85"/>
        <v>3</v>
      </c>
      <c r="AW110" s="18">
        <f t="shared" si="98"/>
        <v>4.7806105468177584</v>
      </c>
      <c r="AX110" s="18">
        <f t="shared" si="98"/>
        <v>1.4519707760298799</v>
      </c>
      <c r="AY110" s="18">
        <f t="shared" si="98"/>
        <v>1.3650653271790283</v>
      </c>
      <c r="AZ110" s="56">
        <f t="shared" si="86"/>
        <v>3</v>
      </c>
      <c r="BB110" s="18">
        <f t="shared" si="99"/>
        <v>4.7806105468177584</v>
      </c>
      <c r="BC110" s="18">
        <f t="shared" si="99"/>
        <v>1.4519707760298799</v>
      </c>
      <c r="BD110" s="18">
        <f t="shared" si="99"/>
        <v>1.3650653271790283</v>
      </c>
      <c r="BE110" s="56">
        <f t="shared" si="87"/>
        <v>3</v>
      </c>
      <c r="BG110" s="18">
        <f t="shared" si="100"/>
        <v>4.7806105468177584</v>
      </c>
      <c r="BH110" s="18">
        <f t="shared" si="100"/>
        <v>1.4519707760298799</v>
      </c>
      <c r="BI110" s="18">
        <f t="shared" si="100"/>
        <v>1.3650653271790283</v>
      </c>
      <c r="BJ110" s="56">
        <f t="shared" si="88"/>
        <v>3</v>
      </c>
      <c r="BL110" s="18">
        <f t="shared" si="101"/>
        <v>4.7806105468177584</v>
      </c>
      <c r="BM110" s="18">
        <f t="shared" si="101"/>
        <v>1.4519707760298799</v>
      </c>
      <c r="BN110" s="18">
        <f t="shared" si="101"/>
        <v>1.3650653271790283</v>
      </c>
      <c r="BO110" s="56">
        <f t="shared" si="89"/>
        <v>3</v>
      </c>
      <c r="BQ110" s="18">
        <f t="shared" si="102"/>
        <v>4.7806105468177584</v>
      </c>
      <c r="BR110" s="18">
        <f t="shared" si="102"/>
        <v>1.4519707760298799</v>
      </c>
      <c r="BS110" s="18">
        <f t="shared" si="102"/>
        <v>1.3650653271790283</v>
      </c>
      <c r="BT110" s="56">
        <f t="shared" si="90"/>
        <v>3</v>
      </c>
      <c r="BV110" s="18">
        <f t="shared" si="103"/>
        <v>4.7806105468177584</v>
      </c>
      <c r="BW110" s="18">
        <f t="shared" si="103"/>
        <v>1.4519707760298799</v>
      </c>
      <c r="BX110" s="18">
        <f t="shared" si="103"/>
        <v>1.3650653271790283</v>
      </c>
      <c r="BY110" s="56">
        <f t="shared" si="91"/>
        <v>3</v>
      </c>
      <c r="CA110" s="18">
        <f t="shared" si="104"/>
        <v>4.7806105468177584</v>
      </c>
      <c r="CB110" s="18">
        <f t="shared" si="104"/>
        <v>1.4519707760298799</v>
      </c>
      <c r="CC110" s="18">
        <f t="shared" si="104"/>
        <v>1.3650653271790283</v>
      </c>
      <c r="CD110" s="56">
        <f t="shared" si="92"/>
        <v>3</v>
      </c>
    </row>
    <row r="111" spans="1:82" x14ac:dyDescent="0.25">
      <c r="A111" s="36" t="str">
        <f>KMeans_Data!A93</f>
        <v>Lakki Marwat</v>
      </c>
      <c r="B111" s="18">
        <f>KMeans_Data!H93</f>
        <v>-0.74475874463319425</v>
      </c>
      <c r="C111" s="18">
        <f>KMeans_Data!I93</f>
        <v>-0.14698313392952958</v>
      </c>
      <c r="D111" s="18">
        <f>KMeans_Data!J93</f>
        <v>-0.1820498150291911</v>
      </c>
      <c r="E111" s="56">
        <f t="shared" si="78"/>
        <v>2</v>
      </c>
      <c r="F111" s="38">
        <f t="shared" si="79"/>
        <v>0.55081134194842329</v>
      </c>
      <c r="G111" s="13" t="str">
        <f t="shared" si="80"/>
        <v>Low burden</v>
      </c>
      <c r="H111" s="18">
        <f>IF(COUNTIF(Distance_Matrix!$E$9:$DQ$9,$E111)&lt;=1,0,SUMIF(Distance_Matrix!$E$9:$DQ$9,$E111,Distance_Matrix!$E$102:$DQ$102)/(COUNTIF(Distance_Matrix!$E$9:$DQ$9,$E111)-1))</f>
        <v>1.0659448908769116</v>
      </c>
      <c r="I111" s="18">
        <f>MIN(IF(1=$E111,1E+99,IF(COUNTIF(Distance_Matrix!$E$9:$DQ$9,1)=0,1E+99,SUMIF(Distance_Matrix!$E$9:$DQ$9,1,Distance_Matrix!$E$102:$DQ$102)/COUNTIF(Distance_Matrix!$E$9:$DQ$9,1))),IF(2=$E111,1E+99,IF(COUNTIF(Distance_Matrix!$E$9:$DQ$9,2)=0,1E+99,SUMIF(Distance_Matrix!$E$9:$DQ$9,2,Distance_Matrix!$E$102:$DQ$102)/COUNTIF(Distance_Matrix!$E$9:$DQ$9,2))),IF(3=$E111,1E+99,IF(COUNTIF(Distance_Matrix!$E$9:$DQ$9,3)=0,1E+99,SUMIF(Distance_Matrix!$E$9:$DQ$9,3,Distance_Matrix!$E$102:$DQ$102)/COUNTIF(Distance_Matrix!$E$9:$DQ$9,3))))</f>
        <v>1.8035680607865354</v>
      </c>
      <c r="J111" s="18">
        <f>IF(COUNTIF(Distance_Matrix!$E$9:$DQ$9,$E111)&lt;=1,0,(I111-H111)/MAX(H111,I111))</f>
        <v>0.40897994699903184</v>
      </c>
      <c r="X111" s="18">
        <f t="shared" si="93"/>
        <v>6.7432716431257811</v>
      </c>
      <c r="Y111" s="18">
        <f t="shared" si="93"/>
        <v>1.7282967825727553</v>
      </c>
      <c r="Z111" s="18">
        <f t="shared" si="93"/>
        <v>2.4865230223264101</v>
      </c>
      <c r="AA111" s="56">
        <f t="shared" si="81"/>
        <v>2</v>
      </c>
      <c r="AC111" s="18">
        <f t="shared" si="94"/>
        <v>5.7568444108483954</v>
      </c>
      <c r="AD111" s="18">
        <f t="shared" si="94"/>
        <v>0.81367571654558457</v>
      </c>
      <c r="AE111" s="18">
        <f t="shared" si="94"/>
        <v>1.5533294936079645</v>
      </c>
      <c r="AF111" s="56">
        <f t="shared" si="82"/>
        <v>2</v>
      </c>
      <c r="AH111" s="18">
        <f t="shared" si="95"/>
        <v>5.125953816362733</v>
      </c>
      <c r="AI111" s="18">
        <f t="shared" si="95"/>
        <v>0.75728232138726426</v>
      </c>
      <c r="AJ111" s="18">
        <f t="shared" si="95"/>
        <v>1.6286307959664839</v>
      </c>
      <c r="AK111" s="56">
        <f t="shared" si="83"/>
        <v>2</v>
      </c>
      <c r="AM111" s="18">
        <f t="shared" si="96"/>
        <v>5.125953816362733</v>
      </c>
      <c r="AN111" s="18">
        <f t="shared" si="96"/>
        <v>0.74216665375670399</v>
      </c>
      <c r="AO111" s="18">
        <f t="shared" si="96"/>
        <v>1.6535322655676739</v>
      </c>
      <c r="AP111" s="56">
        <f t="shared" si="84"/>
        <v>2</v>
      </c>
      <c r="AR111" s="18">
        <f t="shared" si="97"/>
        <v>5.125953816362733</v>
      </c>
      <c r="AS111" s="18">
        <f t="shared" si="97"/>
        <v>0.74216665375670399</v>
      </c>
      <c r="AT111" s="18">
        <f t="shared" si="97"/>
        <v>1.6535322655676739</v>
      </c>
      <c r="AU111" s="56">
        <f t="shared" si="85"/>
        <v>2</v>
      </c>
      <c r="AW111" s="18">
        <f t="shared" si="98"/>
        <v>5.125953816362733</v>
      </c>
      <c r="AX111" s="18">
        <f t="shared" si="98"/>
        <v>0.74216665375670399</v>
      </c>
      <c r="AY111" s="18">
        <f t="shared" si="98"/>
        <v>1.6535322655676739</v>
      </c>
      <c r="AZ111" s="56">
        <f t="shared" si="86"/>
        <v>2</v>
      </c>
      <c r="BB111" s="18">
        <f t="shared" si="99"/>
        <v>5.125953816362733</v>
      </c>
      <c r="BC111" s="18">
        <f t="shared" si="99"/>
        <v>0.74216665375670399</v>
      </c>
      <c r="BD111" s="18">
        <f t="shared" si="99"/>
        <v>1.6535322655676739</v>
      </c>
      <c r="BE111" s="56">
        <f t="shared" si="87"/>
        <v>2</v>
      </c>
      <c r="BG111" s="18">
        <f t="shared" si="100"/>
        <v>5.125953816362733</v>
      </c>
      <c r="BH111" s="18">
        <f t="shared" si="100"/>
        <v>0.74216665375670399</v>
      </c>
      <c r="BI111" s="18">
        <f t="shared" si="100"/>
        <v>1.6535322655676739</v>
      </c>
      <c r="BJ111" s="56">
        <f t="shared" si="88"/>
        <v>2</v>
      </c>
      <c r="BL111" s="18">
        <f t="shared" si="101"/>
        <v>5.125953816362733</v>
      </c>
      <c r="BM111" s="18">
        <f t="shared" si="101"/>
        <v>0.74216665375670399</v>
      </c>
      <c r="BN111" s="18">
        <f t="shared" si="101"/>
        <v>1.6535322655676739</v>
      </c>
      <c r="BO111" s="56">
        <f t="shared" si="89"/>
        <v>2</v>
      </c>
      <c r="BQ111" s="18">
        <f t="shared" si="102"/>
        <v>5.125953816362733</v>
      </c>
      <c r="BR111" s="18">
        <f t="shared" si="102"/>
        <v>0.74216665375670399</v>
      </c>
      <c r="BS111" s="18">
        <f t="shared" si="102"/>
        <v>1.6535322655676739</v>
      </c>
      <c r="BT111" s="56">
        <f t="shared" si="90"/>
        <v>2</v>
      </c>
      <c r="BV111" s="18">
        <f t="shared" si="103"/>
        <v>5.125953816362733</v>
      </c>
      <c r="BW111" s="18">
        <f t="shared" si="103"/>
        <v>0.74216665375670399</v>
      </c>
      <c r="BX111" s="18">
        <f t="shared" si="103"/>
        <v>1.6535322655676739</v>
      </c>
      <c r="BY111" s="56">
        <f t="shared" si="91"/>
        <v>2</v>
      </c>
      <c r="CA111" s="18">
        <f t="shared" si="104"/>
        <v>5.125953816362733</v>
      </c>
      <c r="CB111" s="18">
        <f t="shared" si="104"/>
        <v>0.74216665375670399</v>
      </c>
      <c r="CC111" s="18">
        <f t="shared" si="104"/>
        <v>1.6535322655676739</v>
      </c>
      <c r="CD111" s="56">
        <f t="shared" si="92"/>
        <v>2</v>
      </c>
    </row>
    <row r="112" spans="1:82" x14ac:dyDescent="0.25">
      <c r="A112" s="36" t="str">
        <f>KMeans_Data!A94</f>
        <v>Taftan</v>
      </c>
      <c r="B112" s="18">
        <f>KMeans_Data!H94</f>
        <v>-0.74475874463319425</v>
      </c>
      <c r="C112" s="18">
        <f>KMeans_Data!I94</f>
        <v>-0.67265054538827607</v>
      </c>
      <c r="D112" s="18">
        <f>KMeans_Data!J94</f>
        <v>-1.1456441163335547</v>
      </c>
      <c r="E112" s="56">
        <f t="shared" si="78"/>
        <v>2</v>
      </c>
      <c r="F112" s="38">
        <f t="shared" si="79"/>
        <v>0.17719414259720148</v>
      </c>
      <c r="G112" s="13" t="str">
        <f t="shared" si="80"/>
        <v>Low burden</v>
      </c>
      <c r="H112" s="18">
        <f>IF(COUNTIF(Distance_Matrix!$E$9:$DQ$9,$E112)&lt;=1,0,SUMIF(Distance_Matrix!$E$9:$DQ$9,$E112,Distance_Matrix!$E$103:$DQ$103)/(COUNTIF(Distance_Matrix!$E$9:$DQ$9,$E112)-1))</f>
        <v>0.84736357515563931</v>
      </c>
      <c r="I112" s="18">
        <f>MIN(IF(1=$E112,1E+99,IF(COUNTIF(Distance_Matrix!$E$9:$DQ$9,1)=0,1E+99,SUMIF(Distance_Matrix!$E$9:$DQ$9,1,Distance_Matrix!$E$103:$DQ$103)/COUNTIF(Distance_Matrix!$E$9:$DQ$9,1))),IF(2=$E112,1E+99,IF(COUNTIF(Distance_Matrix!$E$9:$DQ$9,2)=0,1E+99,SUMIF(Distance_Matrix!$E$9:$DQ$9,2,Distance_Matrix!$E$103:$DQ$103)/COUNTIF(Distance_Matrix!$E$9:$DQ$9,2))),IF(3=$E112,1E+99,IF(COUNTIF(Distance_Matrix!$E$9:$DQ$9,3)=0,1E+99,SUMIF(Distance_Matrix!$E$9:$DQ$9,3,Distance_Matrix!$E$103:$DQ$103)/COUNTIF(Distance_Matrix!$E$9:$DQ$9,3))))</f>
        <v>2.5969684151131514</v>
      </c>
      <c r="J112" s="18">
        <f>IF(COUNTIF(Distance_Matrix!$E$9:$DQ$9,$E112)&lt;=1,0,(I112-H112)/MAX(H112,I112))</f>
        <v>0.67371048094987362</v>
      </c>
      <c r="X112" s="18">
        <f t="shared" si="93"/>
        <v>7.595834527091335</v>
      </c>
      <c r="Y112" s="18">
        <f t="shared" si="93"/>
        <v>1.3349792371701343</v>
      </c>
      <c r="Z112" s="18">
        <f t="shared" si="93"/>
        <v>3.3353981460163755</v>
      </c>
      <c r="AA112" s="56">
        <f t="shared" si="81"/>
        <v>2</v>
      </c>
      <c r="AC112" s="18">
        <f t="shared" si="94"/>
        <v>6.5830399860432847</v>
      </c>
      <c r="AD112" s="18">
        <f t="shared" si="94"/>
        <v>0.32116210880959606</v>
      </c>
      <c r="AE112" s="18">
        <f t="shared" si="94"/>
        <v>2.3716305488833656</v>
      </c>
      <c r="AF112" s="56">
        <f t="shared" si="82"/>
        <v>2</v>
      </c>
      <c r="AH112" s="18">
        <f t="shared" si="95"/>
        <v>5.9500983117715052</v>
      </c>
      <c r="AI112" s="18">
        <f t="shared" si="95"/>
        <v>0.40548280269153181</v>
      </c>
      <c r="AJ112" s="18">
        <f t="shared" si="95"/>
        <v>2.4770642900640727</v>
      </c>
      <c r="AK112" s="56">
        <f t="shared" si="83"/>
        <v>2</v>
      </c>
      <c r="AM112" s="18">
        <f t="shared" si="96"/>
        <v>5.9500983117715052</v>
      </c>
      <c r="AN112" s="18">
        <f t="shared" si="96"/>
        <v>0.42094434619935389</v>
      </c>
      <c r="AO112" s="18">
        <f t="shared" si="96"/>
        <v>2.5004304312094536</v>
      </c>
      <c r="AP112" s="56">
        <f t="shared" si="84"/>
        <v>2</v>
      </c>
      <c r="AR112" s="18">
        <f t="shared" si="97"/>
        <v>5.9500983117715052</v>
      </c>
      <c r="AS112" s="18">
        <f t="shared" si="97"/>
        <v>0.42094434619935389</v>
      </c>
      <c r="AT112" s="18">
        <f t="shared" si="97"/>
        <v>2.5004304312094536</v>
      </c>
      <c r="AU112" s="56">
        <f t="shared" si="85"/>
        <v>2</v>
      </c>
      <c r="AW112" s="18">
        <f t="shared" si="98"/>
        <v>5.9500983117715052</v>
      </c>
      <c r="AX112" s="18">
        <f t="shared" si="98"/>
        <v>0.42094434619935389</v>
      </c>
      <c r="AY112" s="18">
        <f t="shared" si="98"/>
        <v>2.5004304312094536</v>
      </c>
      <c r="AZ112" s="56">
        <f t="shared" si="86"/>
        <v>2</v>
      </c>
      <c r="BB112" s="18">
        <f t="shared" si="99"/>
        <v>5.9500983117715052</v>
      </c>
      <c r="BC112" s="18">
        <f t="shared" si="99"/>
        <v>0.42094434619935389</v>
      </c>
      <c r="BD112" s="18">
        <f t="shared" si="99"/>
        <v>2.5004304312094536</v>
      </c>
      <c r="BE112" s="56">
        <f t="shared" si="87"/>
        <v>2</v>
      </c>
      <c r="BG112" s="18">
        <f t="shared" si="100"/>
        <v>5.9500983117715052</v>
      </c>
      <c r="BH112" s="18">
        <f t="shared" si="100"/>
        <v>0.42094434619935389</v>
      </c>
      <c r="BI112" s="18">
        <f t="shared" si="100"/>
        <v>2.5004304312094536</v>
      </c>
      <c r="BJ112" s="56">
        <f t="shared" si="88"/>
        <v>2</v>
      </c>
      <c r="BL112" s="18">
        <f t="shared" si="101"/>
        <v>5.9500983117715052</v>
      </c>
      <c r="BM112" s="18">
        <f t="shared" si="101"/>
        <v>0.42094434619935389</v>
      </c>
      <c r="BN112" s="18">
        <f t="shared" si="101"/>
        <v>2.5004304312094536</v>
      </c>
      <c r="BO112" s="56">
        <f t="shared" si="89"/>
        <v>2</v>
      </c>
      <c r="BQ112" s="18">
        <f t="shared" si="102"/>
        <v>5.9500983117715052</v>
      </c>
      <c r="BR112" s="18">
        <f t="shared" si="102"/>
        <v>0.42094434619935389</v>
      </c>
      <c r="BS112" s="18">
        <f t="shared" si="102"/>
        <v>2.5004304312094536</v>
      </c>
      <c r="BT112" s="56">
        <f t="shared" si="90"/>
        <v>2</v>
      </c>
      <c r="BV112" s="18">
        <f t="shared" si="103"/>
        <v>5.9500983117715052</v>
      </c>
      <c r="BW112" s="18">
        <f t="shared" si="103"/>
        <v>0.42094434619935389</v>
      </c>
      <c r="BX112" s="18">
        <f t="shared" si="103"/>
        <v>2.5004304312094536</v>
      </c>
      <c r="BY112" s="56">
        <f t="shared" si="91"/>
        <v>2</v>
      </c>
      <c r="CA112" s="18">
        <f t="shared" si="104"/>
        <v>5.9500983117715052</v>
      </c>
      <c r="CB112" s="18">
        <f t="shared" si="104"/>
        <v>0.42094434619935389</v>
      </c>
      <c r="CC112" s="18">
        <f t="shared" si="104"/>
        <v>2.5004304312094536</v>
      </c>
      <c r="CD112" s="56">
        <f t="shared" si="92"/>
        <v>2</v>
      </c>
    </row>
    <row r="113" spans="1:82" x14ac:dyDescent="0.25">
      <c r="A113" s="36" t="str">
        <f>KMeans_Data!A95</f>
        <v>Orakzai</v>
      </c>
      <c r="B113" s="18">
        <f>KMeans_Data!H95</f>
        <v>-0.78641857410320049</v>
      </c>
      <c r="C113" s="18">
        <f>KMeans_Data!I95</f>
        <v>-0.67265054538827607</v>
      </c>
      <c r="D113" s="18">
        <f>KMeans_Data!J95</f>
        <v>-0.39984522290956798</v>
      </c>
      <c r="E113" s="56">
        <f t="shared" si="78"/>
        <v>2</v>
      </c>
      <c r="F113" s="38">
        <f t="shared" si="79"/>
        <v>0.14145932373506584</v>
      </c>
      <c r="G113" s="13" t="str">
        <f t="shared" si="80"/>
        <v>Low burden</v>
      </c>
      <c r="H113" s="18">
        <f>IF(COUNTIF(Distance_Matrix!$E$9:$DQ$9,$E113)&lt;=1,0,SUMIF(Distance_Matrix!$E$9:$DQ$9,$E113,Distance_Matrix!$E$104:$DQ$104)/(COUNTIF(Distance_Matrix!$E$9:$DQ$9,$E113)-1))</f>
        <v>0.84896759274419242</v>
      </c>
      <c r="I113" s="18">
        <f>MIN(IF(1=$E113,1E+99,IF(COUNTIF(Distance_Matrix!$E$9:$DQ$9,1)=0,1E+99,SUMIF(Distance_Matrix!$E$9:$DQ$9,1,Distance_Matrix!$E$104:$DQ$104)/COUNTIF(Distance_Matrix!$E$9:$DQ$9,1))),IF(2=$E113,1E+99,IF(COUNTIF(Distance_Matrix!$E$9:$DQ$9,2)=0,1E+99,SUMIF(Distance_Matrix!$E$9:$DQ$9,2,Distance_Matrix!$E$104:$DQ$104)/COUNTIF(Distance_Matrix!$E$9:$DQ$9,2))),IF(3=$E113,1E+99,IF(COUNTIF(Distance_Matrix!$E$9:$DQ$9,3)=0,1E+99,SUMIF(Distance_Matrix!$E$9:$DQ$9,3,Distance_Matrix!$E$104:$DQ$104)/COUNTIF(Distance_Matrix!$E$9:$DQ$9,3))))</f>
        <v>2.1478541692731299</v>
      </c>
      <c r="J113" s="18">
        <f>IF(COUNTIF(Distance_Matrix!$E$9:$DQ$9,$E113)&lt;=1,0,(I113-H113)/MAX(H113,I113))</f>
        <v>0.60473685556059076</v>
      </c>
      <c r="X113" s="18">
        <f t="shared" si="93"/>
        <v>7.2131090036106817</v>
      </c>
      <c r="Y113" s="18">
        <f t="shared" si="93"/>
        <v>1.4929471121798834</v>
      </c>
      <c r="Z113" s="18">
        <f t="shared" si="93"/>
        <v>2.8158876730251468</v>
      </c>
      <c r="AA113" s="56">
        <f t="shared" si="81"/>
        <v>2</v>
      </c>
      <c r="AC113" s="18">
        <f t="shared" si="94"/>
        <v>6.2267900980490349</v>
      </c>
      <c r="AD113" s="18">
        <f t="shared" si="94"/>
        <v>0.42813589645904232</v>
      </c>
      <c r="AE113" s="18">
        <f t="shared" si="94"/>
        <v>1.9239133125710779</v>
      </c>
      <c r="AF113" s="56">
        <f t="shared" si="82"/>
        <v>2</v>
      </c>
      <c r="AH113" s="18">
        <f t="shared" si="95"/>
        <v>5.5918416104288546</v>
      </c>
      <c r="AI113" s="18">
        <f t="shared" si="95"/>
        <v>0.38672740700797253</v>
      </c>
      <c r="AJ113" s="18">
        <f t="shared" si="95"/>
        <v>2.0152167518284689</v>
      </c>
      <c r="AK113" s="56">
        <f t="shared" si="83"/>
        <v>2</v>
      </c>
      <c r="AM113" s="18">
        <f t="shared" si="96"/>
        <v>5.5918416104288546</v>
      </c>
      <c r="AN113" s="18">
        <f t="shared" si="96"/>
        <v>0.37611078651783686</v>
      </c>
      <c r="AO113" s="18">
        <f t="shared" si="96"/>
        <v>2.040070967464954</v>
      </c>
      <c r="AP113" s="56">
        <f t="shared" si="84"/>
        <v>2</v>
      </c>
      <c r="AR113" s="18">
        <f t="shared" si="97"/>
        <v>5.5918416104288546</v>
      </c>
      <c r="AS113" s="18">
        <f t="shared" si="97"/>
        <v>0.37611078651783686</v>
      </c>
      <c r="AT113" s="18">
        <f t="shared" si="97"/>
        <v>2.040070967464954</v>
      </c>
      <c r="AU113" s="56">
        <f t="shared" si="85"/>
        <v>2</v>
      </c>
      <c r="AW113" s="18">
        <f t="shared" si="98"/>
        <v>5.5918416104288546</v>
      </c>
      <c r="AX113" s="18">
        <f t="shared" si="98"/>
        <v>0.37611078651783686</v>
      </c>
      <c r="AY113" s="18">
        <f t="shared" si="98"/>
        <v>2.040070967464954</v>
      </c>
      <c r="AZ113" s="56">
        <f t="shared" si="86"/>
        <v>2</v>
      </c>
      <c r="BB113" s="18">
        <f t="shared" si="99"/>
        <v>5.5918416104288546</v>
      </c>
      <c r="BC113" s="18">
        <f t="shared" si="99"/>
        <v>0.37611078651783686</v>
      </c>
      <c r="BD113" s="18">
        <f t="shared" si="99"/>
        <v>2.040070967464954</v>
      </c>
      <c r="BE113" s="56">
        <f t="shared" si="87"/>
        <v>2</v>
      </c>
      <c r="BG113" s="18">
        <f t="shared" si="100"/>
        <v>5.5918416104288546</v>
      </c>
      <c r="BH113" s="18">
        <f t="shared" si="100"/>
        <v>0.37611078651783686</v>
      </c>
      <c r="BI113" s="18">
        <f t="shared" si="100"/>
        <v>2.040070967464954</v>
      </c>
      <c r="BJ113" s="56">
        <f t="shared" si="88"/>
        <v>2</v>
      </c>
      <c r="BL113" s="18">
        <f t="shared" si="101"/>
        <v>5.5918416104288546</v>
      </c>
      <c r="BM113" s="18">
        <f t="shared" si="101"/>
        <v>0.37611078651783686</v>
      </c>
      <c r="BN113" s="18">
        <f t="shared" si="101"/>
        <v>2.040070967464954</v>
      </c>
      <c r="BO113" s="56">
        <f t="shared" si="89"/>
        <v>2</v>
      </c>
      <c r="BQ113" s="18">
        <f t="shared" si="102"/>
        <v>5.5918416104288546</v>
      </c>
      <c r="BR113" s="18">
        <f t="shared" si="102"/>
        <v>0.37611078651783686</v>
      </c>
      <c r="BS113" s="18">
        <f t="shared" si="102"/>
        <v>2.040070967464954</v>
      </c>
      <c r="BT113" s="56">
        <f t="shared" si="90"/>
        <v>2</v>
      </c>
      <c r="BV113" s="18">
        <f t="shared" si="103"/>
        <v>5.5918416104288546</v>
      </c>
      <c r="BW113" s="18">
        <f t="shared" si="103"/>
        <v>0.37611078651783686</v>
      </c>
      <c r="BX113" s="18">
        <f t="shared" si="103"/>
        <v>2.040070967464954</v>
      </c>
      <c r="BY113" s="56">
        <f t="shared" si="91"/>
        <v>2</v>
      </c>
      <c r="CA113" s="18">
        <f t="shared" si="104"/>
        <v>5.5918416104288546</v>
      </c>
      <c r="CB113" s="18">
        <f t="shared" si="104"/>
        <v>0.37611078651783686</v>
      </c>
      <c r="CC113" s="18">
        <f t="shared" si="104"/>
        <v>2.040070967464954</v>
      </c>
      <c r="CD113" s="56">
        <f t="shared" si="92"/>
        <v>2</v>
      </c>
    </row>
    <row r="114" spans="1:82" x14ac:dyDescent="0.25">
      <c r="A114" s="36" t="str">
        <f>KMeans_Data!A96</f>
        <v>North Waziristan</v>
      </c>
      <c r="B114" s="18">
        <f>KMeans_Data!H96</f>
        <v>-0.8317053870146639</v>
      </c>
      <c r="C114" s="18">
        <f>KMeans_Data!I96</f>
        <v>-0.67265054538827607</v>
      </c>
      <c r="D114" s="18">
        <f>KMeans_Data!J96</f>
        <v>-0.31535907140676028</v>
      </c>
      <c r="E114" s="56">
        <f t="shared" si="78"/>
        <v>2</v>
      </c>
      <c r="F114" s="38">
        <f t="shared" si="79"/>
        <v>0.22187558331203563</v>
      </c>
      <c r="G114" s="13" t="str">
        <f t="shared" si="80"/>
        <v>Low burden</v>
      </c>
      <c r="H114" s="18">
        <f>IF(COUNTIF(Distance_Matrix!$E$9:$DQ$9,$E114)&lt;=1,0,SUMIF(Distance_Matrix!$E$9:$DQ$9,$E114,Distance_Matrix!$E$105:$DQ$105)/(COUNTIF(Distance_Matrix!$E$9:$DQ$9,$E114)-1))</f>
        <v>0.89081908021093226</v>
      </c>
      <c r="I114" s="18">
        <f>MIN(IF(1=$E114,1E+99,IF(COUNTIF(Distance_Matrix!$E$9:$DQ$9,1)=0,1E+99,SUMIF(Distance_Matrix!$E$9:$DQ$9,1,Distance_Matrix!$E$105:$DQ$105)/COUNTIF(Distance_Matrix!$E$9:$DQ$9,1))),IF(2=$E114,1E+99,IF(COUNTIF(Distance_Matrix!$E$9:$DQ$9,2)=0,1E+99,SUMIF(Distance_Matrix!$E$9:$DQ$9,2,Distance_Matrix!$E$105:$DQ$105)/COUNTIF(Distance_Matrix!$E$9:$DQ$9,2))),IF(3=$E114,1E+99,IF(COUNTIF(Distance_Matrix!$E$9:$DQ$9,3)=0,1E+99,SUMIF(Distance_Matrix!$E$9:$DQ$9,3,Distance_Matrix!$E$105:$DQ$105)/COUNTIF(Distance_Matrix!$E$9:$DQ$9,3))))</f>
        <v>2.1332796765608317</v>
      </c>
      <c r="J114" s="18">
        <f>IF(COUNTIF(Distance_Matrix!$E$9:$DQ$9,$E114)&lt;=1,0,(I114-H114)/MAX(H114,I114))</f>
        <v>0.58241805329197771</v>
      </c>
      <c r="X114" s="18">
        <f t="shared" si="93"/>
        <v>7.1964396719425361</v>
      </c>
      <c r="Y114" s="18">
        <f t="shared" si="93"/>
        <v>1.4989858616691543</v>
      </c>
      <c r="Z114" s="18">
        <f t="shared" si="93"/>
        <v>2.7906228532659427</v>
      </c>
      <c r="AA114" s="56">
        <f t="shared" si="81"/>
        <v>2</v>
      </c>
      <c r="AC114" s="18">
        <f t="shared" si="94"/>
        <v>6.2145009629797547</v>
      </c>
      <c r="AD114" s="18">
        <f t="shared" si="94"/>
        <v>0.51629774649212168</v>
      </c>
      <c r="AE114" s="18">
        <f t="shared" si="94"/>
        <v>1.9133982782922176</v>
      </c>
      <c r="AF114" s="56">
        <f t="shared" si="82"/>
        <v>2</v>
      </c>
      <c r="AH114" s="18">
        <f t="shared" si="95"/>
        <v>5.5801384459787489</v>
      </c>
      <c r="AI114" s="18">
        <f t="shared" si="95"/>
        <v>0.4816991431785429</v>
      </c>
      <c r="AJ114" s="18">
        <f t="shared" si="95"/>
        <v>2.0008611289465619</v>
      </c>
      <c r="AK114" s="56">
        <f t="shared" si="83"/>
        <v>2</v>
      </c>
      <c r="AM114" s="18">
        <f t="shared" si="96"/>
        <v>5.5801384459787489</v>
      </c>
      <c r="AN114" s="18">
        <f t="shared" si="96"/>
        <v>0.47103671121477958</v>
      </c>
      <c r="AO114" s="18">
        <f t="shared" si="96"/>
        <v>2.0258381653605206</v>
      </c>
      <c r="AP114" s="56">
        <f t="shared" si="84"/>
        <v>2</v>
      </c>
      <c r="AR114" s="18">
        <f t="shared" si="97"/>
        <v>5.5801384459787489</v>
      </c>
      <c r="AS114" s="18">
        <f t="shared" si="97"/>
        <v>0.47103671121477958</v>
      </c>
      <c r="AT114" s="18">
        <f t="shared" si="97"/>
        <v>2.0258381653605206</v>
      </c>
      <c r="AU114" s="56">
        <f t="shared" si="85"/>
        <v>2</v>
      </c>
      <c r="AW114" s="18">
        <f t="shared" si="98"/>
        <v>5.5801384459787489</v>
      </c>
      <c r="AX114" s="18">
        <f t="shared" si="98"/>
        <v>0.47103671121477958</v>
      </c>
      <c r="AY114" s="18">
        <f t="shared" si="98"/>
        <v>2.0258381653605206</v>
      </c>
      <c r="AZ114" s="56">
        <f t="shared" si="86"/>
        <v>2</v>
      </c>
      <c r="BB114" s="18">
        <f t="shared" si="99"/>
        <v>5.5801384459787489</v>
      </c>
      <c r="BC114" s="18">
        <f t="shared" si="99"/>
        <v>0.47103671121477958</v>
      </c>
      <c r="BD114" s="18">
        <f t="shared" si="99"/>
        <v>2.0258381653605206</v>
      </c>
      <c r="BE114" s="56">
        <f t="shared" si="87"/>
        <v>2</v>
      </c>
      <c r="BG114" s="18">
        <f t="shared" si="100"/>
        <v>5.5801384459787489</v>
      </c>
      <c r="BH114" s="18">
        <f t="shared" si="100"/>
        <v>0.47103671121477958</v>
      </c>
      <c r="BI114" s="18">
        <f t="shared" si="100"/>
        <v>2.0258381653605206</v>
      </c>
      <c r="BJ114" s="56">
        <f t="shared" si="88"/>
        <v>2</v>
      </c>
      <c r="BL114" s="18">
        <f t="shared" si="101"/>
        <v>5.5801384459787489</v>
      </c>
      <c r="BM114" s="18">
        <f t="shared" si="101"/>
        <v>0.47103671121477958</v>
      </c>
      <c r="BN114" s="18">
        <f t="shared" si="101"/>
        <v>2.0258381653605206</v>
      </c>
      <c r="BO114" s="56">
        <f t="shared" si="89"/>
        <v>2</v>
      </c>
      <c r="BQ114" s="18">
        <f t="shared" si="102"/>
        <v>5.5801384459787489</v>
      </c>
      <c r="BR114" s="18">
        <f t="shared" si="102"/>
        <v>0.47103671121477958</v>
      </c>
      <c r="BS114" s="18">
        <f t="shared" si="102"/>
        <v>2.0258381653605206</v>
      </c>
      <c r="BT114" s="56">
        <f t="shared" si="90"/>
        <v>2</v>
      </c>
      <c r="BV114" s="18">
        <f t="shared" si="103"/>
        <v>5.5801384459787489</v>
      </c>
      <c r="BW114" s="18">
        <f t="shared" si="103"/>
        <v>0.47103671121477958</v>
      </c>
      <c r="BX114" s="18">
        <f t="shared" si="103"/>
        <v>2.0258381653605206</v>
      </c>
      <c r="BY114" s="56">
        <f t="shared" si="91"/>
        <v>2</v>
      </c>
      <c r="CA114" s="18">
        <f t="shared" si="104"/>
        <v>5.5801384459787489</v>
      </c>
      <c r="CB114" s="18">
        <f t="shared" si="104"/>
        <v>0.47103671121477958</v>
      </c>
      <c r="CC114" s="18">
        <f t="shared" si="104"/>
        <v>2.0258381653605206</v>
      </c>
      <c r="CD114" s="56">
        <f t="shared" si="92"/>
        <v>2</v>
      </c>
    </row>
    <row r="115" spans="1:82" x14ac:dyDescent="0.25">
      <c r="A115" s="36" t="str">
        <f>KMeans_Data!A97</f>
        <v>Kasur</v>
      </c>
      <c r="B115" s="18">
        <f>KMeans_Data!H97</f>
        <v>-0.8317053870146639</v>
      </c>
      <c r="C115" s="18">
        <f>KMeans_Data!I97</f>
        <v>-0.67265054538827607</v>
      </c>
      <c r="D115" s="18">
        <f>KMeans_Data!J97</f>
        <v>-1.1456441163335547</v>
      </c>
      <c r="E115" s="56">
        <f t="shared" si="78"/>
        <v>2</v>
      </c>
      <c r="F115" s="38">
        <f t="shared" si="79"/>
        <v>0.20337716146566889</v>
      </c>
      <c r="G115" s="13" t="str">
        <f t="shared" si="80"/>
        <v>Low burden</v>
      </c>
      <c r="H115" s="18">
        <f>IF(COUNTIF(Distance_Matrix!$E$9:$DQ$9,$E115)&lt;=1,0,SUMIF(Distance_Matrix!$E$9:$DQ$9,$E115,Distance_Matrix!$E$106:$DQ$106)/(COUNTIF(Distance_Matrix!$E$9:$DQ$9,$E115)-1))</f>
        <v>0.85305828670790596</v>
      </c>
      <c r="I115" s="18">
        <f>MIN(IF(1=$E115,1E+99,IF(COUNTIF(Distance_Matrix!$E$9:$DQ$9,1)=0,1E+99,SUMIF(Distance_Matrix!$E$9:$DQ$9,1,Distance_Matrix!$E$106:$DQ$106)/COUNTIF(Distance_Matrix!$E$9:$DQ$9,1))),IF(2=$E115,1E+99,IF(COUNTIF(Distance_Matrix!$E$9:$DQ$9,2)=0,1E+99,SUMIF(Distance_Matrix!$E$9:$DQ$9,2,Distance_Matrix!$E$106:$DQ$106)/COUNTIF(Distance_Matrix!$E$9:$DQ$9,2))),IF(3=$E115,1E+99,IF(COUNTIF(Distance_Matrix!$E$9:$DQ$9,3)=0,1E+99,SUMIF(Distance_Matrix!$E$9:$DQ$9,3,Distance_Matrix!$E$106:$DQ$106)/COUNTIF(Distance_Matrix!$E$9:$DQ$9,3))))</f>
        <v>2.6402304806271144</v>
      </c>
      <c r="J115" s="18">
        <f>IF(COUNTIF(Distance_Matrix!$E$9:$DQ$9,$E115)&lt;=1,0,(I115-H115)/MAX(H115,I115))</f>
        <v>0.67690006877532705</v>
      </c>
      <c r="X115" s="18">
        <f t="shared" si="93"/>
        <v>7.6421954132838588</v>
      </c>
      <c r="Y115" s="18">
        <f t="shared" si="93"/>
        <v>1.2480325947886648</v>
      </c>
      <c r="Z115" s="18">
        <f t="shared" si="93"/>
        <v>3.38265206186386</v>
      </c>
      <c r="AA115" s="56">
        <f t="shared" si="81"/>
        <v>2</v>
      </c>
      <c r="AC115" s="18">
        <f t="shared" si="94"/>
        <v>6.6303750144489992</v>
      </c>
      <c r="AD115" s="18">
        <f t="shared" si="94"/>
        <v>0.32755457982217423</v>
      </c>
      <c r="AE115" s="18">
        <f t="shared" si="94"/>
        <v>2.4187280615377431</v>
      </c>
      <c r="AF115" s="56">
        <f t="shared" si="82"/>
        <v>2</v>
      </c>
      <c r="AH115" s="18">
        <f t="shared" si="95"/>
        <v>5.997711826510927</v>
      </c>
      <c r="AI115" s="18">
        <f t="shared" si="95"/>
        <v>0.43582692715600474</v>
      </c>
      <c r="AJ115" s="18">
        <f t="shared" si="95"/>
        <v>2.5221365444375397</v>
      </c>
      <c r="AK115" s="56">
        <f t="shared" si="83"/>
        <v>2</v>
      </c>
      <c r="AM115" s="18">
        <f t="shared" si="96"/>
        <v>5.997711826510927</v>
      </c>
      <c r="AN115" s="18">
        <f t="shared" si="96"/>
        <v>0.45097357069530014</v>
      </c>
      <c r="AO115" s="18">
        <f t="shared" si="96"/>
        <v>2.5457378824320203</v>
      </c>
      <c r="AP115" s="56">
        <f t="shared" si="84"/>
        <v>2</v>
      </c>
      <c r="AR115" s="18">
        <f t="shared" si="97"/>
        <v>5.997711826510927</v>
      </c>
      <c r="AS115" s="18">
        <f t="shared" si="97"/>
        <v>0.45097357069530014</v>
      </c>
      <c r="AT115" s="18">
        <f t="shared" si="97"/>
        <v>2.5457378824320203</v>
      </c>
      <c r="AU115" s="56">
        <f t="shared" si="85"/>
        <v>2</v>
      </c>
      <c r="AW115" s="18">
        <f t="shared" si="98"/>
        <v>5.997711826510927</v>
      </c>
      <c r="AX115" s="18">
        <f t="shared" si="98"/>
        <v>0.45097357069530014</v>
      </c>
      <c r="AY115" s="18">
        <f t="shared" si="98"/>
        <v>2.5457378824320203</v>
      </c>
      <c r="AZ115" s="56">
        <f t="shared" si="86"/>
        <v>2</v>
      </c>
      <c r="BB115" s="18">
        <f t="shared" si="99"/>
        <v>5.997711826510927</v>
      </c>
      <c r="BC115" s="18">
        <f t="shared" si="99"/>
        <v>0.45097357069530014</v>
      </c>
      <c r="BD115" s="18">
        <f t="shared" si="99"/>
        <v>2.5457378824320203</v>
      </c>
      <c r="BE115" s="56">
        <f t="shared" si="87"/>
        <v>2</v>
      </c>
      <c r="BG115" s="18">
        <f t="shared" si="100"/>
        <v>5.997711826510927</v>
      </c>
      <c r="BH115" s="18">
        <f t="shared" si="100"/>
        <v>0.45097357069530014</v>
      </c>
      <c r="BI115" s="18">
        <f t="shared" si="100"/>
        <v>2.5457378824320203</v>
      </c>
      <c r="BJ115" s="56">
        <f t="shared" si="88"/>
        <v>2</v>
      </c>
      <c r="BL115" s="18">
        <f t="shared" si="101"/>
        <v>5.997711826510927</v>
      </c>
      <c r="BM115" s="18">
        <f t="shared" si="101"/>
        <v>0.45097357069530014</v>
      </c>
      <c r="BN115" s="18">
        <f t="shared" si="101"/>
        <v>2.5457378824320203</v>
      </c>
      <c r="BO115" s="56">
        <f t="shared" si="89"/>
        <v>2</v>
      </c>
      <c r="BQ115" s="18">
        <f t="shared" si="102"/>
        <v>5.997711826510927</v>
      </c>
      <c r="BR115" s="18">
        <f t="shared" si="102"/>
        <v>0.45097357069530014</v>
      </c>
      <c r="BS115" s="18">
        <f t="shared" si="102"/>
        <v>2.5457378824320203</v>
      </c>
      <c r="BT115" s="56">
        <f t="shared" si="90"/>
        <v>2</v>
      </c>
      <c r="BV115" s="18">
        <f t="shared" si="103"/>
        <v>5.997711826510927</v>
      </c>
      <c r="BW115" s="18">
        <f t="shared" si="103"/>
        <v>0.45097357069530014</v>
      </c>
      <c r="BX115" s="18">
        <f t="shared" si="103"/>
        <v>2.5457378824320203</v>
      </c>
      <c r="BY115" s="56">
        <f t="shared" si="91"/>
        <v>2</v>
      </c>
      <c r="CA115" s="18">
        <f t="shared" si="104"/>
        <v>5.997711826510927</v>
      </c>
      <c r="CB115" s="18">
        <f t="shared" si="104"/>
        <v>0.45097357069530014</v>
      </c>
      <c r="CC115" s="18">
        <f t="shared" si="104"/>
        <v>2.5457378824320203</v>
      </c>
      <c r="CD115" s="56">
        <f t="shared" si="92"/>
        <v>2</v>
      </c>
    </row>
    <row r="116" spans="1:82" x14ac:dyDescent="0.25">
      <c r="A116" s="36" t="str">
        <f>KMeans_Data!A98</f>
        <v>Rajanpur</v>
      </c>
      <c r="B116" s="18">
        <f>KMeans_Data!H98</f>
        <v>-0.88131147797298559</v>
      </c>
      <c r="C116" s="18">
        <f>KMeans_Data!I98</f>
        <v>-0.67265054538827607</v>
      </c>
      <c r="D116" s="18">
        <f>KMeans_Data!J98</f>
        <v>-1.1456441163335547</v>
      </c>
      <c r="E116" s="56">
        <f t="shared" si="78"/>
        <v>2</v>
      </c>
      <c r="F116" s="38">
        <f t="shared" si="79"/>
        <v>0.22508933393734235</v>
      </c>
      <c r="G116" s="13" t="str">
        <f t="shared" si="80"/>
        <v>Low burden</v>
      </c>
      <c r="H116" s="18">
        <f>IF(COUNTIF(Distance_Matrix!$E$9:$DQ$9,$E116)&lt;=1,0,SUMIF(Distance_Matrix!$E$9:$DQ$9,$E116,Distance_Matrix!$E$107:$DQ$107)/(COUNTIF(Distance_Matrix!$E$9:$DQ$9,$E116)-1))</f>
        <v>0.85924089498526635</v>
      </c>
      <c r="I116" s="18">
        <f>MIN(IF(1=$E116,1E+99,IF(COUNTIF(Distance_Matrix!$E$9:$DQ$9,1)=0,1E+99,SUMIF(Distance_Matrix!$E$9:$DQ$9,1,Distance_Matrix!$E$107:$DQ$107)/COUNTIF(Distance_Matrix!$E$9:$DQ$9,1))),IF(2=$E116,1E+99,IF(COUNTIF(Distance_Matrix!$E$9:$DQ$9,2)=0,1E+99,SUMIF(Distance_Matrix!$E$9:$DQ$9,2,Distance_Matrix!$E$107:$DQ$107)/COUNTIF(Distance_Matrix!$E$9:$DQ$9,2))),IF(3=$E116,1E+99,IF(COUNTIF(Distance_Matrix!$E$9:$DQ$9,3)=0,1E+99,SUMIF(Distance_Matrix!$E$9:$DQ$9,3,Distance_Matrix!$E$107:$DQ$107)/COUNTIF(Distance_Matrix!$E$9:$DQ$9,3))))</f>
        <v>2.6659078830738987</v>
      </c>
      <c r="J116" s="18">
        <f>IF(COUNTIF(Distance_Matrix!$E$9:$DQ$9,$E116)&lt;=1,0,(I116-H116)/MAX(H116,I116))</f>
        <v>0.67769295389361794</v>
      </c>
      <c r="X116" s="18">
        <f t="shared" si="93"/>
        <v>7.6689619977801469</v>
      </c>
      <c r="Y116" s="18">
        <f t="shared" si="93"/>
        <v>1.198426503830343</v>
      </c>
      <c r="Z116" s="18">
        <f t="shared" si="93"/>
        <v>3.4103119353684268</v>
      </c>
      <c r="AA116" s="56">
        <f t="shared" si="81"/>
        <v>2</v>
      </c>
      <c r="AC116" s="18">
        <f t="shared" si="94"/>
        <v>6.6577392498362089</v>
      </c>
      <c r="AD116" s="18">
        <f t="shared" si="94"/>
        <v>0.34122104654888952</v>
      </c>
      <c r="AE116" s="18">
        <f t="shared" si="94"/>
        <v>2.4465771849925444</v>
      </c>
      <c r="AF116" s="56">
        <f t="shared" si="82"/>
        <v>2</v>
      </c>
      <c r="AH116" s="18">
        <f t="shared" si="95"/>
        <v>6.0252705580503001</v>
      </c>
      <c r="AI116" s="18">
        <f t="shared" si="95"/>
        <v>0.45965642855728078</v>
      </c>
      <c r="AJ116" s="18">
        <f t="shared" si="95"/>
        <v>2.548823749960901</v>
      </c>
      <c r="AK116" s="56">
        <f t="shared" si="83"/>
        <v>2</v>
      </c>
      <c r="AM116" s="18">
        <f t="shared" si="96"/>
        <v>6.0252705580503001</v>
      </c>
      <c r="AN116" s="18">
        <f t="shared" si="96"/>
        <v>0.47443580591829526</v>
      </c>
      <c r="AO116" s="18">
        <f t="shared" si="96"/>
        <v>2.5725466066417018</v>
      </c>
      <c r="AP116" s="56">
        <f t="shared" si="84"/>
        <v>2</v>
      </c>
      <c r="AR116" s="18">
        <f t="shared" si="97"/>
        <v>6.0252705580503001</v>
      </c>
      <c r="AS116" s="18">
        <f t="shared" si="97"/>
        <v>0.47443580591829526</v>
      </c>
      <c r="AT116" s="18">
        <f t="shared" si="97"/>
        <v>2.5725466066417018</v>
      </c>
      <c r="AU116" s="56">
        <f t="shared" si="85"/>
        <v>2</v>
      </c>
      <c r="AW116" s="18">
        <f t="shared" si="98"/>
        <v>6.0252705580503001</v>
      </c>
      <c r="AX116" s="18">
        <f t="shared" si="98"/>
        <v>0.47443580591829526</v>
      </c>
      <c r="AY116" s="18">
        <f t="shared" si="98"/>
        <v>2.5725466066417018</v>
      </c>
      <c r="AZ116" s="56">
        <f t="shared" si="86"/>
        <v>2</v>
      </c>
      <c r="BB116" s="18">
        <f t="shared" si="99"/>
        <v>6.0252705580503001</v>
      </c>
      <c r="BC116" s="18">
        <f t="shared" si="99"/>
        <v>0.47443580591829526</v>
      </c>
      <c r="BD116" s="18">
        <f t="shared" si="99"/>
        <v>2.5725466066417018</v>
      </c>
      <c r="BE116" s="56">
        <f t="shared" si="87"/>
        <v>2</v>
      </c>
      <c r="BG116" s="18">
        <f t="shared" si="100"/>
        <v>6.0252705580503001</v>
      </c>
      <c r="BH116" s="18">
        <f t="shared" si="100"/>
        <v>0.47443580591829526</v>
      </c>
      <c r="BI116" s="18">
        <f t="shared" si="100"/>
        <v>2.5725466066417018</v>
      </c>
      <c r="BJ116" s="56">
        <f t="shared" si="88"/>
        <v>2</v>
      </c>
      <c r="BL116" s="18">
        <f t="shared" si="101"/>
        <v>6.0252705580503001</v>
      </c>
      <c r="BM116" s="18">
        <f t="shared" si="101"/>
        <v>0.47443580591829526</v>
      </c>
      <c r="BN116" s="18">
        <f t="shared" si="101"/>
        <v>2.5725466066417018</v>
      </c>
      <c r="BO116" s="56">
        <f t="shared" si="89"/>
        <v>2</v>
      </c>
      <c r="BQ116" s="18">
        <f t="shared" si="102"/>
        <v>6.0252705580503001</v>
      </c>
      <c r="BR116" s="18">
        <f t="shared" si="102"/>
        <v>0.47443580591829526</v>
      </c>
      <c r="BS116" s="18">
        <f t="shared" si="102"/>
        <v>2.5725466066417018</v>
      </c>
      <c r="BT116" s="56">
        <f t="shared" si="90"/>
        <v>2</v>
      </c>
      <c r="BV116" s="18">
        <f t="shared" si="103"/>
        <v>6.0252705580503001</v>
      </c>
      <c r="BW116" s="18">
        <f t="shared" si="103"/>
        <v>0.47443580591829526</v>
      </c>
      <c r="BX116" s="18">
        <f t="shared" si="103"/>
        <v>2.5725466066417018</v>
      </c>
      <c r="BY116" s="56">
        <f t="shared" si="91"/>
        <v>2</v>
      </c>
      <c r="CA116" s="18">
        <f t="shared" si="104"/>
        <v>6.0252705580503001</v>
      </c>
      <c r="CB116" s="18">
        <f t="shared" si="104"/>
        <v>0.47443580591829526</v>
      </c>
      <c r="CC116" s="18">
        <f t="shared" si="104"/>
        <v>2.5725466066417018</v>
      </c>
      <c r="CD116" s="56">
        <f t="shared" si="92"/>
        <v>2</v>
      </c>
    </row>
    <row r="117" spans="1:82" x14ac:dyDescent="0.25">
      <c r="A117" s="36" t="str">
        <f>KMeans_Data!A99</f>
        <v>Umerkot</v>
      </c>
      <c r="B117" s="18">
        <f>KMeans_Data!H99</f>
        <v>-0.88131147797298559</v>
      </c>
      <c r="C117" s="18">
        <f>KMeans_Data!I99</f>
        <v>-0.14698313392952958</v>
      </c>
      <c r="D117" s="18">
        <f>KMeans_Data!J99</f>
        <v>-0.82444601589876665</v>
      </c>
      <c r="E117" s="56">
        <f t="shared" si="78"/>
        <v>2</v>
      </c>
      <c r="F117" s="38">
        <f t="shared" si="79"/>
        <v>0.29242040116368184</v>
      </c>
      <c r="G117" s="13" t="str">
        <f t="shared" si="80"/>
        <v>Low burden</v>
      </c>
      <c r="H117" s="18">
        <f>IF(COUNTIF(Distance_Matrix!$E$9:$DQ$9,$E117)&lt;=1,0,SUMIF(Distance_Matrix!$E$9:$DQ$9,$E117,Distance_Matrix!$E$108:$DQ$108)/(COUNTIF(Distance_Matrix!$E$9:$DQ$9,$E117)-1))</f>
        <v>0.95681573179414092</v>
      </c>
      <c r="I117" s="18">
        <f>MIN(IF(1=$E117,1E+99,IF(COUNTIF(Distance_Matrix!$E$9:$DQ$9,1)=0,1E+99,SUMIF(Distance_Matrix!$E$9:$DQ$9,1,Distance_Matrix!$E$108:$DQ$108)/COUNTIF(Distance_Matrix!$E$9:$DQ$9,1))),IF(2=$E117,1E+99,IF(COUNTIF(Distance_Matrix!$E$9:$DQ$9,2)=0,1E+99,SUMIF(Distance_Matrix!$E$9:$DQ$9,2,Distance_Matrix!$E$108:$DQ$108)/COUNTIF(Distance_Matrix!$E$9:$DQ$9,2))),IF(3=$E117,1E+99,IF(COUNTIF(Distance_Matrix!$E$9:$DQ$9,3)=0,1E+99,SUMIF(Distance_Matrix!$E$9:$DQ$9,3,Distance_Matrix!$E$108:$DQ$108)/COUNTIF(Distance_Matrix!$E$9:$DQ$9,3))))</f>
        <v>2.2776492207332977</v>
      </c>
      <c r="J117" s="18">
        <f>IF(COUNTIF(Distance_Matrix!$E$9:$DQ$9,$E117)&lt;=1,0,(I117-H117)/MAX(H117,I117))</f>
        <v>0.57991084707675455</v>
      </c>
      <c r="X117" s="18">
        <f t="shared" si="93"/>
        <v>7.1703290216323134</v>
      </c>
      <c r="Y117" s="18">
        <f t="shared" si="93"/>
        <v>1.3474867466048319</v>
      </c>
      <c r="Z117" s="18">
        <f t="shared" si="93"/>
        <v>3.0370836754197215</v>
      </c>
      <c r="AA117" s="56">
        <f t="shared" si="81"/>
        <v>2</v>
      </c>
      <c r="AC117" s="18">
        <f t="shared" si="94"/>
        <v>6.162092180712996</v>
      </c>
      <c r="AD117" s="18">
        <f t="shared" si="94"/>
        <v>0.51005090845917056</v>
      </c>
      <c r="AE117" s="18">
        <f t="shared" si="94"/>
        <v>2.0434595006299134</v>
      </c>
      <c r="AF117" s="56">
        <f t="shared" si="82"/>
        <v>2</v>
      </c>
      <c r="AH117" s="18">
        <f t="shared" si="95"/>
        <v>5.5339138841608744</v>
      </c>
      <c r="AI117" s="18">
        <f t="shared" si="95"/>
        <v>0.54388048681642576</v>
      </c>
      <c r="AJ117" s="18">
        <f t="shared" si="95"/>
        <v>2.1319724386281802</v>
      </c>
      <c r="AK117" s="56">
        <f t="shared" si="83"/>
        <v>2</v>
      </c>
      <c r="AM117" s="18">
        <f t="shared" si="96"/>
        <v>5.5339138841608744</v>
      </c>
      <c r="AN117" s="18">
        <f t="shared" si="96"/>
        <v>0.54075909716220383</v>
      </c>
      <c r="AO117" s="18">
        <f t="shared" si="96"/>
        <v>2.155679071326269</v>
      </c>
      <c r="AP117" s="56">
        <f t="shared" si="84"/>
        <v>2</v>
      </c>
      <c r="AR117" s="18">
        <f t="shared" si="97"/>
        <v>5.5339138841608744</v>
      </c>
      <c r="AS117" s="18">
        <f t="shared" si="97"/>
        <v>0.54075909716220383</v>
      </c>
      <c r="AT117" s="18">
        <f t="shared" si="97"/>
        <v>2.155679071326269</v>
      </c>
      <c r="AU117" s="56">
        <f t="shared" si="85"/>
        <v>2</v>
      </c>
      <c r="AW117" s="18">
        <f t="shared" si="98"/>
        <v>5.5339138841608744</v>
      </c>
      <c r="AX117" s="18">
        <f t="shared" si="98"/>
        <v>0.54075909716220383</v>
      </c>
      <c r="AY117" s="18">
        <f t="shared" si="98"/>
        <v>2.155679071326269</v>
      </c>
      <c r="AZ117" s="56">
        <f t="shared" si="86"/>
        <v>2</v>
      </c>
      <c r="BB117" s="18">
        <f t="shared" si="99"/>
        <v>5.5339138841608744</v>
      </c>
      <c r="BC117" s="18">
        <f t="shared" si="99"/>
        <v>0.54075909716220383</v>
      </c>
      <c r="BD117" s="18">
        <f t="shared" si="99"/>
        <v>2.155679071326269</v>
      </c>
      <c r="BE117" s="56">
        <f t="shared" si="87"/>
        <v>2</v>
      </c>
      <c r="BG117" s="18">
        <f t="shared" si="100"/>
        <v>5.5339138841608744</v>
      </c>
      <c r="BH117" s="18">
        <f t="shared" si="100"/>
        <v>0.54075909716220383</v>
      </c>
      <c r="BI117" s="18">
        <f t="shared" si="100"/>
        <v>2.155679071326269</v>
      </c>
      <c r="BJ117" s="56">
        <f t="shared" si="88"/>
        <v>2</v>
      </c>
      <c r="BL117" s="18">
        <f t="shared" si="101"/>
        <v>5.5339138841608744</v>
      </c>
      <c r="BM117" s="18">
        <f t="shared" si="101"/>
        <v>0.54075909716220383</v>
      </c>
      <c r="BN117" s="18">
        <f t="shared" si="101"/>
        <v>2.155679071326269</v>
      </c>
      <c r="BO117" s="56">
        <f t="shared" si="89"/>
        <v>2</v>
      </c>
      <c r="BQ117" s="18">
        <f t="shared" si="102"/>
        <v>5.5339138841608744</v>
      </c>
      <c r="BR117" s="18">
        <f t="shared" si="102"/>
        <v>0.54075909716220383</v>
      </c>
      <c r="BS117" s="18">
        <f t="shared" si="102"/>
        <v>2.155679071326269</v>
      </c>
      <c r="BT117" s="56">
        <f t="shared" si="90"/>
        <v>2</v>
      </c>
      <c r="BV117" s="18">
        <f t="shared" si="103"/>
        <v>5.5339138841608744</v>
      </c>
      <c r="BW117" s="18">
        <f t="shared" si="103"/>
        <v>0.54075909716220383</v>
      </c>
      <c r="BX117" s="18">
        <f t="shared" si="103"/>
        <v>2.155679071326269</v>
      </c>
      <c r="BY117" s="56">
        <f t="shared" si="91"/>
        <v>2</v>
      </c>
      <c r="CA117" s="18">
        <f t="shared" si="104"/>
        <v>5.5339138841608744</v>
      </c>
      <c r="CB117" s="18">
        <f t="shared" si="104"/>
        <v>0.54075909716220383</v>
      </c>
      <c r="CC117" s="18">
        <f t="shared" si="104"/>
        <v>2.155679071326269</v>
      </c>
      <c r="CD117" s="56">
        <f t="shared" si="92"/>
        <v>2</v>
      </c>
    </row>
    <row r="118" spans="1:82" x14ac:dyDescent="0.25">
      <c r="A118" s="36" t="str">
        <f>KMeans_Data!A100</f>
        <v>Tando Allahyar</v>
      </c>
      <c r="B118" s="18">
        <f>KMeans_Data!H100</f>
        <v>-0.88131147797298559</v>
      </c>
      <c r="C118" s="18">
        <f>KMeans_Data!I100</f>
        <v>-0.67265054538827607</v>
      </c>
      <c r="D118" s="18">
        <f>KMeans_Data!J100</f>
        <v>0.26515989636960624</v>
      </c>
      <c r="E118" s="56">
        <f t="shared" si="78"/>
        <v>2</v>
      </c>
      <c r="F118" s="38">
        <f t="shared" si="79"/>
        <v>1.0755199775763755</v>
      </c>
      <c r="G118" s="13" t="str">
        <f t="shared" si="80"/>
        <v>Low burden</v>
      </c>
      <c r="H118" s="18">
        <f>IF(COUNTIF(Distance_Matrix!$E$9:$DQ$9,$E118)&lt;=1,0,SUMIF(Distance_Matrix!$E$9:$DQ$9,$E118,Distance_Matrix!$E$109:$DQ$109)/(COUNTIF(Distance_Matrix!$E$9:$DQ$9,$E118)-1))</f>
        <v>1.2656271530771606</v>
      </c>
      <c r="I118" s="18">
        <f>MIN(IF(1=$E118,1E+99,IF(COUNTIF(Distance_Matrix!$E$9:$DQ$9,1)=0,1E+99,SUMIF(Distance_Matrix!$E$9:$DQ$9,1,Distance_Matrix!$E$109:$DQ$109)/COUNTIF(Distance_Matrix!$E$9:$DQ$9,1))),IF(2=$E118,1E+99,IF(COUNTIF(Distance_Matrix!$E$9:$DQ$9,2)=0,1E+99,SUMIF(Distance_Matrix!$E$9:$DQ$9,2,Distance_Matrix!$E$109:$DQ$109)/COUNTIF(Distance_Matrix!$E$9:$DQ$9,2))),IF(3=$E118,1E+99,IF(COUNTIF(Distance_Matrix!$E$9:$DQ$9,3)=0,1E+99,SUMIF(Distance_Matrix!$E$9:$DQ$9,3,Distance_Matrix!$E$109:$DQ$109)/COUNTIF(Distance_Matrix!$E$9:$DQ$9,3))))</f>
        <v>1.9572529986045752</v>
      </c>
      <c r="J118" s="18">
        <f>IF(COUNTIF(Distance_Matrix!$E$9:$DQ$9,$E118)&lt;=1,0,(I118-H118)/MAX(H118,I118))</f>
        <v>0.35336558228318454</v>
      </c>
      <c r="X118" s="18">
        <f t="shared" si="93"/>
        <v>6.9565010417417197</v>
      </c>
      <c r="Y118" s="18">
        <f t="shared" si="93"/>
        <v>1.8511061685766055</v>
      </c>
      <c r="Z118" s="18">
        <f t="shared" si="93"/>
        <v>2.4978253127828713</v>
      </c>
      <c r="AA118" s="56">
        <f t="shared" si="81"/>
        <v>2</v>
      </c>
      <c r="AC118" s="18">
        <f t="shared" si="94"/>
        <v>6.0056409271011759</v>
      </c>
      <c r="AD118" s="18">
        <f t="shared" si="94"/>
        <v>1.0982081103083556</v>
      </c>
      <c r="AE118" s="18">
        <f t="shared" si="94"/>
        <v>1.7564092959697979</v>
      </c>
      <c r="AF118" s="56">
        <f t="shared" si="82"/>
        <v>2</v>
      </c>
      <c r="AH118" s="18">
        <f t="shared" si="95"/>
        <v>5.3766181802485473</v>
      </c>
      <c r="AI118" s="18">
        <f t="shared" si="95"/>
        <v>1.0496662537344918</v>
      </c>
      <c r="AJ118" s="18">
        <f t="shared" si="95"/>
        <v>1.8191472814830032</v>
      </c>
      <c r="AK118" s="56">
        <f t="shared" si="83"/>
        <v>2</v>
      </c>
      <c r="AM118" s="18">
        <f t="shared" si="96"/>
        <v>5.3766181802485473</v>
      </c>
      <c r="AN118" s="18">
        <f t="shared" si="96"/>
        <v>1.0370727928050063</v>
      </c>
      <c r="AO118" s="18">
        <f t="shared" si="96"/>
        <v>1.8434882272628261</v>
      </c>
      <c r="AP118" s="56">
        <f t="shared" si="84"/>
        <v>2</v>
      </c>
      <c r="AR118" s="18">
        <f t="shared" si="97"/>
        <v>5.3766181802485473</v>
      </c>
      <c r="AS118" s="18">
        <f t="shared" si="97"/>
        <v>1.0370727928050063</v>
      </c>
      <c r="AT118" s="18">
        <f t="shared" si="97"/>
        <v>1.8434882272628261</v>
      </c>
      <c r="AU118" s="56">
        <f t="shared" si="85"/>
        <v>2</v>
      </c>
      <c r="AW118" s="18">
        <f t="shared" si="98"/>
        <v>5.3766181802485473</v>
      </c>
      <c r="AX118" s="18">
        <f t="shared" si="98"/>
        <v>1.0370727928050063</v>
      </c>
      <c r="AY118" s="18">
        <f t="shared" si="98"/>
        <v>1.8434882272628261</v>
      </c>
      <c r="AZ118" s="56">
        <f t="shared" si="86"/>
        <v>2</v>
      </c>
      <c r="BB118" s="18">
        <f t="shared" si="99"/>
        <v>5.3766181802485473</v>
      </c>
      <c r="BC118" s="18">
        <f t="shared" si="99"/>
        <v>1.0370727928050063</v>
      </c>
      <c r="BD118" s="18">
        <f t="shared" si="99"/>
        <v>1.8434882272628261</v>
      </c>
      <c r="BE118" s="56">
        <f t="shared" si="87"/>
        <v>2</v>
      </c>
      <c r="BG118" s="18">
        <f t="shared" si="100"/>
        <v>5.3766181802485473</v>
      </c>
      <c r="BH118" s="18">
        <f t="shared" si="100"/>
        <v>1.0370727928050063</v>
      </c>
      <c r="BI118" s="18">
        <f t="shared" si="100"/>
        <v>1.8434882272628261</v>
      </c>
      <c r="BJ118" s="56">
        <f t="shared" si="88"/>
        <v>2</v>
      </c>
      <c r="BL118" s="18">
        <f t="shared" si="101"/>
        <v>5.3766181802485473</v>
      </c>
      <c r="BM118" s="18">
        <f t="shared" si="101"/>
        <v>1.0370727928050063</v>
      </c>
      <c r="BN118" s="18">
        <f t="shared" si="101"/>
        <v>1.8434882272628261</v>
      </c>
      <c r="BO118" s="56">
        <f t="shared" si="89"/>
        <v>2</v>
      </c>
      <c r="BQ118" s="18">
        <f t="shared" si="102"/>
        <v>5.3766181802485473</v>
      </c>
      <c r="BR118" s="18">
        <f t="shared" si="102"/>
        <v>1.0370727928050063</v>
      </c>
      <c r="BS118" s="18">
        <f t="shared" si="102"/>
        <v>1.8434882272628261</v>
      </c>
      <c r="BT118" s="56">
        <f t="shared" si="90"/>
        <v>2</v>
      </c>
      <c r="BV118" s="18">
        <f t="shared" si="103"/>
        <v>5.3766181802485473</v>
      </c>
      <c r="BW118" s="18">
        <f t="shared" si="103"/>
        <v>1.0370727928050063</v>
      </c>
      <c r="BX118" s="18">
        <f t="shared" si="103"/>
        <v>1.8434882272628261</v>
      </c>
      <c r="BY118" s="56">
        <f t="shared" si="91"/>
        <v>2</v>
      </c>
      <c r="CA118" s="18">
        <f t="shared" si="104"/>
        <v>5.3766181802485473</v>
      </c>
      <c r="CB118" s="18">
        <f t="shared" si="104"/>
        <v>1.0370727928050063</v>
      </c>
      <c r="CC118" s="18">
        <f t="shared" si="104"/>
        <v>1.8434882272628261</v>
      </c>
      <c r="CD118" s="56">
        <f t="shared" si="92"/>
        <v>2</v>
      </c>
    </row>
    <row r="119" spans="1:82" x14ac:dyDescent="0.25">
      <c r="A119" s="36" t="str">
        <f>KMeans_Data!A101</f>
        <v>Mirpur</v>
      </c>
      <c r="B119" s="18">
        <f>KMeans_Data!H101</f>
        <v>-0.88131147797298559</v>
      </c>
      <c r="C119" s="18">
        <f>KMeans_Data!I101</f>
        <v>-0.67265054538827607</v>
      </c>
      <c r="D119" s="18">
        <f>KMeans_Data!J101</f>
        <v>-1.1456441163335547</v>
      </c>
      <c r="E119" s="56">
        <f t="shared" ref="E119:E139" si="105">CD119</f>
        <v>2</v>
      </c>
      <c r="F119" s="38">
        <f t="shared" ref="F119:F150" si="106">($B119-INDEX($L$16:$N$16,E119))^2+($C119-INDEX($L$17:$N$17,E119))^2+($D119-INDEX($L$18:$N$18,E119))^2</f>
        <v>0.22508933393734235</v>
      </c>
      <c r="G119" s="13" t="str">
        <f t="shared" ref="G119:G139" si="107">INDEX($M$5:$M$7,E119)</f>
        <v>Low burden</v>
      </c>
      <c r="H119" s="18">
        <f>IF(COUNTIF(Distance_Matrix!$E$9:$DQ$9,$E119)&lt;=1,0,SUMIF(Distance_Matrix!$E$9:$DQ$9,$E119,Distance_Matrix!$E$110:$DQ$110)/(COUNTIF(Distance_Matrix!$E$9:$DQ$9,$E119)-1))</f>
        <v>0.85924089498526635</v>
      </c>
      <c r="I119" s="18">
        <f>MIN(IF(1=$E119,1E+99,IF(COUNTIF(Distance_Matrix!$E$9:$DQ$9,1)=0,1E+99,SUMIF(Distance_Matrix!$E$9:$DQ$9,1,Distance_Matrix!$E$110:$DQ$110)/COUNTIF(Distance_Matrix!$E$9:$DQ$9,1))),IF(2=$E119,1E+99,IF(COUNTIF(Distance_Matrix!$E$9:$DQ$9,2)=0,1E+99,SUMIF(Distance_Matrix!$E$9:$DQ$9,2,Distance_Matrix!$E$110:$DQ$110)/COUNTIF(Distance_Matrix!$E$9:$DQ$9,2))),IF(3=$E119,1E+99,IF(COUNTIF(Distance_Matrix!$E$9:$DQ$9,3)=0,1E+99,SUMIF(Distance_Matrix!$E$9:$DQ$9,3,Distance_Matrix!$E$110:$DQ$110)/COUNTIF(Distance_Matrix!$E$9:$DQ$9,3))))</f>
        <v>2.6659078830738987</v>
      </c>
      <c r="J119" s="18">
        <f>IF(COUNTIF(Distance_Matrix!$E$9:$DQ$9,$E119)&lt;=1,0,(I119-H119)/MAX(H119,I119))</f>
        <v>0.67769295389361794</v>
      </c>
      <c r="X119" s="18">
        <f t="shared" si="93"/>
        <v>7.6689619977801469</v>
      </c>
      <c r="Y119" s="18">
        <f t="shared" si="93"/>
        <v>1.198426503830343</v>
      </c>
      <c r="Z119" s="18">
        <f t="shared" si="93"/>
        <v>3.4103119353684268</v>
      </c>
      <c r="AA119" s="56">
        <f t="shared" ref="AA119:AA150" si="108">MATCH(MIN(X119:Z119),X119:Z119,0)</f>
        <v>2</v>
      </c>
      <c r="AC119" s="18">
        <f t="shared" si="94"/>
        <v>6.6577392498362089</v>
      </c>
      <c r="AD119" s="18">
        <f t="shared" si="94"/>
        <v>0.34122104654888952</v>
      </c>
      <c r="AE119" s="18">
        <f t="shared" si="94"/>
        <v>2.4465771849925444</v>
      </c>
      <c r="AF119" s="56">
        <f t="shared" ref="AF119:AF150" si="109">MATCH(MIN(AC119:AE119),AC119:AE119,0)</f>
        <v>2</v>
      </c>
      <c r="AH119" s="18">
        <f t="shared" si="95"/>
        <v>6.0252705580503001</v>
      </c>
      <c r="AI119" s="18">
        <f t="shared" si="95"/>
        <v>0.45965642855728078</v>
      </c>
      <c r="AJ119" s="18">
        <f t="shared" si="95"/>
        <v>2.548823749960901</v>
      </c>
      <c r="AK119" s="56">
        <f t="shared" ref="AK119:AK150" si="110">MATCH(MIN(AH119:AJ119),AH119:AJ119,0)</f>
        <v>2</v>
      </c>
      <c r="AM119" s="18">
        <f t="shared" si="96"/>
        <v>6.0252705580503001</v>
      </c>
      <c r="AN119" s="18">
        <f t="shared" si="96"/>
        <v>0.47443580591829526</v>
      </c>
      <c r="AO119" s="18">
        <f t="shared" si="96"/>
        <v>2.5725466066417018</v>
      </c>
      <c r="AP119" s="56">
        <f t="shared" ref="AP119:AP150" si="111">MATCH(MIN(AM119:AO119),AM119:AO119,0)</f>
        <v>2</v>
      </c>
      <c r="AR119" s="18">
        <f t="shared" si="97"/>
        <v>6.0252705580503001</v>
      </c>
      <c r="AS119" s="18">
        <f t="shared" si="97"/>
        <v>0.47443580591829526</v>
      </c>
      <c r="AT119" s="18">
        <f t="shared" si="97"/>
        <v>2.5725466066417018</v>
      </c>
      <c r="AU119" s="56">
        <f t="shared" ref="AU119:AU150" si="112">MATCH(MIN(AR119:AT119),AR119:AT119,0)</f>
        <v>2</v>
      </c>
      <c r="AW119" s="18">
        <f t="shared" si="98"/>
        <v>6.0252705580503001</v>
      </c>
      <c r="AX119" s="18">
        <f t="shared" si="98"/>
        <v>0.47443580591829526</v>
      </c>
      <c r="AY119" s="18">
        <f t="shared" si="98"/>
        <v>2.5725466066417018</v>
      </c>
      <c r="AZ119" s="56">
        <f t="shared" ref="AZ119:AZ150" si="113">MATCH(MIN(AW119:AY119),AW119:AY119,0)</f>
        <v>2</v>
      </c>
      <c r="BB119" s="18">
        <f t="shared" si="99"/>
        <v>6.0252705580503001</v>
      </c>
      <c r="BC119" s="18">
        <f t="shared" si="99"/>
        <v>0.47443580591829526</v>
      </c>
      <c r="BD119" s="18">
        <f t="shared" si="99"/>
        <v>2.5725466066417018</v>
      </c>
      <c r="BE119" s="56">
        <f t="shared" ref="BE119:BE150" si="114">MATCH(MIN(BB119:BD119),BB119:BD119,0)</f>
        <v>2</v>
      </c>
      <c r="BG119" s="18">
        <f t="shared" si="100"/>
        <v>6.0252705580503001</v>
      </c>
      <c r="BH119" s="18">
        <f t="shared" si="100"/>
        <v>0.47443580591829526</v>
      </c>
      <c r="BI119" s="18">
        <f t="shared" si="100"/>
        <v>2.5725466066417018</v>
      </c>
      <c r="BJ119" s="56">
        <f t="shared" ref="BJ119:BJ150" si="115">MATCH(MIN(BG119:BI119),BG119:BI119,0)</f>
        <v>2</v>
      </c>
      <c r="BL119" s="18">
        <f t="shared" si="101"/>
        <v>6.0252705580503001</v>
      </c>
      <c r="BM119" s="18">
        <f t="shared" si="101"/>
        <v>0.47443580591829526</v>
      </c>
      <c r="BN119" s="18">
        <f t="shared" si="101"/>
        <v>2.5725466066417018</v>
      </c>
      <c r="BO119" s="56">
        <f t="shared" ref="BO119:BO150" si="116">MATCH(MIN(BL119:BN119),BL119:BN119,0)</f>
        <v>2</v>
      </c>
      <c r="BQ119" s="18">
        <f t="shared" si="102"/>
        <v>6.0252705580503001</v>
      </c>
      <c r="BR119" s="18">
        <f t="shared" si="102"/>
        <v>0.47443580591829526</v>
      </c>
      <c r="BS119" s="18">
        <f t="shared" si="102"/>
        <v>2.5725466066417018</v>
      </c>
      <c r="BT119" s="56">
        <f t="shared" ref="BT119:BT150" si="117">MATCH(MIN(BQ119:BS119),BQ119:BS119,0)</f>
        <v>2</v>
      </c>
      <c r="BV119" s="18">
        <f t="shared" si="103"/>
        <v>6.0252705580503001</v>
      </c>
      <c r="BW119" s="18">
        <f t="shared" si="103"/>
        <v>0.47443580591829526</v>
      </c>
      <c r="BX119" s="18">
        <f t="shared" si="103"/>
        <v>2.5725466066417018</v>
      </c>
      <c r="BY119" s="56">
        <f t="shared" ref="BY119:BY150" si="118">MATCH(MIN(BV119:BX119),BV119:BX119,0)</f>
        <v>2</v>
      </c>
      <c r="CA119" s="18">
        <f t="shared" si="104"/>
        <v>6.0252705580503001</v>
      </c>
      <c r="CB119" s="18">
        <f t="shared" si="104"/>
        <v>0.47443580591829526</v>
      </c>
      <c r="CC119" s="18">
        <f t="shared" si="104"/>
        <v>2.5725466066417018</v>
      </c>
      <c r="CD119" s="56">
        <f t="shared" ref="CD119:CD150" si="119">MATCH(MIN(CA119:CC119),CA119:CC119,0)</f>
        <v>2</v>
      </c>
    </row>
    <row r="120" spans="1:82" x14ac:dyDescent="0.25">
      <c r="A120" s="36" t="str">
        <f>KMeans_Data!A102</f>
        <v>Tank</v>
      </c>
      <c r="B120" s="18">
        <f>KMeans_Data!H102</f>
        <v>-0.9361484674096654</v>
      </c>
      <c r="C120" s="18">
        <f>KMeans_Data!I102</f>
        <v>-0.67265054538827607</v>
      </c>
      <c r="D120" s="18">
        <f>KMeans_Data!J102</f>
        <v>-3.44812518432112E-2</v>
      </c>
      <c r="E120" s="56">
        <f t="shared" si="105"/>
        <v>2</v>
      </c>
      <c r="F120" s="38">
        <f t="shared" si="106"/>
        <v>0.59167564210395573</v>
      </c>
      <c r="G120" s="13" t="str">
        <f t="shared" si="107"/>
        <v>Low burden</v>
      </c>
      <c r="H120" s="18">
        <f>IF(COUNTIF(Distance_Matrix!$E$9:$DQ$9,$E120)&lt;=1,0,SUMIF(Distance_Matrix!$E$9:$DQ$9,$E120,Distance_Matrix!$E$111:$DQ$111)/(COUNTIF(Distance_Matrix!$E$9:$DQ$9,$E120)-1))</f>
        <v>1.069762989492252</v>
      </c>
      <c r="I120" s="18">
        <f>MIN(IF(1=$E120,1E+99,IF(COUNTIF(Distance_Matrix!$E$9:$DQ$9,1)=0,1E+99,SUMIF(Distance_Matrix!$E$9:$DQ$9,1,Distance_Matrix!$E$111:$DQ$111)/COUNTIF(Distance_Matrix!$E$9:$DQ$9,1))),IF(2=$E120,1E+99,IF(COUNTIF(Distance_Matrix!$E$9:$DQ$9,2)=0,1E+99,SUMIF(Distance_Matrix!$E$9:$DQ$9,2,Distance_Matrix!$E$111:$DQ$111)/COUNTIF(Distance_Matrix!$E$9:$DQ$9,2))),IF(3=$E120,1E+99,IF(COUNTIF(Distance_Matrix!$E$9:$DQ$9,3)=0,1E+99,SUMIF(Distance_Matrix!$E$9:$DQ$9,3,Distance_Matrix!$E$111:$DQ$111)/COUNTIF(Distance_Matrix!$E$9:$DQ$9,3))))</f>
        <v>2.0843301954084121</v>
      </c>
      <c r="J120" s="18">
        <f>IF(COUNTIF(Distance_Matrix!$E$9:$DQ$9,$E120)&lt;=1,0,(I120-H120)/MAX(H120,I120))</f>
        <v>0.48675934751180905</v>
      </c>
      <c r="X120" s="18">
        <f t="shared" si="93"/>
        <v>7.1226294067257934</v>
      </c>
      <c r="Y120" s="18">
        <f t="shared" si="93"/>
        <v>1.5945155655726664</v>
      </c>
      <c r="Z120" s="18">
        <f t="shared" si="93"/>
        <v>2.6952979135147523</v>
      </c>
      <c r="AA120" s="56">
        <f t="shared" si="108"/>
        <v>2</v>
      </c>
      <c r="AC120" s="18">
        <f t="shared" si="94"/>
        <v>6.1559997408458171</v>
      </c>
      <c r="AD120" s="18">
        <f t="shared" si="94"/>
        <v>0.81087306692856542</v>
      </c>
      <c r="AE120" s="18">
        <f t="shared" si="94"/>
        <v>1.8771328667123246</v>
      </c>
      <c r="AF120" s="56">
        <f t="shared" si="109"/>
        <v>2</v>
      </c>
      <c r="AH120" s="18">
        <f t="shared" si="95"/>
        <v>5.5242997137282348</v>
      </c>
      <c r="AI120" s="18">
        <f t="shared" si="95"/>
        <v>0.78040292424068203</v>
      </c>
      <c r="AJ120" s="18">
        <f t="shared" si="95"/>
        <v>1.9515649809515099</v>
      </c>
      <c r="AK120" s="56">
        <f t="shared" si="110"/>
        <v>2</v>
      </c>
      <c r="AM120" s="18">
        <f t="shared" si="96"/>
        <v>5.5242997137282348</v>
      </c>
      <c r="AN120" s="18">
        <f t="shared" si="96"/>
        <v>0.76920455153616696</v>
      </c>
      <c r="AO120" s="18">
        <f t="shared" si="96"/>
        <v>1.976540056300657</v>
      </c>
      <c r="AP120" s="56">
        <f t="shared" si="111"/>
        <v>2</v>
      </c>
      <c r="AR120" s="18">
        <f t="shared" si="97"/>
        <v>5.5242997137282348</v>
      </c>
      <c r="AS120" s="18">
        <f t="shared" si="97"/>
        <v>0.76920455153616696</v>
      </c>
      <c r="AT120" s="18">
        <f t="shared" si="97"/>
        <v>1.976540056300657</v>
      </c>
      <c r="AU120" s="56">
        <f t="shared" si="112"/>
        <v>2</v>
      </c>
      <c r="AW120" s="18">
        <f t="shared" si="98"/>
        <v>5.5242997137282348</v>
      </c>
      <c r="AX120" s="18">
        <f t="shared" si="98"/>
        <v>0.76920455153616696</v>
      </c>
      <c r="AY120" s="18">
        <f t="shared" si="98"/>
        <v>1.976540056300657</v>
      </c>
      <c r="AZ120" s="56">
        <f t="shared" si="113"/>
        <v>2</v>
      </c>
      <c r="BB120" s="18">
        <f t="shared" si="99"/>
        <v>5.5242997137282348</v>
      </c>
      <c r="BC120" s="18">
        <f t="shared" si="99"/>
        <v>0.76920455153616696</v>
      </c>
      <c r="BD120" s="18">
        <f t="shared" si="99"/>
        <v>1.976540056300657</v>
      </c>
      <c r="BE120" s="56">
        <f t="shared" si="114"/>
        <v>2</v>
      </c>
      <c r="BG120" s="18">
        <f t="shared" si="100"/>
        <v>5.5242997137282348</v>
      </c>
      <c r="BH120" s="18">
        <f t="shared" si="100"/>
        <v>0.76920455153616696</v>
      </c>
      <c r="BI120" s="18">
        <f t="shared" si="100"/>
        <v>1.976540056300657</v>
      </c>
      <c r="BJ120" s="56">
        <f t="shared" si="115"/>
        <v>2</v>
      </c>
      <c r="BL120" s="18">
        <f t="shared" si="101"/>
        <v>5.5242997137282348</v>
      </c>
      <c r="BM120" s="18">
        <f t="shared" si="101"/>
        <v>0.76920455153616696</v>
      </c>
      <c r="BN120" s="18">
        <f t="shared" si="101"/>
        <v>1.976540056300657</v>
      </c>
      <c r="BO120" s="56">
        <f t="shared" si="116"/>
        <v>2</v>
      </c>
      <c r="BQ120" s="18">
        <f t="shared" si="102"/>
        <v>5.5242997137282348</v>
      </c>
      <c r="BR120" s="18">
        <f t="shared" si="102"/>
        <v>0.76920455153616696</v>
      </c>
      <c r="BS120" s="18">
        <f t="shared" si="102"/>
        <v>1.976540056300657</v>
      </c>
      <c r="BT120" s="56">
        <f t="shared" si="117"/>
        <v>2</v>
      </c>
      <c r="BV120" s="18">
        <f t="shared" si="103"/>
        <v>5.5242997137282348</v>
      </c>
      <c r="BW120" s="18">
        <f t="shared" si="103"/>
        <v>0.76920455153616696</v>
      </c>
      <c r="BX120" s="18">
        <f t="shared" si="103"/>
        <v>1.976540056300657</v>
      </c>
      <c r="BY120" s="56">
        <f t="shared" si="118"/>
        <v>2</v>
      </c>
      <c r="CA120" s="18">
        <f t="shared" si="104"/>
        <v>5.5242997137282348</v>
      </c>
      <c r="CB120" s="18">
        <f t="shared" si="104"/>
        <v>0.76920455153616696</v>
      </c>
      <c r="CC120" s="18">
        <f t="shared" si="104"/>
        <v>1.976540056300657</v>
      </c>
      <c r="CD120" s="56">
        <f t="shared" si="119"/>
        <v>2</v>
      </c>
    </row>
    <row r="121" spans="1:82" x14ac:dyDescent="0.25">
      <c r="A121" s="36" t="str">
        <f>KMeans_Data!A103</f>
        <v>Sahiwal</v>
      </c>
      <c r="B121" s="18">
        <f>KMeans_Data!H103</f>
        <v>-0.9361484674096654</v>
      </c>
      <c r="C121" s="18">
        <f>KMeans_Data!I103</f>
        <v>-0.67265054538827607</v>
      </c>
      <c r="D121" s="18">
        <f>KMeans_Data!J103</f>
        <v>-1.1456441163335547</v>
      </c>
      <c r="E121" s="56">
        <f t="shared" si="105"/>
        <v>2</v>
      </c>
      <c r="F121" s="38">
        <f t="shared" si="106"/>
        <v>0.25481837116200445</v>
      </c>
      <c r="G121" s="13" t="str">
        <f t="shared" si="107"/>
        <v>Low burden</v>
      </c>
      <c r="H121" s="18">
        <f>IF(COUNTIF(Distance_Matrix!$E$9:$DQ$9,$E121)&lt;=1,0,SUMIF(Distance_Matrix!$E$9:$DQ$9,$E121,Distance_Matrix!$E$112:$DQ$112)/(COUNTIF(Distance_Matrix!$E$9:$DQ$9,$E121)-1))</f>
        <v>0.87070723196812072</v>
      </c>
      <c r="I121" s="18">
        <f>MIN(IF(1=$E121,1E+99,IF(COUNTIF(Distance_Matrix!$E$9:$DQ$9,1)=0,1E+99,SUMIF(Distance_Matrix!$E$9:$DQ$9,1,Distance_Matrix!$E$112:$DQ$112)/COUNTIF(Distance_Matrix!$E$9:$DQ$9,1))),IF(2=$E121,1E+99,IF(COUNTIF(Distance_Matrix!$E$9:$DQ$9,2)=0,1E+99,SUMIF(Distance_Matrix!$E$9:$DQ$9,2,Distance_Matrix!$E$112:$DQ$112)/COUNTIF(Distance_Matrix!$E$9:$DQ$9,2))),IF(3=$E121,1E+99,IF(COUNTIF(Distance_Matrix!$E$9:$DQ$9,3)=0,1E+99,SUMIF(Distance_Matrix!$E$9:$DQ$9,3,Distance_Matrix!$E$112:$DQ$112)/COUNTIF(Distance_Matrix!$E$9:$DQ$9,3))))</f>
        <v>2.6951022471711421</v>
      </c>
      <c r="J121" s="18">
        <f>IF(COUNTIF(Distance_Matrix!$E$9:$DQ$9,$E121)&lt;=1,0,(I121-H121)/MAX(H121,I121))</f>
        <v>0.67692979630660011</v>
      </c>
      <c r="X121" s="18">
        <f t="shared" si="93"/>
        <v>7.6988147546876338</v>
      </c>
      <c r="Y121" s="18">
        <f t="shared" si="93"/>
        <v>1.1435895143936632</v>
      </c>
      <c r="Z121" s="18">
        <f t="shared" si="93"/>
        <v>3.4414619554110497</v>
      </c>
      <c r="AA121" s="56">
        <f t="shared" si="108"/>
        <v>2</v>
      </c>
      <c r="AC121" s="18">
        <f t="shared" si="94"/>
        <v>6.6882868893616445</v>
      </c>
      <c r="AD121" s="18">
        <f t="shared" si="94"/>
        <v>0.36367942846137186</v>
      </c>
      <c r="AE121" s="18">
        <f t="shared" si="94"/>
        <v>2.4781544487733602</v>
      </c>
      <c r="AF121" s="56">
        <f t="shared" si="109"/>
        <v>2</v>
      </c>
      <c r="AH121" s="18">
        <f t="shared" si="95"/>
        <v>6.0560622492406573</v>
      </c>
      <c r="AI121" s="18">
        <f t="shared" si="95"/>
        <v>0.49051040779176863</v>
      </c>
      <c r="AJ121" s="18">
        <f t="shared" si="95"/>
        <v>2.5791141814774257</v>
      </c>
      <c r="AK121" s="56">
        <f t="shared" si="110"/>
        <v>2</v>
      </c>
      <c r="AM121" s="18">
        <f t="shared" si="96"/>
        <v>6.0560622492406573</v>
      </c>
      <c r="AN121" s="18">
        <f t="shared" si="96"/>
        <v>0.50479537553547815</v>
      </c>
      <c r="AO121" s="18">
        <f t="shared" si="96"/>
        <v>2.6029612321243465</v>
      </c>
      <c r="AP121" s="56">
        <f t="shared" si="111"/>
        <v>2</v>
      </c>
      <c r="AR121" s="18">
        <f t="shared" si="97"/>
        <v>6.0560622492406573</v>
      </c>
      <c r="AS121" s="18">
        <f t="shared" si="97"/>
        <v>0.50479537553547815</v>
      </c>
      <c r="AT121" s="18">
        <f t="shared" si="97"/>
        <v>2.6029612321243465</v>
      </c>
      <c r="AU121" s="56">
        <f t="shared" si="112"/>
        <v>2</v>
      </c>
      <c r="AW121" s="18">
        <f t="shared" si="98"/>
        <v>6.0560622492406573</v>
      </c>
      <c r="AX121" s="18">
        <f t="shared" si="98"/>
        <v>0.50479537553547815</v>
      </c>
      <c r="AY121" s="18">
        <f t="shared" si="98"/>
        <v>2.6029612321243465</v>
      </c>
      <c r="AZ121" s="56">
        <f t="shared" si="113"/>
        <v>2</v>
      </c>
      <c r="BB121" s="18">
        <f t="shared" si="99"/>
        <v>6.0560622492406573</v>
      </c>
      <c r="BC121" s="18">
        <f t="shared" si="99"/>
        <v>0.50479537553547815</v>
      </c>
      <c r="BD121" s="18">
        <f t="shared" si="99"/>
        <v>2.6029612321243465</v>
      </c>
      <c r="BE121" s="56">
        <f t="shared" si="114"/>
        <v>2</v>
      </c>
      <c r="BG121" s="18">
        <f t="shared" si="100"/>
        <v>6.0560622492406573</v>
      </c>
      <c r="BH121" s="18">
        <f t="shared" si="100"/>
        <v>0.50479537553547815</v>
      </c>
      <c r="BI121" s="18">
        <f t="shared" si="100"/>
        <v>2.6029612321243465</v>
      </c>
      <c r="BJ121" s="56">
        <f t="shared" si="115"/>
        <v>2</v>
      </c>
      <c r="BL121" s="18">
        <f t="shared" si="101"/>
        <v>6.0560622492406573</v>
      </c>
      <c r="BM121" s="18">
        <f t="shared" si="101"/>
        <v>0.50479537553547815</v>
      </c>
      <c r="BN121" s="18">
        <f t="shared" si="101"/>
        <v>2.6029612321243465</v>
      </c>
      <c r="BO121" s="56">
        <f t="shared" si="116"/>
        <v>2</v>
      </c>
      <c r="BQ121" s="18">
        <f t="shared" si="102"/>
        <v>6.0560622492406573</v>
      </c>
      <c r="BR121" s="18">
        <f t="shared" si="102"/>
        <v>0.50479537553547815</v>
      </c>
      <c r="BS121" s="18">
        <f t="shared" si="102"/>
        <v>2.6029612321243465</v>
      </c>
      <c r="BT121" s="56">
        <f t="shared" si="117"/>
        <v>2</v>
      </c>
      <c r="BV121" s="18">
        <f t="shared" si="103"/>
        <v>6.0560622492406573</v>
      </c>
      <c r="BW121" s="18">
        <f t="shared" si="103"/>
        <v>0.50479537553547815</v>
      </c>
      <c r="BX121" s="18">
        <f t="shared" si="103"/>
        <v>2.6029612321243465</v>
      </c>
      <c r="BY121" s="56">
        <f t="shared" si="118"/>
        <v>2</v>
      </c>
      <c r="CA121" s="18">
        <f t="shared" si="104"/>
        <v>6.0560622492406573</v>
      </c>
      <c r="CB121" s="18">
        <f t="shared" si="104"/>
        <v>0.50479537553547815</v>
      </c>
      <c r="CC121" s="18">
        <f t="shared" si="104"/>
        <v>2.6029612321243465</v>
      </c>
      <c r="CD121" s="56">
        <f t="shared" si="119"/>
        <v>2</v>
      </c>
    </row>
    <row r="122" spans="1:82" x14ac:dyDescent="0.25">
      <c r="A122" s="36" t="str">
        <f>KMeans_Data!A104</f>
        <v>Chiniot</v>
      </c>
      <c r="B122" s="18">
        <f>KMeans_Data!H104</f>
        <v>-0.9361484674096654</v>
      </c>
      <c r="C122" s="18">
        <f>KMeans_Data!I104</f>
        <v>-0.67265054538827607</v>
      </c>
      <c r="D122" s="18">
        <f>KMeans_Data!J104</f>
        <v>-1.1456441163335547</v>
      </c>
      <c r="E122" s="56">
        <f t="shared" si="105"/>
        <v>2</v>
      </c>
      <c r="F122" s="38">
        <f t="shared" si="106"/>
        <v>0.25481837116200445</v>
      </c>
      <c r="G122" s="13" t="str">
        <f t="shared" si="107"/>
        <v>Low burden</v>
      </c>
      <c r="H122" s="18">
        <f>IF(COUNTIF(Distance_Matrix!$E$9:$DQ$9,$E122)&lt;=1,0,SUMIF(Distance_Matrix!$E$9:$DQ$9,$E122,Distance_Matrix!$E$113:$DQ$113)/(COUNTIF(Distance_Matrix!$E$9:$DQ$9,$E122)-1))</f>
        <v>0.87070723196812072</v>
      </c>
      <c r="I122" s="18">
        <f>MIN(IF(1=$E122,1E+99,IF(COUNTIF(Distance_Matrix!$E$9:$DQ$9,1)=0,1E+99,SUMIF(Distance_Matrix!$E$9:$DQ$9,1,Distance_Matrix!$E$113:$DQ$113)/COUNTIF(Distance_Matrix!$E$9:$DQ$9,1))),IF(2=$E122,1E+99,IF(COUNTIF(Distance_Matrix!$E$9:$DQ$9,2)=0,1E+99,SUMIF(Distance_Matrix!$E$9:$DQ$9,2,Distance_Matrix!$E$113:$DQ$113)/COUNTIF(Distance_Matrix!$E$9:$DQ$9,2))),IF(3=$E122,1E+99,IF(COUNTIF(Distance_Matrix!$E$9:$DQ$9,3)=0,1E+99,SUMIF(Distance_Matrix!$E$9:$DQ$9,3,Distance_Matrix!$E$113:$DQ$113)/COUNTIF(Distance_Matrix!$E$9:$DQ$9,3))))</f>
        <v>2.6951022471711421</v>
      </c>
      <c r="J122" s="18">
        <f>IF(COUNTIF(Distance_Matrix!$E$9:$DQ$9,$E122)&lt;=1,0,(I122-H122)/MAX(H122,I122))</f>
        <v>0.67692979630660011</v>
      </c>
      <c r="X122" s="18">
        <f t="shared" si="93"/>
        <v>7.6988147546876338</v>
      </c>
      <c r="Y122" s="18">
        <f t="shared" si="93"/>
        <v>1.1435895143936632</v>
      </c>
      <c r="Z122" s="18">
        <f t="shared" si="93"/>
        <v>3.4414619554110497</v>
      </c>
      <c r="AA122" s="56">
        <f t="shared" si="108"/>
        <v>2</v>
      </c>
      <c r="AC122" s="18">
        <f t="shared" si="94"/>
        <v>6.6882868893616445</v>
      </c>
      <c r="AD122" s="18">
        <f t="shared" si="94"/>
        <v>0.36367942846137186</v>
      </c>
      <c r="AE122" s="18">
        <f t="shared" si="94"/>
        <v>2.4781544487733602</v>
      </c>
      <c r="AF122" s="56">
        <f t="shared" si="109"/>
        <v>2</v>
      </c>
      <c r="AH122" s="18">
        <f t="shared" si="95"/>
        <v>6.0560622492406573</v>
      </c>
      <c r="AI122" s="18">
        <f t="shared" si="95"/>
        <v>0.49051040779176863</v>
      </c>
      <c r="AJ122" s="18">
        <f t="shared" si="95"/>
        <v>2.5791141814774257</v>
      </c>
      <c r="AK122" s="56">
        <f t="shared" si="110"/>
        <v>2</v>
      </c>
      <c r="AM122" s="18">
        <f t="shared" si="96"/>
        <v>6.0560622492406573</v>
      </c>
      <c r="AN122" s="18">
        <f t="shared" si="96"/>
        <v>0.50479537553547815</v>
      </c>
      <c r="AO122" s="18">
        <f t="shared" si="96"/>
        <v>2.6029612321243465</v>
      </c>
      <c r="AP122" s="56">
        <f t="shared" si="111"/>
        <v>2</v>
      </c>
      <c r="AR122" s="18">
        <f t="shared" si="97"/>
        <v>6.0560622492406573</v>
      </c>
      <c r="AS122" s="18">
        <f t="shared" si="97"/>
        <v>0.50479537553547815</v>
      </c>
      <c r="AT122" s="18">
        <f t="shared" si="97"/>
        <v>2.6029612321243465</v>
      </c>
      <c r="AU122" s="56">
        <f t="shared" si="112"/>
        <v>2</v>
      </c>
      <c r="AW122" s="18">
        <f t="shared" si="98"/>
        <v>6.0560622492406573</v>
      </c>
      <c r="AX122" s="18">
        <f t="shared" si="98"/>
        <v>0.50479537553547815</v>
      </c>
      <c r="AY122" s="18">
        <f t="shared" si="98"/>
        <v>2.6029612321243465</v>
      </c>
      <c r="AZ122" s="56">
        <f t="shared" si="113"/>
        <v>2</v>
      </c>
      <c r="BB122" s="18">
        <f t="shared" si="99"/>
        <v>6.0560622492406573</v>
      </c>
      <c r="BC122" s="18">
        <f t="shared" si="99"/>
        <v>0.50479537553547815</v>
      </c>
      <c r="BD122" s="18">
        <f t="shared" si="99"/>
        <v>2.6029612321243465</v>
      </c>
      <c r="BE122" s="56">
        <f t="shared" si="114"/>
        <v>2</v>
      </c>
      <c r="BG122" s="18">
        <f t="shared" si="100"/>
        <v>6.0560622492406573</v>
      </c>
      <c r="BH122" s="18">
        <f t="shared" si="100"/>
        <v>0.50479537553547815</v>
      </c>
      <c r="BI122" s="18">
        <f t="shared" si="100"/>
        <v>2.6029612321243465</v>
      </c>
      <c r="BJ122" s="56">
        <f t="shared" si="115"/>
        <v>2</v>
      </c>
      <c r="BL122" s="18">
        <f t="shared" si="101"/>
        <v>6.0560622492406573</v>
      </c>
      <c r="BM122" s="18">
        <f t="shared" si="101"/>
        <v>0.50479537553547815</v>
      </c>
      <c r="BN122" s="18">
        <f t="shared" si="101"/>
        <v>2.6029612321243465</v>
      </c>
      <c r="BO122" s="56">
        <f t="shared" si="116"/>
        <v>2</v>
      </c>
      <c r="BQ122" s="18">
        <f t="shared" si="102"/>
        <v>6.0560622492406573</v>
      </c>
      <c r="BR122" s="18">
        <f t="shared" si="102"/>
        <v>0.50479537553547815</v>
      </c>
      <c r="BS122" s="18">
        <f t="shared" si="102"/>
        <v>2.6029612321243465</v>
      </c>
      <c r="BT122" s="56">
        <f t="shared" si="117"/>
        <v>2</v>
      </c>
      <c r="BV122" s="18">
        <f t="shared" si="103"/>
        <v>6.0560622492406573</v>
      </c>
      <c r="BW122" s="18">
        <f t="shared" si="103"/>
        <v>0.50479537553547815</v>
      </c>
      <c r="BX122" s="18">
        <f t="shared" si="103"/>
        <v>2.6029612321243465</v>
      </c>
      <c r="BY122" s="56">
        <f t="shared" si="118"/>
        <v>2</v>
      </c>
      <c r="CA122" s="18">
        <f t="shared" si="104"/>
        <v>6.0560622492406573</v>
      </c>
      <c r="CB122" s="18">
        <f t="shared" si="104"/>
        <v>0.50479537553547815</v>
      </c>
      <c r="CC122" s="18">
        <f t="shared" si="104"/>
        <v>2.6029612321243465</v>
      </c>
      <c r="CD122" s="56">
        <f t="shared" si="119"/>
        <v>2</v>
      </c>
    </row>
    <row r="123" spans="1:82" x14ac:dyDescent="0.25">
      <c r="A123" s="36" t="str">
        <f>KMeans_Data!A105</f>
        <v>South Waziristan</v>
      </c>
      <c r="B123" s="18">
        <f>KMeans_Data!H105</f>
        <v>-0.9361484674096654</v>
      </c>
      <c r="C123" s="18">
        <f>KMeans_Data!I105</f>
        <v>-0.67265054538827607</v>
      </c>
      <c r="D123" s="18">
        <f>KMeans_Data!J105</f>
        <v>-0.50324791546397885</v>
      </c>
      <c r="E123" s="56">
        <f t="shared" si="105"/>
        <v>2</v>
      </c>
      <c r="F123" s="38">
        <f t="shared" si="106"/>
        <v>0.14843162439522256</v>
      </c>
      <c r="G123" s="13" t="str">
        <f t="shared" si="107"/>
        <v>Low burden</v>
      </c>
      <c r="H123" s="18">
        <f>IF(COUNTIF(Distance_Matrix!$E$9:$DQ$9,$E123)&lt;=1,0,SUMIF(Distance_Matrix!$E$9:$DQ$9,$E123,Distance_Matrix!$E$114:$DQ$114)/(COUNTIF(Distance_Matrix!$E$9:$DQ$9,$E123)-1))</f>
        <v>0.85810002534672214</v>
      </c>
      <c r="I123" s="18">
        <f>MIN(IF(1=$E123,1E+99,IF(COUNTIF(Distance_Matrix!$E$9:$DQ$9,1)=0,1E+99,SUMIF(Distance_Matrix!$E$9:$DQ$9,1,Distance_Matrix!$E$114:$DQ$114)/COUNTIF(Distance_Matrix!$E$9:$DQ$9,1))),IF(2=$E123,1E+99,IF(COUNTIF(Distance_Matrix!$E$9:$DQ$9,2)=0,1E+99,SUMIF(Distance_Matrix!$E$9:$DQ$9,2,Distance_Matrix!$E$114:$DQ$114)/COUNTIF(Distance_Matrix!$E$9:$DQ$9,2))),IF(3=$E123,1E+99,IF(COUNTIF(Distance_Matrix!$E$9:$DQ$9,3)=0,1E+99,SUMIF(Distance_Matrix!$E$9:$DQ$9,3,Distance_Matrix!$E$114:$DQ$114)/COUNTIF(Distance_Matrix!$E$9:$DQ$9,3))))</f>
        <v>2.2963272542375353</v>
      </c>
      <c r="J123" s="18">
        <f>IF(COUNTIF(Distance_Matrix!$E$9:$DQ$9,$E123)&lt;=1,0,(I123-H123)/MAX(H123,I123))</f>
        <v>0.6263163171698527</v>
      </c>
      <c r="X123" s="18">
        <f t="shared" ref="X123:Z139" si="120">SQRT(($B123-X$16)^2+($C123-X$17)^2+($D123-X$18)^2)</f>
        <v>7.3507445801816038</v>
      </c>
      <c r="Y123" s="18">
        <f t="shared" si="120"/>
        <v>1.3116668236723832</v>
      </c>
      <c r="Z123" s="18">
        <f t="shared" si="120"/>
        <v>2.9824911910641334</v>
      </c>
      <c r="AA123" s="56">
        <f t="shared" si="108"/>
        <v>2</v>
      </c>
      <c r="AC123" s="18">
        <f t="shared" ref="AC123:AE139" si="121">SQRT(($B123-AC$16)^2+($C123-AC$17)^2+($D123-AC$18)^2)</f>
        <v>6.3623472573879667</v>
      </c>
      <c r="AD123" s="18">
        <f t="shared" si="121"/>
        <v>0.36714137977509959</v>
      </c>
      <c r="AE123" s="18">
        <f t="shared" si="121"/>
        <v>2.0800939497557507</v>
      </c>
      <c r="AF123" s="56">
        <f t="shared" si="109"/>
        <v>2</v>
      </c>
      <c r="AH123" s="18">
        <f t="shared" ref="AH123:AJ139" si="122">SQRT(($B123-AH$16)^2+($C123-AH$17)^2+($D123-AH$18)^2)</f>
        <v>5.7284057220070377</v>
      </c>
      <c r="AI123" s="18">
        <f t="shared" si="122"/>
        <v>0.39046874476947485</v>
      </c>
      <c r="AJ123" s="18">
        <f t="shared" si="122"/>
        <v>2.1695492352008654</v>
      </c>
      <c r="AK123" s="56">
        <f t="shared" si="110"/>
        <v>2</v>
      </c>
      <c r="AM123" s="18">
        <f t="shared" ref="AM123:AO139" si="123">SQRT(($B123-AM$16)^2+($C123-AM$17)^2+($D123-AM$18)^2)</f>
        <v>5.7284057220070377</v>
      </c>
      <c r="AN123" s="18">
        <f t="shared" si="123"/>
        <v>0.38526824991844649</v>
      </c>
      <c r="AO123" s="18">
        <f t="shared" si="123"/>
        <v>2.1944918987764237</v>
      </c>
      <c r="AP123" s="56">
        <f t="shared" si="111"/>
        <v>2</v>
      </c>
      <c r="AR123" s="18">
        <f t="shared" ref="AR123:AT139" si="124">SQRT(($B123-AR$16)^2+($C123-AR$17)^2+($D123-AR$18)^2)</f>
        <v>5.7284057220070377</v>
      </c>
      <c r="AS123" s="18">
        <f t="shared" si="124"/>
        <v>0.38526824991844649</v>
      </c>
      <c r="AT123" s="18">
        <f t="shared" si="124"/>
        <v>2.1944918987764237</v>
      </c>
      <c r="AU123" s="56">
        <f t="shared" si="112"/>
        <v>2</v>
      </c>
      <c r="AW123" s="18">
        <f t="shared" ref="AW123:AY139" si="125">SQRT(($B123-AW$16)^2+($C123-AW$17)^2+($D123-AW$18)^2)</f>
        <v>5.7284057220070377</v>
      </c>
      <c r="AX123" s="18">
        <f t="shared" si="125"/>
        <v>0.38526824991844649</v>
      </c>
      <c r="AY123" s="18">
        <f t="shared" si="125"/>
        <v>2.1944918987764237</v>
      </c>
      <c r="AZ123" s="56">
        <f t="shared" si="113"/>
        <v>2</v>
      </c>
      <c r="BB123" s="18">
        <f t="shared" ref="BB123:BD139" si="126">SQRT(($B123-BB$16)^2+($C123-BB$17)^2+($D123-BB$18)^2)</f>
        <v>5.7284057220070377</v>
      </c>
      <c r="BC123" s="18">
        <f t="shared" si="126"/>
        <v>0.38526824991844649</v>
      </c>
      <c r="BD123" s="18">
        <f t="shared" si="126"/>
        <v>2.1944918987764237</v>
      </c>
      <c r="BE123" s="56">
        <f t="shared" si="114"/>
        <v>2</v>
      </c>
      <c r="BG123" s="18">
        <f t="shared" ref="BG123:BI139" si="127">SQRT(($B123-BG$16)^2+($C123-BG$17)^2+($D123-BG$18)^2)</f>
        <v>5.7284057220070377</v>
      </c>
      <c r="BH123" s="18">
        <f t="shared" si="127"/>
        <v>0.38526824991844649</v>
      </c>
      <c r="BI123" s="18">
        <f t="shared" si="127"/>
        <v>2.1944918987764237</v>
      </c>
      <c r="BJ123" s="56">
        <f t="shared" si="115"/>
        <v>2</v>
      </c>
      <c r="BL123" s="18">
        <f t="shared" ref="BL123:BN139" si="128">SQRT(($B123-BL$16)^2+($C123-BL$17)^2+($D123-BL$18)^2)</f>
        <v>5.7284057220070377</v>
      </c>
      <c r="BM123" s="18">
        <f t="shared" si="128"/>
        <v>0.38526824991844649</v>
      </c>
      <c r="BN123" s="18">
        <f t="shared" si="128"/>
        <v>2.1944918987764237</v>
      </c>
      <c r="BO123" s="56">
        <f t="shared" si="116"/>
        <v>2</v>
      </c>
      <c r="BQ123" s="18">
        <f t="shared" ref="BQ123:BS139" si="129">SQRT(($B123-BQ$16)^2+($C123-BQ$17)^2+($D123-BQ$18)^2)</f>
        <v>5.7284057220070377</v>
      </c>
      <c r="BR123" s="18">
        <f t="shared" si="129"/>
        <v>0.38526824991844649</v>
      </c>
      <c r="BS123" s="18">
        <f t="shared" si="129"/>
        <v>2.1944918987764237</v>
      </c>
      <c r="BT123" s="56">
        <f t="shared" si="117"/>
        <v>2</v>
      </c>
      <c r="BV123" s="18">
        <f t="shared" ref="BV123:BX139" si="130">SQRT(($B123-BV$16)^2+($C123-BV$17)^2+($D123-BV$18)^2)</f>
        <v>5.7284057220070377</v>
      </c>
      <c r="BW123" s="18">
        <f t="shared" si="130"/>
        <v>0.38526824991844649</v>
      </c>
      <c r="BX123" s="18">
        <f t="shared" si="130"/>
        <v>2.1944918987764237</v>
      </c>
      <c r="BY123" s="56">
        <f t="shared" si="118"/>
        <v>2</v>
      </c>
      <c r="CA123" s="18">
        <f t="shared" ref="CA123:CC139" si="131">SQRT(($B123-CA$16)^2+($C123-CA$17)^2+($D123-CA$18)^2)</f>
        <v>5.7284057220070377</v>
      </c>
      <c r="CB123" s="18">
        <f t="shared" si="131"/>
        <v>0.38526824991844649</v>
      </c>
      <c r="CC123" s="18">
        <f t="shared" si="131"/>
        <v>2.1944918987764237</v>
      </c>
      <c r="CD123" s="56">
        <f t="shared" si="119"/>
        <v>2</v>
      </c>
    </row>
    <row r="124" spans="1:82" x14ac:dyDescent="0.25">
      <c r="A124" s="36" t="str">
        <f>KMeans_Data!A106</f>
        <v>Toba Tek Singh</v>
      </c>
      <c r="B124" s="18">
        <f>KMeans_Data!H106</f>
        <v>-0.99745100604838388</v>
      </c>
      <c r="C124" s="18">
        <f>KMeans_Data!I106</f>
        <v>-0.67265054538827607</v>
      </c>
      <c r="D124" s="18">
        <f>KMeans_Data!J106</f>
        <v>-1.1456441163335547</v>
      </c>
      <c r="E124" s="56">
        <f t="shared" si="105"/>
        <v>2</v>
      </c>
      <c r="F124" s="38">
        <f t="shared" si="106"/>
        <v>0.29517225515483025</v>
      </c>
      <c r="G124" s="13" t="str">
        <f t="shared" si="107"/>
        <v>Low burden</v>
      </c>
      <c r="H124" s="18">
        <f>IF(COUNTIF(Distance_Matrix!$E$9:$DQ$9,$E124)&lt;=1,0,SUMIF(Distance_Matrix!$E$9:$DQ$9,$E124,Distance_Matrix!$E$115:$DQ$115)/(COUNTIF(Distance_Matrix!$E$9:$DQ$9,$E124)-1))</f>
        <v>0.88880405353997183</v>
      </c>
      <c r="I124" s="18">
        <f>MIN(IF(1=$E124,1E+99,IF(COUNTIF(Distance_Matrix!$E$9:$DQ$9,1)=0,1E+99,SUMIF(Distance_Matrix!$E$9:$DQ$9,1,Distance_Matrix!$E$115:$DQ$115)/COUNTIF(Distance_Matrix!$E$9:$DQ$9,1))),IF(2=$E124,1E+99,IF(COUNTIF(Distance_Matrix!$E$9:$DQ$9,2)=0,1E+99,SUMIF(Distance_Matrix!$E$9:$DQ$9,2,Distance_Matrix!$E$115:$DQ$115)/COUNTIF(Distance_Matrix!$E$9:$DQ$9,2))),IF(3=$E124,1E+99,IF(COUNTIF(Distance_Matrix!$E$9:$DQ$9,3)=0,1E+99,SUMIF(Distance_Matrix!$E$9:$DQ$9,3,Distance_Matrix!$E$115:$DQ$115)/COUNTIF(Distance_Matrix!$E$9:$DQ$9,3))))</f>
        <v>2.7287109110839665</v>
      </c>
      <c r="J124" s="18">
        <f>IF(COUNTIF(Distance_Matrix!$E$9:$DQ$9,$E124)&lt;=1,0,(I124-H124)/MAX(H124,I124))</f>
        <v>0.67427694523092629</v>
      </c>
      <c r="X124" s="18">
        <f t="shared" si="120"/>
        <v>7.7325112391913207</v>
      </c>
      <c r="Y124" s="18">
        <f t="shared" si="120"/>
        <v>1.0822869757549447</v>
      </c>
      <c r="Z124" s="18">
        <f t="shared" si="120"/>
        <v>3.4769782447328597</v>
      </c>
      <c r="AA124" s="56">
        <f t="shared" si="108"/>
        <v>2</v>
      </c>
      <c r="AC124" s="18">
        <f t="shared" si="121"/>
        <v>6.7228014513887091</v>
      </c>
      <c r="AD124" s="18">
        <f t="shared" si="121"/>
        <v>0.39633299387237847</v>
      </c>
      <c r="AE124" s="18">
        <f t="shared" si="121"/>
        <v>2.5144013216042516</v>
      </c>
      <c r="AF124" s="56">
        <f t="shared" si="109"/>
        <v>2</v>
      </c>
      <c r="AH124" s="18">
        <f t="shared" si="122"/>
        <v>6.0908846199130027</v>
      </c>
      <c r="AI124" s="18">
        <f t="shared" si="122"/>
        <v>0.52961597983248043</v>
      </c>
      <c r="AJ124" s="18">
        <f t="shared" si="122"/>
        <v>2.6139225175876284</v>
      </c>
      <c r="AK124" s="56">
        <f t="shared" si="110"/>
        <v>2</v>
      </c>
      <c r="AM124" s="18">
        <f t="shared" si="123"/>
        <v>6.0908846199130027</v>
      </c>
      <c r="AN124" s="18">
        <f t="shared" si="123"/>
        <v>0.54329757514168076</v>
      </c>
      <c r="AO124" s="18">
        <f t="shared" si="123"/>
        <v>2.6378964154618396</v>
      </c>
      <c r="AP124" s="56">
        <f t="shared" si="111"/>
        <v>2</v>
      </c>
      <c r="AR124" s="18">
        <f t="shared" si="124"/>
        <v>6.0908846199130027</v>
      </c>
      <c r="AS124" s="18">
        <f t="shared" si="124"/>
        <v>0.54329757514168076</v>
      </c>
      <c r="AT124" s="18">
        <f t="shared" si="124"/>
        <v>2.6378964154618396</v>
      </c>
      <c r="AU124" s="56">
        <f t="shared" si="112"/>
        <v>2</v>
      </c>
      <c r="AW124" s="18">
        <f t="shared" si="125"/>
        <v>6.0908846199130027</v>
      </c>
      <c r="AX124" s="18">
        <f t="shared" si="125"/>
        <v>0.54329757514168076</v>
      </c>
      <c r="AY124" s="18">
        <f t="shared" si="125"/>
        <v>2.6378964154618396</v>
      </c>
      <c r="AZ124" s="56">
        <f t="shared" si="113"/>
        <v>2</v>
      </c>
      <c r="BB124" s="18">
        <f t="shared" si="126"/>
        <v>6.0908846199130027</v>
      </c>
      <c r="BC124" s="18">
        <f t="shared" si="126"/>
        <v>0.54329757514168076</v>
      </c>
      <c r="BD124" s="18">
        <f t="shared" si="126"/>
        <v>2.6378964154618396</v>
      </c>
      <c r="BE124" s="56">
        <f t="shared" si="114"/>
        <v>2</v>
      </c>
      <c r="BG124" s="18">
        <f t="shared" si="127"/>
        <v>6.0908846199130027</v>
      </c>
      <c r="BH124" s="18">
        <f t="shared" si="127"/>
        <v>0.54329757514168076</v>
      </c>
      <c r="BI124" s="18">
        <f t="shared" si="127"/>
        <v>2.6378964154618396</v>
      </c>
      <c r="BJ124" s="56">
        <f t="shared" si="115"/>
        <v>2</v>
      </c>
      <c r="BL124" s="18">
        <f t="shared" si="128"/>
        <v>6.0908846199130027</v>
      </c>
      <c r="BM124" s="18">
        <f t="shared" si="128"/>
        <v>0.54329757514168076</v>
      </c>
      <c r="BN124" s="18">
        <f t="shared" si="128"/>
        <v>2.6378964154618396</v>
      </c>
      <c r="BO124" s="56">
        <f t="shared" si="116"/>
        <v>2</v>
      </c>
      <c r="BQ124" s="18">
        <f t="shared" si="129"/>
        <v>6.0908846199130027</v>
      </c>
      <c r="BR124" s="18">
        <f t="shared" si="129"/>
        <v>0.54329757514168076</v>
      </c>
      <c r="BS124" s="18">
        <f t="shared" si="129"/>
        <v>2.6378964154618396</v>
      </c>
      <c r="BT124" s="56">
        <f t="shared" si="117"/>
        <v>2</v>
      </c>
      <c r="BV124" s="18">
        <f t="shared" si="130"/>
        <v>6.0908846199130027</v>
      </c>
      <c r="BW124" s="18">
        <f t="shared" si="130"/>
        <v>0.54329757514168076</v>
      </c>
      <c r="BX124" s="18">
        <f t="shared" si="130"/>
        <v>2.6378964154618396</v>
      </c>
      <c r="BY124" s="56">
        <f t="shared" si="118"/>
        <v>2</v>
      </c>
      <c r="CA124" s="18">
        <f t="shared" si="131"/>
        <v>6.0908846199130027</v>
      </c>
      <c r="CB124" s="18">
        <f t="shared" si="131"/>
        <v>0.54329757514168076</v>
      </c>
      <c r="CC124" s="18">
        <f t="shared" si="131"/>
        <v>2.6378964154618396</v>
      </c>
      <c r="CD124" s="56">
        <f t="shared" si="119"/>
        <v>2</v>
      </c>
    </row>
    <row r="125" spans="1:82" x14ac:dyDescent="0.25">
      <c r="A125" s="36" t="str">
        <f>KMeans_Data!A107</f>
        <v>Khanewal</v>
      </c>
      <c r="B125" s="18">
        <f>KMeans_Data!H107</f>
        <v>-0.99745100604838388</v>
      </c>
      <c r="C125" s="18">
        <f>KMeans_Data!I107</f>
        <v>-0.67265054538827607</v>
      </c>
      <c r="D125" s="18">
        <f>KMeans_Data!J107</f>
        <v>-1.1456441163335547</v>
      </c>
      <c r="E125" s="56">
        <f t="shared" si="105"/>
        <v>2</v>
      </c>
      <c r="F125" s="38">
        <f t="shared" si="106"/>
        <v>0.29517225515483025</v>
      </c>
      <c r="G125" s="13" t="str">
        <f t="shared" si="107"/>
        <v>Low burden</v>
      </c>
      <c r="H125" s="18">
        <f>IF(COUNTIF(Distance_Matrix!$E$9:$DQ$9,$E125)&lt;=1,0,SUMIF(Distance_Matrix!$E$9:$DQ$9,$E125,Distance_Matrix!$E$116:$DQ$116)/(COUNTIF(Distance_Matrix!$E$9:$DQ$9,$E125)-1))</f>
        <v>0.88880405353997183</v>
      </c>
      <c r="I125" s="18">
        <f>MIN(IF(1=$E125,1E+99,IF(COUNTIF(Distance_Matrix!$E$9:$DQ$9,1)=0,1E+99,SUMIF(Distance_Matrix!$E$9:$DQ$9,1,Distance_Matrix!$E$116:$DQ$116)/COUNTIF(Distance_Matrix!$E$9:$DQ$9,1))),IF(2=$E125,1E+99,IF(COUNTIF(Distance_Matrix!$E$9:$DQ$9,2)=0,1E+99,SUMIF(Distance_Matrix!$E$9:$DQ$9,2,Distance_Matrix!$E$116:$DQ$116)/COUNTIF(Distance_Matrix!$E$9:$DQ$9,2))),IF(3=$E125,1E+99,IF(COUNTIF(Distance_Matrix!$E$9:$DQ$9,3)=0,1E+99,SUMIF(Distance_Matrix!$E$9:$DQ$9,3,Distance_Matrix!$E$116:$DQ$116)/COUNTIF(Distance_Matrix!$E$9:$DQ$9,3))))</f>
        <v>2.7287109110839665</v>
      </c>
      <c r="J125" s="18">
        <f>IF(COUNTIF(Distance_Matrix!$E$9:$DQ$9,$E125)&lt;=1,0,(I125-H125)/MAX(H125,I125))</f>
        <v>0.67427694523092629</v>
      </c>
      <c r="X125" s="18">
        <f t="shared" si="120"/>
        <v>7.7325112391913207</v>
      </c>
      <c r="Y125" s="18">
        <f t="shared" si="120"/>
        <v>1.0822869757549447</v>
      </c>
      <c r="Z125" s="18">
        <f t="shared" si="120"/>
        <v>3.4769782447328597</v>
      </c>
      <c r="AA125" s="56">
        <f t="shared" si="108"/>
        <v>2</v>
      </c>
      <c r="AC125" s="18">
        <f t="shared" si="121"/>
        <v>6.7228014513887091</v>
      </c>
      <c r="AD125" s="18">
        <f t="shared" si="121"/>
        <v>0.39633299387237847</v>
      </c>
      <c r="AE125" s="18">
        <f t="shared" si="121"/>
        <v>2.5144013216042516</v>
      </c>
      <c r="AF125" s="56">
        <f t="shared" si="109"/>
        <v>2</v>
      </c>
      <c r="AH125" s="18">
        <f t="shared" si="122"/>
        <v>6.0908846199130027</v>
      </c>
      <c r="AI125" s="18">
        <f t="shared" si="122"/>
        <v>0.52961597983248043</v>
      </c>
      <c r="AJ125" s="18">
        <f t="shared" si="122"/>
        <v>2.6139225175876284</v>
      </c>
      <c r="AK125" s="56">
        <f t="shared" si="110"/>
        <v>2</v>
      </c>
      <c r="AM125" s="18">
        <f t="shared" si="123"/>
        <v>6.0908846199130027</v>
      </c>
      <c r="AN125" s="18">
        <f t="shared" si="123"/>
        <v>0.54329757514168076</v>
      </c>
      <c r="AO125" s="18">
        <f t="shared" si="123"/>
        <v>2.6378964154618396</v>
      </c>
      <c r="AP125" s="56">
        <f t="shared" si="111"/>
        <v>2</v>
      </c>
      <c r="AR125" s="18">
        <f t="shared" si="124"/>
        <v>6.0908846199130027</v>
      </c>
      <c r="AS125" s="18">
        <f t="shared" si="124"/>
        <v>0.54329757514168076</v>
      </c>
      <c r="AT125" s="18">
        <f t="shared" si="124"/>
        <v>2.6378964154618396</v>
      </c>
      <c r="AU125" s="56">
        <f t="shared" si="112"/>
        <v>2</v>
      </c>
      <c r="AW125" s="18">
        <f t="shared" si="125"/>
        <v>6.0908846199130027</v>
      </c>
      <c r="AX125" s="18">
        <f t="shared" si="125"/>
        <v>0.54329757514168076</v>
      </c>
      <c r="AY125" s="18">
        <f t="shared" si="125"/>
        <v>2.6378964154618396</v>
      </c>
      <c r="AZ125" s="56">
        <f t="shared" si="113"/>
        <v>2</v>
      </c>
      <c r="BB125" s="18">
        <f t="shared" si="126"/>
        <v>6.0908846199130027</v>
      </c>
      <c r="BC125" s="18">
        <f t="shared" si="126"/>
        <v>0.54329757514168076</v>
      </c>
      <c r="BD125" s="18">
        <f t="shared" si="126"/>
        <v>2.6378964154618396</v>
      </c>
      <c r="BE125" s="56">
        <f t="shared" si="114"/>
        <v>2</v>
      </c>
      <c r="BG125" s="18">
        <f t="shared" si="127"/>
        <v>6.0908846199130027</v>
      </c>
      <c r="BH125" s="18">
        <f t="shared" si="127"/>
        <v>0.54329757514168076</v>
      </c>
      <c r="BI125" s="18">
        <f t="shared" si="127"/>
        <v>2.6378964154618396</v>
      </c>
      <c r="BJ125" s="56">
        <f t="shared" si="115"/>
        <v>2</v>
      </c>
      <c r="BL125" s="18">
        <f t="shared" si="128"/>
        <v>6.0908846199130027</v>
      </c>
      <c r="BM125" s="18">
        <f t="shared" si="128"/>
        <v>0.54329757514168076</v>
      </c>
      <c r="BN125" s="18">
        <f t="shared" si="128"/>
        <v>2.6378964154618396</v>
      </c>
      <c r="BO125" s="56">
        <f t="shared" si="116"/>
        <v>2</v>
      </c>
      <c r="BQ125" s="18">
        <f t="shared" si="129"/>
        <v>6.0908846199130027</v>
      </c>
      <c r="BR125" s="18">
        <f t="shared" si="129"/>
        <v>0.54329757514168076</v>
      </c>
      <c r="BS125" s="18">
        <f t="shared" si="129"/>
        <v>2.6378964154618396</v>
      </c>
      <c r="BT125" s="56">
        <f t="shared" si="117"/>
        <v>2</v>
      </c>
      <c r="BV125" s="18">
        <f t="shared" si="130"/>
        <v>6.0908846199130027</v>
      </c>
      <c r="BW125" s="18">
        <f t="shared" si="130"/>
        <v>0.54329757514168076</v>
      </c>
      <c r="BX125" s="18">
        <f t="shared" si="130"/>
        <v>2.6378964154618396</v>
      </c>
      <c r="BY125" s="56">
        <f t="shared" si="118"/>
        <v>2</v>
      </c>
      <c r="CA125" s="18">
        <f t="shared" si="131"/>
        <v>6.0908846199130027</v>
      </c>
      <c r="CB125" s="18">
        <f t="shared" si="131"/>
        <v>0.54329757514168076</v>
      </c>
      <c r="CC125" s="18">
        <f t="shared" si="131"/>
        <v>2.6378964154618396</v>
      </c>
      <c r="CD125" s="56">
        <f t="shared" si="119"/>
        <v>2</v>
      </c>
    </row>
    <row r="126" spans="1:82" x14ac:dyDescent="0.25">
      <c r="A126" s="36" t="str">
        <f>KMeans_Data!A108</f>
        <v>Tharparkar</v>
      </c>
      <c r="B126" s="18">
        <f>KMeans_Data!H108</f>
        <v>-0.99745100604838388</v>
      </c>
      <c r="C126" s="18">
        <f>KMeans_Data!I108</f>
        <v>-0.67265054538827607</v>
      </c>
      <c r="D126" s="18">
        <f>KMeans_Data!J108</f>
        <v>-0.63655717184154814</v>
      </c>
      <c r="E126" s="56">
        <f t="shared" si="105"/>
        <v>2</v>
      </c>
      <c r="F126" s="38">
        <f t="shared" si="106"/>
        <v>0.14299675105353843</v>
      </c>
      <c r="G126" s="13" t="str">
        <f t="shared" si="107"/>
        <v>Low burden</v>
      </c>
      <c r="H126" s="18">
        <f>IF(COUNTIF(Distance_Matrix!$E$9:$DQ$9,$E126)&lt;=1,0,SUMIF(Distance_Matrix!$E$9:$DQ$9,$E126,Distance_Matrix!$E$117:$DQ$117)/(COUNTIF(Distance_Matrix!$E$9:$DQ$9,$E126)-1))</f>
        <v>0.85174502911220817</v>
      </c>
      <c r="I126" s="18">
        <f>MIN(IF(1=$E126,1E+99,IF(COUNTIF(Distance_Matrix!$E$9:$DQ$9,1)=0,1E+99,SUMIF(Distance_Matrix!$E$9:$DQ$9,1,Distance_Matrix!$E$117:$DQ$117)/COUNTIF(Distance_Matrix!$E$9:$DQ$9,1))),IF(2=$E126,1E+99,IF(COUNTIF(Distance_Matrix!$E$9:$DQ$9,2)=0,1E+99,SUMIF(Distance_Matrix!$E$9:$DQ$9,2,Distance_Matrix!$E$117:$DQ$117)/COUNTIF(Distance_Matrix!$E$9:$DQ$9,2))),IF(3=$E126,1E+99,IF(COUNTIF(Distance_Matrix!$E$9:$DQ$9,3)=0,1E+99,SUMIF(Distance_Matrix!$E$9:$DQ$9,3,Distance_Matrix!$E$117:$DQ$117)/COUNTIF(Distance_Matrix!$E$9:$DQ$9,3))))</f>
        <v>2.408704538770202</v>
      </c>
      <c r="J126" s="18">
        <f>IF(COUNTIF(Distance_Matrix!$E$9:$DQ$9,$E126)&lt;=1,0,(I126-H126)/MAX(H126,I126))</f>
        <v>0.6463887473940334</v>
      </c>
      <c r="X126" s="18">
        <f t="shared" si="120"/>
        <v>7.454703706650184</v>
      </c>
      <c r="Y126" s="18">
        <f t="shared" si="120"/>
        <v>1.1960412262714826</v>
      </c>
      <c r="Z126" s="18">
        <f t="shared" si="120"/>
        <v>3.1120659850710299</v>
      </c>
      <c r="AA126" s="56">
        <f t="shared" si="108"/>
        <v>2</v>
      </c>
      <c r="AC126" s="18">
        <f t="shared" si="121"/>
        <v>6.4619811890408005</v>
      </c>
      <c r="AD126" s="18">
        <f t="shared" si="121"/>
        <v>0.30202461810681669</v>
      </c>
      <c r="AE126" s="18">
        <f t="shared" si="121"/>
        <v>2.1946351766382515</v>
      </c>
      <c r="AF126" s="56">
        <f t="shared" si="109"/>
        <v>2</v>
      </c>
      <c r="AH126" s="18">
        <f t="shared" si="122"/>
        <v>5.828467637515045</v>
      </c>
      <c r="AI126" s="18">
        <f t="shared" si="122"/>
        <v>0.37786512226277863</v>
      </c>
      <c r="AJ126" s="18">
        <f t="shared" si="122"/>
        <v>2.2854844509930996</v>
      </c>
      <c r="AK126" s="56">
        <f t="shared" si="110"/>
        <v>2</v>
      </c>
      <c r="AM126" s="18">
        <f t="shared" si="123"/>
        <v>5.828467637515045</v>
      </c>
      <c r="AN126" s="18">
        <f t="shared" si="123"/>
        <v>0.37814911219456593</v>
      </c>
      <c r="AO126" s="18">
        <f t="shared" si="123"/>
        <v>2.3103409589562012</v>
      </c>
      <c r="AP126" s="56">
        <f t="shared" si="111"/>
        <v>2</v>
      </c>
      <c r="AR126" s="18">
        <f t="shared" si="124"/>
        <v>5.828467637515045</v>
      </c>
      <c r="AS126" s="18">
        <f t="shared" si="124"/>
        <v>0.37814911219456593</v>
      </c>
      <c r="AT126" s="18">
        <f t="shared" si="124"/>
        <v>2.3103409589562012</v>
      </c>
      <c r="AU126" s="56">
        <f t="shared" si="112"/>
        <v>2</v>
      </c>
      <c r="AW126" s="18">
        <f t="shared" si="125"/>
        <v>5.828467637515045</v>
      </c>
      <c r="AX126" s="18">
        <f t="shared" si="125"/>
        <v>0.37814911219456593</v>
      </c>
      <c r="AY126" s="18">
        <f t="shared" si="125"/>
        <v>2.3103409589562012</v>
      </c>
      <c r="AZ126" s="56">
        <f t="shared" si="113"/>
        <v>2</v>
      </c>
      <c r="BB126" s="18">
        <f t="shared" si="126"/>
        <v>5.828467637515045</v>
      </c>
      <c r="BC126" s="18">
        <f t="shared" si="126"/>
        <v>0.37814911219456593</v>
      </c>
      <c r="BD126" s="18">
        <f t="shared" si="126"/>
        <v>2.3103409589562012</v>
      </c>
      <c r="BE126" s="56">
        <f t="shared" si="114"/>
        <v>2</v>
      </c>
      <c r="BG126" s="18">
        <f t="shared" si="127"/>
        <v>5.828467637515045</v>
      </c>
      <c r="BH126" s="18">
        <f t="shared" si="127"/>
        <v>0.37814911219456593</v>
      </c>
      <c r="BI126" s="18">
        <f t="shared" si="127"/>
        <v>2.3103409589562012</v>
      </c>
      <c r="BJ126" s="56">
        <f t="shared" si="115"/>
        <v>2</v>
      </c>
      <c r="BL126" s="18">
        <f t="shared" si="128"/>
        <v>5.828467637515045</v>
      </c>
      <c r="BM126" s="18">
        <f t="shared" si="128"/>
        <v>0.37814911219456593</v>
      </c>
      <c r="BN126" s="18">
        <f t="shared" si="128"/>
        <v>2.3103409589562012</v>
      </c>
      <c r="BO126" s="56">
        <f t="shared" si="116"/>
        <v>2</v>
      </c>
      <c r="BQ126" s="18">
        <f t="shared" si="129"/>
        <v>5.828467637515045</v>
      </c>
      <c r="BR126" s="18">
        <f t="shared" si="129"/>
        <v>0.37814911219456593</v>
      </c>
      <c r="BS126" s="18">
        <f t="shared" si="129"/>
        <v>2.3103409589562012</v>
      </c>
      <c r="BT126" s="56">
        <f t="shared" si="117"/>
        <v>2</v>
      </c>
      <c r="BV126" s="18">
        <f t="shared" si="130"/>
        <v>5.828467637515045</v>
      </c>
      <c r="BW126" s="18">
        <f t="shared" si="130"/>
        <v>0.37814911219456593</v>
      </c>
      <c r="BX126" s="18">
        <f t="shared" si="130"/>
        <v>2.3103409589562012</v>
      </c>
      <c r="BY126" s="56">
        <f t="shared" si="118"/>
        <v>2</v>
      </c>
      <c r="CA126" s="18">
        <f t="shared" si="131"/>
        <v>5.828467637515045</v>
      </c>
      <c r="CB126" s="18">
        <f t="shared" si="131"/>
        <v>0.37814911219456593</v>
      </c>
      <c r="CC126" s="18">
        <f t="shared" si="131"/>
        <v>2.3103409589562012</v>
      </c>
      <c r="CD126" s="56">
        <f t="shared" si="119"/>
        <v>2</v>
      </c>
    </row>
    <row r="127" spans="1:82" x14ac:dyDescent="0.25">
      <c r="A127" s="36" t="str">
        <f>KMeans_Data!A109</f>
        <v>Chakwal</v>
      </c>
      <c r="B127" s="18">
        <f>KMeans_Data!H109</f>
        <v>-1.1471808993548489</v>
      </c>
      <c r="C127" s="18">
        <f>KMeans_Data!I109</f>
        <v>-0.67265054538827607</v>
      </c>
      <c r="D127" s="18">
        <f>KMeans_Data!J109</f>
        <v>-0.82444601589876665</v>
      </c>
      <c r="E127" s="56">
        <f t="shared" si="105"/>
        <v>2</v>
      </c>
      <c r="F127" s="38">
        <f t="shared" si="106"/>
        <v>0.26897186207758539</v>
      </c>
      <c r="G127" s="13" t="str">
        <f t="shared" si="107"/>
        <v>Low burden</v>
      </c>
      <c r="H127" s="18">
        <f>IF(COUNTIF(Distance_Matrix!$E$9:$DQ$9,$E127)&lt;=1,0,SUMIF(Distance_Matrix!$E$9:$DQ$9,$E127,Distance_Matrix!$E$118:$DQ$118)/(COUNTIF(Distance_Matrix!$E$9:$DQ$9,$E127)-1))</f>
        <v>0.89670946352744929</v>
      </c>
      <c r="I127" s="18">
        <f>MIN(IF(1=$E127,1E+99,IF(COUNTIF(Distance_Matrix!$E$9:$DQ$9,1)=0,1E+99,SUMIF(Distance_Matrix!$E$9:$DQ$9,1,Distance_Matrix!$E$118:$DQ$118)/COUNTIF(Distance_Matrix!$E$9:$DQ$9,1))),IF(2=$E127,1E+99,IF(COUNTIF(Distance_Matrix!$E$9:$DQ$9,2)=0,1E+99,SUMIF(Distance_Matrix!$E$9:$DQ$9,2,Distance_Matrix!$E$118:$DQ$118)/COUNTIF(Distance_Matrix!$E$9:$DQ$9,2))),IF(3=$E127,1E+99,IF(COUNTIF(Distance_Matrix!$E$9:$DQ$9,3)=0,1E+99,SUMIF(Distance_Matrix!$E$9:$DQ$9,3,Distance_Matrix!$E$118:$DQ$118)/COUNTIF(Distance_Matrix!$E$9:$DQ$9,3))))</f>
        <v>2.6129759065949028</v>
      </c>
      <c r="J127" s="18">
        <f>IF(COUNTIF(Distance_Matrix!$E$9:$DQ$9,$E127)&lt;=1,0,(I127-H127)/MAX(H127,I127))</f>
        <v>0.65682444248175431</v>
      </c>
      <c r="X127" s="18">
        <f t="shared" si="120"/>
        <v>7.6400948807562985</v>
      </c>
      <c r="Y127" s="18">
        <f t="shared" si="120"/>
        <v>0.98632192095062787</v>
      </c>
      <c r="Z127" s="18">
        <f t="shared" si="120"/>
        <v>3.3382274243213987</v>
      </c>
      <c r="AA127" s="56">
        <f t="shared" si="108"/>
        <v>2</v>
      </c>
      <c r="AC127" s="18">
        <f t="shared" si="121"/>
        <v>6.6429057587372284</v>
      </c>
      <c r="AD127" s="18">
        <f t="shared" si="121"/>
        <v>0.38391365258297983</v>
      </c>
      <c r="AE127" s="18">
        <f t="shared" si="121"/>
        <v>2.4052890909769427</v>
      </c>
      <c r="AF127" s="56">
        <f t="shared" si="109"/>
        <v>2</v>
      </c>
      <c r="AH127" s="18">
        <f t="shared" si="122"/>
        <v>6.0108075561136962</v>
      </c>
      <c r="AI127" s="18">
        <f t="shared" si="122"/>
        <v>0.51214465297728629</v>
      </c>
      <c r="AJ127" s="18">
        <f t="shared" si="122"/>
        <v>2.4960131415320341</v>
      </c>
      <c r="AK127" s="56">
        <f t="shared" si="110"/>
        <v>2</v>
      </c>
      <c r="AM127" s="18">
        <f t="shared" si="123"/>
        <v>6.0108075561136962</v>
      </c>
      <c r="AN127" s="18">
        <f t="shared" si="123"/>
        <v>0.51862497247778705</v>
      </c>
      <c r="AO127" s="18">
        <f t="shared" si="123"/>
        <v>2.520776539796282</v>
      </c>
      <c r="AP127" s="56">
        <f t="shared" si="111"/>
        <v>2</v>
      </c>
      <c r="AR127" s="18">
        <f t="shared" si="124"/>
        <v>6.0108075561136962</v>
      </c>
      <c r="AS127" s="18">
        <f t="shared" si="124"/>
        <v>0.51862497247778705</v>
      </c>
      <c r="AT127" s="18">
        <f t="shared" si="124"/>
        <v>2.520776539796282</v>
      </c>
      <c r="AU127" s="56">
        <f t="shared" si="112"/>
        <v>2</v>
      </c>
      <c r="AW127" s="18">
        <f t="shared" si="125"/>
        <v>6.0108075561136962</v>
      </c>
      <c r="AX127" s="18">
        <f t="shared" si="125"/>
        <v>0.51862497247778705</v>
      </c>
      <c r="AY127" s="18">
        <f t="shared" si="125"/>
        <v>2.520776539796282</v>
      </c>
      <c r="AZ127" s="56">
        <f t="shared" si="113"/>
        <v>2</v>
      </c>
      <c r="BB127" s="18">
        <f t="shared" si="126"/>
        <v>6.0108075561136962</v>
      </c>
      <c r="BC127" s="18">
        <f t="shared" si="126"/>
        <v>0.51862497247778705</v>
      </c>
      <c r="BD127" s="18">
        <f t="shared" si="126"/>
        <v>2.520776539796282</v>
      </c>
      <c r="BE127" s="56">
        <f t="shared" si="114"/>
        <v>2</v>
      </c>
      <c r="BG127" s="18">
        <f t="shared" si="127"/>
        <v>6.0108075561136962</v>
      </c>
      <c r="BH127" s="18">
        <f t="shared" si="127"/>
        <v>0.51862497247778705</v>
      </c>
      <c r="BI127" s="18">
        <f t="shared" si="127"/>
        <v>2.520776539796282</v>
      </c>
      <c r="BJ127" s="56">
        <f t="shared" si="115"/>
        <v>2</v>
      </c>
      <c r="BL127" s="18">
        <f t="shared" si="128"/>
        <v>6.0108075561136962</v>
      </c>
      <c r="BM127" s="18">
        <f t="shared" si="128"/>
        <v>0.51862497247778705</v>
      </c>
      <c r="BN127" s="18">
        <f t="shared" si="128"/>
        <v>2.520776539796282</v>
      </c>
      <c r="BO127" s="56">
        <f t="shared" si="116"/>
        <v>2</v>
      </c>
      <c r="BQ127" s="18">
        <f t="shared" si="129"/>
        <v>6.0108075561136962</v>
      </c>
      <c r="BR127" s="18">
        <f t="shared" si="129"/>
        <v>0.51862497247778705</v>
      </c>
      <c r="BS127" s="18">
        <f t="shared" si="129"/>
        <v>2.520776539796282</v>
      </c>
      <c r="BT127" s="56">
        <f t="shared" si="117"/>
        <v>2</v>
      </c>
      <c r="BV127" s="18">
        <f t="shared" si="130"/>
        <v>6.0108075561136962</v>
      </c>
      <c r="BW127" s="18">
        <f t="shared" si="130"/>
        <v>0.51862497247778705</v>
      </c>
      <c r="BX127" s="18">
        <f t="shared" si="130"/>
        <v>2.520776539796282</v>
      </c>
      <c r="BY127" s="56">
        <f t="shared" si="118"/>
        <v>2</v>
      </c>
      <c r="CA127" s="18">
        <f t="shared" si="131"/>
        <v>6.0108075561136962</v>
      </c>
      <c r="CB127" s="18">
        <f t="shared" si="131"/>
        <v>0.51862497247778705</v>
      </c>
      <c r="CC127" s="18">
        <f t="shared" si="131"/>
        <v>2.520776539796282</v>
      </c>
      <c r="CD127" s="56">
        <f t="shared" si="119"/>
        <v>2</v>
      </c>
    </row>
    <row r="128" spans="1:82" x14ac:dyDescent="0.25">
      <c r="A128" s="36" t="str">
        <f>KMeans_Data!A110</f>
        <v>Pishin</v>
      </c>
      <c r="B128" s="18">
        <f>KMeans_Data!H110</f>
        <v>-1.3582133313000322</v>
      </c>
      <c r="C128" s="18">
        <f>KMeans_Data!I110</f>
        <v>-0.67265054538827607</v>
      </c>
      <c r="D128" s="18">
        <f>KMeans_Data!J110</f>
        <v>-1.1456441163335547</v>
      </c>
      <c r="E128" s="56">
        <f t="shared" si="105"/>
        <v>2</v>
      </c>
      <c r="F128" s="38">
        <f t="shared" si="106"/>
        <v>0.68491791387117718</v>
      </c>
      <c r="G128" s="13" t="str">
        <f t="shared" si="107"/>
        <v>Low burden</v>
      </c>
      <c r="H128" s="18">
        <f>IF(COUNTIF(Distance_Matrix!$E$9:$DQ$9,$E128)&lt;=1,0,SUMIF(Distance_Matrix!$E$9:$DQ$9,$E128,Distance_Matrix!$E$119:$DQ$119)/(COUNTIF(Distance_Matrix!$E$9:$DQ$9,$E128)-1))</f>
        <v>1.0436937677243303</v>
      </c>
      <c r="I128" s="18">
        <f>MIN(IF(1=$E128,1E+99,IF(COUNTIF(Distance_Matrix!$E$9:$DQ$9,1)=0,1E+99,SUMIF(Distance_Matrix!$E$9:$DQ$9,1,Distance_Matrix!$E$119:$DQ$119)/COUNTIF(Distance_Matrix!$E$9:$DQ$9,1))),IF(2=$E128,1E+99,IF(COUNTIF(Distance_Matrix!$E$9:$DQ$9,2)=0,1E+99,SUMIF(Distance_Matrix!$E$9:$DQ$9,2,Distance_Matrix!$E$119:$DQ$119)/COUNTIF(Distance_Matrix!$E$9:$DQ$9,2))),IF(3=$E128,1E+99,IF(COUNTIF(Distance_Matrix!$E$9:$DQ$9,3)=0,1E+99,SUMIF(Distance_Matrix!$E$9:$DQ$9,3,Distance_Matrix!$E$119:$DQ$119)/COUNTIF(Distance_Matrix!$E$9:$DQ$9,3))))</f>
        <v>2.9452840850939608</v>
      </c>
      <c r="J128" s="18">
        <f>IF(COUNTIF(Distance_Matrix!$E$9:$DQ$9,$E128)&lt;=1,0,(I128-H128)/MAX(H128,I128))</f>
        <v>0.64563901560245107</v>
      </c>
      <c r="X128" s="18">
        <f t="shared" si="120"/>
        <v>7.9375096538498271</v>
      </c>
      <c r="Y128" s="18">
        <f t="shared" si="120"/>
        <v>0.72152465050329639</v>
      </c>
      <c r="Z128" s="18">
        <f t="shared" si="120"/>
        <v>3.6996860383442045</v>
      </c>
      <c r="AA128" s="56">
        <f t="shared" si="108"/>
        <v>2</v>
      </c>
      <c r="AC128" s="18">
        <f t="shared" si="121"/>
        <v>6.9334217403420313</v>
      </c>
      <c r="AD128" s="18">
        <f t="shared" si="121"/>
        <v>0.67482768663361381</v>
      </c>
      <c r="AE128" s="18">
        <f t="shared" si="121"/>
        <v>2.7458052000544622</v>
      </c>
      <c r="AF128" s="56">
        <f t="shared" si="109"/>
        <v>2</v>
      </c>
      <c r="AH128" s="18">
        <f t="shared" si="122"/>
        <v>6.3039978308574351</v>
      </c>
      <c r="AI128" s="18">
        <f t="shared" si="122"/>
        <v>0.81702158148719028</v>
      </c>
      <c r="AJ128" s="18">
        <f t="shared" si="122"/>
        <v>2.8370098934532817</v>
      </c>
      <c r="AK128" s="56">
        <f t="shared" si="110"/>
        <v>2</v>
      </c>
      <c r="AM128" s="18">
        <f t="shared" si="123"/>
        <v>6.3039978308574351</v>
      </c>
      <c r="AN128" s="18">
        <f t="shared" si="123"/>
        <v>0.82759767633263515</v>
      </c>
      <c r="AO128" s="18">
        <f t="shared" si="123"/>
        <v>2.8615100641952163</v>
      </c>
      <c r="AP128" s="56">
        <f t="shared" si="111"/>
        <v>2</v>
      </c>
      <c r="AR128" s="18">
        <f t="shared" si="124"/>
        <v>6.3039978308574351</v>
      </c>
      <c r="AS128" s="18">
        <f t="shared" si="124"/>
        <v>0.82759767633263515</v>
      </c>
      <c r="AT128" s="18">
        <f t="shared" si="124"/>
        <v>2.8615100641952163</v>
      </c>
      <c r="AU128" s="56">
        <f t="shared" si="112"/>
        <v>2</v>
      </c>
      <c r="AW128" s="18">
        <f t="shared" si="125"/>
        <v>6.3039978308574351</v>
      </c>
      <c r="AX128" s="18">
        <f t="shared" si="125"/>
        <v>0.82759767633263515</v>
      </c>
      <c r="AY128" s="18">
        <f t="shared" si="125"/>
        <v>2.8615100641952163</v>
      </c>
      <c r="AZ128" s="56">
        <f t="shared" si="113"/>
        <v>2</v>
      </c>
      <c r="BB128" s="18">
        <f t="shared" si="126"/>
        <v>6.3039978308574351</v>
      </c>
      <c r="BC128" s="18">
        <f t="shared" si="126"/>
        <v>0.82759767633263515</v>
      </c>
      <c r="BD128" s="18">
        <f t="shared" si="126"/>
        <v>2.8615100641952163</v>
      </c>
      <c r="BE128" s="56">
        <f t="shared" si="114"/>
        <v>2</v>
      </c>
      <c r="BG128" s="18">
        <f t="shared" si="127"/>
        <v>6.3039978308574351</v>
      </c>
      <c r="BH128" s="18">
        <f t="shared" si="127"/>
        <v>0.82759767633263515</v>
      </c>
      <c r="BI128" s="18">
        <f t="shared" si="127"/>
        <v>2.8615100641952163</v>
      </c>
      <c r="BJ128" s="56">
        <f t="shared" si="115"/>
        <v>2</v>
      </c>
      <c r="BL128" s="18">
        <f t="shared" si="128"/>
        <v>6.3039978308574351</v>
      </c>
      <c r="BM128" s="18">
        <f t="shared" si="128"/>
        <v>0.82759767633263515</v>
      </c>
      <c r="BN128" s="18">
        <f t="shared" si="128"/>
        <v>2.8615100641952163</v>
      </c>
      <c r="BO128" s="56">
        <f t="shared" si="116"/>
        <v>2</v>
      </c>
      <c r="BQ128" s="18">
        <f t="shared" si="129"/>
        <v>6.3039978308574351</v>
      </c>
      <c r="BR128" s="18">
        <f t="shared" si="129"/>
        <v>0.82759767633263515</v>
      </c>
      <c r="BS128" s="18">
        <f t="shared" si="129"/>
        <v>2.8615100641952163</v>
      </c>
      <c r="BT128" s="56">
        <f t="shared" si="117"/>
        <v>2</v>
      </c>
      <c r="BV128" s="18">
        <f t="shared" si="130"/>
        <v>6.3039978308574351</v>
      </c>
      <c r="BW128" s="18">
        <f t="shared" si="130"/>
        <v>0.82759767633263515</v>
      </c>
      <c r="BX128" s="18">
        <f t="shared" si="130"/>
        <v>2.8615100641952163</v>
      </c>
      <c r="BY128" s="56">
        <f t="shared" si="118"/>
        <v>2</v>
      </c>
      <c r="CA128" s="18">
        <f t="shared" si="131"/>
        <v>6.3039978308574351</v>
      </c>
      <c r="CB128" s="18">
        <f t="shared" si="131"/>
        <v>0.82759767633263515</v>
      </c>
      <c r="CC128" s="18">
        <f t="shared" si="131"/>
        <v>2.8615100641952163</v>
      </c>
      <c r="CD128" s="56">
        <f t="shared" si="119"/>
        <v>2</v>
      </c>
    </row>
    <row r="129" spans="1:82" x14ac:dyDescent="0.25">
      <c r="A129" s="36" t="str">
        <f>KMeans_Data!A111</f>
        <v>Kohistan Lower</v>
      </c>
      <c r="B129" s="18">
        <f>KMeans_Data!H111</f>
        <v>-1.507943224606497</v>
      </c>
      <c r="C129" s="18">
        <f>KMeans_Data!I111</f>
        <v>-0.67265054538827607</v>
      </c>
      <c r="D129" s="18">
        <f>KMeans_Data!J111</f>
        <v>-1.1456441163335547</v>
      </c>
      <c r="E129" s="56">
        <f t="shared" si="105"/>
        <v>2</v>
      </c>
      <c r="F129" s="38">
        <f t="shared" si="106"/>
        <v>0.92311292283808211</v>
      </c>
      <c r="G129" s="13" t="str">
        <f t="shared" si="107"/>
        <v>Low burden</v>
      </c>
      <c r="H129" s="18">
        <f>IF(COUNTIF(Distance_Matrix!$E$9:$DQ$9,$E129)&lt;=1,0,SUMIF(Distance_Matrix!$E$9:$DQ$9,$E129,Distance_Matrix!$E$120:$DQ$120)/(COUNTIF(Distance_Matrix!$E$9:$DQ$9,$E129)-1))</f>
        <v>1.1225095026216503</v>
      </c>
      <c r="I129" s="18">
        <f>MIN(IF(1=$E129,1E+99,IF(COUNTIF(Distance_Matrix!$E$9:$DQ$9,1)=0,1E+99,SUMIF(Distance_Matrix!$E$9:$DQ$9,1,Distance_Matrix!$E$120:$DQ$120)/COUNTIF(Distance_Matrix!$E$9:$DQ$9,1))),IF(2=$E129,1E+99,IF(COUNTIF(Distance_Matrix!$E$9:$DQ$9,2)=0,1E+99,SUMIF(Distance_Matrix!$E$9:$DQ$9,2,Distance_Matrix!$E$120:$DQ$120)/COUNTIF(Distance_Matrix!$E$9:$DQ$9,2))),IF(3=$E129,1E+99,IF(COUNTIF(Distance_Matrix!$E$9:$DQ$9,3)=0,1E+99,SUMIF(Distance_Matrix!$E$9:$DQ$9,3,Distance_Matrix!$E$120:$DQ$120)/COUNTIF(Distance_Matrix!$E$9:$DQ$9,3))))</f>
        <v>3.0434738996009822</v>
      </c>
      <c r="J129" s="18">
        <f>IF(COUNTIF(Distance_Matrix!$E$9:$DQ$9,$E129)&lt;=1,0,(I129-H129)/MAX(H129,I129))</f>
        <v>0.63117492061659608</v>
      </c>
      <c r="X129" s="18">
        <f t="shared" si="120"/>
        <v>8.0258166331110399</v>
      </c>
      <c r="Y129" s="18">
        <f t="shared" si="120"/>
        <v>0.57179475719683159</v>
      </c>
      <c r="Z129" s="18">
        <f t="shared" si="120"/>
        <v>3.7983505335880898</v>
      </c>
      <c r="AA129" s="56">
        <f t="shared" si="108"/>
        <v>2</v>
      </c>
      <c r="AC129" s="18">
        <f t="shared" si="121"/>
        <v>7.0244242517223938</v>
      </c>
      <c r="AD129" s="18">
        <f t="shared" si="121"/>
        <v>0.80971553825229825</v>
      </c>
      <c r="AE129" s="18">
        <f t="shared" si="121"/>
        <v>2.8497507165499099</v>
      </c>
      <c r="AF129" s="56">
        <f t="shared" si="109"/>
        <v>2</v>
      </c>
      <c r="AH129" s="18">
        <f t="shared" si="122"/>
        <v>6.3963389238715429</v>
      </c>
      <c r="AI129" s="18">
        <f t="shared" si="122"/>
        <v>0.95110076359500095</v>
      </c>
      <c r="AJ129" s="18">
        <f t="shared" si="122"/>
        <v>2.9376454649140671</v>
      </c>
      <c r="AK129" s="56">
        <f t="shared" si="110"/>
        <v>2</v>
      </c>
      <c r="AM129" s="18">
        <f t="shared" si="123"/>
        <v>6.3963389238715429</v>
      </c>
      <c r="AN129" s="18">
        <f t="shared" si="123"/>
        <v>0.96078765751756101</v>
      </c>
      <c r="AO129" s="18">
        <f t="shared" si="123"/>
        <v>2.9622736170221744</v>
      </c>
      <c r="AP129" s="56">
        <f t="shared" si="111"/>
        <v>2</v>
      </c>
      <c r="AR129" s="18">
        <f t="shared" si="124"/>
        <v>6.3963389238715429</v>
      </c>
      <c r="AS129" s="18">
        <f t="shared" si="124"/>
        <v>0.96078765751756101</v>
      </c>
      <c r="AT129" s="18">
        <f t="shared" si="124"/>
        <v>2.9622736170221744</v>
      </c>
      <c r="AU129" s="56">
        <f t="shared" si="112"/>
        <v>2</v>
      </c>
      <c r="AW129" s="18">
        <f t="shared" si="125"/>
        <v>6.3963389238715429</v>
      </c>
      <c r="AX129" s="18">
        <f t="shared" si="125"/>
        <v>0.96078765751756101</v>
      </c>
      <c r="AY129" s="18">
        <f t="shared" si="125"/>
        <v>2.9622736170221744</v>
      </c>
      <c r="AZ129" s="56">
        <f t="shared" si="113"/>
        <v>2</v>
      </c>
      <c r="BB129" s="18">
        <f t="shared" si="126"/>
        <v>6.3963389238715429</v>
      </c>
      <c r="BC129" s="18">
        <f t="shared" si="126"/>
        <v>0.96078765751756101</v>
      </c>
      <c r="BD129" s="18">
        <f t="shared" si="126"/>
        <v>2.9622736170221744</v>
      </c>
      <c r="BE129" s="56">
        <f t="shared" si="114"/>
        <v>2</v>
      </c>
      <c r="BG129" s="18">
        <f t="shared" si="127"/>
        <v>6.3963389238715429</v>
      </c>
      <c r="BH129" s="18">
        <f t="shared" si="127"/>
        <v>0.96078765751756101</v>
      </c>
      <c r="BI129" s="18">
        <f t="shared" si="127"/>
        <v>2.9622736170221744</v>
      </c>
      <c r="BJ129" s="56">
        <f t="shared" si="115"/>
        <v>2</v>
      </c>
      <c r="BL129" s="18">
        <f t="shared" si="128"/>
        <v>6.3963389238715429</v>
      </c>
      <c r="BM129" s="18">
        <f t="shared" si="128"/>
        <v>0.96078765751756101</v>
      </c>
      <c r="BN129" s="18">
        <f t="shared" si="128"/>
        <v>2.9622736170221744</v>
      </c>
      <c r="BO129" s="56">
        <f t="shared" si="116"/>
        <v>2</v>
      </c>
      <c r="BQ129" s="18">
        <f t="shared" si="129"/>
        <v>6.3963389238715429</v>
      </c>
      <c r="BR129" s="18">
        <f t="shared" si="129"/>
        <v>0.96078765751756101</v>
      </c>
      <c r="BS129" s="18">
        <f t="shared" si="129"/>
        <v>2.9622736170221744</v>
      </c>
      <c r="BT129" s="56">
        <f t="shared" si="117"/>
        <v>2</v>
      </c>
      <c r="BV129" s="18">
        <f t="shared" si="130"/>
        <v>6.3963389238715429</v>
      </c>
      <c r="BW129" s="18">
        <f t="shared" si="130"/>
        <v>0.96078765751756101</v>
      </c>
      <c r="BX129" s="18">
        <f t="shared" si="130"/>
        <v>2.9622736170221744</v>
      </c>
      <c r="BY129" s="56">
        <f t="shared" si="118"/>
        <v>2</v>
      </c>
      <c r="CA129" s="18">
        <f t="shared" si="131"/>
        <v>6.3963389238715429</v>
      </c>
      <c r="CB129" s="18">
        <f t="shared" si="131"/>
        <v>0.96078765751756101</v>
      </c>
      <c r="CC129" s="18">
        <f t="shared" si="131"/>
        <v>2.9622736170221744</v>
      </c>
      <c r="CD129" s="56">
        <f t="shared" si="119"/>
        <v>2</v>
      </c>
    </row>
    <row r="130" spans="1:82" x14ac:dyDescent="0.25">
      <c r="A130" s="36" t="str">
        <f>KMeans_Data!A112</f>
        <v>Bhambore</v>
      </c>
      <c r="B130" s="18">
        <f>KMeans_Data!H112</f>
        <v>-1.507943224606497</v>
      </c>
      <c r="C130" s="18">
        <f>KMeans_Data!I112</f>
        <v>-0.67265054538827607</v>
      </c>
      <c r="D130" s="18">
        <f>KMeans_Data!J112</f>
        <v>-1.1456441163335547</v>
      </c>
      <c r="E130" s="56">
        <f t="shared" si="105"/>
        <v>2</v>
      </c>
      <c r="F130" s="38">
        <f t="shared" si="106"/>
        <v>0.92311292283808211</v>
      </c>
      <c r="G130" s="13" t="str">
        <f t="shared" si="107"/>
        <v>Low burden</v>
      </c>
      <c r="H130" s="18">
        <f>IF(COUNTIF(Distance_Matrix!$E$9:$DQ$9,$E130)&lt;=1,0,SUMIF(Distance_Matrix!$E$9:$DQ$9,$E130,Distance_Matrix!$E$121:$DQ$121)/(COUNTIF(Distance_Matrix!$E$9:$DQ$9,$E130)-1))</f>
        <v>1.1225095026216503</v>
      </c>
      <c r="I130" s="18">
        <f>MIN(IF(1=$E130,1E+99,IF(COUNTIF(Distance_Matrix!$E$9:$DQ$9,1)=0,1E+99,SUMIF(Distance_Matrix!$E$9:$DQ$9,1,Distance_Matrix!$E$121:$DQ$121)/COUNTIF(Distance_Matrix!$E$9:$DQ$9,1))),IF(2=$E130,1E+99,IF(COUNTIF(Distance_Matrix!$E$9:$DQ$9,2)=0,1E+99,SUMIF(Distance_Matrix!$E$9:$DQ$9,2,Distance_Matrix!$E$121:$DQ$121)/COUNTIF(Distance_Matrix!$E$9:$DQ$9,2))),IF(3=$E130,1E+99,IF(COUNTIF(Distance_Matrix!$E$9:$DQ$9,3)=0,1E+99,SUMIF(Distance_Matrix!$E$9:$DQ$9,3,Distance_Matrix!$E$121:$DQ$121)/COUNTIF(Distance_Matrix!$E$9:$DQ$9,3))))</f>
        <v>3.0434738996009822</v>
      </c>
      <c r="J130" s="18">
        <f>IF(COUNTIF(Distance_Matrix!$E$9:$DQ$9,$E130)&lt;=1,0,(I130-H130)/MAX(H130,I130))</f>
        <v>0.63117492061659608</v>
      </c>
      <c r="X130" s="18">
        <f t="shared" si="120"/>
        <v>8.0258166331110399</v>
      </c>
      <c r="Y130" s="18">
        <f t="shared" si="120"/>
        <v>0.57179475719683159</v>
      </c>
      <c r="Z130" s="18">
        <f t="shared" si="120"/>
        <v>3.7983505335880898</v>
      </c>
      <c r="AA130" s="56">
        <f t="shared" si="108"/>
        <v>2</v>
      </c>
      <c r="AC130" s="18">
        <f t="shared" si="121"/>
        <v>7.0244242517223938</v>
      </c>
      <c r="AD130" s="18">
        <f t="shared" si="121"/>
        <v>0.80971553825229825</v>
      </c>
      <c r="AE130" s="18">
        <f t="shared" si="121"/>
        <v>2.8497507165499099</v>
      </c>
      <c r="AF130" s="56">
        <f t="shared" si="109"/>
        <v>2</v>
      </c>
      <c r="AH130" s="18">
        <f t="shared" si="122"/>
        <v>6.3963389238715429</v>
      </c>
      <c r="AI130" s="18">
        <f t="shared" si="122"/>
        <v>0.95110076359500095</v>
      </c>
      <c r="AJ130" s="18">
        <f t="shared" si="122"/>
        <v>2.9376454649140671</v>
      </c>
      <c r="AK130" s="56">
        <f t="shared" si="110"/>
        <v>2</v>
      </c>
      <c r="AM130" s="18">
        <f t="shared" si="123"/>
        <v>6.3963389238715429</v>
      </c>
      <c r="AN130" s="18">
        <f t="shared" si="123"/>
        <v>0.96078765751756101</v>
      </c>
      <c r="AO130" s="18">
        <f t="shared" si="123"/>
        <v>2.9622736170221744</v>
      </c>
      <c r="AP130" s="56">
        <f t="shared" si="111"/>
        <v>2</v>
      </c>
      <c r="AR130" s="18">
        <f t="shared" si="124"/>
        <v>6.3963389238715429</v>
      </c>
      <c r="AS130" s="18">
        <f t="shared" si="124"/>
        <v>0.96078765751756101</v>
      </c>
      <c r="AT130" s="18">
        <f t="shared" si="124"/>
        <v>2.9622736170221744</v>
      </c>
      <c r="AU130" s="56">
        <f t="shared" si="112"/>
        <v>2</v>
      </c>
      <c r="AW130" s="18">
        <f t="shared" si="125"/>
        <v>6.3963389238715429</v>
      </c>
      <c r="AX130" s="18">
        <f t="shared" si="125"/>
        <v>0.96078765751756101</v>
      </c>
      <c r="AY130" s="18">
        <f t="shared" si="125"/>
        <v>2.9622736170221744</v>
      </c>
      <c r="AZ130" s="56">
        <f t="shared" si="113"/>
        <v>2</v>
      </c>
      <c r="BB130" s="18">
        <f t="shared" si="126"/>
        <v>6.3963389238715429</v>
      </c>
      <c r="BC130" s="18">
        <f t="shared" si="126"/>
        <v>0.96078765751756101</v>
      </c>
      <c r="BD130" s="18">
        <f t="shared" si="126"/>
        <v>2.9622736170221744</v>
      </c>
      <c r="BE130" s="56">
        <f t="shared" si="114"/>
        <v>2</v>
      </c>
      <c r="BG130" s="18">
        <f t="shared" si="127"/>
        <v>6.3963389238715429</v>
      </c>
      <c r="BH130" s="18">
        <f t="shared" si="127"/>
        <v>0.96078765751756101</v>
      </c>
      <c r="BI130" s="18">
        <f t="shared" si="127"/>
        <v>2.9622736170221744</v>
      </c>
      <c r="BJ130" s="56">
        <f t="shared" si="115"/>
        <v>2</v>
      </c>
      <c r="BL130" s="18">
        <f t="shared" si="128"/>
        <v>6.3963389238715429</v>
      </c>
      <c r="BM130" s="18">
        <f t="shared" si="128"/>
        <v>0.96078765751756101</v>
      </c>
      <c r="BN130" s="18">
        <f t="shared" si="128"/>
        <v>2.9622736170221744</v>
      </c>
      <c r="BO130" s="56">
        <f t="shared" si="116"/>
        <v>2</v>
      </c>
      <c r="BQ130" s="18">
        <f t="shared" si="129"/>
        <v>6.3963389238715429</v>
      </c>
      <c r="BR130" s="18">
        <f t="shared" si="129"/>
        <v>0.96078765751756101</v>
      </c>
      <c r="BS130" s="18">
        <f t="shared" si="129"/>
        <v>2.9622736170221744</v>
      </c>
      <c r="BT130" s="56">
        <f t="shared" si="117"/>
        <v>2</v>
      </c>
      <c r="BV130" s="18">
        <f t="shared" si="130"/>
        <v>6.3963389238715429</v>
      </c>
      <c r="BW130" s="18">
        <f t="shared" si="130"/>
        <v>0.96078765751756101</v>
      </c>
      <c r="BX130" s="18">
        <f t="shared" si="130"/>
        <v>2.9622736170221744</v>
      </c>
      <c r="BY130" s="56">
        <f t="shared" si="118"/>
        <v>2</v>
      </c>
      <c r="CA130" s="18">
        <f t="shared" si="131"/>
        <v>6.3963389238715429</v>
      </c>
      <c r="CB130" s="18">
        <f t="shared" si="131"/>
        <v>0.96078765751756101</v>
      </c>
      <c r="CC130" s="18">
        <f t="shared" si="131"/>
        <v>2.9622736170221744</v>
      </c>
      <c r="CD130" s="56">
        <f t="shared" si="119"/>
        <v>2</v>
      </c>
    </row>
    <row r="131" spans="1:82" x14ac:dyDescent="0.25">
      <c r="A131" s="36" t="str">
        <f>KMeans_Data!A113</f>
        <v>Jhang</v>
      </c>
      <c r="B131" s="18">
        <f>KMeans_Data!H113</f>
        <v>-1.507943224606497</v>
      </c>
      <c r="C131" s="18">
        <f>KMeans_Data!I113</f>
        <v>-0.67265054538827607</v>
      </c>
      <c r="D131" s="18">
        <f>KMeans_Data!J113</f>
        <v>-1.1456441163335547</v>
      </c>
      <c r="E131" s="56">
        <f t="shared" si="105"/>
        <v>2</v>
      </c>
      <c r="F131" s="38">
        <f t="shared" si="106"/>
        <v>0.92311292283808211</v>
      </c>
      <c r="G131" s="13" t="str">
        <f t="shared" si="107"/>
        <v>Low burden</v>
      </c>
      <c r="H131" s="18">
        <f>IF(COUNTIF(Distance_Matrix!$E$9:$DQ$9,$E131)&lt;=1,0,SUMIF(Distance_Matrix!$E$9:$DQ$9,$E131,Distance_Matrix!$E$122:$DQ$122)/(COUNTIF(Distance_Matrix!$E$9:$DQ$9,$E131)-1))</f>
        <v>1.1225095026216503</v>
      </c>
      <c r="I131" s="18">
        <f>MIN(IF(1=$E131,1E+99,IF(COUNTIF(Distance_Matrix!$E$9:$DQ$9,1)=0,1E+99,SUMIF(Distance_Matrix!$E$9:$DQ$9,1,Distance_Matrix!$E$122:$DQ$122)/COUNTIF(Distance_Matrix!$E$9:$DQ$9,1))),IF(2=$E131,1E+99,IF(COUNTIF(Distance_Matrix!$E$9:$DQ$9,2)=0,1E+99,SUMIF(Distance_Matrix!$E$9:$DQ$9,2,Distance_Matrix!$E$122:$DQ$122)/COUNTIF(Distance_Matrix!$E$9:$DQ$9,2))),IF(3=$E131,1E+99,IF(COUNTIF(Distance_Matrix!$E$9:$DQ$9,3)=0,1E+99,SUMIF(Distance_Matrix!$E$9:$DQ$9,3,Distance_Matrix!$E$122:$DQ$122)/COUNTIF(Distance_Matrix!$E$9:$DQ$9,3))))</f>
        <v>3.0434738996009822</v>
      </c>
      <c r="J131" s="18">
        <f>IF(COUNTIF(Distance_Matrix!$E$9:$DQ$9,$E131)&lt;=1,0,(I131-H131)/MAX(H131,I131))</f>
        <v>0.63117492061659608</v>
      </c>
      <c r="X131" s="18">
        <f t="shared" si="120"/>
        <v>8.0258166331110399</v>
      </c>
      <c r="Y131" s="18">
        <f t="shared" si="120"/>
        <v>0.57179475719683159</v>
      </c>
      <c r="Z131" s="18">
        <f t="shared" si="120"/>
        <v>3.7983505335880898</v>
      </c>
      <c r="AA131" s="56">
        <f t="shared" si="108"/>
        <v>2</v>
      </c>
      <c r="AC131" s="18">
        <f t="shared" si="121"/>
        <v>7.0244242517223938</v>
      </c>
      <c r="AD131" s="18">
        <f t="shared" si="121"/>
        <v>0.80971553825229825</v>
      </c>
      <c r="AE131" s="18">
        <f t="shared" si="121"/>
        <v>2.8497507165499099</v>
      </c>
      <c r="AF131" s="56">
        <f t="shared" si="109"/>
        <v>2</v>
      </c>
      <c r="AH131" s="18">
        <f t="shared" si="122"/>
        <v>6.3963389238715429</v>
      </c>
      <c r="AI131" s="18">
        <f t="shared" si="122"/>
        <v>0.95110076359500095</v>
      </c>
      <c r="AJ131" s="18">
        <f t="shared" si="122"/>
        <v>2.9376454649140671</v>
      </c>
      <c r="AK131" s="56">
        <f t="shared" si="110"/>
        <v>2</v>
      </c>
      <c r="AM131" s="18">
        <f t="shared" si="123"/>
        <v>6.3963389238715429</v>
      </c>
      <c r="AN131" s="18">
        <f t="shared" si="123"/>
        <v>0.96078765751756101</v>
      </c>
      <c r="AO131" s="18">
        <f t="shared" si="123"/>
        <v>2.9622736170221744</v>
      </c>
      <c r="AP131" s="56">
        <f t="shared" si="111"/>
        <v>2</v>
      </c>
      <c r="AR131" s="18">
        <f t="shared" si="124"/>
        <v>6.3963389238715429</v>
      </c>
      <c r="AS131" s="18">
        <f t="shared" si="124"/>
        <v>0.96078765751756101</v>
      </c>
      <c r="AT131" s="18">
        <f t="shared" si="124"/>
        <v>2.9622736170221744</v>
      </c>
      <c r="AU131" s="56">
        <f t="shared" si="112"/>
        <v>2</v>
      </c>
      <c r="AW131" s="18">
        <f t="shared" si="125"/>
        <v>6.3963389238715429</v>
      </c>
      <c r="AX131" s="18">
        <f t="shared" si="125"/>
        <v>0.96078765751756101</v>
      </c>
      <c r="AY131" s="18">
        <f t="shared" si="125"/>
        <v>2.9622736170221744</v>
      </c>
      <c r="AZ131" s="56">
        <f t="shared" si="113"/>
        <v>2</v>
      </c>
      <c r="BB131" s="18">
        <f t="shared" si="126"/>
        <v>6.3963389238715429</v>
      </c>
      <c r="BC131" s="18">
        <f t="shared" si="126"/>
        <v>0.96078765751756101</v>
      </c>
      <c r="BD131" s="18">
        <f t="shared" si="126"/>
        <v>2.9622736170221744</v>
      </c>
      <c r="BE131" s="56">
        <f t="shared" si="114"/>
        <v>2</v>
      </c>
      <c r="BG131" s="18">
        <f t="shared" si="127"/>
        <v>6.3963389238715429</v>
      </c>
      <c r="BH131" s="18">
        <f t="shared" si="127"/>
        <v>0.96078765751756101</v>
      </c>
      <c r="BI131" s="18">
        <f t="shared" si="127"/>
        <v>2.9622736170221744</v>
      </c>
      <c r="BJ131" s="56">
        <f t="shared" si="115"/>
        <v>2</v>
      </c>
      <c r="BL131" s="18">
        <f t="shared" si="128"/>
        <v>6.3963389238715429</v>
      </c>
      <c r="BM131" s="18">
        <f t="shared" si="128"/>
        <v>0.96078765751756101</v>
      </c>
      <c r="BN131" s="18">
        <f t="shared" si="128"/>
        <v>2.9622736170221744</v>
      </c>
      <c r="BO131" s="56">
        <f t="shared" si="116"/>
        <v>2</v>
      </c>
      <c r="BQ131" s="18">
        <f t="shared" si="129"/>
        <v>6.3963389238715429</v>
      </c>
      <c r="BR131" s="18">
        <f t="shared" si="129"/>
        <v>0.96078765751756101</v>
      </c>
      <c r="BS131" s="18">
        <f t="shared" si="129"/>
        <v>2.9622736170221744</v>
      </c>
      <c r="BT131" s="56">
        <f t="shared" si="117"/>
        <v>2</v>
      </c>
      <c r="BV131" s="18">
        <f t="shared" si="130"/>
        <v>6.3963389238715429</v>
      </c>
      <c r="BW131" s="18">
        <f t="shared" si="130"/>
        <v>0.96078765751756101</v>
      </c>
      <c r="BX131" s="18">
        <f t="shared" si="130"/>
        <v>2.9622736170221744</v>
      </c>
      <c r="BY131" s="56">
        <f t="shared" si="118"/>
        <v>2</v>
      </c>
      <c r="CA131" s="18">
        <f t="shared" si="131"/>
        <v>6.3963389238715429</v>
      </c>
      <c r="CB131" s="18">
        <f t="shared" si="131"/>
        <v>0.96078765751756101</v>
      </c>
      <c r="CC131" s="18">
        <f t="shared" si="131"/>
        <v>2.9622736170221744</v>
      </c>
      <c r="CD131" s="56">
        <f t="shared" si="119"/>
        <v>2</v>
      </c>
    </row>
    <row r="132" spans="1:82" x14ac:dyDescent="0.25">
      <c r="A132" s="36" t="str">
        <f>KMeans_Data!A114</f>
        <v>Tor Ghar</v>
      </c>
      <c r="B132" s="18">
        <f>KMeans_Data!H114</f>
        <v>-1.507943224606497</v>
      </c>
      <c r="C132" s="18">
        <f>KMeans_Data!I114</f>
        <v>-0.67265054538827607</v>
      </c>
      <c r="D132" s="18">
        <f>KMeans_Data!J114</f>
        <v>-1.1456441163335547</v>
      </c>
      <c r="E132" s="56">
        <f t="shared" si="105"/>
        <v>2</v>
      </c>
      <c r="F132" s="38">
        <f t="shared" si="106"/>
        <v>0.92311292283808211</v>
      </c>
      <c r="G132" s="13" t="str">
        <f t="shared" si="107"/>
        <v>Low burden</v>
      </c>
      <c r="H132" s="18">
        <f>IF(COUNTIF(Distance_Matrix!$E$9:$DQ$9,$E132)&lt;=1,0,SUMIF(Distance_Matrix!$E$9:$DQ$9,$E132,Distance_Matrix!$E$123:$DQ$123)/(COUNTIF(Distance_Matrix!$E$9:$DQ$9,$E132)-1))</f>
        <v>1.1225095026216503</v>
      </c>
      <c r="I132" s="18">
        <f>MIN(IF(1=$E132,1E+99,IF(COUNTIF(Distance_Matrix!$E$9:$DQ$9,1)=0,1E+99,SUMIF(Distance_Matrix!$E$9:$DQ$9,1,Distance_Matrix!$E$123:$DQ$123)/COUNTIF(Distance_Matrix!$E$9:$DQ$9,1))),IF(2=$E132,1E+99,IF(COUNTIF(Distance_Matrix!$E$9:$DQ$9,2)=0,1E+99,SUMIF(Distance_Matrix!$E$9:$DQ$9,2,Distance_Matrix!$E$123:$DQ$123)/COUNTIF(Distance_Matrix!$E$9:$DQ$9,2))),IF(3=$E132,1E+99,IF(COUNTIF(Distance_Matrix!$E$9:$DQ$9,3)=0,1E+99,SUMIF(Distance_Matrix!$E$9:$DQ$9,3,Distance_Matrix!$E$123:$DQ$123)/COUNTIF(Distance_Matrix!$E$9:$DQ$9,3))))</f>
        <v>3.0434738996009822</v>
      </c>
      <c r="J132" s="18">
        <f>IF(COUNTIF(Distance_Matrix!$E$9:$DQ$9,$E132)&lt;=1,0,(I132-H132)/MAX(H132,I132))</f>
        <v>0.63117492061659608</v>
      </c>
      <c r="X132" s="18">
        <f t="shared" si="120"/>
        <v>8.0258166331110399</v>
      </c>
      <c r="Y132" s="18">
        <f t="shared" si="120"/>
        <v>0.57179475719683159</v>
      </c>
      <c r="Z132" s="18">
        <f t="shared" si="120"/>
        <v>3.7983505335880898</v>
      </c>
      <c r="AA132" s="56">
        <f t="shared" si="108"/>
        <v>2</v>
      </c>
      <c r="AC132" s="18">
        <f t="shared" si="121"/>
        <v>7.0244242517223938</v>
      </c>
      <c r="AD132" s="18">
        <f t="shared" si="121"/>
        <v>0.80971553825229825</v>
      </c>
      <c r="AE132" s="18">
        <f t="shared" si="121"/>
        <v>2.8497507165499099</v>
      </c>
      <c r="AF132" s="56">
        <f t="shared" si="109"/>
        <v>2</v>
      </c>
      <c r="AH132" s="18">
        <f t="shared" si="122"/>
        <v>6.3963389238715429</v>
      </c>
      <c r="AI132" s="18">
        <f t="shared" si="122"/>
        <v>0.95110076359500095</v>
      </c>
      <c r="AJ132" s="18">
        <f t="shared" si="122"/>
        <v>2.9376454649140671</v>
      </c>
      <c r="AK132" s="56">
        <f t="shared" si="110"/>
        <v>2</v>
      </c>
      <c r="AM132" s="18">
        <f t="shared" si="123"/>
        <v>6.3963389238715429</v>
      </c>
      <c r="AN132" s="18">
        <f t="shared" si="123"/>
        <v>0.96078765751756101</v>
      </c>
      <c r="AO132" s="18">
        <f t="shared" si="123"/>
        <v>2.9622736170221744</v>
      </c>
      <c r="AP132" s="56">
        <f t="shared" si="111"/>
        <v>2</v>
      </c>
      <c r="AR132" s="18">
        <f t="shared" si="124"/>
        <v>6.3963389238715429</v>
      </c>
      <c r="AS132" s="18">
        <f t="shared" si="124"/>
        <v>0.96078765751756101</v>
      </c>
      <c r="AT132" s="18">
        <f t="shared" si="124"/>
        <v>2.9622736170221744</v>
      </c>
      <c r="AU132" s="56">
        <f t="shared" si="112"/>
        <v>2</v>
      </c>
      <c r="AW132" s="18">
        <f t="shared" si="125"/>
        <v>6.3963389238715429</v>
      </c>
      <c r="AX132" s="18">
        <f t="shared" si="125"/>
        <v>0.96078765751756101</v>
      </c>
      <c r="AY132" s="18">
        <f t="shared" si="125"/>
        <v>2.9622736170221744</v>
      </c>
      <c r="AZ132" s="56">
        <f t="shared" si="113"/>
        <v>2</v>
      </c>
      <c r="BB132" s="18">
        <f t="shared" si="126"/>
        <v>6.3963389238715429</v>
      </c>
      <c r="BC132" s="18">
        <f t="shared" si="126"/>
        <v>0.96078765751756101</v>
      </c>
      <c r="BD132" s="18">
        <f t="shared" si="126"/>
        <v>2.9622736170221744</v>
      </c>
      <c r="BE132" s="56">
        <f t="shared" si="114"/>
        <v>2</v>
      </c>
      <c r="BG132" s="18">
        <f t="shared" si="127"/>
        <v>6.3963389238715429</v>
      </c>
      <c r="BH132" s="18">
        <f t="shared" si="127"/>
        <v>0.96078765751756101</v>
      </c>
      <c r="BI132" s="18">
        <f t="shared" si="127"/>
        <v>2.9622736170221744</v>
      </c>
      <c r="BJ132" s="56">
        <f t="shared" si="115"/>
        <v>2</v>
      </c>
      <c r="BL132" s="18">
        <f t="shared" si="128"/>
        <v>6.3963389238715429</v>
      </c>
      <c r="BM132" s="18">
        <f t="shared" si="128"/>
        <v>0.96078765751756101</v>
      </c>
      <c r="BN132" s="18">
        <f t="shared" si="128"/>
        <v>2.9622736170221744</v>
      </c>
      <c r="BO132" s="56">
        <f t="shared" si="116"/>
        <v>2</v>
      </c>
      <c r="BQ132" s="18">
        <f t="shared" si="129"/>
        <v>6.3963389238715429</v>
      </c>
      <c r="BR132" s="18">
        <f t="shared" si="129"/>
        <v>0.96078765751756101</v>
      </c>
      <c r="BS132" s="18">
        <f t="shared" si="129"/>
        <v>2.9622736170221744</v>
      </c>
      <c r="BT132" s="56">
        <f t="shared" si="117"/>
        <v>2</v>
      </c>
      <c r="BV132" s="18">
        <f t="shared" si="130"/>
        <v>6.3963389238715429</v>
      </c>
      <c r="BW132" s="18">
        <f t="shared" si="130"/>
        <v>0.96078765751756101</v>
      </c>
      <c r="BX132" s="18">
        <f t="shared" si="130"/>
        <v>2.9622736170221744</v>
      </c>
      <c r="BY132" s="56">
        <f t="shared" si="118"/>
        <v>2</v>
      </c>
      <c r="CA132" s="18">
        <f t="shared" si="131"/>
        <v>6.3963389238715429</v>
      </c>
      <c r="CB132" s="18">
        <f t="shared" si="131"/>
        <v>0.96078765751756101</v>
      </c>
      <c r="CC132" s="18">
        <f t="shared" si="131"/>
        <v>2.9622736170221744</v>
      </c>
      <c r="CD132" s="56">
        <f t="shared" si="119"/>
        <v>2</v>
      </c>
    </row>
    <row r="133" spans="1:82" x14ac:dyDescent="0.25">
      <c r="A133" s="36" t="str">
        <f>KMeans_Data!A115</f>
        <v>Trarkhel</v>
      </c>
      <c r="B133" s="18">
        <f>KMeans_Data!H115</f>
        <v>-1.7189756565516803</v>
      </c>
      <c r="C133" s="18">
        <f>KMeans_Data!I115</f>
        <v>-0.67265054538827607</v>
      </c>
      <c r="D133" s="18">
        <f>KMeans_Data!J115</f>
        <v>-1.1456441163335547</v>
      </c>
      <c r="E133" s="56">
        <f t="shared" si="105"/>
        <v>2</v>
      </c>
      <c r="F133" s="38">
        <f t="shared" si="106"/>
        <v>1.3349624832294762</v>
      </c>
      <c r="G133" s="13" t="str">
        <f t="shared" si="107"/>
        <v>Low burden</v>
      </c>
      <c r="H133" s="18">
        <f>IF(COUNTIF(Distance_Matrix!$E$9:$DQ$9,$E133)&lt;=1,0,SUMIF(Distance_Matrix!$E$9:$DQ$9,$E133,Distance_Matrix!$E$124:$DQ$124)/(COUNTIF(Distance_Matrix!$E$9:$DQ$9,$E133)-1))</f>
        <v>1.2668926991706766</v>
      </c>
      <c r="I133" s="18">
        <f>MIN(IF(1=$E133,1E+99,IF(COUNTIF(Distance_Matrix!$E$9:$DQ$9,1)=0,1E+99,SUMIF(Distance_Matrix!$E$9:$DQ$9,1,Distance_Matrix!$E$124:$DQ$124)/COUNTIF(Distance_Matrix!$E$9:$DQ$9,1))),IF(2=$E133,1E+99,IF(COUNTIF(Distance_Matrix!$E$9:$DQ$9,2)=0,1E+99,SUMIF(Distance_Matrix!$E$9:$DQ$9,2,Distance_Matrix!$E$124:$DQ$124)/COUNTIF(Distance_Matrix!$E$9:$DQ$9,2))),IF(3=$E133,1E+99,IF(COUNTIF(Distance_Matrix!$E$9:$DQ$9,3)=0,1E+99,SUMIF(Distance_Matrix!$E$9:$DQ$9,3,Distance_Matrix!$E$124:$DQ$124)/COUNTIF(Distance_Matrix!$E$9:$DQ$9,3))))</f>
        <v>3.1888600400610678</v>
      </c>
      <c r="J133" s="18">
        <f>IF(COUNTIF(Distance_Matrix!$E$9:$DQ$9,$E133)&lt;=1,0,(I133-H133)/MAX(H133,I133))</f>
        <v>0.60271298104810678</v>
      </c>
      <c r="X133" s="18">
        <f t="shared" si="120"/>
        <v>8.153323730623006</v>
      </c>
      <c r="Y133" s="18">
        <f t="shared" si="120"/>
        <v>0.36076232525164831</v>
      </c>
      <c r="Z133" s="18">
        <f t="shared" si="120"/>
        <v>3.9428764577316429</v>
      </c>
      <c r="AA133" s="56">
        <f t="shared" si="108"/>
        <v>2</v>
      </c>
      <c r="AC133" s="18">
        <f t="shared" si="121"/>
        <v>7.1560403586580508</v>
      </c>
      <c r="AD133" s="18">
        <f t="shared" si="121"/>
        <v>1.0069775975187625</v>
      </c>
      <c r="AE133" s="18">
        <f t="shared" si="121"/>
        <v>3.0028282165067313</v>
      </c>
      <c r="AF133" s="56">
        <f t="shared" si="109"/>
        <v>2</v>
      </c>
      <c r="AH133" s="18">
        <f t="shared" si="122"/>
        <v>6.5300995980505299</v>
      </c>
      <c r="AI133" s="18">
        <f t="shared" si="122"/>
        <v>1.1466709875895931</v>
      </c>
      <c r="AJ133" s="18">
        <f t="shared" si="122"/>
        <v>3.0862531091590508</v>
      </c>
      <c r="AK133" s="56">
        <f t="shared" si="110"/>
        <v>2</v>
      </c>
      <c r="AM133" s="18">
        <f t="shared" si="123"/>
        <v>6.5300995980505299</v>
      </c>
      <c r="AN133" s="18">
        <f t="shared" si="123"/>
        <v>1.1554057656206655</v>
      </c>
      <c r="AO133" s="18">
        <f t="shared" si="123"/>
        <v>3.1109935883759956</v>
      </c>
      <c r="AP133" s="56">
        <f t="shared" si="111"/>
        <v>2</v>
      </c>
      <c r="AR133" s="18">
        <f t="shared" si="124"/>
        <v>6.5300995980505299</v>
      </c>
      <c r="AS133" s="18">
        <f t="shared" si="124"/>
        <v>1.1554057656206655</v>
      </c>
      <c r="AT133" s="18">
        <f t="shared" si="124"/>
        <v>3.1109935883759956</v>
      </c>
      <c r="AU133" s="56">
        <f t="shared" si="112"/>
        <v>2</v>
      </c>
      <c r="AW133" s="18">
        <f t="shared" si="125"/>
        <v>6.5300995980505299</v>
      </c>
      <c r="AX133" s="18">
        <f t="shared" si="125"/>
        <v>1.1554057656206655</v>
      </c>
      <c r="AY133" s="18">
        <f t="shared" si="125"/>
        <v>3.1109935883759956</v>
      </c>
      <c r="AZ133" s="56">
        <f t="shared" si="113"/>
        <v>2</v>
      </c>
      <c r="BB133" s="18">
        <f t="shared" si="126"/>
        <v>6.5300995980505299</v>
      </c>
      <c r="BC133" s="18">
        <f t="shared" si="126"/>
        <v>1.1554057656206655</v>
      </c>
      <c r="BD133" s="18">
        <f t="shared" si="126"/>
        <v>3.1109935883759956</v>
      </c>
      <c r="BE133" s="56">
        <f t="shared" si="114"/>
        <v>2</v>
      </c>
      <c r="BG133" s="18">
        <f t="shared" si="127"/>
        <v>6.5300995980505299</v>
      </c>
      <c r="BH133" s="18">
        <f t="shared" si="127"/>
        <v>1.1554057656206655</v>
      </c>
      <c r="BI133" s="18">
        <f t="shared" si="127"/>
        <v>3.1109935883759956</v>
      </c>
      <c r="BJ133" s="56">
        <f t="shared" si="115"/>
        <v>2</v>
      </c>
      <c r="BL133" s="18">
        <f t="shared" si="128"/>
        <v>6.5300995980505299</v>
      </c>
      <c r="BM133" s="18">
        <f t="shared" si="128"/>
        <v>1.1554057656206655</v>
      </c>
      <c r="BN133" s="18">
        <f t="shared" si="128"/>
        <v>3.1109935883759956</v>
      </c>
      <c r="BO133" s="56">
        <f t="shared" si="116"/>
        <v>2</v>
      </c>
      <c r="BQ133" s="18">
        <f t="shared" si="129"/>
        <v>6.5300995980505299</v>
      </c>
      <c r="BR133" s="18">
        <f t="shared" si="129"/>
        <v>1.1554057656206655</v>
      </c>
      <c r="BS133" s="18">
        <f t="shared" si="129"/>
        <v>3.1109935883759956</v>
      </c>
      <c r="BT133" s="56">
        <f t="shared" si="117"/>
        <v>2</v>
      </c>
      <c r="BV133" s="18">
        <f t="shared" si="130"/>
        <v>6.5300995980505299</v>
      </c>
      <c r="BW133" s="18">
        <f t="shared" si="130"/>
        <v>1.1554057656206655</v>
      </c>
      <c r="BX133" s="18">
        <f t="shared" si="130"/>
        <v>3.1109935883759956</v>
      </c>
      <c r="BY133" s="56">
        <f t="shared" si="118"/>
        <v>2</v>
      </c>
      <c r="CA133" s="18">
        <f t="shared" si="131"/>
        <v>6.5300995980505299</v>
      </c>
      <c r="CB133" s="18">
        <f t="shared" si="131"/>
        <v>1.1554057656206655</v>
      </c>
      <c r="CC133" s="18">
        <f t="shared" si="131"/>
        <v>3.1109935883759956</v>
      </c>
      <c r="CD133" s="56">
        <f t="shared" si="119"/>
        <v>2</v>
      </c>
    </row>
    <row r="134" spans="1:82" x14ac:dyDescent="0.25">
      <c r="A134" s="36" t="str">
        <f>KMeans_Data!A116</f>
        <v>Kohistan Upper</v>
      </c>
      <c r="B134" s="18">
        <f>KMeans_Data!H116</f>
        <v>-1.7189756565516803</v>
      </c>
      <c r="C134" s="18">
        <f>KMeans_Data!I116</f>
        <v>-0.67265054538827607</v>
      </c>
      <c r="D134" s="18">
        <f>KMeans_Data!J116</f>
        <v>-1.1456441163335547</v>
      </c>
      <c r="E134" s="56">
        <f t="shared" si="105"/>
        <v>2</v>
      </c>
      <c r="F134" s="38">
        <f t="shared" si="106"/>
        <v>1.3349624832294762</v>
      </c>
      <c r="G134" s="13" t="str">
        <f t="shared" si="107"/>
        <v>Low burden</v>
      </c>
      <c r="H134" s="18">
        <f>IF(COUNTIF(Distance_Matrix!$E$9:$DQ$9,$E134)&lt;=1,0,SUMIF(Distance_Matrix!$E$9:$DQ$9,$E134,Distance_Matrix!$E$125:$DQ$125)/(COUNTIF(Distance_Matrix!$E$9:$DQ$9,$E134)-1))</f>
        <v>1.2668926991706766</v>
      </c>
      <c r="I134" s="18">
        <f>MIN(IF(1=$E134,1E+99,IF(COUNTIF(Distance_Matrix!$E$9:$DQ$9,1)=0,1E+99,SUMIF(Distance_Matrix!$E$9:$DQ$9,1,Distance_Matrix!$E$125:$DQ$125)/COUNTIF(Distance_Matrix!$E$9:$DQ$9,1))),IF(2=$E134,1E+99,IF(COUNTIF(Distance_Matrix!$E$9:$DQ$9,2)=0,1E+99,SUMIF(Distance_Matrix!$E$9:$DQ$9,2,Distance_Matrix!$E$125:$DQ$125)/COUNTIF(Distance_Matrix!$E$9:$DQ$9,2))),IF(3=$E134,1E+99,IF(COUNTIF(Distance_Matrix!$E$9:$DQ$9,3)=0,1E+99,SUMIF(Distance_Matrix!$E$9:$DQ$9,3,Distance_Matrix!$E$125:$DQ$125)/COUNTIF(Distance_Matrix!$E$9:$DQ$9,3))))</f>
        <v>3.1888600400610678</v>
      </c>
      <c r="J134" s="18">
        <f>IF(COUNTIF(Distance_Matrix!$E$9:$DQ$9,$E134)&lt;=1,0,(I134-H134)/MAX(H134,I134))</f>
        <v>0.60271298104810678</v>
      </c>
      <c r="X134" s="18">
        <f t="shared" si="120"/>
        <v>8.153323730623006</v>
      </c>
      <c r="Y134" s="18">
        <f t="shared" si="120"/>
        <v>0.36076232525164831</v>
      </c>
      <c r="Z134" s="18">
        <f t="shared" si="120"/>
        <v>3.9428764577316429</v>
      </c>
      <c r="AA134" s="56">
        <f t="shared" si="108"/>
        <v>2</v>
      </c>
      <c r="AC134" s="18">
        <f t="shared" si="121"/>
        <v>7.1560403586580508</v>
      </c>
      <c r="AD134" s="18">
        <f t="shared" si="121"/>
        <v>1.0069775975187625</v>
      </c>
      <c r="AE134" s="18">
        <f t="shared" si="121"/>
        <v>3.0028282165067313</v>
      </c>
      <c r="AF134" s="56">
        <f t="shared" si="109"/>
        <v>2</v>
      </c>
      <c r="AH134" s="18">
        <f t="shared" si="122"/>
        <v>6.5300995980505299</v>
      </c>
      <c r="AI134" s="18">
        <f t="shared" si="122"/>
        <v>1.1466709875895931</v>
      </c>
      <c r="AJ134" s="18">
        <f t="shared" si="122"/>
        <v>3.0862531091590508</v>
      </c>
      <c r="AK134" s="56">
        <f t="shared" si="110"/>
        <v>2</v>
      </c>
      <c r="AM134" s="18">
        <f t="shared" si="123"/>
        <v>6.5300995980505299</v>
      </c>
      <c r="AN134" s="18">
        <f t="shared" si="123"/>
        <v>1.1554057656206655</v>
      </c>
      <c r="AO134" s="18">
        <f t="shared" si="123"/>
        <v>3.1109935883759956</v>
      </c>
      <c r="AP134" s="56">
        <f t="shared" si="111"/>
        <v>2</v>
      </c>
      <c r="AR134" s="18">
        <f t="shared" si="124"/>
        <v>6.5300995980505299</v>
      </c>
      <c r="AS134" s="18">
        <f t="shared" si="124"/>
        <v>1.1554057656206655</v>
      </c>
      <c r="AT134" s="18">
        <f t="shared" si="124"/>
        <v>3.1109935883759956</v>
      </c>
      <c r="AU134" s="56">
        <f t="shared" si="112"/>
        <v>2</v>
      </c>
      <c r="AW134" s="18">
        <f t="shared" si="125"/>
        <v>6.5300995980505299</v>
      </c>
      <c r="AX134" s="18">
        <f t="shared" si="125"/>
        <v>1.1554057656206655</v>
      </c>
      <c r="AY134" s="18">
        <f t="shared" si="125"/>
        <v>3.1109935883759956</v>
      </c>
      <c r="AZ134" s="56">
        <f t="shared" si="113"/>
        <v>2</v>
      </c>
      <c r="BB134" s="18">
        <f t="shared" si="126"/>
        <v>6.5300995980505299</v>
      </c>
      <c r="BC134" s="18">
        <f t="shared" si="126"/>
        <v>1.1554057656206655</v>
      </c>
      <c r="BD134" s="18">
        <f t="shared" si="126"/>
        <v>3.1109935883759956</v>
      </c>
      <c r="BE134" s="56">
        <f t="shared" si="114"/>
        <v>2</v>
      </c>
      <c r="BG134" s="18">
        <f t="shared" si="127"/>
        <v>6.5300995980505299</v>
      </c>
      <c r="BH134" s="18">
        <f t="shared" si="127"/>
        <v>1.1554057656206655</v>
      </c>
      <c r="BI134" s="18">
        <f t="shared" si="127"/>
        <v>3.1109935883759956</v>
      </c>
      <c r="BJ134" s="56">
        <f t="shared" si="115"/>
        <v>2</v>
      </c>
      <c r="BL134" s="18">
        <f t="shared" si="128"/>
        <v>6.5300995980505299</v>
      </c>
      <c r="BM134" s="18">
        <f t="shared" si="128"/>
        <v>1.1554057656206655</v>
      </c>
      <c r="BN134" s="18">
        <f t="shared" si="128"/>
        <v>3.1109935883759956</v>
      </c>
      <c r="BO134" s="56">
        <f t="shared" si="116"/>
        <v>2</v>
      </c>
      <c r="BQ134" s="18">
        <f t="shared" si="129"/>
        <v>6.5300995980505299</v>
      </c>
      <c r="BR134" s="18">
        <f t="shared" si="129"/>
        <v>1.1554057656206655</v>
      </c>
      <c r="BS134" s="18">
        <f t="shared" si="129"/>
        <v>3.1109935883759956</v>
      </c>
      <c r="BT134" s="56">
        <f t="shared" si="117"/>
        <v>2</v>
      </c>
      <c r="BV134" s="18">
        <f t="shared" si="130"/>
        <v>6.5300995980505299</v>
      </c>
      <c r="BW134" s="18">
        <f t="shared" si="130"/>
        <v>1.1554057656206655</v>
      </c>
      <c r="BX134" s="18">
        <f t="shared" si="130"/>
        <v>3.1109935883759956</v>
      </c>
      <c r="BY134" s="56">
        <f t="shared" si="118"/>
        <v>2</v>
      </c>
      <c r="CA134" s="18">
        <f t="shared" si="131"/>
        <v>6.5300995980505299</v>
      </c>
      <c r="CB134" s="18">
        <f t="shared" si="131"/>
        <v>1.1554057656206655</v>
      </c>
      <c r="CC134" s="18">
        <f t="shared" si="131"/>
        <v>3.1109935883759956</v>
      </c>
      <c r="CD134" s="56">
        <f t="shared" si="119"/>
        <v>2</v>
      </c>
    </row>
    <row r="135" spans="1:82" x14ac:dyDescent="0.25">
      <c r="A135" s="36" t="str">
        <f>KMeans_Data!A117</f>
        <v>Okara</v>
      </c>
      <c r="B135" s="18">
        <f>KMeans_Data!H117</f>
        <v>-1.7189756565516803</v>
      </c>
      <c r="C135" s="18">
        <f>KMeans_Data!I117</f>
        <v>-0.67265054538827607</v>
      </c>
      <c r="D135" s="18">
        <f>KMeans_Data!J117</f>
        <v>-1.1456441163335547</v>
      </c>
      <c r="E135" s="56">
        <f t="shared" si="105"/>
        <v>2</v>
      </c>
      <c r="F135" s="38">
        <f t="shared" si="106"/>
        <v>1.3349624832294762</v>
      </c>
      <c r="G135" s="13" t="str">
        <f t="shared" si="107"/>
        <v>Low burden</v>
      </c>
      <c r="H135" s="18">
        <f>IF(COUNTIF(Distance_Matrix!$E$9:$DQ$9,$E135)&lt;=1,0,SUMIF(Distance_Matrix!$E$9:$DQ$9,$E135,Distance_Matrix!$E$126:$DQ$126)/(COUNTIF(Distance_Matrix!$E$9:$DQ$9,$E135)-1))</f>
        <v>1.2668926991706766</v>
      </c>
      <c r="I135" s="18">
        <f>MIN(IF(1=$E135,1E+99,IF(COUNTIF(Distance_Matrix!$E$9:$DQ$9,1)=0,1E+99,SUMIF(Distance_Matrix!$E$9:$DQ$9,1,Distance_Matrix!$E$126:$DQ$126)/COUNTIF(Distance_Matrix!$E$9:$DQ$9,1))),IF(2=$E135,1E+99,IF(COUNTIF(Distance_Matrix!$E$9:$DQ$9,2)=0,1E+99,SUMIF(Distance_Matrix!$E$9:$DQ$9,2,Distance_Matrix!$E$126:$DQ$126)/COUNTIF(Distance_Matrix!$E$9:$DQ$9,2))),IF(3=$E135,1E+99,IF(COUNTIF(Distance_Matrix!$E$9:$DQ$9,3)=0,1E+99,SUMIF(Distance_Matrix!$E$9:$DQ$9,3,Distance_Matrix!$E$126:$DQ$126)/COUNTIF(Distance_Matrix!$E$9:$DQ$9,3))))</f>
        <v>3.1888600400610678</v>
      </c>
      <c r="J135" s="18">
        <f>IF(COUNTIF(Distance_Matrix!$E$9:$DQ$9,$E135)&lt;=1,0,(I135-H135)/MAX(H135,I135))</f>
        <v>0.60271298104810678</v>
      </c>
      <c r="X135" s="18">
        <f t="shared" si="120"/>
        <v>8.153323730623006</v>
      </c>
      <c r="Y135" s="18">
        <f t="shared" si="120"/>
        <v>0.36076232525164831</v>
      </c>
      <c r="Z135" s="18">
        <f t="shared" si="120"/>
        <v>3.9428764577316429</v>
      </c>
      <c r="AA135" s="56">
        <f t="shared" si="108"/>
        <v>2</v>
      </c>
      <c r="AC135" s="18">
        <f t="shared" si="121"/>
        <v>7.1560403586580508</v>
      </c>
      <c r="AD135" s="18">
        <f t="shared" si="121"/>
        <v>1.0069775975187625</v>
      </c>
      <c r="AE135" s="18">
        <f t="shared" si="121"/>
        <v>3.0028282165067313</v>
      </c>
      <c r="AF135" s="56">
        <f t="shared" si="109"/>
        <v>2</v>
      </c>
      <c r="AH135" s="18">
        <f t="shared" si="122"/>
        <v>6.5300995980505299</v>
      </c>
      <c r="AI135" s="18">
        <f t="shared" si="122"/>
        <v>1.1466709875895931</v>
      </c>
      <c r="AJ135" s="18">
        <f t="shared" si="122"/>
        <v>3.0862531091590508</v>
      </c>
      <c r="AK135" s="56">
        <f t="shared" si="110"/>
        <v>2</v>
      </c>
      <c r="AM135" s="18">
        <f t="shared" si="123"/>
        <v>6.5300995980505299</v>
      </c>
      <c r="AN135" s="18">
        <f t="shared" si="123"/>
        <v>1.1554057656206655</v>
      </c>
      <c r="AO135" s="18">
        <f t="shared" si="123"/>
        <v>3.1109935883759956</v>
      </c>
      <c r="AP135" s="56">
        <f t="shared" si="111"/>
        <v>2</v>
      </c>
      <c r="AR135" s="18">
        <f t="shared" si="124"/>
        <v>6.5300995980505299</v>
      </c>
      <c r="AS135" s="18">
        <f t="shared" si="124"/>
        <v>1.1554057656206655</v>
      </c>
      <c r="AT135" s="18">
        <f t="shared" si="124"/>
        <v>3.1109935883759956</v>
      </c>
      <c r="AU135" s="56">
        <f t="shared" si="112"/>
        <v>2</v>
      </c>
      <c r="AW135" s="18">
        <f t="shared" si="125"/>
        <v>6.5300995980505299</v>
      </c>
      <c r="AX135" s="18">
        <f t="shared" si="125"/>
        <v>1.1554057656206655</v>
      </c>
      <c r="AY135" s="18">
        <f t="shared" si="125"/>
        <v>3.1109935883759956</v>
      </c>
      <c r="AZ135" s="56">
        <f t="shared" si="113"/>
        <v>2</v>
      </c>
      <c r="BB135" s="18">
        <f t="shared" si="126"/>
        <v>6.5300995980505299</v>
      </c>
      <c r="BC135" s="18">
        <f t="shared" si="126"/>
        <v>1.1554057656206655</v>
      </c>
      <c r="BD135" s="18">
        <f t="shared" si="126"/>
        <v>3.1109935883759956</v>
      </c>
      <c r="BE135" s="56">
        <f t="shared" si="114"/>
        <v>2</v>
      </c>
      <c r="BG135" s="18">
        <f t="shared" si="127"/>
        <v>6.5300995980505299</v>
      </c>
      <c r="BH135" s="18">
        <f t="shared" si="127"/>
        <v>1.1554057656206655</v>
      </c>
      <c r="BI135" s="18">
        <f t="shared" si="127"/>
        <v>3.1109935883759956</v>
      </c>
      <c r="BJ135" s="56">
        <f t="shared" si="115"/>
        <v>2</v>
      </c>
      <c r="BL135" s="18">
        <f t="shared" si="128"/>
        <v>6.5300995980505299</v>
      </c>
      <c r="BM135" s="18">
        <f t="shared" si="128"/>
        <v>1.1554057656206655</v>
      </c>
      <c r="BN135" s="18">
        <f t="shared" si="128"/>
        <v>3.1109935883759956</v>
      </c>
      <c r="BO135" s="56">
        <f t="shared" si="116"/>
        <v>2</v>
      </c>
      <c r="BQ135" s="18">
        <f t="shared" si="129"/>
        <v>6.5300995980505299</v>
      </c>
      <c r="BR135" s="18">
        <f t="shared" si="129"/>
        <v>1.1554057656206655</v>
      </c>
      <c r="BS135" s="18">
        <f t="shared" si="129"/>
        <v>3.1109935883759956</v>
      </c>
      <c r="BT135" s="56">
        <f t="shared" si="117"/>
        <v>2</v>
      </c>
      <c r="BV135" s="18">
        <f t="shared" si="130"/>
        <v>6.5300995980505299</v>
      </c>
      <c r="BW135" s="18">
        <f t="shared" si="130"/>
        <v>1.1554057656206655</v>
      </c>
      <c r="BX135" s="18">
        <f t="shared" si="130"/>
        <v>3.1109935883759956</v>
      </c>
      <c r="BY135" s="56">
        <f t="shared" si="118"/>
        <v>2</v>
      </c>
      <c r="CA135" s="18">
        <f t="shared" si="131"/>
        <v>6.5300995980505299</v>
      </c>
      <c r="CB135" s="18">
        <f t="shared" si="131"/>
        <v>1.1554057656206655</v>
      </c>
      <c r="CC135" s="18">
        <f t="shared" si="131"/>
        <v>3.1109935883759956</v>
      </c>
      <c r="CD135" s="56">
        <f t="shared" si="119"/>
        <v>2</v>
      </c>
    </row>
    <row r="136" spans="1:82" x14ac:dyDescent="0.25">
      <c r="A136" s="36" t="str">
        <f>KMeans_Data!A118</f>
        <v>Ziarat</v>
      </c>
      <c r="B136" s="18">
        <f>KMeans_Data!H118</f>
        <v>-1.7189756565516803</v>
      </c>
      <c r="C136" s="18">
        <f>KMeans_Data!I118</f>
        <v>-0.67265054538827607</v>
      </c>
      <c r="D136" s="18">
        <f>KMeans_Data!J118</f>
        <v>-1.1456441163335547</v>
      </c>
      <c r="E136" s="56">
        <f t="shared" si="105"/>
        <v>2</v>
      </c>
      <c r="F136" s="38">
        <f t="shared" si="106"/>
        <v>1.3349624832294762</v>
      </c>
      <c r="G136" s="13" t="str">
        <f t="shared" si="107"/>
        <v>Low burden</v>
      </c>
      <c r="H136" s="18">
        <f>IF(COUNTIF(Distance_Matrix!$E$9:$DQ$9,$E136)&lt;=1,0,SUMIF(Distance_Matrix!$E$9:$DQ$9,$E136,Distance_Matrix!$E$127:$DQ$127)/(COUNTIF(Distance_Matrix!$E$9:$DQ$9,$E136)-1))</f>
        <v>1.2668926991706766</v>
      </c>
      <c r="I136" s="18">
        <f>MIN(IF(1=$E136,1E+99,IF(COUNTIF(Distance_Matrix!$E$9:$DQ$9,1)=0,1E+99,SUMIF(Distance_Matrix!$E$9:$DQ$9,1,Distance_Matrix!$E$127:$DQ$127)/COUNTIF(Distance_Matrix!$E$9:$DQ$9,1))),IF(2=$E136,1E+99,IF(COUNTIF(Distance_Matrix!$E$9:$DQ$9,2)=0,1E+99,SUMIF(Distance_Matrix!$E$9:$DQ$9,2,Distance_Matrix!$E$127:$DQ$127)/COUNTIF(Distance_Matrix!$E$9:$DQ$9,2))),IF(3=$E136,1E+99,IF(COUNTIF(Distance_Matrix!$E$9:$DQ$9,3)=0,1E+99,SUMIF(Distance_Matrix!$E$9:$DQ$9,3,Distance_Matrix!$E$127:$DQ$127)/COUNTIF(Distance_Matrix!$E$9:$DQ$9,3))))</f>
        <v>3.1888600400610678</v>
      </c>
      <c r="J136" s="18">
        <f>IF(COUNTIF(Distance_Matrix!$E$9:$DQ$9,$E136)&lt;=1,0,(I136-H136)/MAX(H136,I136))</f>
        <v>0.60271298104810678</v>
      </c>
      <c r="X136" s="18">
        <f t="shared" si="120"/>
        <v>8.153323730623006</v>
      </c>
      <c r="Y136" s="18">
        <f t="shared" si="120"/>
        <v>0.36076232525164831</v>
      </c>
      <c r="Z136" s="18">
        <f t="shared" si="120"/>
        <v>3.9428764577316429</v>
      </c>
      <c r="AA136" s="56">
        <f t="shared" si="108"/>
        <v>2</v>
      </c>
      <c r="AC136" s="18">
        <f t="shared" si="121"/>
        <v>7.1560403586580508</v>
      </c>
      <c r="AD136" s="18">
        <f t="shared" si="121"/>
        <v>1.0069775975187625</v>
      </c>
      <c r="AE136" s="18">
        <f t="shared" si="121"/>
        <v>3.0028282165067313</v>
      </c>
      <c r="AF136" s="56">
        <f t="shared" si="109"/>
        <v>2</v>
      </c>
      <c r="AH136" s="18">
        <f t="shared" si="122"/>
        <v>6.5300995980505299</v>
      </c>
      <c r="AI136" s="18">
        <f t="shared" si="122"/>
        <v>1.1466709875895931</v>
      </c>
      <c r="AJ136" s="18">
        <f t="shared" si="122"/>
        <v>3.0862531091590508</v>
      </c>
      <c r="AK136" s="56">
        <f t="shared" si="110"/>
        <v>2</v>
      </c>
      <c r="AM136" s="18">
        <f t="shared" si="123"/>
        <v>6.5300995980505299</v>
      </c>
      <c r="AN136" s="18">
        <f t="shared" si="123"/>
        <v>1.1554057656206655</v>
      </c>
      <c r="AO136" s="18">
        <f t="shared" si="123"/>
        <v>3.1109935883759956</v>
      </c>
      <c r="AP136" s="56">
        <f t="shared" si="111"/>
        <v>2</v>
      </c>
      <c r="AR136" s="18">
        <f t="shared" si="124"/>
        <v>6.5300995980505299</v>
      </c>
      <c r="AS136" s="18">
        <f t="shared" si="124"/>
        <v>1.1554057656206655</v>
      </c>
      <c r="AT136" s="18">
        <f t="shared" si="124"/>
        <v>3.1109935883759956</v>
      </c>
      <c r="AU136" s="56">
        <f t="shared" si="112"/>
        <v>2</v>
      </c>
      <c r="AW136" s="18">
        <f t="shared" si="125"/>
        <v>6.5300995980505299</v>
      </c>
      <c r="AX136" s="18">
        <f t="shared" si="125"/>
        <v>1.1554057656206655</v>
      </c>
      <c r="AY136" s="18">
        <f t="shared" si="125"/>
        <v>3.1109935883759956</v>
      </c>
      <c r="AZ136" s="56">
        <f t="shared" si="113"/>
        <v>2</v>
      </c>
      <c r="BB136" s="18">
        <f t="shared" si="126"/>
        <v>6.5300995980505299</v>
      </c>
      <c r="BC136" s="18">
        <f t="shared" si="126"/>
        <v>1.1554057656206655</v>
      </c>
      <c r="BD136" s="18">
        <f t="shared" si="126"/>
        <v>3.1109935883759956</v>
      </c>
      <c r="BE136" s="56">
        <f t="shared" si="114"/>
        <v>2</v>
      </c>
      <c r="BG136" s="18">
        <f t="shared" si="127"/>
        <v>6.5300995980505299</v>
      </c>
      <c r="BH136" s="18">
        <f t="shared" si="127"/>
        <v>1.1554057656206655</v>
      </c>
      <c r="BI136" s="18">
        <f t="shared" si="127"/>
        <v>3.1109935883759956</v>
      </c>
      <c r="BJ136" s="56">
        <f t="shared" si="115"/>
        <v>2</v>
      </c>
      <c r="BL136" s="18">
        <f t="shared" si="128"/>
        <v>6.5300995980505299</v>
      </c>
      <c r="BM136" s="18">
        <f t="shared" si="128"/>
        <v>1.1554057656206655</v>
      </c>
      <c r="BN136" s="18">
        <f t="shared" si="128"/>
        <v>3.1109935883759956</v>
      </c>
      <c r="BO136" s="56">
        <f t="shared" si="116"/>
        <v>2</v>
      </c>
      <c r="BQ136" s="18">
        <f t="shared" si="129"/>
        <v>6.5300995980505299</v>
      </c>
      <c r="BR136" s="18">
        <f t="shared" si="129"/>
        <v>1.1554057656206655</v>
      </c>
      <c r="BS136" s="18">
        <f t="shared" si="129"/>
        <v>3.1109935883759956</v>
      </c>
      <c r="BT136" s="56">
        <f t="shared" si="117"/>
        <v>2</v>
      </c>
      <c r="BV136" s="18">
        <f t="shared" si="130"/>
        <v>6.5300995980505299</v>
      </c>
      <c r="BW136" s="18">
        <f t="shared" si="130"/>
        <v>1.1554057656206655</v>
      </c>
      <c r="BX136" s="18">
        <f t="shared" si="130"/>
        <v>3.1109935883759956</v>
      </c>
      <c r="BY136" s="56">
        <f t="shared" si="118"/>
        <v>2</v>
      </c>
      <c r="CA136" s="18">
        <f t="shared" si="131"/>
        <v>6.5300995980505299</v>
      </c>
      <c r="CB136" s="18">
        <f t="shared" si="131"/>
        <v>1.1554057656206655</v>
      </c>
      <c r="CC136" s="18">
        <f t="shared" si="131"/>
        <v>3.1109935883759956</v>
      </c>
      <c r="CD136" s="56">
        <f t="shared" si="119"/>
        <v>2</v>
      </c>
    </row>
    <row r="137" spans="1:82" x14ac:dyDescent="0.25">
      <c r="A137" s="36" t="str">
        <f>KMeans_Data!A119</f>
        <v>Pakpatan</v>
      </c>
      <c r="B137" s="18">
        <f>KMeans_Data!H119</f>
        <v>-1.7189756565516803</v>
      </c>
      <c r="C137" s="18">
        <f>KMeans_Data!I119</f>
        <v>-0.67265054538827607</v>
      </c>
      <c r="D137" s="18">
        <f>KMeans_Data!J119</f>
        <v>-1.1456441163335547</v>
      </c>
      <c r="E137" s="56">
        <f t="shared" si="105"/>
        <v>2</v>
      </c>
      <c r="F137" s="38">
        <f t="shared" si="106"/>
        <v>1.3349624832294762</v>
      </c>
      <c r="G137" s="13" t="str">
        <f t="shared" si="107"/>
        <v>Low burden</v>
      </c>
      <c r="H137" s="18">
        <f>IF(COUNTIF(Distance_Matrix!$E$9:$DQ$9,$E137)&lt;=1,0,SUMIF(Distance_Matrix!$E$9:$DQ$9,$E137,Distance_Matrix!$E$128:$DQ$128)/(COUNTIF(Distance_Matrix!$E$9:$DQ$9,$E137)-1))</f>
        <v>1.2668926991706766</v>
      </c>
      <c r="I137" s="18">
        <f>MIN(IF(1=$E137,1E+99,IF(COUNTIF(Distance_Matrix!$E$9:$DQ$9,1)=0,1E+99,SUMIF(Distance_Matrix!$E$9:$DQ$9,1,Distance_Matrix!$E$128:$DQ$128)/COUNTIF(Distance_Matrix!$E$9:$DQ$9,1))),IF(2=$E137,1E+99,IF(COUNTIF(Distance_Matrix!$E$9:$DQ$9,2)=0,1E+99,SUMIF(Distance_Matrix!$E$9:$DQ$9,2,Distance_Matrix!$E$128:$DQ$128)/COUNTIF(Distance_Matrix!$E$9:$DQ$9,2))),IF(3=$E137,1E+99,IF(COUNTIF(Distance_Matrix!$E$9:$DQ$9,3)=0,1E+99,SUMIF(Distance_Matrix!$E$9:$DQ$9,3,Distance_Matrix!$E$128:$DQ$128)/COUNTIF(Distance_Matrix!$E$9:$DQ$9,3))))</f>
        <v>3.1888600400610678</v>
      </c>
      <c r="J137" s="18">
        <f>IF(COUNTIF(Distance_Matrix!$E$9:$DQ$9,$E137)&lt;=1,0,(I137-H137)/MAX(H137,I137))</f>
        <v>0.60271298104810678</v>
      </c>
      <c r="X137" s="18">
        <f t="shared" si="120"/>
        <v>8.153323730623006</v>
      </c>
      <c r="Y137" s="18">
        <f t="shared" si="120"/>
        <v>0.36076232525164831</v>
      </c>
      <c r="Z137" s="18">
        <f t="shared" si="120"/>
        <v>3.9428764577316429</v>
      </c>
      <c r="AA137" s="56">
        <f t="shared" si="108"/>
        <v>2</v>
      </c>
      <c r="AC137" s="18">
        <f t="shared" si="121"/>
        <v>7.1560403586580508</v>
      </c>
      <c r="AD137" s="18">
        <f t="shared" si="121"/>
        <v>1.0069775975187625</v>
      </c>
      <c r="AE137" s="18">
        <f t="shared" si="121"/>
        <v>3.0028282165067313</v>
      </c>
      <c r="AF137" s="56">
        <f t="shared" si="109"/>
        <v>2</v>
      </c>
      <c r="AH137" s="18">
        <f t="shared" si="122"/>
        <v>6.5300995980505299</v>
      </c>
      <c r="AI137" s="18">
        <f t="shared" si="122"/>
        <v>1.1466709875895931</v>
      </c>
      <c r="AJ137" s="18">
        <f t="shared" si="122"/>
        <v>3.0862531091590508</v>
      </c>
      <c r="AK137" s="56">
        <f t="shared" si="110"/>
        <v>2</v>
      </c>
      <c r="AM137" s="18">
        <f t="shared" si="123"/>
        <v>6.5300995980505299</v>
      </c>
      <c r="AN137" s="18">
        <f t="shared" si="123"/>
        <v>1.1554057656206655</v>
      </c>
      <c r="AO137" s="18">
        <f t="shared" si="123"/>
        <v>3.1109935883759956</v>
      </c>
      <c r="AP137" s="56">
        <f t="shared" si="111"/>
        <v>2</v>
      </c>
      <c r="AR137" s="18">
        <f t="shared" si="124"/>
        <v>6.5300995980505299</v>
      </c>
      <c r="AS137" s="18">
        <f t="shared" si="124"/>
        <v>1.1554057656206655</v>
      </c>
      <c r="AT137" s="18">
        <f t="shared" si="124"/>
        <v>3.1109935883759956</v>
      </c>
      <c r="AU137" s="56">
        <f t="shared" si="112"/>
        <v>2</v>
      </c>
      <c r="AW137" s="18">
        <f t="shared" si="125"/>
        <v>6.5300995980505299</v>
      </c>
      <c r="AX137" s="18">
        <f t="shared" si="125"/>
        <v>1.1554057656206655</v>
      </c>
      <c r="AY137" s="18">
        <f t="shared" si="125"/>
        <v>3.1109935883759956</v>
      </c>
      <c r="AZ137" s="56">
        <f t="shared" si="113"/>
        <v>2</v>
      </c>
      <c r="BB137" s="18">
        <f t="shared" si="126"/>
        <v>6.5300995980505299</v>
      </c>
      <c r="BC137" s="18">
        <f t="shared" si="126"/>
        <v>1.1554057656206655</v>
      </c>
      <c r="BD137" s="18">
        <f t="shared" si="126"/>
        <v>3.1109935883759956</v>
      </c>
      <c r="BE137" s="56">
        <f t="shared" si="114"/>
        <v>2</v>
      </c>
      <c r="BG137" s="18">
        <f t="shared" si="127"/>
        <v>6.5300995980505299</v>
      </c>
      <c r="BH137" s="18">
        <f t="shared" si="127"/>
        <v>1.1554057656206655</v>
      </c>
      <c r="BI137" s="18">
        <f t="shared" si="127"/>
        <v>3.1109935883759956</v>
      </c>
      <c r="BJ137" s="56">
        <f t="shared" si="115"/>
        <v>2</v>
      </c>
      <c r="BL137" s="18">
        <f t="shared" si="128"/>
        <v>6.5300995980505299</v>
      </c>
      <c r="BM137" s="18">
        <f t="shared" si="128"/>
        <v>1.1554057656206655</v>
      </c>
      <c r="BN137" s="18">
        <f t="shared" si="128"/>
        <v>3.1109935883759956</v>
      </c>
      <c r="BO137" s="56">
        <f t="shared" si="116"/>
        <v>2</v>
      </c>
      <c r="BQ137" s="18">
        <f t="shared" si="129"/>
        <v>6.5300995980505299</v>
      </c>
      <c r="BR137" s="18">
        <f t="shared" si="129"/>
        <v>1.1554057656206655</v>
      </c>
      <c r="BS137" s="18">
        <f t="shared" si="129"/>
        <v>3.1109935883759956</v>
      </c>
      <c r="BT137" s="56">
        <f t="shared" si="117"/>
        <v>2</v>
      </c>
      <c r="BV137" s="18">
        <f t="shared" si="130"/>
        <v>6.5300995980505299</v>
      </c>
      <c r="BW137" s="18">
        <f t="shared" si="130"/>
        <v>1.1554057656206655</v>
      </c>
      <c r="BX137" s="18">
        <f t="shared" si="130"/>
        <v>3.1109935883759956</v>
      </c>
      <c r="BY137" s="56">
        <f t="shared" si="118"/>
        <v>2</v>
      </c>
      <c r="CA137" s="18">
        <f t="shared" si="131"/>
        <v>6.5300995980505299</v>
      </c>
      <c r="CB137" s="18">
        <f t="shared" si="131"/>
        <v>1.1554057656206655</v>
      </c>
      <c r="CC137" s="18">
        <f t="shared" si="131"/>
        <v>3.1109935883759956</v>
      </c>
      <c r="CD137" s="56">
        <f t="shared" si="119"/>
        <v>2</v>
      </c>
    </row>
    <row r="138" spans="1:82" x14ac:dyDescent="0.25">
      <c r="A138" s="36" t="str">
        <f>KMeans_Data!A120</f>
        <v>Chitral</v>
      </c>
      <c r="B138" s="18">
        <f>KMeans_Data!H120</f>
        <v>-2.0797379818033286</v>
      </c>
      <c r="C138" s="18">
        <f>KMeans_Data!I120</f>
        <v>-0.67265054538827607</v>
      </c>
      <c r="D138" s="18">
        <f>KMeans_Data!J120</f>
        <v>-1.1456441163335547</v>
      </c>
      <c r="E138" s="56">
        <f t="shared" si="105"/>
        <v>2</v>
      </c>
      <c r="F138" s="38">
        <f t="shared" si="106"/>
        <v>2.2453059632297272</v>
      </c>
      <c r="G138" s="13" t="str">
        <f t="shared" si="107"/>
        <v>Low burden</v>
      </c>
      <c r="H138" s="18">
        <f>IF(COUNTIF(Distance_Matrix!$E$9:$DQ$9,$E138)&lt;=1,0,SUMIF(Distance_Matrix!$E$9:$DQ$9,$E138,Distance_Matrix!$E$129:$DQ$129)/(COUNTIF(Distance_Matrix!$E$9:$DQ$9,$E138)-1))</f>
        <v>1.5827150770417611</v>
      </c>
      <c r="I138" s="18">
        <f>MIN(IF(1=$E138,1E+99,IF(COUNTIF(Distance_Matrix!$E$9:$DQ$9,1)=0,1E+99,SUMIF(Distance_Matrix!$E$9:$DQ$9,1,Distance_Matrix!$E$129:$DQ$129)/COUNTIF(Distance_Matrix!$E$9:$DQ$9,1))),IF(2=$E138,1E+99,IF(COUNTIF(Distance_Matrix!$E$9:$DQ$9,2)=0,1E+99,SUMIF(Distance_Matrix!$E$9:$DQ$9,2,Distance_Matrix!$E$129:$DQ$129)/COUNTIF(Distance_Matrix!$E$9:$DQ$9,2))),IF(3=$E138,1E+99,IF(COUNTIF(Distance_Matrix!$E$9:$DQ$9,3)=0,1E+99,SUMIF(Distance_Matrix!$E$9:$DQ$9,3,Distance_Matrix!$E$129:$DQ$129)/COUNTIF(Distance_Matrix!$E$9:$DQ$9,3))))</f>
        <v>3.4534506270931007</v>
      </c>
      <c r="J138" s="18">
        <f>IF(COUNTIF(Distance_Matrix!$E$9:$DQ$9,$E138)&lt;=1,0,(I138-H138)/MAX(H138,I138))</f>
        <v>0.54170038956833388</v>
      </c>
      <c r="X138" s="18">
        <f t="shared" si="120"/>
        <v>8.3791178007212217</v>
      </c>
      <c r="Y138" s="18">
        <f t="shared" si="120"/>
        <v>0</v>
      </c>
      <c r="Z138" s="18">
        <f t="shared" si="120"/>
        <v>4.2029955567656474</v>
      </c>
      <c r="AA138" s="56">
        <f t="shared" si="108"/>
        <v>2</v>
      </c>
      <c r="AC138" s="18">
        <f t="shared" si="121"/>
        <v>7.3895729992118042</v>
      </c>
      <c r="AD138" s="18">
        <f t="shared" si="121"/>
        <v>1.3538516417259299</v>
      </c>
      <c r="AE138" s="18">
        <f t="shared" si="121"/>
        <v>3.279452288064856</v>
      </c>
      <c r="AF138" s="56">
        <f t="shared" si="109"/>
        <v>2</v>
      </c>
      <c r="AH138" s="18">
        <f t="shared" si="122"/>
        <v>6.767888280705149</v>
      </c>
      <c r="AI138" s="18">
        <f t="shared" si="122"/>
        <v>1.4907995685488737</v>
      </c>
      <c r="AJ138" s="18">
        <f t="shared" si="122"/>
        <v>3.3558292987990264</v>
      </c>
      <c r="AK138" s="56">
        <f t="shared" si="110"/>
        <v>2</v>
      </c>
      <c r="AM138" s="18">
        <f t="shared" si="123"/>
        <v>6.767888280705149</v>
      </c>
      <c r="AN138" s="18">
        <f t="shared" si="123"/>
        <v>1.4984345041508245</v>
      </c>
      <c r="AO138" s="18">
        <f t="shared" si="123"/>
        <v>3.3806243915857528</v>
      </c>
      <c r="AP138" s="56">
        <f t="shared" si="111"/>
        <v>2</v>
      </c>
      <c r="AR138" s="18">
        <f t="shared" si="124"/>
        <v>6.767888280705149</v>
      </c>
      <c r="AS138" s="18">
        <f t="shared" si="124"/>
        <v>1.4984345041508245</v>
      </c>
      <c r="AT138" s="18">
        <f t="shared" si="124"/>
        <v>3.3806243915857528</v>
      </c>
      <c r="AU138" s="56">
        <f t="shared" si="112"/>
        <v>2</v>
      </c>
      <c r="AW138" s="18">
        <f t="shared" si="125"/>
        <v>6.767888280705149</v>
      </c>
      <c r="AX138" s="18">
        <f t="shared" si="125"/>
        <v>1.4984345041508245</v>
      </c>
      <c r="AY138" s="18">
        <f t="shared" si="125"/>
        <v>3.3806243915857528</v>
      </c>
      <c r="AZ138" s="56">
        <f t="shared" si="113"/>
        <v>2</v>
      </c>
      <c r="BB138" s="18">
        <f t="shared" si="126"/>
        <v>6.767888280705149</v>
      </c>
      <c r="BC138" s="18">
        <f t="shared" si="126"/>
        <v>1.4984345041508245</v>
      </c>
      <c r="BD138" s="18">
        <f t="shared" si="126"/>
        <v>3.3806243915857528</v>
      </c>
      <c r="BE138" s="56">
        <f t="shared" si="114"/>
        <v>2</v>
      </c>
      <c r="BG138" s="18">
        <f t="shared" si="127"/>
        <v>6.767888280705149</v>
      </c>
      <c r="BH138" s="18">
        <f t="shared" si="127"/>
        <v>1.4984345041508245</v>
      </c>
      <c r="BI138" s="18">
        <f t="shared" si="127"/>
        <v>3.3806243915857528</v>
      </c>
      <c r="BJ138" s="56">
        <f t="shared" si="115"/>
        <v>2</v>
      </c>
      <c r="BL138" s="18">
        <f t="shared" si="128"/>
        <v>6.767888280705149</v>
      </c>
      <c r="BM138" s="18">
        <f t="shared" si="128"/>
        <v>1.4984345041508245</v>
      </c>
      <c r="BN138" s="18">
        <f t="shared" si="128"/>
        <v>3.3806243915857528</v>
      </c>
      <c r="BO138" s="56">
        <f t="shared" si="116"/>
        <v>2</v>
      </c>
      <c r="BQ138" s="18">
        <f t="shared" si="129"/>
        <v>6.767888280705149</v>
      </c>
      <c r="BR138" s="18">
        <f t="shared" si="129"/>
        <v>1.4984345041508245</v>
      </c>
      <c r="BS138" s="18">
        <f t="shared" si="129"/>
        <v>3.3806243915857528</v>
      </c>
      <c r="BT138" s="56">
        <f t="shared" si="117"/>
        <v>2</v>
      </c>
      <c r="BV138" s="18">
        <f t="shared" si="130"/>
        <v>6.767888280705149</v>
      </c>
      <c r="BW138" s="18">
        <f t="shared" si="130"/>
        <v>1.4984345041508245</v>
      </c>
      <c r="BX138" s="18">
        <f t="shared" si="130"/>
        <v>3.3806243915857528</v>
      </c>
      <c r="BY138" s="56">
        <f t="shared" si="118"/>
        <v>2</v>
      </c>
      <c r="CA138" s="18">
        <f t="shared" si="131"/>
        <v>6.767888280705149</v>
      </c>
      <c r="CB138" s="18">
        <f t="shared" si="131"/>
        <v>1.4984345041508245</v>
      </c>
      <c r="CC138" s="18">
        <f t="shared" si="131"/>
        <v>3.3806243915857528</v>
      </c>
      <c r="CD138" s="56">
        <f t="shared" si="119"/>
        <v>2</v>
      </c>
    </row>
    <row r="139" spans="1:82" x14ac:dyDescent="0.25">
      <c r="A139" s="36" t="str">
        <f>KMeans_Data!A121</f>
        <v>Kolai Pallas</v>
      </c>
      <c r="B139" s="18">
        <f>KMeans_Data!H121</f>
        <v>-2.0797379818033286</v>
      </c>
      <c r="C139" s="18">
        <f>KMeans_Data!I121</f>
        <v>-0.67265054538827607</v>
      </c>
      <c r="D139" s="18">
        <f>KMeans_Data!J121</f>
        <v>-1.1456441163335547</v>
      </c>
      <c r="E139" s="56">
        <f t="shared" si="105"/>
        <v>2</v>
      </c>
      <c r="F139" s="38">
        <f t="shared" si="106"/>
        <v>2.2453059632297272</v>
      </c>
      <c r="G139" s="13" t="str">
        <f t="shared" si="107"/>
        <v>Low burden</v>
      </c>
      <c r="H139" s="18">
        <f>IF(COUNTIF(Distance_Matrix!$E$9:$DQ$9,$E139)&lt;=1,0,SUMIF(Distance_Matrix!$E$9:$DQ$9,$E139,Distance_Matrix!$E$130:$DQ$130)/(COUNTIF(Distance_Matrix!$E$9:$DQ$9,$E139)-1))</f>
        <v>1.5827150770417611</v>
      </c>
      <c r="I139" s="18">
        <f>MIN(IF(1=$E139,1E+99,IF(COUNTIF(Distance_Matrix!$E$9:$DQ$9,1)=0,1E+99,SUMIF(Distance_Matrix!$E$9:$DQ$9,1,Distance_Matrix!$E$130:$DQ$130)/COUNTIF(Distance_Matrix!$E$9:$DQ$9,1))),IF(2=$E139,1E+99,IF(COUNTIF(Distance_Matrix!$E$9:$DQ$9,2)=0,1E+99,SUMIF(Distance_Matrix!$E$9:$DQ$9,2,Distance_Matrix!$E$130:$DQ$130)/COUNTIF(Distance_Matrix!$E$9:$DQ$9,2))),IF(3=$E139,1E+99,IF(COUNTIF(Distance_Matrix!$E$9:$DQ$9,3)=0,1E+99,SUMIF(Distance_Matrix!$E$9:$DQ$9,3,Distance_Matrix!$E$130:$DQ$130)/COUNTIF(Distance_Matrix!$E$9:$DQ$9,3))))</f>
        <v>3.4534506270931007</v>
      </c>
      <c r="J139" s="18">
        <f>IF(COUNTIF(Distance_Matrix!$E$9:$DQ$9,$E139)&lt;=1,0,(I139-H139)/MAX(H139,I139))</f>
        <v>0.54170038956833388</v>
      </c>
      <c r="X139" s="18">
        <f t="shared" si="120"/>
        <v>8.3791178007212217</v>
      </c>
      <c r="Y139" s="18">
        <f t="shared" si="120"/>
        <v>0</v>
      </c>
      <c r="Z139" s="18">
        <f t="shared" si="120"/>
        <v>4.2029955567656474</v>
      </c>
      <c r="AA139" s="56">
        <f t="shared" si="108"/>
        <v>2</v>
      </c>
      <c r="AC139" s="18">
        <f t="shared" si="121"/>
        <v>7.3895729992118042</v>
      </c>
      <c r="AD139" s="18">
        <f t="shared" si="121"/>
        <v>1.3538516417259299</v>
      </c>
      <c r="AE139" s="18">
        <f t="shared" si="121"/>
        <v>3.279452288064856</v>
      </c>
      <c r="AF139" s="56">
        <f t="shared" si="109"/>
        <v>2</v>
      </c>
      <c r="AH139" s="18">
        <f t="shared" si="122"/>
        <v>6.767888280705149</v>
      </c>
      <c r="AI139" s="18">
        <f t="shared" si="122"/>
        <v>1.4907995685488737</v>
      </c>
      <c r="AJ139" s="18">
        <f t="shared" si="122"/>
        <v>3.3558292987990264</v>
      </c>
      <c r="AK139" s="56">
        <f t="shared" si="110"/>
        <v>2</v>
      </c>
      <c r="AM139" s="18">
        <f t="shared" si="123"/>
        <v>6.767888280705149</v>
      </c>
      <c r="AN139" s="18">
        <f t="shared" si="123"/>
        <v>1.4984345041508245</v>
      </c>
      <c r="AO139" s="18">
        <f t="shared" si="123"/>
        <v>3.3806243915857528</v>
      </c>
      <c r="AP139" s="56">
        <f t="shared" si="111"/>
        <v>2</v>
      </c>
      <c r="AR139" s="18">
        <f t="shared" si="124"/>
        <v>6.767888280705149</v>
      </c>
      <c r="AS139" s="18">
        <f t="shared" si="124"/>
        <v>1.4984345041508245</v>
      </c>
      <c r="AT139" s="18">
        <f t="shared" si="124"/>
        <v>3.3806243915857528</v>
      </c>
      <c r="AU139" s="56">
        <f t="shared" si="112"/>
        <v>2</v>
      </c>
      <c r="AW139" s="18">
        <f t="shared" si="125"/>
        <v>6.767888280705149</v>
      </c>
      <c r="AX139" s="18">
        <f t="shared" si="125"/>
        <v>1.4984345041508245</v>
      </c>
      <c r="AY139" s="18">
        <f t="shared" si="125"/>
        <v>3.3806243915857528</v>
      </c>
      <c r="AZ139" s="56">
        <f t="shared" si="113"/>
        <v>2</v>
      </c>
      <c r="BB139" s="18">
        <f t="shared" si="126"/>
        <v>6.767888280705149</v>
      </c>
      <c r="BC139" s="18">
        <f t="shared" si="126"/>
        <v>1.4984345041508245</v>
      </c>
      <c r="BD139" s="18">
        <f t="shared" si="126"/>
        <v>3.3806243915857528</v>
      </c>
      <c r="BE139" s="56">
        <f t="shared" si="114"/>
        <v>2</v>
      </c>
      <c r="BG139" s="18">
        <f t="shared" si="127"/>
        <v>6.767888280705149</v>
      </c>
      <c r="BH139" s="18">
        <f t="shared" si="127"/>
        <v>1.4984345041508245</v>
      </c>
      <c r="BI139" s="18">
        <f t="shared" si="127"/>
        <v>3.3806243915857528</v>
      </c>
      <c r="BJ139" s="56">
        <f t="shared" si="115"/>
        <v>2</v>
      </c>
      <c r="BL139" s="18">
        <f t="shared" si="128"/>
        <v>6.767888280705149</v>
      </c>
      <c r="BM139" s="18">
        <f t="shared" si="128"/>
        <v>1.4984345041508245</v>
      </c>
      <c r="BN139" s="18">
        <f t="shared" si="128"/>
        <v>3.3806243915857528</v>
      </c>
      <c r="BO139" s="56">
        <f t="shared" si="116"/>
        <v>2</v>
      </c>
      <c r="BQ139" s="18">
        <f t="shared" si="129"/>
        <v>6.767888280705149</v>
      </c>
      <c r="BR139" s="18">
        <f t="shared" si="129"/>
        <v>1.4984345041508245</v>
      </c>
      <c r="BS139" s="18">
        <f t="shared" si="129"/>
        <v>3.3806243915857528</v>
      </c>
      <c r="BT139" s="56">
        <f t="shared" si="117"/>
        <v>2</v>
      </c>
      <c r="BV139" s="18">
        <f t="shared" si="130"/>
        <v>6.767888280705149</v>
      </c>
      <c r="BW139" s="18">
        <f t="shared" si="130"/>
        <v>1.4984345041508245</v>
      </c>
      <c r="BX139" s="18">
        <f t="shared" si="130"/>
        <v>3.3806243915857528</v>
      </c>
      <c r="BY139" s="56">
        <f t="shared" si="118"/>
        <v>2</v>
      </c>
      <c r="CA139" s="18">
        <f t="shared" si="131"/>
        <v>6.767888280705149</v>
      </c>
      <c r="CB139" s="18">
        <f t="shared" si="131"/>
        <v>1.4984345041508245</v>
      </c>
      <c r="CC139" s="18">
        <f t="shared" si="131"/>
        <v>3.3806243915857528</v>
      </c>
      <c r="CD139" s="56">
        <f t="shared" si="119"/>
        <v>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48235"/>
    <pageSetUpPr fitToPage="1"/>
  </sheetPr>
  <dimension ref="A1:G16"/>
  <sheetViews>
    <sheetView showGridLines="0" zoomScaleNormal="100" workbookViewId="0"/>
  </sheetViews>
  <sheetFormatPr defaultColWidth="8.7109375" defaultRowHeight="15" x14ac:dyDescent="0.25"/>
  <cols>
    <col min="1" max="1" width="4" customWidth="1"/>
    <col min="2" max="2" width="24" customWidth="1"/>
    <col min="3" max="4" width="16" customWidth="1"/>
    <col min="5" max="6" width="18" customWidth="1"/>
    <col min="7" max="7" width="30" customWidth="1"/>
  </cols>
  <sheetData>
    <row r="1" spans="1:7" ht="20.25" x14ac:dyDescent="0.3">
      <c r="A1" s="8" t="s">
        <v>487</v>
      </c>
    </row>
    <row r="2" spans="1:7" x14ac:dyDescent="0.25">
      <c r="A2" s="9" t="s">
        <v>488</v>
      </c>
    </row>
    <row r="4" spans="1:7" ht="31.5" customHeight="1" x14ac:dyDescent="0.25">
      <c r="A4" s="11"/>
      <c r="B4" s="11" t="s">
        <v>489</v>
      </c>
      <c r="C4" s="11" t="s">
        <v>490</v>
      </c>
      <c r="D4" s="11" t="s">
        <v>491</v>
      </c>
      <c r="E4" s="11" t="s">
        <v>492</v>
      </c>
      <c r="F4" s="11" t="s">
        <v>52</v>
      </c>
      <c r="G4" s="11" t="s">
        <v>493</v>
      </c>
    </row>
    <row r="5" spans="1:7" x14ac:dyDescent="0.25">
      <c r="B5" s="56">
        <v>2</v>
      </c>
      <c r="C5" s="39">
        <f>Elbow_Engine!$L$13</f>
        <v>155.1754671544692</v>
      </c>
      <c r="D5" s="39"/>
      <c r="E5" s="18">
        <f>AVERAGE(Elbow_Engine!$I$15:$I$131)</f>
        <v>0.50599725536231421</v>
      </c>
      <c r="F5" s="13" t="str">
        <f>Elbow_Engine!$N$13</f>
        <v>Converged</v>
      </c>
      <c r="G5" s="13" t="str">
        <f>COUNTIF(Elbow_Engine!$E$15:$E$131,1)&amp;" / "&amp;COUNTIF(Elbow_Engine!$E$15:$E$131,2)</f>
        <v>35 / 82</v>
      </c>
    </row>
    <row r="6" spans="1:7" x14ac:dyDescent="0.25">
      <c r="B6" s="56">
        <v>3</v>
      </c>
      <c r="C6" s="39">
        <f>KMeans_City!$L$21</f>
        <v>95.707536984010261</v>
      </c>
      <c r="D6" s="39">
        <f>C5-C6</f>
        <v>59.467930170458942</v>
      </c>
      <c r="E6" s="18">
        <f>AVERAGE(KMeans_City!$J$23:$J$139)</f>
        <v>0.47847871495326255</v>
      </c>
      <c r="F6" s="13" t="str">
        <f>KMeans_City!$N$21</f>
        <v>Converged</v>
      </c>
      <c r="G6" s="13" t="str">
        <f>COUNTIF(KMeans_City!$E$23:$E$139,1)&amp;" / "&amp;COUNTIF(KMeans_City!$E$23:$E$139,2)&amp;" / "&amp;COUNTIF(KMeans_City!$E$23:$E$139,3)</f>
        <v>6 / 63 / 48</v>
      </c>
    </row>
    <row r="7" spans="1:7" x14ac:dyDescent="0.25">
      <c r="B7" s="56">
        <v>4</v>
      </c>
      <c r="C7" s="39">
        <f>Elbow_Engine!$L$144</f>
        <v>68.964065011176899</v>
      </c>
      <c r="D7" s="39">
        <f>C6-C7</f>
        <v>26.743471972833362</v>
      </c>
      <c r="E7" s="18">
        <f>AVERAGE(Elbow_Engine!$I$146:$I$262)</f>
        <v>0.39244530806704664</v>
      </c>
      <c r="F7" s="13" t="str">
        <f>Elbow_Engine!$N$144</f>
        <v>Converged</v>
      </c>
      <c r="G7" s="13" t="str">
        <f>COUNTIF(Elbow_Engine!$E$146:$E$262,1)&amp;" / "&amp;COUNTIF(Elbow_Engine!$E$146:$E$262,2)&amp;" / "&amp;COUNTIF(Elbow_Engine!$E$146:$E$262,3)&amp;" / "&amp;COUNTIF(Elbow_Engine!$E$146:$E$262,4)</f>
        <v>6 / 25 / 37 / 49</v>
      </c>
    </row>
    <row r="8" spans="1:7" x14ac:dyDescent="0.25">
      <c r="B8" s="56">
        <v>5</v>
      </c>
      <c r="C8" s="39">
        <f>Elbow_Engine!$L$275</f>
        <v>61.871852918134095</v>
      </c>
      <c r="D8" s="39">
        <f>C7-C8</f>
        <v>7.0922120930428036</v>
      </c>
      <c r="E8" s="18">
        <f>AVERAGE(Elbow_Engine!$I$277:$I$393)</f>
        <v>0.37761332186198227</v>
      </c>
      <c r="F8" s="13" t="str">
        <f>Elbow_Engine!$N$275</f>
        <v>Converged</v>
      </c>
      <c r="G8" s="13" t="str">
        <f>COUNTIF(Elbow_Engine!$E$277:$E$393,1)&amp;" / "&amp;COUNTIF(Elbow_Engine!$E$277:$E$393,2)&amp;" / "&amp;COUNTIF(Elbow_Engine!$E$277:$E$393,3)&amp;" / "&amp;COUNTIF(Elbow_Engine!$E$277:$E$393,4)&amp;" / "&amp;COUNTIF(Elbow_Engine!$E$277:$E$393,5)</f>
        <v>2 / 25 / 36 / 49 / 5</v>
      </c>
    </row>
    <row r="9" spans="1:7" x14ac:dyDescent="0.25">
      <c r="B9" s="56">
        <v>6</v>
      </c>
      <c r="C9" s="39">
        <f>Elbow_Engine!$L$406</f>
        <v>45.001905389604893</v>
      </c>
      <c r="D9" s="39">
        <f>C8-C9</f>
        <v>16.869947528529202</v>
      </c>
      <c r="E9" s="18">
        <f>AVERAGE(Elbow_Engine!$I$408:$I$524)</f>
        <v>0.40936350902042817</v>
      </c>
      <c r="F9" s="13" t="str">
        <f>Elbow_Engine!$N$406</f>
        <v>Converged</v>
      </c>
      <c r="G9" s="13" t="str">
        <f>COUNTIF(Elbow_Engine!$E$408:$E$524,1)&amp;" / "&amp;COUNTIF(Elbow_Engine!$E$408:$E$524,2)&amp;" / "&amp;COUNTIF(Elbow_Engine!$E$408:$E$524,3)&amp;" / "&amp;COUNTIF(Elbow_Engine!$E$408:$E$524,4)&amp;" / "&amp;COUNTIF(Elbow_Engine!$E$408:$E$524,5)&amp;" / "&amp;COUNTIF(Elbow_Engine!$E$408:$E$524,6)</f>
        <v>2 / 27 / 29 / 23 / 4 / 32</v>
      </c>
    </row>
    <row r="11" spans="1:7" x14ac:dyDescent="0.25">
      <c r="B11" s="20" t="s">
        <v>494</v>
      </c>
      <c r="C11" s="21">
        <f>INDEX(B5:B9,MATCH(MAX(E5:E9),E5:E9,0))</f>
        <v>2</v>
      </c>
    </row>
    <row r="13" spans="1:7" ht="15" customHeight="1" x14ac:dyDescent="0.25">
      <c r="B13" s="1" t="s">
        <v>495</v>
      </c>
      <c r="C13" s="1"/>
      <c r="D13" s="1"/>
      <c r="E13" s="1"/>
      <c r="F13" s="1"/>
      <c r="G13" s="1"/>
    </row>
    <row r="14" spans="1:7" x14ac:dyDescent="0.25">
      <c r="B14" s="1"/>
      <c r="C14" s="1"/>
      <c r="D14" s="1"/>
      <c r="E14" s="1"/>
      <c r="F14" s="1"/>
      <c r="G14" s="1"/>
    </row>
    <row r="15" spans="1:7" x14ac:dyDescent="0.25">
      <c r="B15" s="1"/>
      <c r="C15" s="1"/>
      <c r="D15" s="1"/>
      <c r="E15" s="1"/>
      <c r="F15" s="1"/>
      <c r="G15" s="1"/>
    </row>
    <row r="16" spans="1:7" x14ac:dyDescent="0.25">
      <c r="B16" s="1"/>
      <c r="C16" s="1"/>
      <c r="D16" s="1"/>
      <c r="E16" s="1"/>
      <c r="F16" s="1"/>
      <c r="G16" s="1"/>
    </row>
  </sheetData>
  <mergeCells count="1">
    <mergeCell ref="B13:G16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48235"/>
    <pageSetUpPr fitToPage="1"/>
  </sheetPr>
  <dimension ref="A1:DN524"/>
  <sheetViews>
    <sheetView showGridLines="0" topLeftCell="A357" zoomScaleNormal="100" workbookViewId="0"/>
  </sheetViews>
  <sheetFormatPr defaultColWidth="8.7109375" defaultRowHeight="15" x14ac:dyDescent="0.25"/>
  <cols>
    <col min="1" max="1" width="28" customWidth="1"/>
    <col min="2" max="4" width="11" customWidth="1"/>
    <col min="5" max="5" width="10" customWidth="1"/>
    <col min="6" max="6" width="14" customWidth="1"/>
    <col min="7" max="10" width="10" customWidth="1"/>
    <col min="11" max="11" width="3" customWidth="1"/>
    <col min="12" max="17" width="10" customWidth="1"/>
    <col min="18" max="21" width="11" customWidth="1"/>
    <col min="23" max="23" width="13" customWidth="1"/>
    <col min="24" max="29" width="10" customWidth="1"/>
    <col min="30" max="30" width="9" customWidth="1"/>
    <col min="31" max="31" width="2" customWidth="1"/>
    <col min="32" max="37" width="10" customWidth="1"/>
    <col min="38" max="38" width="9" customWidth="1"/>
    <col min="39" max="39" width="2" customWidth="1"/>
    <col min="40" max="45" width="10" customWidth="1"/>
    <col min="46" max="46" width="9" customWidth="1"/>
    <col min="47" max="47" width="2" customWidth="1"/>
    <col min="48" max="53" width="10" customWidth="1"/>
    <col min="54" max="54" width="9" customWidth="1"/>
    <col min="55" max="55" width="2" customWidth="1"/>
    <col min="56" max="61" width="10" customWidth="1"/>
    <col min="62" max="62" width="9" customWidth="1"/>
    <col min="63" max="63" width="2" customWidth="1"/>
    <col min="64" max="69" width="10" customWidth="1"/>
    <col min="70" max="70" width="9" customWidth="1"/>
    <col min="71" max="71" width="2" customWidth="1"/>
    <col min="72" max="77" width="10" customWidth="1"/>
    <col min="78" max="78" width="9" customWidth="1"/>
    <col min="79" max="79" width="2" customWidth="1"/>
    <col min="80" max="85" width="10" customWidth="1"/>
    <col min="86" max="86" width="9" customWidth="1"/>
    <col min="87" max="87" width="2" customWidth="1"/>
    <col min="88" max="93" width="10" customWidth="1"/>
    <col min="94" max="94" width="9" customWidth="1"/>
    <col min="95" max="95" width="2" customWidth="1"/>
    <col min="96" max="101" width="10" customWidth="1"/>
    <col min="102" max="102" width="9" customWidth="1"/>
    <col min="103" max="103" width="2" customWidth="1"/>
    <col min="104" max="109" width="10" customWidth="1"/>
    <col min="110" max="110" width="9" customWidth="1"/>
    <col min="111" max="111" width="2" customWidth="1"/>
    <col min="112" max="117" width="10" customWidth="1"/>
    <col min="118" max="118" width="9" customWidth="1"/>
    <col min="119" max="119" width="2" customWidth="1"/>
  </cols>
  <sheetData>
    <row r="1" spans="1:70" ht="20.25" x14ac:dyDescent="0.3">
      <c r="A1" s="8" t="s">
        <v>496</v>
      </c>
    </row>
    <row r="2" spans="1:70" x14ac:dyDescent="0.25">
      <c r="A2" s="9" t="s">
        <v>497</v>
      </c>
    </row>
    <row r="4" spans="1:70" x14ac:dyDescent="0.25">
      <c r="A4" s="54" t="s">
        <v>498</v>
      </c>
      <c r="B4" s="55"/>
    </row>
    <row r="5" spans="1:70" x14ac:dyDescent="0.25">
      <c r="A5" s="48" t="s">
        <v>499</v>
      </c>
    </row>
    <row r="6" spans="1:70" x14ac:dyDescent="0.25">
      <c r="A6" s="48" t="s">
        <v>458</v>
      </c>
      <c r="B6" s="32" t="s">
        <v>91</v>
      </c>
    </row>
    <row r="7" spans="1:70" x14ac:dyDescent="0.25">
      <c r="A7" s="48" t="s">
        <v>459</v>
      </c>
      <c r="B7" s="32" t="s">
        <v>435</v>
      </c>
      <c r="L7" s="54" t="s">
        <v>462</v>
      </c>
      <c r="M7" s="55"/>
      <c r="X7" s="54" t="s">
        <v>463</v>
      </c>
      <c r="Y7" s="55"/>
      <c r="AB7" s="54" t="s">
        <v>464</v>
      </c>
      <c r="AC7" s="55"/>
      <c r="AF7" s="54" t="s">
        <v>465</v>
      </c>
      <c r="AG7" s="55"/>
      <c r="AJ7" s="54" t="s">
        <v>466</v>
      </c>
      <c r="AK7" s="55"/>
      <c r="AN7" s="54" t="s">
        <v>467</v>
      </c>
      <c r="AO7" s="55"/>
      <c r="AR7" s="54" t="s">
        <v>468</v>
      </c>
      <c r="AS7" s="55"/>
      <c r="AV7" s="54" t="s">
        <v>469</v>
      </c>
      <c r="AW7" s="55"/>
      <c r="AZ7" s="54" t="s">
        <v>470</v>
      </c>
      <c r="BA7" s="55"/>
      <c r="BD7" s="54" t="s">
        <v>471</v>
      </c>
      <c r="BE7" s="55"/>
      <c r="BH7" s="54" t="s">
        <v>472</v>
      </c>
      <c r="BI7" s="55"/>
      <c r="BL7" s="54" t="s">
        <v>473</v>
      </c>
      <c r="BM7" s="55"/>
      <c r="BP7" s="54" t="s">
        <v>474</v>
      </c>
      <c r="BQ7" s="55"/>
    </row>
    <row r="8" spans="1:70" x14ac:dyDescent="0.25">
      <c r="K8" s="40" t="s">
        <v>445</v>
      </c>
      <c r="L8" s="18">
        <f>IFERROR(AVERAGEIF($E$15:$E$131,1,$B$15:$B$131),0)</f>
        <v>1.0407410901419032</v>
      </c>
      <c r="M8" s="18">
        <f>IFERROR(AVERAGEIF($E$15:$E$131,2,$B$15:$B$131),0)</f>
        <v>-0.44421875798739879</v>
      </c>
      <c r="W8" s="40" t="s">
        <v>445</v>
      </c>
      <c r="X8" s="18">
        <f>INDEX($B$15:$B$131,MATCH($B$6,$A$15:$A$131,0))</f>
        <v>3.2743087782752069</v>
      </c>
      <c r="Y8" s="18">
        <f>INDEX($B$15:$B$131,MATCH($B$7,$A$15:$A$131,0))</f>
        <v>-2.0797379818033286</v>
      </c>
      <c r="AB8" s="18">
        <f>IFERROR(AVERAGEIF($Z$15:$Z$131,1,$B$15:$B$131),X8)</f>
        <v>1.9742627847464633</v>
      </c>
      <c r="AC8" s="18">
        <f>IFERROR(AVERAGEIF($Z$15:$Z$131,2,$B$15:$B$131),Y8)</f>
        <v>-0.18451054063051142</v>
      </c>
      <c r="AF8" s="18">
        <f>IFERROR(AVERAGEIF($AD$15:$AD$131,1,$B$15:$B$131),AB8)</f>
        <v>1.6147823048331749</v>
      </c>
      <c r="AG8" s="18">
        <f>IFERROR(AVERAGEIF($AD$15:$AD$131,2,$B$15:$B$131),AC8)</f>
        <v>-0.23746798600487962</v>
      </c>
      <c r="AJ8" s="18">
        <f>IFERROR(AVERAGEIF($AH$15:$AH$131,1,$B$15:$B$131),AF8)</f>
        <v>1.229686800060684</v>
      </c>
      <c r="AK8" s="18">
        <f>IFERROR(AVERAGEIF($AH$15:$AH$131,2,$B$15:$B$131),AG8)</f>
        <v>-0.33415402175562164</v>
      </c>
      <c r="AN8" s="18">
        <f>IFERROR(AVERAGEIF($AL$15:$AL$131,1,$B$15:$B$131),AJ8)</f>
        <v>1.1495863628477963</v>
      </c>
      <c r="AO8" s="18">
        <f>IFERROR(AVERAGEIF($AL$15:$AL$131,2,$B$15:$B$131),AK8)</f>
        <v>-0.39640909063717222</v>
      </c>
      <c r="AR8" s="18">
        <f>IFERROR(AVERAGEIF($AP$15:$AP$131,1,$B$15:$B$131),AN8)</f>
        <v>1.0887173647732056</v>
      </c>
      <c r="AS8" s="18">
        <f>IFERROR(AVERAGEIF($AP$15:$AP$131,2,$B$15:$B$131),AO8)</f>
        <v>-0.42771039330376048</v>
      </c>
      <c r="AV8" s="18">
        <f>IFERROR(AVERAGEIF($AT$15:$AT$131,1,$B$15:$B$131),AR8)</f>
        <v>1.0723317288407035</v>
      </c>
      <c r="AW8" s="18">
        <f>IFERROR(AVERAGEIF($AT$15:$AT$131,2,$B$15:$B$131),AS8)</f>
        <v>-0.43926841904318092</v>
      </c>
      <c r="AZ8" s="18">
        <f>IFERROR(AVERAGEIF($AX$15:$AX$131,1,$B$15:$B$131),AV8)</f>
        <v>1.0407410901419032</v>
      </c>
      <c r="BA8" s="18">
        <f>IFERROR(AVERAGEIF($AX$15:$AX$131,2,$B$15:$B$131),AW8)</f>
        <v>-0.44421875798739879</v>
      </c>
      <c r="BD8" s="18">
        <f>IFERROR(AVERAGEIF($BB$15:$BB$131,1,$B$15:$B$131),AZ8)</f>
        <v>1.0407410901419032</v>
      </c>
      <c r="BE8" s="18">
        <f>IFERROR(AVERAGEIF($BB$15:$BB$131,2,$B$15:$B$131),BA8)</f>
        <v>-0.44421875798739879</v>
      </c>
      <c r="BH8" s="18">
        <f>IFERROR(AVERAGEIF($BF$15:$BF$131,1,$B$15:$B$131),BD8)</f>
        <v>1.0407410901419032</v>
      </c>
      <c r="BI8" s="18">
        <f>IFERROR(AVERAGEIF($BF$15:$BF$131,2,$B$15:$B$131),BE8)</f>
        <v>-0.44421875798739879</v>
      </c>
      <c r="BL8" s="18">
        <f>IFERROR(AVERAGEIF($BJ$15:$BJ$131,1,$B$15:$B$131),BH8)</f>
        <v>1.0407410901419032</v>
      </c>
      <c r="BM8" s="18">
        <f>IFERROR(AVERAGEIF($BJ$15:$BJ$131,2,$B$15:$B$131),BI8)</f>
        <v>-0.44421875798739879</v>
      </c>
      <c r="BP8" s="18">
        <f>IFERROR(AVERAGEIF($BN$15:$BN$131,1,$B$15:$B$131),BL8)</f>
        <v>1.0407410901419032</v>
      </c>
      <c r="BQ8" s="18">
        <f>IFERROR(AVERAGEIF($BN$15:$BN$131,2,$B$15:$B$131),BM8)</f>
        <v>-0.44421875798739879</v>
      </c>
    </row>
    <row r="9" spans="1:70" x14ac:dyDescent="0.25">
      <c r="K9" s="40" t="s">
        <v>446</v>
      </c>
      <c r="L9" s="18">
        <f>IFERROR(AVERAGEIF($E$15:$E$131,1,$C$15:$C$131),0)</f>
        <v>1.2117606672890577</v>
      </c>
      <c r="M9" s="18">
        <f>IFERROR(AVERAGEIF($E$15:$E$131,2,$C$15:$C$131),0)</f>
        <v>-0.51721491896484273</v>
      </c>
      <c r="W9" s="40" t="s">
        <v>446</v>
      </c>
      <c r="X9" s="18">
        <f>INDEX($C$15:$C$131,MATCH($B$6,$A$15:$A$131,0))</f>
        <v>4.0388517969113016</v>
      </c>
      <c r="Y9" s="18">
        <f>INDEX($C$15:$C$131,MATCH($B$7,$A$15:$A$131,0))</f>
        <v>-0.67265054538827607</v>
      </c>
      <c r="AB9" s="18">
        <f>IFERROR(AVERAGEIF($Z$15:$Z$131,1,$C$15:$C$131),X9)</f>
        <v>2.3490773970619534</v>
      </c>
      <c r="AC9" s="18">
        <f>IFERROR(AVERAGEIF($Z$15:$Z$131,2,$C$15:$C$131),Y9)</f>
        <v>-0.21953994365064997</v>
      </c>
      <c r="AF9" s="18">
        <f>IFERROR(AVERAGEIF($AD$15:$AD$131,1,$C$15:$C$131),AB9)</f>
        <v>1.9747565988312927</v>
      </c>
      <c r="AG9" s="18">
        <f>IFERROR(AVERAGEIF($AD$15:$AD$131,2,$C$15:$C$131),AC9)</f>
        <v>-0.29040538218107265</v>
      </c>
      <c r="AJ9" s="18">
        <f>IFERROR(AVERAGEIF($AH$15:$AH$131,1,$C$15:$C$131),AF9)</f>
        <v>1.5508645727436667</v>
      </c>
      <c r="AK9" s="18">
        <f>IFERROR(AVERAGEIF($AH$15:$AH$131,2,$C$15:$C$131),AG9)</f>
        <v>-0.42143059041947517</v>
      </c>
      <c r="AN9" s="18">
        <f>IFERROR(AVERAGEIF($AL$15:$AL$131,1,$C$15:$C$131),AJ9)</f>
        <v>1.3522382182353292</v>
      </c>
      <c r="AO9" s="18">
        <f>IFERROR(AVERAGEIF($AL$15:$AL$131,2,$C$15:$C$131),AK9)</f>
        <v>-0.46628904077080391</v>
      </c>
      <c r="AR9" s="18">
        <f>IFERROR(AVERAGEIF($AP$15:$AP$131,1,$C$15:$C$131),AN9)</f>
        <v>1.2571220512649486</v>
      </c>
      <c r="AS9" s="18">
        <f>IFERROR(AVERAGEIF($AP$15:$AP$131,2,$C$15:$C$131),AO9)</f>
        <v>-0.49386937728265923</v>
      </c>
      <c r="AV9" s="18">
        <f>IFERROR(AVERAGEIF($AT$15:$AT$131,1,$C$15:$C$131),AR9)</f>
        <v>1.2312856461550741</v>
      </c>
      <c r="AW9" s="18">
        <f>IFERROR(AVERAGEIF($AT$15:$AT$131,2,$C$15:$C$131),AS9)</f>
        <v>-0.50438207191894691</v>
      </c>
      <c r="AZ9" s="18">
        <f>IFERROR(AVERAGEIF($AX$15:$AX$131,1,$C$15:$C$131),AV9)</f>
        <v>1.2117606672890577</v>
      </c>
      <c r="BA9" s="18">
        <f>IFERROR(AVERAGEIF($AX$15:$AX$131,2,$C$15:$C$131),AW9)</f>
        <v>-0.51721491896484273</v>
      </c>
      <c r="BD9" s="18">
        <f>IFERROR(AVERAGEIF($BB$15:$BB$131,1,$C$15:$C$131),AZ9)</f>
        <v>1.2117606672890577</v>
      </c>
      <c r="BE9" s="18">
        <f>IFERROR(AVERAGEIF($BB$15:$BB$131,2,$C$15:$C$131),BA9)</f>
        <v>-0.51721491896484273</v>
      </c>
      <c r="BH9" s="18">
        <f>IFERROR(AVERAGEIF($BF$15:$BF$131,1,$C$15:$C$131),BD9)</f>
        <v>1.2117606672890577</v>
      </c>
      <c r="BI9" s="18">
        <f>IFERROR(AVERAGEIF($BF$15:$BF$131,2,$C$15:$C$131),BE9)</f>
        <v>-0.51721491896484273</v>
      </c>
      <c r="BL9" s="18">
        <f>IFERROR(AVERAGEIF($BJ$15:$BJ$131,1,$C$15:$C$131),BH9)</f>
        <v>1.2117606672890577</v>
      </c>
      <c r="BM9" s="18">
        <f>IFERROR(AVERAGEIF($BJ$15:$BJ$131,2,$C$15:$C$131),BI9)</f>
        <v>-0.51721491896484273</v>
      </c>
      <c r="BP9" s="18">
        <f>IFERROR(AVERAGEIF($BN$15:$BN$131,1,$C$15:$C$131),BL9)</f>
        <v>1.2117606672890577</v>
      </c>
      <c r="BQ9" s="18">
        <f>IFERROR(AVERAGEIF($BN$15:$BN$131,2,$C$15:$C$131),BM9)</f>
        <v>-0.51721491896484273</v>
      </c>
    </row>
    <row r="10" spans="1:70" x14ac:dyDescent="0.25">
      <c r="K10" s="40" t="s">
        <v>447</v>
      </c>
      <c r="L10" s="18">
        <f>IFERROR(AVERAGEIF($E$15:$E$131,1,$D$15:$D$131),0)</f>
        <v>1.1444184135240547</v>
      </c>
      <c r="M10" s="18">
        <f>IFERROR(AVERAGEIF($E$15:$E$131,2,$D$15:$D$131),0)</f>
        <v>-0.48847127406514568</v>
      </c>
      <c r="W10" s="40" t="s">
        <v>447</v>
      </c>
      <c r="X10" s="18">
        <f>INDEX($D$15:$D$131,MATCH($B$6,$A$15:$A$131,0))</f>
        <v>3.2527128596020467</v>
      </c>
      <c r="Y10" s="18">
        <f>INDEX($D$15:$D$131,MATCH($B$7,$A$15:$A$131,0))</f>
        <v>-1.1456441163335547</v>
      </c>
      <c r="AB10" s="18">
        <f>IFERROR(AVERAGEIF($Z$15:$Z$131,1,$D$15:$D$131),X10)</f>
        <v>1.8660034296930419</v>
      </c>
      <c r="AC10" s="18">
        <f>IFERROR(AVERAGEIF($Z$15:$Z$131,2,$D$15:$D$131),Y10)</f>
        <v>-0.17439284389654616</v>
      </c>
      <c r="AF10" s="18">
        <f>IFERROR(AVERAGEIF($AD$15:$AD$131,1,$D$15:$D$131),AB10)</f>
        <v>1.5345735319857137</v>
      </c>
      <c r="AG10" s="18">
        <f>IFERROR(AVERAGEIF($AD$15:$AD$131,2,$D$15:$D$131),AC10)</f>
        <v>-0.22567257823319339</v>
      </c>
      <c r="AJ10" s="18">
        <f>IFERROR(AVERAGEIF($AH$15:$AH$131,1,$D$15:$D$131),AF10)</f>
        <v>1.3081514175797877</v>
      </c>
      <c r="AK10" s="18">
        <f>IFERROR(AVERAGEIF($AH$15:$AH$131,2,$D$15:$D$131),AG10)</f>
        <v>-0.3554759286901597</v>
      </c>
      <c r="AN10" s="18">
        <f>IFERROR(AVERAGEIF($AL$15:$AL$131,1,$D$15:$D$131),AJ10)</f>
        <v>1.249472822504307</v>
      </c>
      <c r="AO10" s="18">
        <f>IFERROR(AVERAGEIF($AL$15:$AL$131,2,$D$15:$D$131),AK10)</f>
        <v>-0.43085269741527848</v>
      </c>
      <c r="AR10" s="18">
        <f>IFERROR(AVERAGEIF($AP$15:$AP$131,1,$D$15:$D$131),AN10)</f>
        <v>1.1898804781651138</v>
      </c>
      <c r="AS10" s="18">
        <f>IFERROR(AVERAGEIF($AP$15:$AP$131,2,$D$15:$D$131),AO10)</f>
        <v>-0.46745304499343782</v>
      </c>
      <c r="AV10" s="18">
        <f>IFERROR(AVERAGEIF($AT$15:$AT$131,1,$D$15:$D$131),AR10)</f>
        <v>1.1633168420011861</v>
      </c>
      <c r="AW10" s="18">
        <f>IFERROR(AVERAGEIF($AT$15:$AT$131,2,$D$15:$D$131),AS10)</f>
        <v>-0.47653942925349818</v>
      </c>
      <c r="AZ10" s="18">
        <f>IFERROR(AVERAGEIF($AX$15:$AX$131,1,$D$15:$D$131),AV10)</f>
        <v>1.1444184135240547</v>
      </c>
      <c r="BA10" s="18">
        <f>IFERROR(AVERAGEIF($AX$15:$AX$131,2,$D$15:$D$131),AW10)</f>
        <v>-0.48847127406514568</v>
      </c>
      <c r="BD10" s="18">
        <f>IFERROR(AVERAGEIF($BB$15:$BB$131,1,$D$15:$D$131),AZ10)</f>
        <v>1.1444184135240547</v>
      </c>
      <c r="BE10" s="18">
        <f>IFERROR(AVERAGEIF($BB$15:$BB$131,2,$D$15:$D$131),BA10)</f>
        <v>-0.48847127406514568</v>
      </c>
      <c r="BH10" s="18">
        <f>IFERROR(AVERAGEIF($BF$15:$BF$131,1,$D$15:$D$131),BD10)</f>
        <v>1.1444184135240547</v>
      </c>
      <c r="BI10" s="18">
        <f>IFERROR(AVERAGEIF($BF$15:$BF$131,2,$D$15:$D$131),BE10)</f>
        <v>-0.48847127406514568</v>
      </c>
      <c r="BL10" s="18">
        <f>IFERROR(AVERAGEIF($BJ$15:$BJ$131,1,$D$15:$D$131),BH10)</f>
        <v>1.1444184135240547</v>
      </c>
      <c r="BM10" s="18">
        <f>IFERROR(AVERAGEIF($BJ$15:$BJ$131,2,$D$15:$D$131),BI10)</f>
        <v>-0.48847127406514568</v>
      </c>
      <c r="BP10" s="18">
        <f>IFERROR(AVERAGEIF($BN$15:$BN$131,1,$D$15:$D$131),BL10)</f>
        <v>1.1444184135240547</v>
      </c>
      <c r="BQ10" s="18">
        <f>IFERROR(AVERAGEIF($BN$15:$BN$131,2,$D$15:$D$131),BM10)</f>
        <v>-0.48847127406514568</v>
      </c>
    </row>
    <row r="11" spans="1:70" x14ac:dyDescent="0.25">
      <c r="K11" s="40" t="s">
        <v>475</v>
      </c>
      <c r="L11" s="16">
        <f>COUNTIF($E$15:$E$131,1)</f>
        <v>35</v>
      </c>
      <c r="M11" s="16">
        <f>COUNTIF($E$15:$E$131,2)</f>
        <v>82</v>
      </c>
      <c r="W11" s="40" t="s">
        <v>475</v>
      </c>
      <c r="X11" s="16">
        <f>COUNTIF($Z$15:$Z$131,1)</f>
        <v>10</v>
      </c>
      <c r="Y11" s="16">
        <f>COUNTIF($Z$15:$Z$131,2)</f>
        <v>107</v>
      </c>
      <c r="AB11" s="16">
        <f>COUNTIF($AD$15:$AD$131,1)</f>
        <v>15</v>
      </c>
      <c r="AC11" s="16">
        <f>COUNTIF($AD$15:$AD$131,2)</f>
        <v>102</v>
      </c>
      <c r="AF11" s="16">
        <f>COUNTIF($AH$15:$AH$131,1)</f>
        <v>25</v>
      </c>
      <c r="AG11" s="16">
        <f>COUNTIF($AH$15:$AH$131,2)</f>
        <v>92</v>
      </c>
      <c r="AJ11" s="16">
        <f>COUNTIF($AL$15:$AL$131,1)</f>
        <v>30</v>
      </c>
      <c r="AK11" s="16">
        <f>COUNTIF($AL$15:$AL$131,2)</f>
        <v>87</v>
      </c>
      <c r="AN11" s="16">
        <f>COUNTIF($AP$15:$AP$131,1)</f>
        <v>33</v>
      </c>
      <c r="AO11" s="16">
        <f>COUNTIF($AP$15:$AP$131,2)</f>
        <v>84</v>
      </c>
      <c r="AR11" s="16">
        <f>COUNTIF($AT$15:$AT$131,1)</f>
        <v>34</v>
      </c>
      <c r="AS11" s="16">
        <f>COUNTIF($AT$15:$AT$131,2)</f>
        <v>83</v>
      </c>
      <c r="AV11" s="16">
        <f>COUNTIF($AX$15:$AX$131,1)</f>
        <v>35</v>
      </c>
      <c r="AW11" s="16">
        <f>COUNTIF($AX$15:$AX$131,2)</f>
        <v>82</v>
      </c>
      <c r="AZ11" s="16">
        <f>COUNTIF($BB$15:$BB$131,1)</f>
        <v>35</v>
      </c>
      <c r="BA11" s="16">
        <f>COUNTIF($BB$15:$BB$131,2)</f>
        <v>82</v>
      </c>
      <c r="BD11" s="16">
        <f>COUNTIF($BF$15:$BF$131,1)</f>
        <v>35</v>
      </c>
      <c r="BE11" s="16">
        <f>COUNTIF($BF$15:$BF$131,2)</f>
        <v>82</v>
      </c>
      <c r="BH11" s="16">
        <f>COUNTIF($BJ$15:$BJ$131,1)</f>
        <v>35</v>
      </c>
      <c r="BI11" s="16">
        <f>COUNTIF($BJ$15:$BJ$131,2)</f>
        <v>82</v>
      </c>
      <c r="BL11" s="16">
        <f>COUNTIF($BN$15:$BN$131,1)</f>
        <v>35</v>
      </c>
      <c r="BM11" s="16">
        <f>COUNTIF($BN$15:$BN$131,2)</f>
        <v>82</v>
      </c>
      <c r="BP11" s="16">
        <f>COUNTIF($BR$15:$BR$131,1)</f>
        <v>35</v>
      </c>
      <c r="BQ11" s="16">
        <f>COUNTIF($BR$15:$BR$131,2)</f>
        <v>82</v>
      </c>
    </row>
    <row r="12" spans="1:70" x14ac:dyDescent="0.25">
      <c r="K12" s="40" t="s">
        <v>476</v>
      </c>
      <c r="L12" s="18">
        <f>SUMIF($E$15:$E$131,1,$F$15:$F$131)</f>
        <v>70.522165827463752</v>
      </c>
      <c r="M12" s="18">
        <f>SUMIF($E$15:$E$131,2,$F$15:$F$131)</f>
        <v>84.653301327005423</v>
      </c>
      <c r="W12" s="40" t="s">
        <v>477</v>
      </c>
      <c r="Z12" s="13" t="s">
        <v>478</v>
      </c>
      <c r="AD12" s="16">
        <f>SUMPRODUCT(--($AD$15:$AD$131&lt;&gt;$Z$15:$Z$131))</f>
        <v>5</v>
      </c>
      <c r="AH12" s="16">
        <f>SUMPRODUCT(--($AH$15:$AH$131&lt;&gt;$AD$15:$AD$131))</f>
        <v>10</v>
      </c>
      <c r="AL12" s="16">
        <f>SUMPRODUCT(--($AL$15:$AL$131&lt;&gt;$AH$15:$AH$131))</f>
        <v>5</v>
      </c>
      <c r="AP12" s="16">
        <f>SUMPRODUCT(--($AP$15:$AP$131&lt;&gt;$AL$15:$AL$131))</f>
        <v>3</v>
      </c>
      <c r="AT12" s="16">
        <f>SUMPRODUCT(--($AT$15:$AT$131&lt;&gt;$AP$15:$AP$131))</f>
        <v>1</v>
      </c>
      <c r="AX12" s="16">
        <f>SUMPRODUCT(--($AX$15:$AX$131&lt;&gt;$AT$15:$AT$131))</f>
        <v>1</v>
      </c>
      <c r="BB12" s="16">
        <f>SUMPRODUCT(--($BB$15:$BB$131&lt;&gt;$AX$15:$AX$131))</f>
        <v>0</v>
      </c>
      <c r="BF12" s="16">
        <f>SUMPRODUCT(--($BF$15:$BF$131&lt;&gt;$BB$15:$BB$131))</f>
        <v>0</v>
      </c>
      <c r="BJ12" s="16">
        <f>SUMPRODUCT(--($BJ$15:$BJ$131&lt;&gt;$BF$15:$BF$131))</f>
        <v>0</v>
      </c>
      <c r="BN12" s="16">
        <f>SUMPRODUCT(--($BN$15:$BN$131&lt;&gt;$BJ$15:$BJ$131))</f>
        <v>0</v>
      </c>
      <c r="BR12" s="16">
        <f>SUMPRODUCT(--($BR$15:$BR$131&lt;&gt;$BN$15:$BN$131))</f>
        <v>0</v>
      </c>
    </row>
    <row r="13" spans="1:70" x14ac:dyDescent="0.25">
      <c r="K13" s="40" t="s">
        <v>270</v>
      </c>
      <c r="L13" s="57">
        <f>SUM($F$15:$F$131)</f>
        <v>155.1754671544692</v>
      </c>
      <c r="M13" s="40" t="s">
        <v>52</v>
      </c>
      <c r="N13" s="36" t="str">
        <f>IF(BR12=0,"Converged","Not converged: more iterations needed")</f>
        <v>Converged</v>
      </c>
    </row>
    <row r="14" spans="1:70" ht="31.5" customHeight="1" x14ac:dyDescent="0.25">
      <c r="A14" s="11" t="s">
        <v>89</v>
      </c>
      <c r="B14" s="11" t="s">
        <v>445</v>
      </c>
      <c r="C14" s="11" t="s">
        <v>446</v>
      </c>
      <c r="D14" s="11" t="s">
        <v>447</v>
      </c>
      <c r="E14" s="11" t="s">
        <v>451</v>
      </c>
      <c r="F14" s="11" t="s">
        <v>500</v>
      </c>
      <c r="G14" s="11" t="s">
        <v>481</v>
      </c>
      <c r="H14" s="11" t="s">
        <v>482</v>
      </c>
      <c r="I14" s="11" t="s">
        <v>483</v>
      </c>
      <c r="X14" s="11" t="s">
        <v>484</v>
      </c>
      <c r="Y14" s="11" t="s">
        <v>485</v>
      </c>
      <c r="Z14" s="11" t="s">
        <v>451</v>
      </c>
      <c r="AB14" s="11" t="s">
        <v>484</v>
      </c>
      <c r="AC14" s="11" t="s">
        <v>485</v>
      </c>
      <c r="AD14" s="11" t="s">
        <v>451</v>
      </c>
      <c r="AF14" s="11" t="s">
        <v>484</v>
      </c>
      <c r="AG14" s="11" t="s">
        <v>485</v>
      </c>
      <c r="AH14" s="11" t="s">
        <v>451</v>
      </c>
      <c r="AJ14" s="11" t="s">
        <v>484</v>
      </c>
      <c r="AK14" s="11" t="s">
        <v>485</v>
      </c>
      <c r="AL14" s="11" t="s">
        <v>451</v>
      </c>
      <c r="AN14" s="11" t="s">
        <v>484</v>
      </c>
      <c r="AO14" s="11" t="s">
        <v>485</v>
      </c>
      <c r="AP14" s="11" t="s">
        <v>451</v>
      </c>
      <c r="AR14" s="11" t="s">
        <v>484</v>
      </c>
      <c r="AS14" s="11" t="s">
        <v>485</v>
      </c>
      <c r="AT14" s="11" t="s">
        <v>451</v>
      </c>
      <c r="AV14" s="11" t="s">
        <v>484</v>
      </c>
      <c r="AW14" s="11" t="s">
        <v>485</v>
      </c>
      <c r="AX14" s="11" t="s">
        <v>451</v>
      </c>
      <c r="AZ14" s="11" t="s">
        <v>484</v>
      </c>
      <c r="BA14" s="11" t="s">
        <v>485</v>
      </c>
      <c r="BB14" s="11" t="s">
        <v>451</v>
      </c>
      <c r="BD14" s="11" t="s">
        <v>484</v>
      </c>
      <c r="BE14" s="11" t="s">
        <v>485</v>
      </c>
      <c r="BF14" s="11" t="s">
        <v>451</v>
      </c>
      <c r="BH14" s="11" t="s">
        <v>484</v>
      </c>
      <c r="BI14" s="11" t="s">
        <v>485</v>
      </c>
      <c r="BJ14" s="11" t="s">
        <v>451</v>
      </c>
      <c r="BL14" s="11" t="s">
        <v>484</v>
      </c>
      <c r="BM14" s="11" t="s">
        <v>485</v>
      </c>
      <c r="BN14" s="11" t="s">
        <v>451</v>
      </c>
      <c r="BP14" s="11" t="s">
        <v>484</v>
      </c>
      <c r="BQ14" s="11" t="s">
        <v>485</v>
      </c>
      <c r="BR14" s="11" t="s">
        <v>451</v>
      </c>
    </row>
    <row r="15" spans="1:70" x14ac:dyDescent="0.25">
      <c r="A15" s="36" t="str">
        <f>KMeans_Data!A5</f>
        <v>Karachi</v>
      </c>
      <c r="B15" s="18">
        <f>KMeans_Data!H5</f>
        <v>3.2743087782752069</v>
      </c>
      <c r="C15" s="18">
        <f>KMeans_Data!I5</f>
        <v>4.0388517969113016</v>
      </c>
      <c r="D15" s="18">
        <f>KMeans_Data!J5</f>
        <v>3.2527128596020467</v>
      </c>
      <c r="E15" s="56">
        <f t="shared" ref="E15:E46" si="0">BR15</f>
        <v>1</v>
      </c>
      <c r="F15" s="38">
        <f t="shared" ref="F15:F46" si="1">($B15-INDEX($L$8:$M$8,E15))^2+($C15-INDEX($L$9:$M$9,E15))^2+($D15-INDEX($L$10:$M$10,E15))^2</f>
        <v>17.426174344025235</v>
      </c>
      <c r="G15" s="18">
        <f>IF(COUNTIF(Distance_Matrix!$E$8:$DQ$8,$E15)&lt;=1,0,SUMIF(Distance_Matrix!$E$8:$DQ$8,$E15,Distance_Matrix!$E$14:$DQ$14)/(COUNTIF(Distance_Matrix!$E$8:$DQ$8,$E15)-1))</f>
        <v>4.3421764498632562</v>
      </c>
      <c r="H15" s="18">
        <f>MIN(IF(1=$E15,1E+99,IF(COUNTIF(Distance_Matrix!$E$8:$DQ$8,1)=0,1E+99,SUMIF(Distance_Matrix!$E$8:$DQ$8,1,Distance_Matrix!$E$14:$DQ$14)/COUNTIF(Distance_Matrix!$E$8:$DQ$8,1))),IF(2=$E15,1E+99,IF(COUNTIF(Distance_Matrix!$E$8:$DQ$8,2)=0,1E+99,SUMIF(Distance_Matrix!$E$8:$DQ$8,2,Distance_Matrix!$E$14:$DQ$14)/COUNTIF(Distance_Matrix!$E$8:$DQ$8,2))))</f>
        <v>7.0062316547651724</v>
      </c>
      <c r="I15" s="18">
        <f>IF(COUNTIF(Distance_Matrix!$E$8:$DQ$8,$E15)&lt;=1,0,(H15-G15)/MAX(G15,H15))</f>
        <v>0.38024081077736033</v>
      </c>
      <c r="X15" s="18">
        <f t="shared" ref="X15:Y34" si="2">SQRT(($B15-X$8)^2+($C15-X$9)^2+($D15-X$10)^2)</f>
        <v>0</v>
      </c>
      <c r="Y15" s="18">
        <f t="shared" si="2"/>
        <v>8.3791178007212217</v>
      </c>
      <c r="Z15" s="56">
        <f t="shared" ref="Z15:Z46" si="3">MATCH(MIN(X15:Y15),X15:Y15,0)</f>
        <v>1</v>
      </c>
      <c r="AB15" s="18">
        <f t="shared" ref="AB15:AC34" si="4">SQRT(($B15-AB$8)^2+($C15-AB$9)^2+($D15-AB$10)^2)</f>
        <v>2.5433088980056904</v>
      </c>
      <c r="AC15" s="18">
        <f t="shared" si="4"/>
        <v>6.4685689916606943</v>
      </c>
      <c r="AD15" s="56">
        <f t="shared" ref="AD15:AD46" si="5">MATCH(MIN(AB15:AC15),AB15:AC15,0)</f>
        <v>1</v>
      </c>
      <c r="AF15" s="18">
        <f t="shared" ref="AF15:AG34" si="6">SQRT(($B15-AF$8)^2+($C15-AF$9)^2+($D15-AF$10)^2)</f>
        <v>3.1569795456882206</v>
      </c>
      <c r="AG15" s="18">
        <f t="shared" si="6"/>
        <v>6.5707084107426823</v>
      </c>
      <c r="AH15" s="56">
        <f t="shared" ref="AH15:AH46" si="7">MATCH(MIN(AF15:AG15),AF15:AG15,0)</f>
        <v>1</v>
      </c>
      <c r="AJ15" s="18">
        <f t="shared" ref="AJ15:AK34" si="8">SQRT(($B15-AJ$8)^2+($C15-AJ$9)^2+($D15-AJ$10)^2)</f>
        <v>3.7618982792227293</v>
      </c>
      <c r="AK15" s="18">
        <f t="shared" si="8"/>
        <v>6.7774736506973623</v>
      </c>
      <c r="AL15" s="56">
        <f t="shared" ref="AL15:AL46" si="9">MATCH(MIN(AJ15:AK15),AJ15:AK15,0)</f>
        <v>1</v>
      </c>
      <c r="AN15" s="18">
        <f t="shared" ref="AN15:AO34" si="10">SQRT(($B15-AN$8)^2+($C15-AN$9)^2+($D15-AN$10)^2)</f>
        <v>3.9680358503896058</v>
      </c>
      <c r="AO15" s="18">
        <f t="shared" si="10"/>
        <v>6.8803429313768962</v>
      </c>
      <c r="AP15" s="56">
        <f t="shared" ref="AP15:AP46" si="11">MATCH(MIN(AN15:AO15),AN15:AO15,0)</f>
        <v>1</v>
      </c>
      <c r="AR15" s="18">
        <f t="shared" ref="AR15:AS34" si="12">SQRT(($B15-AR$8)^2+($C15-AR$9)^2+($D15-AR$10)^2)</f>
        <v>4.0951321881585416</v>
      </c>
      <c r="AS15" s="18">
        <f t="shared" si="12"/>
        <v>6.9347055847699295</v>
      </c>
      <c r="AT15" s="56">
        <f t="shared" ref="AT15:AT46" si="13">MATCH(MIN(AR15:AS15),AR15:AS15,0)</f>
        <v>1</v>
      </c>
      <c r="AV15" s="18">
        <f t="shared" ref="AV15:AW34" si="14">SQRT(($B15-AV$8)^2+($C15-AV$9)^2+($D15-AV$10)^2)</f>
        <v>4.1348163605503396</v>
      </c>
      <c r="AW15" s="18">
        <f t="shared" si="14"/>
        <v>6.9526219673777518</v>
      </c>
      <c r="AX15" s="56">
        <f t="shared" ref="AX15:AX46" si="15">MATCH(MIN(AV15:AW15),AV15:AW15,0)</f>
        <v>1</v>
      </c>
      <c r="AZ15" s="18">
        <f t="shared" ref="AZ15:BA34" si="16">SQRT(($B15-AZ$8)^2+($C15-AZ$9)^2+($D15-AZ$10)^2)</f>
        <v>4.1744669532798122</v>
      </c>
      <c r="BA15" s="18">
        <f t="shared" si="16"/>
        <v>6.9700537788069346</v>
      </c>
      <c r="BB15" s="56">
        <f t="shared" ref="BB15:BB46" si="17">MATCH(MIN(AZ15:BA15),AZ15:BA15,0)</f>
        <v>1</v>
      </c>
      <c r="BD15" s="18">
        <f t="shared" ref="BD15:BE34" si="18">SQRT(($B15-BD$8)^2+($C15-BD$9)^2+($D15-BD$10)^2)</f>
        <v>4.1744669532798122</v>
      </c>
      <c r="BE15" s="18">
        <f t="shared" si="18"/>
        <v>6.9700537788069346</v>
      </c>
      <c r="BF15" s="56">
        <f t="shared" ref="BF15:BF46" si="19">MATCH(MIN(BD15:BE15),BD15:BE15,0)</f>
        <v>1</v>
      </c>
      <c r="BH15" s="18">
        <f t="shared" ref="BH15:BI34" si="20">SQRT(($B15-BH$8)^2+($C15-BH$9)^2+($D15-BH$10)^2)</f>
        <v>4.1744669532798122</v>
      </c>
      <c r="BI15" s="18">
        <f t="shared" si="20"/>
        <v>6.9700537788069346</v>
      </c>
      <c r="BJ15" s="56">
        <f t="shared" ref="BJ15:BJ46" si="21">MATCH(MIN(BH15:BI15),BH15:BI15,0)</f>
        <v>1</v>
      </c>
      <c r="BL15" s="18">
        <f t="shared" ref="BL15:BM34" si="22">SQRT(($B15-BL$8)^2+($C15-BL$9)^2+($D15-BL$10)^2)</f>
        <v>4.1744669532798122</v>
      </c>
      <c r="BM15" s="18">
        <f t="shared" si="22"/>
        <v>6.9700537788069346</v>
      </c>
      <c r="BN15" s="56">
        <f t="shared" ref="BN15:BN46" si="23">MATCH(MIN(BL15:BM15),BL15:BM15,0)</f>
        <v>1</v>
      </c>
      <c r="BP15" s="18">
        <f t="shared" ref="BP15:BQ34" si="24">SQRT(($B15-BP$8)^2+($C15-BP$9)^2+($D15-BP$10)^2)</f>
        <v>4.1744669532798122</v>
      </c>
      <c r="BQ15" s="18">
        <f t="shared" si="24"/>
        <v>6.9700537788069346</v>
      </c>
      <c r="BR15" s="56">
        <f t="shared" ref="BR15:BR46" si="25">MATCH(MIN(BP15:BQ15),BP15:BQ15,0)</f>
        <v>1</v>
      </c>
    </row>
    <row r="16" spans="1:70" x14ac:dyDescent="0.25">
      <c r="A16" s="36" t="str">
        <f>KMeans_Data!A6</f>
        <v>Lahore</v>
      </c>
      <c r="B16" s="18">
        <f>KMeans_Data!H6</f>
        <v>3.2501513961754349</v>
      </c>
      <c r="C16" s="18">
        <f>KMeans_Data!I6</f>
        <v>4.1568410370911772</v>
      </c>
      <c r="D16" s="18">
        <f>KMeans_Data!J6</f>
        <v>2.680512898820258</v>
      </c>
      <c r="E16" s="56">
        <f t="shared" si="0"/>
        <v>1</v>
      </c>
      <c r="F16" s="38">
        <f t="shared" si="1"/>
        <v>15.914578552758382</v>
      </c>
      <c r="G16" s="18">
        <f>IF(COUNTIF(Distance_Matrix!$E$8:$DQ$8,$E16)&lt;=1,0,SUMIF(Distance_Matrix!$E$8:$DQ$8,$E16,Distance_Matrix!$E$15:$DQ$15)/(COUNTIF(Distance_Matrix!$E$8:$DQ$8,$E16)-1))</f>
        <v>4.1606833698632713</v>
      </c>
      <c r="H16" s="18">
        <f>MIN(IF(1=$E16,1E+99,IF(COUNTIF(Distance_Matrix!$E$8:$DQ$8,1)=0,1E+99,SUMIF(Distance_Matrix!$E$8:$DQ$8,1,Distance_Matrix!$E$15:$DQ$15)/COUNTIF(Distance_Matrix!$E$8:$DQ$8,1))),IF(2=$E16,1E+99,IF(COUNTIF(Distance_Matrix!$E$8:$DQ$8,2)=0,1E+99,SUMIF(Distance_Matrix!$E$8:$DQ$8,2,Distance_Matrix!$E$15:$DQ$15)/COUNTIF(Distance_Matrix!$E$8:$DQ$8,2))))</f>
        <v>6.7877017283619461</v>
      </c>
      <c r="I16" s="18">
        <f>IF(COUNTIF(Distance_Matrix!$E$8:$DQ$8,$E16)&lt;=1,0,(H16-G16)/MAX(G16,H16))</f>
        <v>0.38702619290441986</v>
      </c>
      <c r="X16" s="18">
        <f t="shared" si="2"/>
        <v>0.58473740689887399</v>
      </c>
      <c r="Y16" s="18">
        <f t="shared" si="2"/>
        <v>8.1468513691696547</v>
      </c>
      <c r="Z16" s="56">
        <f t="shared" si="3"/>
        <v>1</v>
      </c>
      <c r="AB16" s="18">
        <f t="shared" si="4"/>
        <v>2.3578224704764685</v>
      </c>
      <c r="AC16" s="18">
        <f t="shared" si="4"/>
        <v>6.2530072691897427</v>
      </c>
      <c r="AD16" s="56">
        <f t="shared" si="5"/>
        <v>1</v>
      </c>
      <c r="AF16" s="18">
        <f t="shared" si="6"/>
        <v>2.9578880291645122</v>
      </c>
      <c r="AG16" s="18">
        <f t="shared" si="6"/>
        <v>6.3551084723807856</v>
      </c>
      <c r="AH16" s="56">
        <f t="shared" si="7"/>
        <v>1</v>
      </c>
      <c r="AJ16" s="18">
        <f t="shared" si="8"/>
        <v>3.571661595403298</v>
      </c>
      <c r="AK16" s="18">
        <f t="shared" si="8"/>
        <v>6.559347878032316</v>
      </c>
      <c r="AL16" s="56">
        <f t="shared" si="9"/>
        <v>1</v>
      </c>
      <c r="AN16" s="18">
        <f t="shared" si="10"/>
        <v>3.7849763712334159</v>
      </c>
      <c r="AO16" s="18">
        <f t="shared" si="10"/>
        <v>6.6596794948595868</v>
      </c>
      <c r="AP16" s="56">
        <f t="shared" si="11"/>
        <v>1</v>
      </c>
      <c r="AR16" s="18">
        <f t="shared" si="12"/>
        <v>3.9117965543178492</v>
      </c>
      <c r="AS16" s="18">
        <f t="shared" si="12"/>
        <v>6.7130815788494056</v>
      </c>
      <c r="AT16" s="56">
        <f t="shared" si="13"/>
        <v>1</v>
      </c>
      <c r="AV16" s="18">
        <f t="shared" si="14"/>
        <v>3.9501464180068813</v>
      </c>
      <c r="AW16" s="18">
        <f t="shared" si="14"/>
        <v>6.7309582413720035</v>
      </c>
      <c r="AX16" s="56">
        <f t="shared" si="15"/>
        <v>1</v>
      </c>
      <c r="AZ16" s="18">
        <f t="shared" si="16"/>
        <v>3.9893080293151568</v>
      </c>
      <c r="BA16" s="18">
        <f t="shared" si="16"/>
        <v>6.7481575710937616</v>
      </c>
      <c r="BB16" s="56">
        <f t="shared" si="17"/>
        <v>1</v>
      </c>
      <c r="BD16" s="18">
        <f t="shared" si="18"/>
        <v>3.9893080293151568</v>
      </c>
      <c r="BE16" s="18">
        <f t="shared" si="18"/>
        <v>6.7481575710937616</v>
      </c>
      <c r="BF16" s="56">
        <f t="shared" si="19"/>
        <v>1</v>
      </c>
      <c r="BH16" s="18">
        <f t="shared" si="20"/>
        <v>3.9893080293151568</v>
      </c>
      <c r="BI16" s="18">
        <f t="shared" si="20"/>
        <v>6.7481575710937616</v>
      </c>
      <c r="BJ16" s="56">
        <f t="shared" si="21"/>
        <v>1</v>
      </c>
      <c r="BL16" s="18">
        <f t="shared" si="22"/>
        <v>3.9893080293151568</v>
      </c>
      <c r="BM16" s="18">
        <f t="shared" si="22"/>
        <v>6.7481575710937616</v>
      </c>
      <c r="BN16" s="56">
        <f t="shared" si="23"/>
        <v>1</v>
      </c>
      <c r="BP16" s="18">
        <f t="shared" si="24"/>
        <v>3.9893080293151568</v>
      </c>
      <c r="BQ16" s="18">
        <f t="shared" si="24"/>
        <v>6.7481575710937616</v>
      </c>
      <c r="BR16" s="56">
        <f t="shared" si="25"/>
        <v>1</v>
      </c>
    </row>
    <row r="17" spans="1:70" x14ac:dyDescent="0.25">
      <c r="A17" s="36" t="str">
        <f>KMeans_Data!A7</f>
        <v>Quetta</v>
      </c>
      <c r="B17" s="18">
        <f>KMeans_Data!H7</f>
        <v>2.3645319122764876</v>
      </c>
      <c r="C17" s="18">
        <f>KMeans_Data!I7</f>
        <v>2.2941407285360271</v>
      </c>
      <c r="D17" s="18">
        <f>KMeans_Data!J7</f>
        <v>2.3723555668164944</v>
      </c>
      <c r="E17" s="56">
        <f t="shared" si="0"/>
        <v>1</v>
      </c>
      <c r="F17" s="38">
        <f t="shared" si="1"/>
        <v>4.4317983901886926</v>
      </c>
      <c r="G17" s="18">
        <f>IF(COUNTIF(Distance_Matrix!$E$8:$DQ$8,$E17)&lt;=1,0,SUMIF(Distance_Matrix!$E$8:$DQ$8,$E17,Distance_Matrix!$E$16:$DQ$16)/(COUNTIF(Distance_Matrix!$E$8:$DQ$8,$E17)-1))</f>
        <v>2.5020851351004123</v>
      </c>
      <c r="H17" s="18">
        <f>MIN(IF(1=$E17,1E+99,IF(COUNTIF(Distance_Matrix!$E$8:$DQ$8,1)=0,1E+99,SUMIF(Distance_Matrix!$E$8:$DQ$8,1,Distance_Matrix!$E$16:$DQ$16)/COUNTIF(Distance_Matrix!$E$8:$DQ$8,1))),IF(2=$E17,1E+99,IF(COUNTIF(Distance_Matrix!$E$8:$DQ$8,2)=0,1E+99,SUMIF(Distance_Matrix!$E$8:$DQ$8,2,Distance_Matrix!$E$16:$DQ$16)/COUNTIF(Distance_Matrix!$E$8:$DQ$8,2))))</f>
        <v>4.9437935621437745</v>
      </c>
      <c r="I17" s="18">
        <f>IF(COUNTIF(Distance_Matrix!$E$8:$DQ$8,$E17)&lt;=1,0,(H17-G17)/MAX(G17,H17))</f>
        <v>0.49389368636674336</v>
      </c>
      <c r="X17" s="18">
        <f t="shared" si="2"/>
        <v>2.1556297504391493</v>
      </c>
      <c r="Y17" s="18">
        <f t="shared" si="2"/>
        <v>6.3976329314131073</v>
      </c>
      <c r="Z17" s="56">
        <f t="shared" si="3"/>
        <v>1</v>
      </c>
      <c r="AB17" s="18">
        <f t="shared" si="4"/>
        <v>0.64165451468937829</v>
      </c>
      <c r="AC17" s="18">
        <f t="shared" si="4"/>
        <v>4.393419558375502</v>
      </c>
      <c r="AD17" s="56">
        <f t="shared" si="5"/>
        <v>1</v>
      </c>
      <c r="AF17" s="18">
        <f t="shared" si="6"/>
        <v>1.1687640626122346</v>
      </c>
      <c r="AG17" s="18">
        <f t="shared" si="6"/>
        <v>4.4944446054601066</v>
      </c>
      <c r="AH17" s="56">
        <f t="shared" si="7"/>
        <v>1</v>
      </c>
      <c r="AJ17" s="18">
        <f t="shared" si="8"/>
        <v>1.7241993341090791</v>
      </c>
      <c r="AK17" s="18">
        <f t="shared" si="8"/>
        <v>4.7008826859170343</v>
      </c>
      <c r="AL17" s="56">
        <f t="shared" si="9"/>
        <v>1</v>
      </c>
      <c r="AN17" s="18">
        <f t="shared" si="10"/>
        <v>1.9037170704864235</v>
      </c>
      <c r="AO17" s="18">
        <f t="shared" si="10"/>
        <v>4.8063233667224843</v>
      </c>
      <c r="AP17" s="56">
        <f t="shared" si="11"/>
        <v>1</v>
      </c>
      <c r="AR17" s="18">
        <f t="shared" si="12"/>
        <v>2.0251809380673005</v>
      </c>
      <c r="AS17" s="18">
        <f t="shared" si="12"/>
        <v>4.8614946667592962</v>
      </c>
      <c r="AT17" s="56">
        <f t="shared" si="13"/>
        <v>1</v>
      </c>
      <c r="AV17" s="18">
        <f t="shared" si="14"/>
        <v>2.0642715127418496</v>
      </c>
      <c r="AW17" s="18">
        <f t="shared" si="14"/>
        <v>4.8794701414402848</v>
      </c>
      <c r="AX17" s="56">
        <f t="shared" si="15"/>
        <v>1</v>
      </c>
      <c r="AZ17" s="18">
        <f t="shared" si="16"/>
        <v>2.1051836951175287</v>
      </c>
      <c r="BA17" s="18">
        <f t="shared" si="16"/>
        <v>4.8966448837905014</v>
      </c>
      <c r="BB17" s="56">
        <f t="shared" si="17"/>
        <v>1</v>
      </c>
      <c r="BD17" s="18">
        <f t="shared" si="18"/>
        <v>2.1051836951175287</v>
      </c>
      <c r="BE17" s="18">
        <f t="shared" si="18"/>
        <v>4.8966448837905014</v>
      </c>
      <c r="BF17" s="56">
        <f t="shared" si="19"/>
        <v>1</v>
      </c>
      <c r="BH17" s="18">
        <f t="shared" si="20"/>
        <v>2.1051836951175287</v>
      </c>
      <c r="BI17" s="18">
        <f t="shared" si="20"/>
        <v>4.8966448837905014</v>
      </c>
      <c r="BJ17" s="56">
        <f t="shared" si="21"/>
        <v>1</v>
      </c>
      <c r="BL17" s="18">
        <f t="shared" si="22"/>
        <v>2.1051836951175287</v>
      </c>
      <c r="BM17" s="18">
        <f t="shared" si="22"/>
        <v>4.8966448837905014</v>
      </c>
      <c r="BN17" s="56">
        <f t="shared" si="23"/>
        <v>1</v>
      </c>
      <c r="BP17" s="18">
        <f t="shared" si="24"/>
        <v>2.1051836951175287</v>
      </c>
      <c r="BQ17" s="18">
        <f t="shared" si="24"/>
        <v>4.8966448837905014</v>
      </c>
      <c r="BR17" s="56">
        <f t="shared" si="25"/>
        <v>1</v>
      </c>
    </row>
    <row r="18" spans="1:70" x14ac:dyDescent="0.25">
      <c r="A18" s="36" t="str">
        <f>KMeans_Data!A8</f>
        <v>Peshawar</v>
      </c>
      <c r="B18" s="18">
        <f>KMeans_Data!H8</f>
        <v>2.3452338230080074</v>
      </c>
      <c r="C18" s="18">
        <f>KMeans_Data!I8</f>
        <v>3.5617489210507416</v>
      </c>
      <c r="D18" s="18">
        <f>KMeans_Data!J8</f>
        <v>1.6399224296702051</v>
      </c>
      <c r="E18" s="56">
        <f t="shared" si="0"/>
        <v>1</v>
      </c>
      <c r="F18" s="38">
        <f t="shared" si="1"/>
        <v>7.469670312935329</v>
      </c>
      <c r="G18" s="18">
        <f>IF(COUNTIF(Distance_Matrix!$E$8:$DQ$8,$E18)&lt;=1,0,SUMIF(Distance_Matrix!$E$8:$DQ$8,$E18,Distance_Matrix!$E$17:$DQ$17)/(COUNTIF(Distance_Matrix!$E$8:$DQ$8,$E18)-1))</f>
        <v>3.0361077260199072</v>
      </c>
      <c r="H18" s="18">
        <f>MIN(IF(1=$E18,1E+99,IF(COUNTIF(Distance_Matrix!$E$8:$DQ$8,1)=0,1E+99,SUMIF(Distance_Matrix!$E$8:$DQ$8,1,Distance_Matrix!$E$17:$DQ$17)/COUNTIF(Distance_Matrix!$E$8:$DQ$8,1))),IF(2=$E18,1E+99,IF(COUNTIF(Distance_Matrix!$E$8:$DQ$8,2)=0,1E+99,SUMIF(Distance_Matrix!$E$8:$DQ$8,2,Distance_Matrix!$E$17:$DQ$17)/COUNTIF(Distance_Matrix!$E$8:$DQ$8,2))))</f>
        <v>5.4356528244426761</v>
      </c>
      <c r="I18" s="18">
        <f>IF(COUNTIF(Distance_Matrix!$E$8:$DQ$8,$E18)&lt;=1,0,(H18-G18)/MAX(G18,H18))</f>
        <v>0.44144561397163867</v>
      </c>
      <c r="X18" s="18">
        <f t="shared" si="2"/>
        <v>1.9214318612792127</v>
      </c>
      <c r="Y18" s="18">
        <f t="shared" si="2"/>
        <v>6.7282906668016098</v>
      </c>
      <c r="Z18" s="56">
        <f t="shared" si="3"/>
        <v>1</v>
      </c>
      <c r="AB18" s="18">
        <f t="shared" si="4"/>
        <v>1.2881398817261518</v>
      </c>
      <c r="AC18" s="18">
        <f t="shared" si="4"/>
        <v>4.8979068933140395</v>
      </c>
      <c r="AD18" s="56">
        <f t="shared" si="5"/>
        <v>1</v>
      </c>
      <c r="AF18" s="18">
        <f t="shared" si="6"/>
        <v>1.7502006860445274</v>
      </c>
      <c r="AG18" s="18">
        <f t="shared" si="6"/>
        <v>4.9989885120592055</v>
      </c>
      <c r="AH18" s="56">
        <f t="shared" si="7"/>
        <v>1</v>
      </c>
      <c r="AJ18" s="18">
        <f t="shared" si="8"/>
        <v>2.3233968724986491</v>
      </c>
      <c r="AK18" s="18">
        <f t="shared" si="8"/>
        <v>5.1986972264030191</v>
      </c>
      <c r="AL18" s="56">
        <f t="shared" si="9"/>
        <v>1</v>
      </c>
      <c r="AN18" s="18">
        <f t="shared" si="10"/>
        <v>2.5424321604674973</v>
      </c>
      <c r="AO18" s="18">
        <f t="shared" si="10"/>
        <v>5.2943182105699123</v>
      </c>
      <c r="AP18" s="56">
        <f t="shared" si="11"/>
        <v>1</v>
      </c>
      <c r="AR18" s="18">
        <f t="shared" si="12"/>
        <v>2.6632079109352511</v>
      </c>
      <c r="AS18" s="18">
        <f t="shared" si="12"/>
        <v>5.3458667023942343</v>
      </c>
      <c r="AT18" s="56">
        <f t="shared" si="13"/>
        <v>1</v>
      </c>
      <c r="AV18" s="18">
        <f t="shared" si="14"/>
        <v>2.6978679921690532</v>
      </c>
      <c r="AW18" s="18">
        <f t="shared" si="14"/>
        <v>5.3634209967385118</v>
      </c>
      <c r="AX18" s="56">
        <f t="shared" si="15"/>
        <v>1</v>
      </c>
      <c r="AZ18" s="18">
        <f t="shared" si="16"/>
        <v>2.7330697599833287</v>
      </c>
      <c r="BA18" s="18">
        <f t="shared" si="16"/>
        <v>5.3804322751872737</v>
      </c>
      <c r="BB18" s="56">
        <f t="shared" si="17"/>
        <v>1</v>
      </c>
      <c r="BD18" s="18">
        <f t="shared" si="18"/>
        <v>2.7330697599833287</v>
      </c>
      <c r="BE18" s="18">
        <f t="shared" si="18"/>
        <v>5.3804322751872737</v>
      </c>
      <c r="BF18" s="56">
        <f t="shared" si="19"/>
        <v>1</v>
      </c>
      <c r="BH18" s="18">
        <f t="shared" si="20"/>
        <v>2.7330697599833287</v>
      </c>
      <c r="BI18" s="18">
        <f t="shared" si="20"/>
        <v>5.3804322751872737</v>
      </c>
      <c r="BJ18" s="56">
        <f t="shared" si="21"/>
        <v>1</v>
      </c>
      <c r="BL18" s="18">
        <f t="shared" si="22"/>
        <v>2.7330697599833287</v>
      </c>
      <c r="BM18" s="18">
        <f t="shared" si="22"/>
        <v>5.3804322751872737</v>
      </c>
      <c r="BN18" s="56">
        <f t="shared" si="23"/>
        <v>1</v>
      </c>
      <c r="BP18" s="18">
        <f t="shared" si="24"/>
        <v>2.7330697599833287</v>
      </c>
      <c r="BQ18" s="18">
        <f t="shared" si="24"/>
        <v>5.3804322751872737</v>
      </c>
      <c r="BR18" s="56">
        <f t="shared" si="25"/>
        <v>1</v>
      </c>
    </row>
    <row r="19" spans="1:70" x14ac:dyDescent="0.25">
      <c r="A19" s="36" t="str">
        <f>KMeans_Data!A9</f>
        <v>Islamabad</v>
      </c>
      <c r="B19" s="18">
        <f>KMeans_Data!H9</f>
        <v>2.1711238504828065</v>
      </c>
      <c r="C19" s="18">
        <f>KMeans_Data!I9</f>
        <v>2.0657893204369486</v>
      </c>
      <c r="D19" s="18">
        <f>KMeans_Data!J9</f>
        <v>1.6965167635960359</v>
      </c>
      <c r="E19" s="56">
        <f t="shared" si="0"/>
        <v>1</v>
      </c>
      <c r="F19" s="38">
        <f t="shared" si="1"/>
        <v>2.3119427134257244</v>
      </c>
      <c r="G19" s="18">
        <f>IF(COUNTIF(Distance_Matrix!$E$8:$DQ$8,$E19)&lt;=1,0,SUMIF(Distance_Matrix!$E$8:$DQ$8,$E19,Distance_Matrix!$E$18:$DQ$18)/(COUNTIF(Distance_Matrix!$E$8:$DQ$8,$E19)-1))</f>
        <v>2.0383118780724261</v>
      </c>
      <c r="H19" s="18">
        <f>MIN(IF(1=$E19,1E+99,IF(COUNTIF(Distance_Matrix!$E$8:$DQ$8,1)=0,1E+99,SUMIF(Distance_Matrix!$E$8:$DQ$8,1,Distance_Matrix!$E$18:$DQ$18)/COUNTIF(Distance_Matrix!$E$8:$DQ$8,1))),IF(2=$E19,1E+99,IF(COUNTIF(Distance_Matrix!$E$8:$DQ$8,2)=0,1E+99,SUMIF(Distance_Matrix!$E$8:$DQ$8,2,Distance_Matrix!$E$18:$DQ$18)/COUNTIF(Distance_Matrix!$E$8:$DQ$8,2))))</f>
        <v>4.3330078347987975</v>
      </c>
      <c r="I19" s="18">
        <f>IF(COUNTIF(Distance_Matrix!$E$8:$DQ$8,$E19)&lt;=1,0,(H19-G19)/MAX(G19,H19))</f>
        <v>0.52958500058491709</v>
      </c>
      <c r="X19" s="18">
        <f t="shared" si="2"/>
        <v>2.7444013573462209</v>
      </c>
      <c r="Y19" s="18">
        <f t="shared" si="2"/>
        <v>5.8005825296542461</v>
      </c>
      <c r="Z19" s="56">
        <f t="shared" si="3"/>
        <v>1</v>
      </c>
      <c r="AB19" s="18">
        <f t="shared" si="4"/>
        <v>0.38435939372600408</v>
      </c>
      <c r="AC19" s="18">
        <f t="shared" si="4"/>
        <v>3.7778361517274703</v>
      </c>
      <c r="AD19" s="56">
        <f t="shared" si="5"/>
        <v>1</v>
      </c>
      <c r="AF19" s="18">
        <f t="shared" si="6"/>
        <v>0.58653941221639017</v>
      </c>
      <c r="AG19" s="18">
        <f t="shared" si="6"/>
        <v>3.8791468104832325</v>
      </c>
      <c r="AH19" s="56">
        <f t="shared" si="7"/>
        <v>1</v>
      </c>
      <c r="AJ19" s="18">
        <f t="shared" si="8"/>
        <v>1.1411743327295862</v>
      </c>
      <c r="AK19" s="18">
        <f t="shared" si="8"/>
        <v>4.0833018638454943</v>
      </c>
      <c r="AL19" s="56">
        <f t="shared" si="9"/>
        <v>1</v>
      </c>
      <c r="AN19" s="18">
        <f t="shared" si="10"/>
        <v>1.3238362056401161</v>
      </c>
      <c r="AO19" s="18">
        <f t="shared" si="10"/>
        <v>4.1868063072796087</v>
      </c>
      <c r="AP19" s="56">
        <f t="shared" si="11"/>
        <v>1</v>
      </c>
      <c r="AR19" s="18">
        <f t="shared" si="12"/>
        <v>1.4429923347861386</v>
      </c>
      <c r="AS19" s="18">
        <f t="shared" si="12"/>
        <v>4.2412919503349569</v>
      </c>
      <c r="AT19" s="56">
        <f t="shared" si="13"/>
        <v>1</v>
      </c>
      <c r="AV19" s="18">
        <f t="shared" si="14"/>
        <v>1.4792033887743283</v>
      </c>
      <c r="AW19" s="18">
        <f t="shared" si="14"/>
        <v>4.2593546464420386</v>
      </c>
      <c r="AX19" s="56">
        <f t="shared" si="15"/>
        <v>1</v>
      </c>
      <c r="AZ19" s="18">
        <f t="shared" si="16"/>
        <v>1.5205073868369481</v>
      </c>
      <c r="BA19" s="18">
        <f t="shared" si="16"/>
        <v>4.2762250391168406</v>
      </c>
      <c r="BB19" s="56">
        <f t="shared" si="17"/>
        <v>1</v>
      </c>
      <c r="BD19" s="18">
        <f t="shared" si="18"/>
        <v>1.5205073868369481</v>
      </c>
      <c r="BE19" s="18">
        <f t="shared" si="18"/>
        <v>4.2762250391168406</v>
      </c>
      <c r="BF19" s="56">
        <f t="shared" si="19"/>
        <v>1</v>
      </c>
      <c r="BH19" s="18">
        <f t="shared" si="20"/>
        <v>1.5205073868369481</v>
      </c>
      <c r="BI19" s="18">
        <f t="shared" si="20"/>
        <v>4.2762250391168406</v>
      </c>
      <c r="BJ19" s="56">
        <f t="shared" si="21"/>
        <v>1</v>
      </c>
      <c r="BL19" s="18">
        <f t="shared" si="22"/>
        <v>1.5205073868369481</v>
      </c>
      <c r="BM19" s="18">
        <f t="shared" si="22"/>
        <v>4.2762250391168406</v>
      </c>
      <c r="BN19" s="56">
        <f t="shared" si="23"/>
        <v>1</v>
      </c>
      <c r="BP19" s="18">
        <f t="shared" si="24"/>
        <v>1.5205073868369481</v>
      </c>
      <c r="BQ19" s="18">
        <f t="shared" si="24"/>
        <v>4.2762250391168406</v>
      </c>
      <c r="BR19" s="56">
        <f t="shared" si="25"/>
        <v>1</v>
      </c>
    </row>
    <row r="20" spans="1:70" x14ac:dyDescent="0.25">
      <c r="A20" s="36" t="str">
        <f>KMeans_Data!A10</f>
        <v>Swat</v>
      </c>
      <c r="B20" s="18">
        <f>KMeans_Data!H10</f>
        <v>1.4937524666444724</v>
      </c>
      <c r="C20" s="18">
        <f>KMeans_Data!I10</f>
        <v>2.2309059700842244</v>
      </c>
      <c r="D20" s="18">
        <f>KMeans_Data!J10</f>
        <v>1.4434361051069102</v>
      </c>
      <c r="E20" s="56">
        <f t="shared" si="0"/>
        <v>1</v>
      </c>
      <c r="F20" s="38">
        <f t="shared" si="1"/>
        <v>1.333288035329744</v>
      </c>
      <c r="G20" s="18">
        <f>IF(COUNTIF(Distance_Matrix!$E$8:$DQ$8,$E20)&lt;=1,0,SUMIF(Distance_Matrix!$E$8:$DQ$8,$E20,Distance_Matrix!$E$19:$DQ$19)/(COUNTIF(Distance_Matrix!$E$8:$DQ$8,$E20)-1))</f>
        <v>1.770638203424546</v>
      </c>
      <c r="H20" s="18">
        <f>MIN(IF(1=$E20,1E+99,IF(COUNTIF(Distance_Matrix!$E$8:$DQ$8,1)=0,1E+99,SUMIF(Distance_Matrix!$E$8:$DQ$8,1,Distance_Matrix!$E$19:$DQ$19)/COUNTIF(Distance_Matrix!$E$8:$DQ$8,1))),IF(2=$E20,1E+99,IF(COUNTIF(Distance_Matrix!$E$8:$DQ$8,2)=0,1E+99,SUMIF(Distance_Matrix!$E$8:$DQ$8,2,Distance_Matrix!$E$19:$DQ$19)/COUNTIF(Distance_Matrix!$E$8:$DQ$8,2))))</f>
        <v>3.9501306257284599</v>
      </c>
      <c r="I20" s="18">
        <f>IF(COUNTIF(Distance_Matrix!$E$8:$DQ$8,$E20)&lt;=1,0,(H20-G20)/MAX(G20,H20))</f>
        <v>0.55175198716421803</v>
      </c>
      <c r="X20" s="18">
        <f t="shared" si="2"/>
        <v>3.1164934246659244</v>
      </c>
      <c r="Y20" s="18">
        <f t="shared" si="2"/>
        <v>5.2824057792586023</v>
      </c>
      <c r="Z20" s="56">
        <f t="shared" si="3"/>
        <v>1</v>
      </c>
      <c r="AB20" s="18">
        <f t="shared" si="4"/>
        <v>0.65070561374888292</v>
      </c>
      <c r="AC20" s="18">
        <f t="shared" si="4"/>
        <v>3.3821032518184957</v>
      </c>
      <c r="AD20" s="56">
        <f t="shared" si="5"/>
        <v>1</v>
      </c>
      <c r="AF20" s="18">
        <f t="shared" si="6"/>
        <v>0.2976016678436883</v>
      </c>
      <c r="AG20" s="18">
        <f t="shared" si="6"/>
        <v>3.4842587429085432</v>
      </c>
      <c r="AH20" s="56">
        <f t="shared" si="7"/>
        <v>1</v>
      </c>
      <c r="AJ20" s="18">
        <f t="shared" si="8"/>
        <v>0.74194940868266079</v>
      </c>
      <c r="AK20" s="18">
        <f t="shared" si="8"/>
        <v>3.689473657022051</v>
      </c>
      <c r="AL20" s="56">
        <f t="shared" si="9"/>
        <v>1</v>
      </c>
      <c r="AN20" s="18">
        <f t="shared" si="10"/>
        <v>0.96339456098721743</v>
      </c>
      <c r="AO20" s="18">
        <f t="shared" si="10"/>
        <v>3.7895290148601166</v>
      </c>
      <c r="AP20" s="56">
        <f t="shared" si="11"/>
        <v>1</v>
      </c>
      <c r="AR20" s="18">
        <f t="shared" si="12"/>
        <v>1.0847114871027876</v>
      </c>
      <c r="AS20" s="18">
        <f t="shared" si="12"/>
        <v>3.8429048335536482</v>
      </c>
      <c r="AT20" s="56">
        <f t="shared" si="13"/>
        <v>1</v>
      </c>
      <c r="AV20" s="18">
        <f t="shared" si="14"/>
        <v>1.1204030666801061</v>
      </c>
      <c r="AW20" s="18">
        <f t="shared" si="14"/>
        <v>3.8606575178035096</v>
      </c>
      <c r="AX20" s="56">
        <f t="shared" si="15"/>
        <v>1</v>
      </c>
      <c r="AZ20" s="18">
        <f t="shared" si="16"/>
        <v>1.1546809236017299</v>
      </c>
      <c r="BA20" s="18">
        <f t="shared" si="16"/>
        <v>3.878165418084746</v>
      </c>
      <c r="BB20" s="56">
        <f t="shared" si="17"/>
        <v>1</v>
      </c>
      <c r="BD20" s="18">
        <f t="shared" si="18"/>
        <v>1.1546809236017299</v>
      </c>
      <c r="BE20" s="18">
        <f t="shared" si="18"/>
        <v>3.878165418084746</v>
      </c>
      <c r="BF20" s="56">
        <f t="shared" si="19"/>
        <v>1</v>
      </c>
      <c r="BH20" s="18">
        <f t="shared" si="20"/>
        <v>1.1546809236017299</v>
      </c>
      <c r="BI20" s="18">
        <f t="shared" si="20"/>
        <v>3.878165418084746</v>
      </c>
      <c r="BJ20" s="56">
        <f t="shared" si="21"/>
        <v>1</v>
      </c>
      <c r="BL20" s="18">
        <f t="shared" si="22"/>
        <v>1.1546809236017299</v>
      </c>
      <c r="BM20" s="18">
        <f t="shared" si="22"/>
        <v>3.878165418084746</v>
      </c>
      <c r="BN20" s="56">
        <f t="shared" si="23"/>
        <v>1</v>
      </c>
      <c r="BP20" s="18">
        <f t="shared" si="24"/>
        <v>1.1546809236017299</v>
      </c>
      <c r="BQ20" s="18">
        <f t="shared" si="24"/>
        <v>3.878165418084746</v>
      </c>
      <c r="BR20" s="56">
        <f t="shared" si="25"/>
        <v>1</v>
      </c>
    </row>
    <row r="21" spans="1:70" x14ac:dyDescent="0.25">
      <c r="A21" s="36" t="str">
        <f>KMeans_Data!A11</f>
        <v>Multan</v>
      </c>
      <c r="B21" s="18">
        <f>KMeans_Data!H11</f>
        <v>1.3394801285719993</v>
      </c>
      <c r="C21" s="18">
        <f>KMeans_Data!I11</f>
        <v>0.16051258962499582</v>
      </c>
      <c r="D21" s="18">
        <f>KMeans_Data!J11</f>
        <v>-0.82444601589876665</v>
      </c>
      <c r="E21" s="56">
        <f t="shared" si="0"/>
        <v>2</v>
      </c>
      <c r="F21" s="38">
        <f t="shared" si="1"/>
        <v>3.7537753209627942</v>
      </c>
      <c r="G21" s="18">
        <f>IF(COUNTIF(Distance_Matrix!$E$8:$DQ$8,$E21)&lt;=1,0,SUMIF(Distance_Matrix!$E$8:$DQ$8,$E21,Distance_Matrix!$E$20:$DQ$20)/(COUNTIF(Distance_Matrix!$E$8:$DQ$8,$E21)-1))</f>
        <v>2.118140056702114</v>
      </c>
      <c r="H21" s="18">
        <f>MIN(IF(1=$E21,1E+99,IF(COUNTIF(Distance_Matrix!$E$8:$DQ$8,1)=0,1E+99,SUMIF(Distance_Matrix!$E$8:$DQ$8,1,Distance_Matrix!$E$20:$DQ$20)/COUNTIF(Distance_Matrix!$E$8:$DQ$8,1))),IF(2=$E21,1E+99,IF(COUNTIF(Distance_Matrix!$E$8:$DQ$8,2)=0,1E+99,SUMIF(Distance_Matrix!$E$8:$DQ$8,2,Distance_Matrix!$E$20:$DQ$20)/COUNTIF(Distance_Matrix!$E$8:$DQ$8,2))))</f>
        <v>2.4578278051773585</v>
      </c>
      <c r="I21" s="18">
        <f>IF(COUNTIF(Distance_Matrix!$E$8:$DQ$8,$E21)&lt;=1,0,(H21-G21)/MAX(G21,H21))</f>
        <v>0.13820648776114419</v>
      </c>
      <c r="X21" s="18">
        <f t="shared" si="2"/>
        <v>5.9504874931858787</v>
      </c>
      <c r="Y21" s="18">
        <f t="shared" si="2"/>
        <v>3.5338904221249825</v>
      </c>
      <c r="Z21" s="56">
        <f t="shared" si="3"/>
        <v>2</v>
      </c>
      <c r="AB21" s="18">
        <f t="shared" si="4"/>
        <v>3.5258024840051299</v>
      </c>
      <c r="AC21" s="18">
        <f t="shared" si="4"/>
        <v>1.6998695874377248</v>
      </c>
      <c r="AD21" s="56">
        <f t="shared" si="5"/>
        <v>2</v>
      </c>
      <c r="AF21" s="18">
        <f t="shared" si="6"/>
        <v>2.9886863068070855</v>
      </c>
      <c r="AG21" s="18">
        <f t="shared" si="6"/>
        <v>1.7460303556980674</v>
      </c>
      <c r="AH21" s="56">
        <f t="shared" si="7"/>
        <v>2</v>
      </c>
      <c r="AJ21" s="18">
        <f t="shared" si="8"/>
        <v>2.5481571822057862</v>
      </c>
      <c r="AK21" s="18">
        <f t="shared" si="8"/>
        <v>1.8329326437814286</v>
      </c>
      <c r="AL21" s="56">
        <f t="shared" si="9"/>
        <v>2</v>
      </c>
      <c r="AN21" s="18">
        <f t="shared" si="10"/>
        <v>2.3994601402046185</v>
      </c>
      <c r="AO21" s="18">
        <f t="shared" si="10"/>
        <v>1.8870896548887932</v>
      </c>
      <c r="AP21" s="56">
        <f t="shared" si="11"/>
        <v>2</v>
      </c>
      <c r="AR21" s="18">
        <f t="shared" si="12"/>
        <v>2.3071509486277577</v>
      </c>
      <c r="AS21" s="18">
        <f t="shared" si="12"/>
        <v>1.9179734306025369</v>
      </c>
      <c r="AT21" s="56">
        <f t="shared" si="13"/>
        <v>2</v>
      </c>
      <c r="AV21" s="18">
        <f t="shared" si="14"/>
        <v>2.2735708445782699</v>
      </c>
      <c r="AW21" s="18">
        <f t="shared" si="14"/>
        <v>1.9305621719136394</v>
      </c>
      <c r="AX21" s="56">
        <f t="shared" si="15"/>
        <v>2</v>
      </c>
      <c r="AZ21" s="18">
        <f t="shared" si="16"/>
        <v>2.2518425067755019</v>
      </c>
      <c r="BA21" s="18">
        <f t="shared" si="16"/>
        <v>1.9374662115667447</v>
      </c>
      <c r="BB21" s="56">
        <f t="shared" si="17"/>
        <v>2</v>
      </c>
      <c r="BD21" s="18">
        <f t="shared" si="18"/>
        <v>2.2518425067755019</v>
      </c>
      <c r="BE21" s="18">
        <f t="shared" si="18"/>
        <v>1.9374662115667447</v>
      </c>
      <c r="BF21" s="56">
        <f t="shared" si="19"/>
        <v>2</v>
      </c>
      <c r="BH21" s="18">
        <f t="shared" si="20"/>
        <v>2.2518425067755019</v>
      </c>
      <c r="BI21" s="18">
        <f t="shared" si="20"/>
        <v>1.9374662115667447</v>
      </c>
      <c r="BJ21" s="56">
        <f t="shared" si="21"/>
        <v>2</v>
      </c>
      <c r="BL21" s="18">
        <f t="shared" si="22"/>
        <v>2.2518425067755019</v>
      </c>
      <c r="BM21" s="18">
        <f t="shared" si="22"/>
        <v>1.9374662115667447</v>
      </c>
      <c r="BN21" s="56">
        <f t="shared" si="23"/>
        <v>2</v>
      </c>
      <c r="BP21" s="18">
        <f t="shared" si="24"/>
        <v>2.2518425067755019</v>
      </c>
      <c r="BQ21" s="18">
        <f t="shared" si="24"/>
        <v>1.9374662115667447</v>
      </c>
      <c r="BR21" s="56">
        <f t="shared" si="25"/>
        <v>2</v>
      </c>
    </row>
    <row r="22" spans="1:70" x14ac:dyDescent="0.25">
      <c r="A22" s="36" t="str">
        <f>KMeans_Data!A12</f>
        <v>Sukkur</v>
      </c>
      <c r="B22" s="18">
        <f>KMeans_Data!H12</f>
        <v>1.3163443189252899</v>
      </c>
      <c r="C22" s="18">
        <f>KMeans_Data!I12</f>
        <v>0.68618000108374222</v>
      </c>
      <c r="D22" s="18">
        <f>KMeans_Data!J12</f>
        <v>1.7238403519091188</v>
      </c>
      <c r="E22" s="56">
        <f t="shared" si="0"/>
        <v>1</v>
      </c>
      <c r="F22" s="38">
        <f t="shared" si="1"/>
        <v>0.68792195908655596</v>
      </c>
      <c r="G22" s="18">
        <f>IF(COUNTIF(Distance_Matrix!$E$8:$DQ$8,$E22)&lt;=1,0,SUMIF(Distance_Matrix!$E$8:$DQ$8,$E22,Distance_Matrix!$E$21:$DQ$21)/(COUNTIF(Distance_Matrix!$E$8:$DQ$8,$E22)-1))</f>
        <v>1.4455412783170642</v>
      </c>
      <c r="H22" s="18">
        <f>MIN(IF(1=$E22,1E+99,IF(COUNTIF(Distance_Matrix!$E$8:$DQ$8,1)=0,1E+99,SUMIF(Distance_Matrix!$E$8:$DQ$8,1,Distance_Matrix!$E$21:$DQ$21)/COUNTIF(Distance_Matrix!$E$8:$DQ$8,1))),IF(2=$E22,1E+99,IF(COUNTIF(Distance_Matrix!$E$8:$DQ$8,2)=0,1E+99,SUMIF(Distance_Matrix!$E$8:$DQ$8,2,Distance_Matrix!$E$21:$DQ$21)/COUNTIF(Distance_Matrix!$E$8:$DQ$8,2))))</f>
        <v>3.1388299531220039</v>
      </c>
      <c r="I22" s="18">
        <f>IF(COUNTIF(Distance_Matrix!$E$8:$DQ$8,$E22)&lt;=1,0,(H22-G22)/MAX(G22,H22))</f>
        <v>0.53946492804451796</v>
      </c>
      <c r="X22" s="18">
        <f t="shared" si="2"/>
        <v>4.1727070517104679</v>
      </c>
      <c r="Y22" s="18">
        <f t="shared" si="2"/>
        <v>4.6490575992165946</v>
      </c>
      <c r="Z22" s="56">
        <f t="shared" si="3"/>
        <v>1</v>
      </c>
      <c r="AB22" s="18">
        <f t="shared" si="4"/>
        <v>1.7939606455841219</v>
      </c>
      <c r="AC22" s="18">
        <f t="shared" si="4"/>
        <v>2.5838311077546305</v>
      </c>
      <c r="AD22" s="56">
        <f t="shared" si="5"/>
        <v>1</v>
      </c>
      <c r="AF22" s="18">
        <f t="shared" si="6"/>
        <v>1.3361574790492796</v>
      </c>
      <c r="AG22" s="18">
        <f t="shared" si="6"/>
        <v>2.6774339122658013</v>
      </c>
      <c r="AH22" s="56">
        <f t="shared" si="7"/>
        <v>1</v>
      </c>
      <c r="AJ22" s="18">
        <f t="shared" si="8"/>
        <v>0.96332041614736452</v>
      </c>
      <c r="AK22" s="18">
        <f t="shared" si="8"/>
        <v>2.8765434447902511</v>
      </c>
      <c r="AL22" s="56">
        <f t="shared" si="9"/>
        <v>1</v>
      </c>
      <c r="AN22" s="18">
        <f t="shared" si="10"/>
        <v>0.83454557545044772</v>
      </c>
      <c r="AO22" s="18">
        <f t="shared" si="10"/>
        <v>2.9840260171801192</v>
      </c>
      <c r="AP22" s="56">
        <f t="shared" si="11"/>
        <v>1</v>
      </c>
      <c r="AR22" s="18">
        <f t="shared" si="12"/>
        <v>0.81418794003005723</v>
      </c>
      <c r="AS22" s="18">
        <f t="shared" si="12"/>
        <v>3.0390804737518931</v>
      </c>
      <c r="AT22" s="56">
        <f t="shared" si="13"/>
        <v>1</v>
      </c>
      <c r="AV22" s="18">
        <f t="shared" si="14"/>
        <v>0.81906587864953184</v>
      </c>
      <c r="AW22" s="18">
        <f t="shared" si="14"/>
        <v>3.0563516349953677</v>
      </c>
      <c r="AX22" s="56">
        <f t="shared" si="15"/>
        <v>1</v>
      </c>
      <c r="AZ22" s="18">
        <f t="shared" si="16"/>
        <v>0.82941060946105338</v>
      </c>
      <c r="BA22" s="18">
        <f t="shared" si="16"/>
        <v>3.0727942351885376</v>
      </c>
      <c r="BB22" s="56">
        <f t="shared" si="17"/>
        <v>1</v>
      </c>
      <c r="BD22" s="18">
        <f t="shared" si="18"/>
        <v>0.82941060946105338</v>
      </c>
      <c r="BE22" s="18">
        <f t="shared" si="18"/>
        <v>3.0727942351885376</v>
      </c>
      <c r="BF22" s="56">
        <f t="shared" si="19"/>
        <v>1</v>
      </c>
      <c r="BH22" s="18">
        <f t="shared" si="20"/>
        <v>0.82941060946105338</v>
      </c>
      <c r="BI22" s="18">
        <f t="shared" si="20"/>
        <v>3.0727942351885376</v>
      </c>
      <c r="BJ22" s="56">
        <f t="shared" si="21"/>
        <v>1</v>
      </c>
      <c r="BL22" s="18">
        <f t="shared" si="22"/>
        <v>0.82941060946105338</v>
      </c>
      <c r="BM22" s="18">
        <f t="shared" si="22"/>
        <v>3.0727942351885376</v>
      </c>
      <c r="BN22" s="56">
        <f t="shared" si="23"/>
        <v>1</v>
      </c>
      <c r="BP22" s="18">
        <f t="shared" si="24"/>
        <v>0.82941060946105338</v>
      </c>
      <c r="BQ22" s="18">
        <f t="shared" si="24"/>
        <v>3.0727942351885376</v>
      </c>
      <c r="BR22" s="56">
        <f t="shared" si="25"/>
        <v>1</v>
      </c>
    </row>
    <row r="23" spans="1:70" x14ac:dyDescent="0.25">
      <c r="A23" s="36" t="str">
        <f>KMeans_Data!A13</f>
        <v>Hyderabad</v>
      </c>
      <c r="B23" s="18">
        <f>KMeans_Data!H13</f>
        <v>1.2591276453149129</v>
      </c>
      <c r="C23" s="18">
        <f>KMeans_Data!I13</f>
        <v>1.2118474125424887</v>
      </c>
      <c r="D23" s="18">
        <f>KMeans_Data!J13</f>
        <v>1.6955104854445937</v>
      </c>
      <c r="E23" s="56">
        <f t="shared" si="0"/>
        <v>1</v>
      </c>
      <c r="F23" s="38">
        <f t="shared" si="1"/>
        <v>0.35139516673874555</v>
      </c>
      <c r="G23" s="18">
        <f>IF(COUNTIF(Distance_Matrix!$E$8:$DQ$8,$E23)&lt;=1,0,SUMIF(Distance_Matrix!$E$8:$DQ$8,$E23,Distance_Matrix!$E$22:$DQ$22)/(COUNTIF(Distance_Matrix!$E$8:$DQ$8,$E23)-1))</f>
        <v>1.3828262908711006</v>
      </c>
      <c r="H23" s="18">
        <f>MIN(IF(1=$E23,1E+99,IF(COUNTIF(Distance_Matrix!$E$8:$DQ$8,1)=0,1E+99,SUMIF(Distance_Matrix!$E$8:$DQ$8,1,Distance_Matrix!$E$22:$DQ$22)/COUNTIF(Distance_Matrix!$E$8:$DQ$8,1))),IF(2=$E23,1E+99,IF(COUNTIF(Distance_Matrix!$E$8:$DQ$8,2)=0,1E+99,SUMIF(Distance_Matrix!$E$8:$DQ$8,2,Distance_Matrix!$E$22:$DQ$22)/COUNTIF(Distance_Matrix!$E$8:$DQ$8,2))))</f>
        <v>3.3348812564376726</v>
      </c>
      <c r="I23" s="18">
        <f>IF(COUNTIF(Distance_Matrix!$E$8:$DQ$8,$E23)&lt;=1,0,(H23-G23)/MAX(G23,H23))</f>
        <v>0.58534466910877703</v>
      </c>
      <c r="X23" s="18">
        <f t="shared" si="2"/>
        <v>3.8049688595258218</v>
      </c>
      <c r="Y23" s="18">
        <f t="shared" si="2"/>
        <v>4.7719509323338665</v>
      </c>
      <c r="Z23" s="56">
        <f t="shared" si="3"/>
        <v>1</v>
      </c>
      <c r="AB23" s="18">
        <f t="shared" si="4"/>
        <v>1.3541706500210486</v>
      </c>
      <c r="AC23" s="18">
        <f t="shared" si="4"/>
        <v>2.7621548538180218</v>
      </c>
      <c r="AD23" s="56">
        <f t="shared" si="5"/>
        <v>1</v>
      </c>
      <c r="AF23" s="18">
        <f t="shared" si="6"/>
        <v>0.85698387753184813</v>
      </c>
      <c r="AG23" s="18">
        <f t="shared" si="6"/>
        <v>2.8613818876729136</v>
      </c>
      <c r="AH23" s="56">
        <f t="shared" si="7"/>
        <v>1</v>
      </c>
      <c r="AJ23" s="18">
        <f t="shared" si="8"/>
        <v>0.51560299236645823</v>
      </c>
      <c r="AK23" s="18">
        <f t="shared" si="8"/>
        <v>3.0680105567855884</v>
      </c>
      <c r="AL23" s="56">
        <f t="shared" si="9"/>
        <v>1</v>
      </c>
      <c r="AN23" s="18">
        <f t="shared" si="10"/>
        <v>0.48026916166755734</v>
      </c>
      <c r="AO23" s="18">
        <f t="shared" si="10"/>
        <v>3.1746439525477133</v>
      </c>
      <c r="AP23" s="56">
        <f t="shared" si="11"/>
        <v>1</v>
      </c>
      <c r="AR23" s="18">
        <f t="shared" si="12"/>
        <v>0.53549151336617795</v>
      </c>
      <c r="AS23" s="18">
        <f t="shared" si="12"/>
        <v>3.2300624714743917</v>
      </c>
      <c r="AT23" s="56">
        <f t="shared" si="13"/>
        <v>1</v>
      </c>
      <c r="AV23" s="18">
        <f t="shared" si="14"/>
        <v>0.56435860360145673</v>
      </c>
      <c r="AW23" s="18">
        <f t="shared" si="14"/>
        <v>3.2477366991032102</v>
      </c>
      <c r="AX23" s="56">
        <f t="shared" si="15"/>
        <v>1</v>
      </c>
      <c r="AZ23" s="18">
        <f t="shared" si="16"/>
        <v>0.59278593669110058</v>
      </c>
      <c r="BA23" s="18">
        <f t="shared" si="16"/>
        <v>3.2650913986826997</v>
      </c>
      <c r="BB23" s="56">
        <f t="shared" si="17"/>
        <v>1</v>
      </c>
      <c r="BD23" s="18">
        <f t="shared" si="18"/>
        <v>0.59278593669110058</v>
      </c>
      <c r="BE23" s="18">
        <f t="shared" si="18"/>
        <v>3.2650913986826997</v>
      </c>
      <c r="BF23" s="56">
        <f t="shared" si="19"/>
        <v>1</v>
      </c>
      <c r="BH23" s="18">
        <f t="shared" si="20"/>
        <v>0.59278593669110058</v>
      </c>
      <c r="BI23" s="18">
        <f t="shared" si="20"/>
        <v>3.2650913986826997</v>
      </c>
      <c r="BJ23" s="56">
        <f t="shared" si="21"/>
        <v>1</v>
      </c>
      <c r="BL23" s="18">
        <f t="shared" si="22"/>
        <v>0.59278593669110058</v>
      </c>
      <c r="BM23" s="18">
        <f t="shared" si="22"/>
        <v>3.2650913986826997</v>
      </c>
      <c r="BN23" s="56">
        <f t="shared" si="23"/>
        <v>1</v>
      </c>
      <c r="BP23" s="18">
        <f t="shared" si="24"/>
        <v>0.59278593669110058</v>
      </c>
      <c r="BQ23" s="18">
        <f t="shared" si="24"/>
        <v>3.2650913986826997</v>
      </c>
      <c r="BR23" s="56">
        <f t="shared" si="25"/>
        <v>1</v>
      </c>
    </row>
    <row r="24" spans="1:70" x14ac:dyDescent="0.25">
      <c r="A24" s="36" t="str">
        <f>KMeans_Data!A14</f>
        <v>Raiwind</v>
      </c>
      <c r="B24" s="18">
        <f>KMeans_Data!H14</f>
        <v>1.2015385972262329</v>
      </c>
      <c r="C24" s="18">
        <f>KMeans_Data!I14</f>
        <v>-0.14698313392952958</v>
      </c>
      <c r="D24" s="18">
        <f>KMeans_Data!J14</f>
        <v>-0.82444601589876665</v>
      </c>
      <c r="E24" s="56">
        <f t="shared" si="0"/>
        <v>2</v>
      </c>
      <c r="F24" s="38">
        <f t="shared" si="1"/>
        <v>2.9584678740403709</v>
      </c>
      <c r="G24" s="18">
        <f>IF(COUNTIF(Distance_Matrix!$E$8:$DQ$8,$E24)&lt;=1,0,SUMIF(Distance_Matrix!$E$8:$DQ$8,$E24,Distance_Matrix!$E$23:$DQ$23)/(COUNTIF(Distance_Matrix!$E$8:$DQ$8,$E24)-1))</f>
        <v>1.9199073774393249</v>
      </c>
      <c r="H24" s="18">
        <f>MIN(IF(1=$E24,1E+99,IF(COUNTIF(Distance_Matrix!$E$8:$DQ$8,1)=0,1E+99,SUMIF(Distance_Matrix!$E$8:$DQ$8,1,Distance_Matrix!$E$23:$DQ$23)/COUNTIF(Distance_Matrix!$E$8:$DQ$8,1))),IF(2=$E24,1E+99,IF(COUNTIF(Distance_Matrix!$E$8:$DQ$8,2)=0,1E+99,SUMIF(Distance_Matrix!$E$8:$DQ$8,2,Distance_Matrix!$E$23:$DQ$23)/COUNTIF(Distance_Matrix!$E$8:$DQ$8,2))))</f>
        <v>2.5661070192498152</v>
      </c>
      <c r="I24" s="18">
        <f>IF(COUNTIF(Distance_Matrix!$E$8:$DQ$8,$E24)&lt;=1,0,(H24-G24)/MAX(G24,H24))</f>
        <v>0.25182100238337002</v>
      </c>
      <c r="X24" s="18">
        <f t="shared" si="2"/>
        <v>6.2000657083427848</v>
      </c>
      <c r="Y24" s="18">
        <f t="shared" si="2"/>
        <v>3.3386030664456947</v>
      </c>
      <c r="Z24" s="56">
        <f t="shared" si="3"/>
        <v>2</v>
      </c>
      <c r="AB24" s="18">
        <f t="shared" si="4"/>
        <v>3.7504585137870214</v>
      </c>
      <c r="AC24" s="18">
        <f t="shared" si="4"/>
        <v>1.5326336253718562</v>
      </c>
      <c r="AD24" s="56">
        <f t="shared" si="5"/>
        <v>2</v>
      </c>
      <c r="AF24" s="18">
        <f t="shared" si="6"/>
        <v>3.199612958273828</v>
      </c>
      <c r="AG24" s="18">
        <f t="shared" si="6"/>
        <v>1.5651963191657001</v>
      </c>
      <c r="AH24" s="56">
        <f t="shared" si="7"/>
        <v>2</v>
      </c>
      <c r="AJ24" s="18">
        <f t="shared" si="8"/>
        <v>2.7260687756653459</v>
      </c>
      <c r="AK24" s="18">
        <f t="shared" si="8"/>
        <v>1.6289893090703809</v>
      </c>
      <c r="AL24" s="56">
        <f t="shared" si="9"/>
        <v>2</v>
      </c>
      <c r="AN24" s="18">
        <f t="shared" si="10"/>
        <v>2.5595904058515093</v>
      </c>
      <c r="AO24" s="18">
        <f t="shared" si="10"/>
        <v>1.6763975589479292</v>
      </c>
      <c r="AP24" s="56">
        <f t="shared" si="11"/>
        <v>2</v>
      </c>
      <c r="AR24" s="18">
        <f t="shared" si="12"/>
        <v>2.4579974015995063</v>
      </c>
      <c r="AS24" s="18">
        <f t="shared" si="12"/>
        <v>1.7035921813176009</v>
      </c>
      <c r="AT24" s="56">
        <f t="shared" si="13"/>
        <v>2</v>
      </c>
      <c r="AV24" s="18">
        <f t="shared" si="14"/>
        <v>2.4222965186451648</v>
      </c>
      <c r="AW24" s="18">
        <f t="shared" si="14"/>
        <v>1.7149404241973136</v>
      </c>
      <c r="AX24" s="56">
        <f t="shared" si="15"/>
        <v>2</v>
      </c>
      <c r="AZ24" s="18">
        <f t="shared" si="16"/>
        <v>2.3975962331220249</v>
      </c>
      <c r="BA24" s="18">
        <f t="shared" si="16"/>
        <v>1.7200197307125202</v>
      </c>
      <c r="BB24" s="56">
        <f t="shared" si="17"/>
        <v>2</v>
      </c>
      <c r="BD24" s="18">
        <f t="shared" si="18"/>
        <v>2.3975962331220249</v>
      </c>
      <c r="BE24" s="18">
        <f t="shared" si="18"/>
        <v>1.7200197307125202</v>
      </c>
      <c r="BF24" s="56">
        <f t="shared" si="19"/>
        <v>2</v>
      </c>
      <c r="BH24" s="18">
        <f t="shared" si="20"/>
        <v>2.3975962331220249</v>
      </c>
      <c r="BI24" s="18">
        <f t="shared" si="20"/>
        <v>1.7200197307125202</v>
      </c>
      <c r="BJ24" s="56">
        <f t="shared" si="21"/>
        <v>2</v>
      </c>
      <c r="BL24" s="18">
        <f t="shared" si="22"/>
        <v>2.3975962331220249</v>
      </c>
      <c r="BM24" s="18">
        <f t="shared" si="22"/>
        <v>1.7200197307125202</v>
      </c>
      <c r="BN24" s="56">
        <f t="shared" si="23"/>
        <v>2</v>
      </c>
      <c r="BP24" s="18">
        <f t="shared" si="24"/>
        <v>2.3975962331220249</v>
      </c>
      <c r="BQ24" s="18">
        <f t="shared" si="24"/>
        <v>1.7200197307125202</v>
      </c>
      <c r="BR24" s="56">
        <f t="shared" si="25"/>
        <v>2</v>
      </c>
    </row>
    <row r="25" spans="1:70" x14ac:dyDescent="0.25">
      <c r="A25" s="36" t="str">
        <f>KMeans_Data!A15</f>
        <v>Malakand</v>
      </c>
      <c r="B25" s="18">
        <f>KMeans_Data!H15</f>
        <v>1.1410679551279186</v>
      </c>
      <c r="C25" s="18">
        <f>KMeans_Data!I15</f>
        <v>1.4759954658056031</v>
      </c>
      <c r="D25" s="18">
        <f>KMeans_Data!J15</f>
        <v>0.98834987138399455</v>
      </c>
      <c r="E25" s="56">
        <f t="shared" si="0"/>
        <v>1</v>
      </c>
      <c r="F25" s="38">
        <f t="shared" si="1"/>
        <v>0.10424289843072525</v>
      </c>
      <c r="G25" s="18">
        <f>IF(COUNTIF(Distance_Matrix!$E$8:$DQ$8,$E25)&lt;=1,0,SUMIF(Distance_Matrix!$E$8:$DQ$8,$E25,Distance_Matrix!$E$24:$DQ$24)/(COUNTIF(Distance_Matrix!$E$8:$DQ$8,$E25)-1))</f>
        <v>1.2315505251257077</v>
      </c>
      <c r="H25" s="18">
        <f>MIN(IF(1=$E25,1E+99,IF(COUNTIF(Distance_Matrix!$E$8:$DQ$8,1)=0,1E+99,SUMIF(Distance_Matrix!$E$8:$DQ$8,1,Distance_Matrix!$E$24:$DQ$24)/COUNTIF(Distance_Matrix!$E$8:$DQ$8,1))),IF(2=$E25,1E+99,IF(COUNTIF(Distance_Matrix!$E$8:$DQ$8,2)=0,1E+99,SUMIF(Distance_Matrix!$E$8:$DQ$8,2,Distance_Matrix!$E$24:$DQ$24)/COUNTIF(Distance_Matrix!$E$8:$DQ$8,2))))</f>
        <v>3.0368828451930447</v>
      </c>
      <c r="I25" s="18">
        <f>IF(COUNTIF(Distance_Matrix!$E$8:$DQ$8,$E25)&lt;=1,0,(H25-G25)/MAX(G25,H25))</f>
        <v>0.59446887222696865</v>
      </c>
      <c r="X25" s="18">
        <f t="shared" si="2"/>
        <v>4.0306685209580886</v>
      </c>
      <c r="Y25" s="18">
        <f t="shared" si="2"/>
        <v>4.4208823671757642</v>
      </c>
      <c r="Z25" s="56">
        <f t="shared" si="3"/>
        <v>1</v>
      </c>
      <c r="AB25" s="18">
        <f t="shared" si="4"/>
        <v>1.4922337119908282</v>
      </c>
      <c r="AC25" s="18">
        <f t="shared" si="4"/>
        <v>2.4462153002291376</v>
      </c>
      <c r="AD25" s="56">
        <f t="shared" si="5"/>
        <v>1</v>
      </c>
      <c r="AF25" s="18">
        <f t="shared" si="6"/>
        <v>0.87836680284200497</v>
      </c>
      <c r="AG25" s="18">
        <f t="shared" si="6"/>
        <v>2.5484080923073238</v>
      </c>
      <c r="AH25" s="56">
        <f t="shared" si="7"/>
        <v>1</v>
      </c>
      <c r="AJ25" s="18">
        <f t="shared" si="8"/>
        <v>0.34019363868264901</v>
      </c>
      <c r="AK25" s="18">
        <f t="shared" si="8"/>
        <v>2.7536109567015772</v>
      </c>
      <c r="AL25" s="56">
        <f t="shared" si="9"/>
        <v>1</v>
      </c>
      <c r="AN25" s="18">
        <f t="shared" si="10"/>
        <v>0.28909101542253651</v>
      </c>
      <c r="AO25" s="18">
        <f t="shared" si="10"/>
        <v>2.8548976692742882</v>
      </c>
      <c r="AP25" s="56">
        <f t="shared" si="11"/>
        <v>1</v>
      </c>
      <c r="AR25" s="18">
        <f t="shared" si="12"/>
        <v>0.30209392806333973</v>
      </c>
      <c r="AS25" s="18">
        <f t="shared" si="12"/>
        <v>2.9087445982547537</v>
      </c>
      <c r="AT25" s="56">
        <f t="shared" si="13"/>
        <v>1</v>
      </c>
      <c r="AV25" s="18">
        <f t="shared" si="14"/>
        <v>0.3085790100518162</v>
      </c>
      <c r="AW25" s="18">
        <f t="shared" si="14"/>
        <v>2.9266463589874352</v>
      </c>
      <c r="AX25" s="56">
        <f t="shared" si="15"/>
        <v>1</v>
      </c>
      <c r="AZ25" s="18">
        <f t="shared" si="16"/>
        <v>0.32286668832619642</v>
      </c>
      <c r="BA25" s="18">
        <f t="shared" si="16"/>
        <v>2.9439806888603099</v>
      </c>
      <c r="BB25" s="56">
        <f t="shared" si="17"/>
        <v>1</v>
      </c>
      <c r="BD25" s="18">
        <f t="shared" si="18"/>
        <v>0.32286668832619642</v>
      </c>
      <c r="BE25" s="18">
        <f t="shared" si="18"/>
        <v>2.9439806888603099</v>
      </c>
      <c r="BF25" s="56">
        <f t="shared" si="19"/>
        <v>1</v>
      </c>
      <c r="BH25" s="18">
        <f t="shared" si="20"/>
        <v>0.32286668832619642</v>
      </c>
      <c r="BI25" s="18">
        <f t="shared" si="20"/>
        <v>2.9439806888603099</v>
      </c>
      <c r="BJ25" s="56">
        <f t="shared" si="21"/>
        <v>1</v>
      </c>
      <c r="BL25" s="18">
        <f t="shared" si="22"/>
        <v>0.32286668832619642</v>
      </c>
      <c r="BM25" s="18">
        <f t="shared" si="22"/>
        <v>2.9439806888603099</v>
      </c>
      <c r="BN25" s="56">
        <f t="shared" si="23"/>
        <v>1</v>
      </c>
      <c r="BP25" s="18">
        <f t="shared" si="24"/>
        <v>0.32286668832619642</v>
      </c>
      <c r="BQ25" s="18">
        <f t="shared" si="24"/>
        <v>2.9439806888603099</v>
      </c>
      <c r="BR25" s="56">
        <f t="shared" si="25"/>
        <v>1</v>
      </c>
    </row>
    <row r="26" spans="1:70" x14ac:dyDescent="0.25">
      <c r="A26" s="36" t="str">
        <f>KMeans_Data!A16</f>
        <v>Mardan</v>
      </c>
      <c r="B26" s="18">
        <f>KMeans_Data!H16</f>
        <v>1.126985701234098</v>
      </c>
      <c r="C26" s="18">
        <f>KMeans_Data!I16</f>
        <v>1.7684733170772808</v>
      </c>
      <c r="D26" s="18">
        <f>KMeans_Data!J16</f>
        <v>1.1668769645807604</v>
      </c>
      <c r="E26" s="56">
        <f t="shared" si="0"/>
        <v>1</v>
      </c>
      <c r="F26" s="38">
        <f t="shared" si="1"/>
        <v>0.31787149389223535</v>
      </c>
      <c r="G26" s="18">
        <f>IF(COUNTIF(Distance_Matrix!$E$8:$DQ$8,$E26)&lt;=1,0,SUMIF(Distance_Matrix!$E$8:$DQ$8,$E26,Distance_Matrix!$E$25:$DQ$25)/(COUNTIF(Distance_Matrix!$E$8:$DQ$8,$E26)-1))</f>
        <v>1.375294243680439</v>
      </c>
      <c r="H26" s="18">
        <f>MIN(IF(1=$E26,1E+99,IF(COUNTIF(Distance_Matrix!$E$8:$DQ$8,1)=0,1E+99,SUMIF(Distance_Matrix!$E$8:$DQ$8,1,Distance_Matrix!$E$25:$DQ$25)/COUNTIF(Distance_Matrix!$E$8:$DQ$8,1))),IF(2=$E26,1E+99,IF(COUNTIF(Distance_Matrix!$E$8:$DQ$8,2)=0,1E+99,SUMIF(Distance_Matrix!$E$8:$DQ$8,2,Distance_Matrix!$E$25:$DQ$25)/COUNTIF(Distance_Matrix!$E$8:$DQ$8,2))))</f>
        <v>3.3173248449749879</v>
      </c>
      <c r="I26" s="18">
        <f>IF(COUNTIF(Distance_Matrix!$E$8:$DQ$8,$E26)&lt;=1,0,(H26-G26)/MAX(G26,H26))</f>
        <v>0.58542069048085388</v>
      </c>
      <c r="X26" s="18">
        <f t="shared" si="2"/>
        <v>3.757169974840902</v>
      </c>
      <c r="Y26" s="18">
        <f t="shared" si="2"/>
        <v>4.6464950490584824</v>
      </c>
      <c r="Z26" s="56">
        <f t="shared" si="3"/>
        <v>1</v>
      </c>
      <c r="AB26" s="18">
        <f t="shared" si="4"/>
        <v>1.2424803290839102</v>
      </c>
      <c r="AC26" s="18">
        <f t="shared" si="4"/>
        <v>2.7333539500744948</v>
      </c>
      <c r="AD26" s="56">
        <f t="shared" si="5"/>
        <v>1</v>
      </c>
      <c r="AF26" s="18">
        <f t="shared" si="6"/>
        <v>0.6447473028213343</v>
      </c>
      <c r="AG26" s="18">
        <f t="shared" si="6"/>
        <v>2.835473433497687</v>
      </c>
      <c r="AH26" s="56">
        <f t="shared" si="7"/>
        <v>1</v>
      </c>
      <c r="AJ26" s="18">
        <f t="shared" si="8"/>
        <v>0.27903324601347201</v>
      </c>
      <c r="AK26" s="18">
        <f t="shared" si="8"/>
        <v>3.0410798650838449</v>
      </c>
      <c r="AL26" s="56">
        <f t="shared" si="9"/>
        <v>1</v>
      </c>
      <c r="AN26" s="18">
        <f t="shared" si="10"/>
        <v>0.42495237751949672</v>
      </c>
      <c r="AO26" s="18">
        <f t="shared" si="10"/>
        <v>3.1412791281223673</v>
      </c>
      <c r="AP26" s="56">
        <f t="shared" si="11"/>
        <v>1</v>
      </c>
      <c r="AR26" s="18">
        <f t="shared" si="12"/>
        <v>0.51329693575997914</v>
      </c>
      <c r="AS26" s="18">
        <f t="shared" si="12"/>
        <v>3.1947314430621336</v>
      </c>
      <c r="AT26" s="56">
        <f t="shared" si="13"/>
        <v>1</v>
      </c>
      <c r="AV26" s="18">
        <f t="shared" si="14"/>
        <v>0.53997252241385829</v>
      </c>
      <c r="AW26" s="18">
        <f t="shared" si="14"/>
        <v>3.2124509384732942</v>
      </c>
      <c r="AX26" s="56">
        <f t="shared" si="15"/>
        <v>1</v>
      </c>
      <c r="AZ26" s="18">
        <f t="shared" si="16"/>
        <v>0.56380093463228254</v>
      </c>
      <c r="BA26" s="18">
        <f t="shared" si="16"/>
        <v>3.2300513860071907</v>
      </c>
      <c r="BB26" s="56">
        <f t="shared" si="17"/>
        <v>1</v>
      </c>
      <c r="BD26" s="18">
        <f t="shared" si="18"/>
        <v>0.56380093463228254</v>
      </c>
      <c r="BE26" s="18">
        <f t="shared" si="18"/>
        <v>3.2300513860071907</v>
      </c>
      <c r="BF26" s="56">
        <f t="shared" si="19"/>
        <v>1</v>
      </c>
      <c r="BH26" s="18">
        <f t="shared" si="20"/>
        <v>0.56380093463228254</v>
      </c>
      <c r="BI26" s="18">
        <f t="shared" si="20"/>
        <v>3.2300513860071907</v>
      </c>
      <c r="BJ26" s="56">
        <f t="shared" si="21"/>
        <v>1</v>
      </c>
      <c r="BL26" s="18">
        <f t="shared" si="22"/>
        <v>0.56380093463228254</v>
      </c>
      <c r="BM26" s="18">
        <f t="shared" si="22"/>
        <v>3.2300513860071907</v>
      </c>
      <c r="BN26" s="56">
        <f t="shared" si="23"/>
        <v>1</v>
      </c>
      <c r="BP26" s="18">
        <f t="shared" si="24"/>
        <v>0.56380093463228254</v>
      </c>
      <c r="BQ26" s="18">
        <f t="shared" si="24"/>
        <v>3.2300513860071907</v>
      </c>
      <c r="BR26" s="56">
        <f t="shared" si="25"/>
        <v>1</v>
      </c>
    </row>
    <row r="27" spans="1:70" x14ac:dyDescent="0.25">
      <c r="A27" s="36" t="str">
        <f>KMeans_Data!A17</f>
        <v>Gilgit</v>
      </c>
      <c r="B27" s="18">
        <f>KMeans_Data!H17</f>
        <v>1.0425286360551109</v>
      </c>
      <c r="C27" s="18">
        <f>KMeans_Data!I17</f>
        <v>0.99367572463826759</v>
      </c>
      <c r="D27" s="18">
        <f>KMeans_Data!J17</f>
        <v>1.0804955511041037</v>
      </c>
      <c r="E27" s="56">
        <f t="shared" si="0"/>
        <v>1</v>
      </c>
      <c r="F27" s="38">
        <f t="shared" si="1"/>
        <v>5.1650369871350243E-2</v>
      </c>
      <c r="G27" s="18">
        <f>IF(COUNTIF(Distance_Matrix!$E$8:$DQ$8,$E27)&lt;=1,0,SUMIF(Distance_Matrix!$E$8:$DQ$8,$E27,Distance_Matrix!$E$26:$DQ$26)/(COUNTIF(Distance_Matrix!$E$8:$DQ$8,$E27)-1))</f>
        <v>1.1030769459852752</v>
      </c>
      <c r="H27" s="18">
        <f>MIN(IF(1=$E27,1E+99,IF(COUNTIF(Distance_Matrix!$E$8:$DQ$8,1)=0,1E+99,SUMIF(Distance_Matrix!$E$8:$DQ$8,1,Distance_Matrix!$E$26:$DQ$26)/COUNTIF(Distance_Matrix!$E$8:$DQ$8,1))),IF(2=$E27,1E+99,IF(COUNTIF(Distance_Matrix!$E$8:$DQ$8,2)=0,1E+99,SUMIF(Distance_Matrix!$E$8:$DQ$8,2,Distance_Matrix!$E$26:$DQ$26)/COUNTIF(Distance_Matrix!$E$8:$DQ$8,2))))</f>
        <v>2.7299054682356085</v>
      </c>
      <c r="I27" s="18">
        <f>IF(COUNTIF(Distance_Matrix!$E$8:$DQ$8,$E27)&lt;=1,0,(H27-G27)/MAX(G27,H27))</f>
        <v>0.59592851883687559</v>
      </c>
      <c r="X27" s="18">
        <f t="shared" si="2"/>
        <v>4.3557396558667527</v>
      </c>
      <c r="Y27" s="18">
        <f t="shared" si="2"/>
        <v>4.1810154137617337</v>
      </c>
      <c r="Z27" s="56">
        <f t="shared" si="3"/>
        <v>2</v>
      </c>
      <c r="AB27" s="18">
        <f t="shared" si="4"/>
        <v>1.8227081073972917</v>
      </c>
      <c r="AC27" s="18">
        <f t="shared" si="4"/>
        <v>2.133603122141126</v>
      </c>
      <c r="AD27" s="56">
        <f t="shared" si="5"/>
        <v>1</v>
      </c>
      <c r="AF27" s="18">
        <f t="shared" si="6"/>
        <v>1.2231846777403748</v>
      </c>
      <c r="AG27" s="18">
        <f t="shared" si="6"/>
        <v>2.2345762066825694</v>
      </c>
      <c r="AH27" s="56">
        <f t="shared" si="7"/>
        <v>1</v>
      </c>
      <c r="AJ27" s="18">
        <f t="shared" si="8"/>
        <v>0.63032910796484165</v>
      </c>
      <c r="AK27" s="18">
        <f t="shared" si="8"/>
        <v>2.4412691605014905</v>
      </c>
      <c r="AL27" s="56">
        <f t="shared" si="9"/>
        <v>1</v>
      </c>
      <c r="AN27" s="18">
        <f t="shared" si="10"/>
        <v>0.41058706376409143</v>
      </c>
      <c r="AO27" s="18">
        <f t="shared" si="10"/>
        <v>2.5468043556262669</v>
      </c>
      <c r="AP27" s="56">
        <f t="shared" si="11"/>
        <v>1</v>
      </c>
      <c r="AR27" s="18">
        <f t="shared" si="12"/>
        <v>0.28896786662504215</v>
      </c>
      <c r="AS27" s="18">
        <f t="shared" si="12"/>
        <v>2.6020257665633149</v>
      </c>
      <c r="AT27" s="56">
        <f t="shared" si="13"/>
        <v>1</v>
      </c>
      <c r="AV27" s="18">
        <f t="shared" si="14"/>
        <v>0.25338915795406231</v>
      </c>
      <c r="AW27" s="18">
        <f t="shared" si="14"/>
        <v>2.6199728251226242</v>
      </c>
      <c r="AX27" s="56">
        <f t="shared" si="15"/>
        <v>1</v>
      </c>
      <c r="AZ27" s="18">
        <f t="shared" si="16"/>
        <v>0.22726717728556897</v>
      </c>
      <c r="BA27" s="18">
        <f t="shared" si="16"/>
        <v>2.6372078509479091</v>
      </c>
      <c r="BB27" s="56">
        <f t="shared" si="17"/>
        <v>1</v>
      </c>
      <c r="BD27" s="18">
        <f t="shared" si="18"/>
        <v>0.22726717728556897</v>
      </c>
      <c r="BE27" s="18">
        <f t="shared" si="18"/>
        <v>2.6372078509479091</v>
      </c>
      <c r="BF27" s="56">
        <f t="shared" si="19"/>
        <v>1</v>
      </c>
      <c r="BH27" s="18">
        <f t="shared" si="20"/>
        <v>0.22726717728556897</v>
      </c>
      <c r="BI27" s="18">
        <f t="shared" si="20"/>
        <v>2.6372078509479091</v>
      </c>
      <c r="BJ27" s="56">
        <f t="shared" si="21"/>
        <v>1</v>
      </c>
      <c r="BL27" s="18">
        <f t="shared" si="22"/>
        <v>0.22726717728556897</v>
      </c>
      <c r="BM27" s="18">
        <f t="shared" si="22"/>
        <v>2.6372078509479091</v>
      </c>
      <c r="BN27" s="56">
        <f t="shared" si="23"/>
        <v>1</v>
      </c>
      <c r="BP27" s="18">
        <f t="shared" si="24"/>
        <v>0.22726717728556897</v>
      </c>
      <c r="BQ27" s="18">
        <f t="shared" si="24"/>
        <v>2.6372078509479091</v>
      </c>
      <c r="BR27" s="56">
        <f t="shared" si="25"/>
        <v>1</v>
      </c>
    </row>
    <row r="28" spans="1:70" x14ac:dyDescent="0.25">
      <c r="A28" s="36" t="str">
        <f>KMeans_Data!A18</f>
        <v>Larkana</v>
      </c>
      <c r="B28" s="18">
        <f>KMeans_Data!H18</f>
        <v>1.0373368721320242</v>
      </c>
      <c r="C28" s="18">
        <f>KMeans_Data!I18</f>
        <v>0.37868427752921691</v>
      </c>
      <c r="D28" s="18">
        <f>KMeans_Data!J18</f>
        <v>1.4704046399545831</v>
      </c>
      <c r="E28" s="56">
        <f t="shared" si="0"/>
        <v>1</v>
      </c>
      <c r="F28" s="38">
        <f t="shared" si="1"/>
        <v>0.80029487969796465</v>
      </c>
      <c r="G28" s="18">
        <f>IF(COUNTIF(Distance_Matrix!$E$8:$DQ$8,$E28)&lt;=1,0,SUMIF(Distance_Matrix!$E$8:$DQ$8,$E28,Distance_Matrix!$E$27:$DQ$27)/(COUNTIF(Distance_Matrix!$E$8:$DQ$8,$E28)-1))</f>
        <v>1.3647954628213184</v>
      </c>
      <c r="H28" s="18">
        <f>MIN(IF(1=$E28,1E+99,IF(COUNTIF(Distance_Matrix!$E$8:$DQ$8,1)=0,1E+99,SUMIF(Distance_Matrix!$E$8:$DQ$8,1,Distance_Matrix!$E$27:$DQ$27)/COUNTIF(Distance_Matrix!$E$8:$DQ$8,1))),IF(2=$E28,1E+99,IF(COUNTIF(Distance_Matrix!$E$8:$DQ$8,2)=0,1E+99,SUMIF(Distance_Matrix!$E$8:$DQ$8,2,Distance_Matrix!$E$27:$DQ$27)/COUNTIF(Distance_Matrix!$E$8:$DQ$8,2))))</f>
        <v>2.691288860599621</v>
      </c>
      <c r="I28" s="18">
        <f>IF(COUNTIF(Distance_Matrix!$E$8:$DQ$8,$E28)&lt;=1,0,(H28-G28)/MAX(G28,H28))</f>
        <v>0.49288406651479211</v>
      </c>
      <c r="X28" s="18">
        <f t="shared" si="2"/>
        <v>4.6451579272007946</v>
      </c>
      <c r="Y28" s="18">
        <f t="shared" si="2"/>
        <v>4.2029955567656474</v>
      </c>
      <c r="Z28" s="56">
        <f t="shared" si="3"/>
        <v>2</v>
      </c>
      <c r="AB28" s="18">
        <f t="shared" si="4"/>
        <v>2.2173808003301736</v>
      </c>
      <c r="AC28" s="18">
        <f t="shared" si="4"/>
        <v>2.1345121413952572</v>
      </c>
      <c r="AD28" s="56">
        <f t="shared" si="5"/>
        <v>2</v>
      </c>
      <c r="AF28" s="18">
        <f t="shared" si="6"/>
        <v>1.6985310504310831</v>
      </c>
      <c r="AG28" s="18">
        <f t="shared" si="6"/>
        <v>2.2247441041873262</v>
      </c>
      <c r="AH28" s="56">
        <f t="shared" si="7"/>
        <v>1</v>
      </c>
      <c r="AJ28" s="18">
        <f t="shared" si="8"/>
        <v>1.1988875040779265</v>
      </c>
      <c r="AK28" s="18">
        <f t="shared" si="8"/>
        <v>2.4197129839887488</v>
      </c>
      <c r="AL28" s="56">
        <f t="shared" si="9"/>
        <v>1</v>
      </c>
      <c r="AN28" s="18">
        <f t="shared" si="10"/>
        <v>1.0045984728199784</v>
      </c>
      <c r="AO28" s="18">
        <f t="shared" si="10"/>
        <v>2.5267344255577502</v>
      </c>
      <c r="AP28" s="56">
        <f t="shared" si="11"/>
        <v>1</v>
      </c>
      <c r="AR28" s="18">
        <f t="shared" si="12"/>
        <v>0.92357278148369182</v>
      </c>
      <c r="AS28" s="18">
        <f t="shared" si="12"/>
        <v>2.5812798720012009</v>
      </c>
      <c r="AT28" s="56">
        <f t="shared" si="13"/>
        <v>1</v>
      </c>
      <c r="AV28" s="18">
        <f t="shared" si="14"/>
        <v>0.90689395710337173</v>
      </c>
      <c r="AW28" s="18">
        <f t="shared" si="14"/>
        <v>2.5982225793951605</v>
      </c>
      <c r="AX28" s="56">
        <f t="shared" si="15"/>
        <v>1</v>
      </c>
      <c r="AZ28" s="18">
        <f t="shared" si="16"/>
        <v>0.8945920185749282</v>
      </c>
      <c r="BA28" s="18">
        <f t="shared" si="16"/>
        <v>2.6143521763419502</v>
      </c>
      <c r="BB28" s="56">
        <f t="shared" si="17"/>
        <v>1</v>
      </c>
      <c r="BD28" s="18">
        <f t="shared" si="18"/>
        <v>0.8945920185749282</v>
      </c>
      <c r="BE28" s="18">
        <f t="shared" si="18"/>
        <v>2.6143521763419502</v>
      </c>
      <c r="BF28" s="56">
        <f t="shared" si="19"/>
        <v>1</v>
      </c>
      <c r="BH28" s="18">
        <f t="shared" si="20"/>
        <v>0.8945920185749282</v>
      </c>
      <c r="BI28" s="18">
        <f t="shared" si="20"/>
        <v>2.6143521763419502</v>
      </c>
      <c r="BJ28" s="56">
        <f t="shared" si="21"/>
        <v>1</v>
      </c>
      <c r="BL28" s="18">
        <f t="shared" si="22"/>
        <v>0.8945920185749282</v>
      </c>
      <c r="BM28" s="18">
        <f t="shared" si="22"/>
        <v>2.6143521763419502</v>
      </c>
      <c r="BN28" s="56">
        <f t="shared" si="23"/>
        <v>1</v>
      </c>
      <c r="BP28" s="18">
        <f t="shared" si="24"/>
        <v>0.8945920185749282</v>
      </c>
      <c r="BQ28" s="18">
        <f t="shared" si="24"/>
        <v>2.6143521763419502</v>
      </c>
      <c r="BR28" s="56">
        <f t="shared" si="25"/>
        <v>1</v>
      </c>
    </row>
    <row r="29" spans="1:70" x14ac:dyDescent="0.25">
      <c r="A29" s="36" t="str">
        <f>KMeans_Data!A19</f>
        <v>Ghotki</v>
      </c>
      <c r="B29" s="18">
        <f>KMeans_Data!H19</f>
        <v>1.0078177751973447</v>
      </c>
      <c r="C29" s="18">
        <f>KMeans_Data!I19</f>
        <v>-0.14698313392952958</v>
      </c>
      <c r="D29" s="18">
        <f>KMeans_Data!J19</f>
        <v>1.1668769645807604</v>
      </c>
      <c r="E29" s="56">
        <f t="shared" si="0"/>
        <v>1</v>
      </c>
      <c r="F29" s="38">
        <f t="shared" si="1"/>
        <v>1.8477730485324413</v>
      </c>
      <c r="G29" s="18">
        <f>IF(COUNTIF(Distance_Matrix!$E$8:$DQ$8,$E29)&lt;=1,0,SUMIF(Distance_Matrix!$E$8:$DQ$8,$E29,Distance_Matrix!$E$28:$DQ$28)/(COUNTIF(Distance_Matrix!$E$8:$DQ$8,$E29)-1))</f>
        <v>1.6454757313521176</v>
      </c>
      <c r="H29" s="18">
        <f>MIN(IF(1=$E29,1E+99,IF(COUNTIF(Distance_Matrix!$E$8:$DQ$8,1)=0,1E+99,SUMIF(Distance_Matrix!$E$8:$DQ$8,1,Distance_Matrix!$E$28:$DQ$28)/COUNTIF(Distance_Matrix!$E$8:$DQ$8,1))),IF(2=$E29,1E+99,IF(COUNTIF(Distance_Matrix!$E$8:$DQ$8,2)=0,1E+99,SUMIF(Distance_Matrix!$E$8:$DQ$8,2,Distance_Matrix!$E$28:$DQ$28)/COUNTIF(Distance_Matrix!$E$8:$DQ$8,2))))</f>
        <v>2.3224440555240942</v>
      </c>
      <c r="I29" s="18">
        <f>IF(COUNTIF(Distance_Matrix!$E$8:$DQ$8,$E29)&lt;=1,0,(H29-G29)/MAX(G29,H29))</f>
        <v>0.29148961524466455</v>
      </c>
      <c r="X29" s="18">
        <f t="shared" si="2"/>
        <v>5.1970094204493611</v>
      </c>
      <c r="Y29" s="18">
        <f t="shared" si="2"/>
        <v>3.8932095409482974</v>
      </c>
      <c r="Z29" s="56">
        <f t="shared" si="3"/>
        <v>2</v>
      </c>
      <c r="AB29" s="18">
        <f t="shared" si="4"/>
        <v>2.7664258430466333</v>
      </c>
      <c r="AC29" s="18">
        <f t="shared" si="4"/>
        <v>1.7960835176835594</v>
      </c>
      <c r="AD29" s="56">
        <f t="shared" si="5"/>
        <v>2</v>
      </c>
      <c r="AF29" s="18">
        <f t="shared" si="6"/>
        <v>2.2372720441406755</v>
      </c>
      <c r="AG29" s="18">
        <f t="shared" si="6"/>
        <v>1.8736330477278316</v>
      </c>
      <c r="AH29" s="56">
        <f t="shared" si="7"/>
        <v>2</v>
      </c>
      <c r="AJ29" s="18">
        <f t="shared" si="8"/>
        <v>1.7181010361208142</v>
      </c>
      <c r="AK29" s="18">
        <f t="shared" si="8"/>
        <v>2.0478691466598433</v>
      </c>
      <c r="AL29" s="56">
        <f t="shared" si="9"/>
        <v>1</v>
      </c>
      <c r="AN29" s="18">
        <f t="shared" si="10"/>
        <v>1.5081727589959839</v>
      </c>
      <c r="AO29" s="18">
        <f t="shared" si="10"/>
        <v>2.1509415207525135</v>
      </c>
      <c r="AP29" s="56">
        <f t="shared" si="11"/>
        <v>1</v>
      </c>
      <c r="AR29" s="18">
        <f t="shared" si="12"/>
        <v>1.4066219379494933</v>
      </c>
      <c r="AS29" s="18">
        <f t="shared" si="12"/>
        <v>2.2027495928004579</v>
      </c>
      <c r="AT29" s="56">
        <f t="shared" si="13"/>
        <v>1</v>
      </c>
      <c r="AV29" s="18">
        <f t="shared" si="14"/>
        <v>1.3797824302560824</v>
      </c>
      <c r="AW29" s="18">
        <f t="shared" si="14"/>
        <v>2.2186955397171308</v>
      </c>
      <c r="AX29" s="56">
        <f t="shared" si="15"/>
        <v>1</v>
      </c>
      <c r="AZ29" s="18">
        <f t="shared" si="16"/>
        <v>1.3593281607222154</v>
      </c>
      <c r="BA29" s="18">
        <f t="shared" si="16"/>
        <v>2.2328590326175335</v>
      </c>
      <c r="BB29" s="56">
        <f t="shared" si="17"/>
        <v>1</v>
      </c>
      <c r="BD29" s="18">
        <f t="shared" si="18"/>
        <v>1.3593281607222154</v>
      </c>
      <c r="BE29" s="18">
        <f t="shared" si="18"/>
        <v>2.2328590326175335</v>
      </c>
      <c r="BF29" s="56">
        <f t="shared" si="19"/>
        <v>1</v>
      </c>
      <c r="BH29" s="18">
        <f t="shared" si="20"/>
        <v>1.3593281607222154</v>
      </c>
      <c r="BI29" s="18">
        <f t="shared" si="20"/>
        <v>2.2328590326175335</v>
      </c>
      <c r="BJ29" s="56">
        <f t="shared" si="21"/>
        <v>1</v>
      </c>
      <c r="BL29" s="18">
        <f t="shared" si="22"/>
        <v>1.3593281607222154</v>
      </c>
      <c r="BM29" s="18">
        <f t="shared" si="22"/>
        <v>2.2328590326175335</v>
      </c>
      <c r="BN29" s="56">
        <f t="shared" si="23"/>
        <v>1</v>
      </c>
      <c r="BP29" s="18">
        <f t="shared" si="24"/>
        <v>1.3593281607222154</v>
      </c>
      <c r="BQ29" s="18">
        <f t="shared" si="24"/>
        <v>2.2328590326175335</v>
      </c>
      <c r="BR29" s="56">
        <f t="shared" si="25"/>
        <v>1</v>
      </c>
    </row>
    <row r="30" spans="1:70" x14ac:dyDescent="0.25">
      <c r="A30" s="36" t="str">
        <f>KMeans_Data!A20</f>
        <v>Dir Lower</v>
      </c>
      <c r="B30" s="18">
        <f>KMeans_Data!H20</f>
        <v>0.97062552695729998</v>
      </c>
      <c r="C30" s="18">
        <f>KMeans_Data!I20</f>
        <v>0.99367572463826759</v>
      </c>
      <c r="D30" s="18">
        <f>KMeans_Data!J20</f>
        <v>0.99752622880062936</v>
      </c>
      <c r="E30" s="56">
        <f t="shared" si="0"/>
        <v>1</v>
      </c>
      <c r="F30" s="38">
        <f t="shared" si="1"/>
        <v>7.4054548344513429E-2</v>
      </c>
      <c r="G30" s="18">
        <f>IF(COUNTIF(Distance_Matrix!$E$8:$DQ$8,$E30)&lt;=1,0,SUMIF(Distance_Matrix!$E$8:$DQ$8,$E30,Distance_Matrix!$E$29:$DQ$29)/(COUNTIF(Distance_Matrix!$E$8:$DQ$8,$E30)-1))</f>
        <v>1.0852560025134634</v>
      </c>
      <c r="H30" s="18">
        <f>MIN(IF(1=$E30,1E+99,IF(COUNTIF(Distance_Matrix!$E$8:$DQ$8,1)=0,1E+99,SUMIF(Distance_Matrix!$E$8:$DQ$8,1,Distance_Matrix!$E$29:$DQ$29)/COUNTIF(Distance_Matrix!$E$8:$DQ$8,1))),IF(2=$E30,1E+99,IF(COUNTIF(Distance_Matrix!$E$8:$DQ$8,2)=0,1E+99,SUMIF(Distance_Matrix!$E$8:$DQ$8,2,Distance_Matrix!$E$29:$DQ$29)/COUNTIF(Distance_Matrix!$E$8:$DQ$8,2))))</f>
        <v>2.6466016677357658</v>
      </c>
      <c r="I30" s="18">
        <f>IF(COUNTIF(Distance_Matrix!$E$8:$DQ$8,$E30)&lt;=1,0,(H30-G30)/MAX(G30,H30))</f>
        <v>0.58994358095378696</v>
      </c>
      <c r="X30" s="18">
        <f t="shared" si="2"/>
        <v>4.4346274447006611</v>
      </c>
      <c r="Y30" s="18">
        <f t="shared" si="2"/>
        <v>4.0834470612488181</v>
      </c>
      <c r="Z30" s="56">
        <f t="shared" si="3"/>
        <v>2</v>
      </c>
      <c r="AB30" s="18">
        <f t="shared" si="4"/>
        <v>1.8970118838060543</v>
      </c>
      <c r="AC30" s="18">
        <f t="shared" si="4"/>
        <v>2.0444133401480644</v>
      </c>
      <c r="AD30" s="56">
        <f t="shared" si="5"/>
        <v>1</v>
      </c>
      <c r="AF30" s="18">
        <f t="shared" si="6"/>
        <v>1.2906887471614339</v>
      </c>
      <c r="AG30" s="18">
        <f t="shared" si="6"/>
        <v>2.1458260755430878</v>
      </c>
      <c r="AH30" s="56">
        <f t="shared" si="7"/>
        <v>1</v>
      </c>
      <c r="AJ30" s="18">
        <f t="shared" si="8"/>
        <v>0.68852027100082935</v>
      </c>
      <c r="AK30" s="18">
        <f t="shared" si="8"/>
        <v>2.352783541218896</v>
      </c>
      <c r="AL30" s="56">
        <f t="shared" si="9"/>
        <v>1</v>
      </c>
      <c r="AN30" s="18">
        <f t="shared" si="10"/>
        <v>0.47336152006268317</v>
      </c>
      <c r="AO30" s="18">
        <f t="shared" si="10"/>
        <v>2.457752452708641</v>
      </c>
      <c r="AP30" s="56">
        <f t="shared" si="11"/>
        <v>1</v>
      </c>
      <c r="AR30" s="18">
        <f t="shared" si="12"/>
        <v>0.3469146961724226</v>
      </c>
      <c r="AS30" s="18">
        <f t="shared" si="12"/>
        <v>2.5128267048858501</v>
      </c>
      <c r="AT30" s="56">
        <f t="shared" si="13"/>
        <v>1</v>
      </c>
      <c r="AV30" s="18">
        <f t="shared" si="14"/>
        <v>0.30706538999077576</v>
      </c>
      <c r="AW30" s="18">
        <f t="shared" si="14"/>
        <v>2.5307800507055553</v>
      </c>
      <c r="AX30" s="56">
        <f t="shared" si="15"/>
        <v>1</v>
      </c>
      <c r="AZ30" s="18">
        <f t="shared" si="16"/>
        <v>0.27212965355600888</v>
      </c>
      <c r="BA30" s="18">
        <f t="shared" si="16"/>
        <v>2.5480901605106943</v>
      </c>
      <c r="BB30" s="56">
        <f t="shared" si="17"/>
        <v>1</v>
      </c>
      <c r="BD30" s="18">
        <f t="shared" si="18"/>
        <v>0.27212965355600888</v>
      </c>
      <c r="BE30" s="18">
        <f t="shared" si="18"/>
        <v>2.5480901605106943</v>
      </c>
      <c r="BF30" s="56">
        <f t="shared" si="19"/>
        <v>1</v>
      </c>
      <c r="BH30" s="18">
        <f t="shared" si="20"/>
        <v>0.27212965355600888</v>
      </c>
      <c r="BI30" s="18">
        <f t="shared" si="20"/>
        <v>2.5480901605106943</v>
      </c>
      <c r="BJ30" s="56">
        <f t="shared" si="21"/>
        <v>1</v>
      </c>
      <c r="BL30" s="18">
        <f t="shared" si="22"/>
        <v>0.27212965355600888</v>
      </c>
      <c r="BM30" s="18">
        <f t="shared" si="22"/>
        <v>2.5480901605106943</v>
      </c>
      <c r="BN30" s="56">
        <f t="shared" si="23"/>
        <v>1</v>
      </c>
      <c r="BP30" s="18">
        <f t="shared" si="24"/>
        <v>0.27212965355600888</v>
      </c>
      <c r="BQ30" s="18">
        <f t="shared" si="24"/>
        <v>2.5480901605106943</v>
      </c>
      <c r="BR30" s="56">
        <f t="shared" si="25"/>
        <v>1</v>
      </c>
    </row>
    <row r="31" spans="1:70" x14ac:dyDescent="0.25">
      <c r="A31" s="36" t="str">
        <f>KMeans_Data!A21</f>
        <v>Khairpur</v>
      </c>
      <c r="B31" s="18">
        <f>KMeans_Data!H21</f>
        <v>0.88016218188859063</v>
      </c>
      <c r="C31" s="18">
        <f>KMeans_Data!I21</f>
        <v>0.37868427752921691</v>
      </c>
      <c r="D31" s="18">
        <f>KMeans_Data!J21</f>
        <v>1.5832083798719481</v>
      </c>
      <c r="E31" s="56">
        <f t="shared" si="0"/>
        <v>1</v>
      </c>
      <c r="F31" s="38">
        <f t="shared" si="1"/>
        <v>0.91233849151870139</v>
      </c>
      <c r="G31" s="18">
        <f>IF(COUNTIF(Distance_Matrix!$E$8:$DQ$8,$E31)&lt;=1,0,SUMIF(Distance_Matrix!$E$8:$DQ$8,$E31,Distance_Matrix!$E$30:$DQ$30)/(COUNTIF(Distance_Matrix!$E$8:$DQ$8,$E31)-1))</f>
        <v>1.4033369046094659</v>
      </c>
      <c r="H31" s="18">
        <f>MIN(IF(1=$E31,1E+99,IF(COUNTIF(Distance_Matrix!$E$8:$DQ$8,1)=0,1E+99,SUMIF(Distance_Matrix!$E$8:$DQ$8,1,Distance_Matrix!$E$30:$DQ$30)/COUNTIF(Distance_Matrix!$E$8:$DQ$8,1))),IF(2=$E31,1E+99,IF(COUNTIF(Distance_Matrix!$E$8:$DQ$8,2)=0,1E+99,SUMIF(Distance_Matrix!$E$8:$DQ$8,2,Distance_Matrix!$E$30:$DQ$30)/COUNTIF(Distance_Matrix!$E$8:$DQ$8,2))))</f>
        <v>2.6943607332192929</v>
      </c>
      <c r="I31" s="18">
        <f>IF(COUNTIF(Distance_Matrix!$E$8:$DQ$8,$E31)&lt;=1,0,(H31-G31)/MAX(G31,H31))</f>
        <v>0.47915775073936662</v>
      </c>
      <c r="X31" s="18">
        <f t="shared" si="2"/>
        <v>4.6814537702265193</v>
      </c>
      <c r="Y31" s="18">
        <f t="shared" si="2"/>
        <v>4.160883299847451</v>
      </c>
      <c r="Z31" s="56">
        <f t="shared" si="3"/>
        <v>2</v>
      </c>
      <c r="AB31" s="18">
        <f t="shared" si="4"/>
        <v>2.2714484838708588</v>
      </c>
      <c r="AC31" s="18">
        <f t="shared" si="4"/>
        <v>2.1402248215257678</v>
      </c>
      <c r="AD31" s="56">
        <f t="shared" si="5"/>
        <v>2</v>
      </c>
      <c r="AF31" s="18">
        <f t="shared" si="6"/>
        <v>1.757691363206473</v>
      </c>
      <c r="AG31" s="18">
        <f t="shared" si="6"/>
        <v>2.2290869174422498</v>
      </c>
      <c r="AH31" s="56">
        <f t="shared" si="7"/>
        <v>1</v>
      </c>
      <c r="AJ31" s="18">
        <f t="shared" si="8"/>
        <v>1.2537266192048302</v>
      </c>
      <c r="AK31" s="18">
        <f t="shared" si="8"/>
        <v>2.42347776812794</v>
      </c>
      <c r="AL31" s="56">
        <f t="shared" si="9"/>
        <v>1</v>
      </c>
      <c r="AN31" s="18">
        <f t="shared" si="10"/>
        <v>1.0638496543221834</v>
      </c>
      <c r="AO31" s="18">
        <f t="shared" si="10"/>
        <v>2.5298332248431672</v>
      </c>
      <c r="AP31" s="56">
        <f t="shared" si="11"/>
        <v>1</v>
      </c>
      <c r="AR31" s="18">
        <f t="shared" si="12"/>
        <v>0.98481217747087424</v>
      </c>
      <c r="AS31" s="18">
        <f t="shared" si="12"/>
        <v>2.5840071270986793</v>
      </c>
      <c r="AT31" s="56">
        <f t="shared" si="13"/>
        <v>1</v>
      </c>
      <c r="AV31" s="18">
        <f t="shared" si="14"/>
        <v>0.9696221594693154</v>
      </c>
      <c r="AW31" s="18">
        <f t="shared" si="14"/>
        <v>2.6006276791190159</v>
      </c>
      <c r="AX31" s="56">
        <f t="shared" si="15"/>
        <v>1</v>
      </c>
      <c r="AZ31" s="18">
        <f t="shared" si="16"/>
        <v>0.95516411758330899</v>
      </c>
      <c r="BA31" s="18">
        <f t="shared" si="16"/>
        <v>2.616959463331908</v>
      </c>
      <c r="BB31" s="56">
        <f t="shared" si="17"/>
        <v>1</v>
      </c>
      <c r="BD31" s="18">
        <f t="shared" si="18"/>
        <v>0.95516411758330899</v>
      </c>
      <c r="BE31" s="18">
        <f t="shared" si="18"/>
        <v>2.616959463331908</v>
      </c>
      <c r="BF31" s="56">
        <f t="shared" si="19"/>
        <v>1</v>
      </c>
      <c r="BH31" s="18">
        <f t="shared" si="20"/>
        <v>0.95516411758330899</v>
      </c>
      <c r="BI31" s="18">
        <f t="shared" si="20"/>
        <v>2.616959463331908</v>
      </c>
      <c r="BJ31" s="56">
        <f t="shared" si="21"/>
        <v>1</v>
      </c>
      <c r="BL31" s="18">
        <f t="shared" si="22"/>
        <v>0.95516411758330899</v>
      </c>
      <c r="BM31" s="18">
        <f t="shared" si="22"/>
        <v>2.616959463331908</v>
      </c>
      <c r="BN31" s="56">
        <f t="shared" si="23"/>
        <v>1</v>
      </c>
      <c r="BP31" s="18">
        <f t="shared" si="24"/>
        <v>0.95516411758330899</v>
      </c>
      <c r="BQ31" s="18">
        <f t="shared" si="24"/>
        <v>2.616959463331908</v>
      </c>
      <c r="BR31" s="56">
        <f t="shared" si="25"/>
        <v>1</v>
      </c>
    </row>
    <row r="32" spans="1:70" x14ac:dyDescent="0.25">
      <c r="A32" s="36" t="str">
        <f>KMeans_Data!A22</f>
        <v>Abbottabad</v>
      </c>
      <c r="B32" s="18">
        <f>KMeans_Data!H22</f>
        <v>0.85300106201847159</v>
      </c>
      <c r="C32" s="18">
        <f>KMeans_Data!I22</f>
        <v>1.3810745208577742</v>
      </c>
      <c r="D32" s="18">
        <f>KMeans_Data!J22</f>
        <v>0.61832866607444492</v>
      </c>
      <c r="E32" s="56">
        <f t="shared" si="0"/>
        <v>1</v>
      </c>
      <c r="F32" s="38">
        <f t="shared" si="1"/>
        <v>0.34068392154166982</v>
      </c>
      <c r="G32" s="18">
        <f>IF(COUNTIF(Distance_Matrix!$E$8:$DQ$8,$E32)&lt;=1,0,SUMIF(Distance_Matrix!$E$8:$DQ$8,$E32,Distance_Matrix!$E$31:$DQ$31)/(COUNTIF(Distance_Matrix!$E$8:$DQ$8,$E32)-1))</f>
        <v>1.2295059226646687</v>
      </c>
      <c r="H32" s="18">
        <f>MIN(IF(1=$E32,1E+99,IF(COUNTIF(Distance_Matrix!$E$8:$DQ$8,1)=0,1E+99,SUMIF(Distance_Matrix!$E$8:$DQ$8,1,Distance_Matrix!$E$31:$DQ$31)/COUNTIF(Distance_Matrix!$E$8:$DQ$8,1))),IF(2=$E32,1E+99,IF(COUNTIF(Distance_Matrix!$E$8:$DQ$8,2)=0,1E+99,SUMIF(Distance_Matrix!$E$8:$DQ$8,2,Distance_Matrix!$E$31:$DQ$31)/COUNTIF(Distance_Matrix!$E$8:$DQ$8,2))))</f>
        <v>2.6702195105887423</v>
      </c>
      <c r="I32" s="18">
        <f>IF(COUNTIF(Distance_Matrix!$E$8:$DQ$8,$E32)&lt;=1,0,(H32-G32)/MAX(G32,H32))</f>
        <v>0.53954874579072276</v>
      </c>
      <c r="X32" s="18">
        <f t="shared" si="2"/>
        <v>4.4571842215707198</v>
      </c>
      <c r="Y32" s="18">
        <f t="shared" si="2"/>
        <v>3.9912836185819178</v>
      </c>
      <c r="Z32" s="56">
        <f t="shared" si="3"/>
        <v>2</v>
      </c>
      <c r="AB32" s="18">
        <f t="shared" si="4"/>
        <v>1.9367368780929508</v>
      </c>
      <c r="AC32" s="18">
        <f t="shared" si="4"/>
        <v>2.0656244532817523</v>
      </c>
      <c r="AD32" s="56">
        <f t="shared" si="5"/>
        <v>1</v>
      </c>
      <c r="AF32" s="18">
        <f t="shared" si="6"/>
        <v>1.331267713842722</v>
      </c>
      <c r="AG32" s="18">
        <f t="shared" si="6"/>
        <v>2.1668654576028819</v>
      </c>
      <c r="AH32" s="56">
        <f t="shared" si="7"/>
        <v>1</v>
      </c>
      <c r="AJ32" s="18">
        <f t="shared" si="8"/>
        <v>0.80409964274225498</v>
      </c>
      <c r="AK32" s="18">
        <f t="shared" si="8"/>
        <v>2.3678380979061764</v>
      </c>
      <c r="AL32" s="56">
        <f t="shared" si="9"/>
        <v>1</v>
      </c>
      <c r="AN32" s="18">
        <f t="shared" si="10"/>
        <v>0.69795223275845786</v>
      </c>
      <c r="AO32" s="18">
        <f t="shared" si="10"/>
        <v>2.4646621252995673</v>
      </c>
      <c r="AP32" s="56">
        <f t="shared" si="11"/>
        <v>1</v>
      </c>
      <c r="AR32" s="18">
        <f t="shared" si="12"/>
        <v>0.63055361707522462</v>
      </c>
      <c r="AS32" s="18">
        <f t="shared" si="12"/>
        <v>2.5168548581626897</v>
      </c>
      <c r="AT32" s="56">
        <f t="shared" si="13"/>
        <v>1</v>
      </c>
      <c r="AV32" s="18">
        <f t="shared" si="14"/>
        <v>0.60626294649544821</v>
      </c>
      <c r="AW32" s="18">
        <f t="shared" si="14"/>
        <v>2.5344907025072301</v>
      </c>
      <c r="AX32" s="56">
        <f t="shared" si="15"/>
        <v>1</v>
      </c>
      <c r="AZ32" s="18">
        <f t="shared" si="16"/>
        <v>0.58368135274451749</v>
      </c>
      <c r="BA32" s="18">
        <f t="shared" si="16"/>
        <v>2.5517225880277676</v>
      </c>
      <c r="BB32" s="56">
        <f t="shared" si="17"/>
        <v>1</v>
      </c>
      <c r="BD32" s="18">
        <f t="shared" si="18"/>
        <v>0.58368135274451749</v>
      </c>
      <c r="BE32" s="18">
        <f t="shared" si="18"/>
        <v>2.5517225880277676</v>
      </c>
      <c r="BF32" s="56">
        <f t="shared" si="19"/>
        <v>1</v>
      </c>
      <c r="BH32" s="18">
        <f t="shared" si="20"/>
        <v>0.58368135274451749</v>
      </c>
      <c r="BI32" s="18">
        <f t="shared" si="20"/>
        <v>2.5517225880277676</v>
      </c>
      <c r="BJ32" s="56">
        <f t="shared" si="21"/>
        <v>1</v>
      </c>
      <c r="BL32" s="18">
        <f t="shared" si="22"/>
        <v>0.58368135274451749</v>
      </c>
      <c r="BM32" s="18">
        <f t="shared" si="22"/>
        <v>2.5517225880277676</v>
      </c>
      <c r="BN32" s="56">
        <f t="shared" si="23"/>
        <v>1</v>
      </c>
      <c r="BP32" s="18">
        <f t="shared" si="24"/>
        <v>0.58368135274451749</v>
      </c>
      <c r="BQ32" s="18">
        <f t="shared" si="24"/>
        <v>2.5517225880277676</v>
      </c>
      <c r="BR32" s="56">
        <f t="shared" si="25"/>
        <v>1</v>
      </c>
    </row>
    <row r="33" spans="1:70" x14ac:dyDescent="0.25">
      <c r="A33" s="36" t="str">
        <f>KMeans_Data!A23</f>
        <v>Nowshera</v>
      </c>
      <c r="B33" s="18">
        <f>KMeans_Data!H23</f>
        <v>0.85113891327863989</v>
      </c>
      <c r="C33" s="18">
        <f>KMeans_Data!I23</f>
        <v>1.3810745208577742</v>
      </c>
      <c r="D33" s="18">
        <f>KMeans_Data!J23</f>
        <v>0.9343491606149037</v>
      </c>
      <c r="E33" s="56">
        <f t="shared" si="0"/>
        <v>1</v>
      </c>
      <c r="F33" s="38">
        <f t="shared" si="1"/>
        <v>0.10874525749938577</v>
      </c>
      <c r="G33" s="18">
        <f>IF(COUNTIF(Distance_Matrix!$E$8:$DQ$8,$E33)&lt;=1,0,SUMIF(Distance_Matrix!$E$8:$DQ$8,$E33,Distance_Matrix!$E$32:$DQ$32)/(COUNTIF(Distance_Matrix!$E$8:$DQ$8,$E33)-1))</f>
        <v>1.1582492497706487</v>
      </c>
      <c r="H33" s="18">
        <f>MIN(IF(1=$E33,1E+99,IF(COUNTIF(Distance_Matrix!$E$8:$DQ$8,1)=0,1E+99,SUMIF(Distance_Matrix!$E$8:$DQ$8,1,Distance_Matrix!$E$32:$DQ$32)/COUNTIF(Distance_Matrix!$E$8:$DQ$8,1))),IF(2=$E33,1E+99,IF(COUNTIF(Distance_Matrix!$E$8:$DQ$8,2)=0,1E+99,SUMIF(Distance_Matrix!$E$8:$DQ$8,2,Distance_Matrix!$E$32:$DQ$32)/COUNTIF(Distance_Matrix!$E$8:$DQ$8,2))))</f>
        <v>2.8079085382656164</v>
      </c>
      <c r="I33" s="18">
        <f>IF(COUNTIF(Distance_Matrix!$E$8:$DQ$8,$E33)&lt;=1,0,(H33-G33)/MAX(G33,H33))</f>
        <v>0.58750463770943417</v>
      </c>
      <c r="X33" s="18">
        <f t="shared" si="2"/>
        <v>4.2790585979296116</v>
      </c>
      <c r="Y33" s="18">
        <f t="shared" si="2"/>
        <v>4.1393475396496306</v>
      </c>
      <c r="Z33" s="56">
        <f t="shared" si="3"/>
        <v>2</v>
      </c>
      <c r="AB33" s="18">
        <f t="shared" si="4"/>
        <v>1.7511186356417874</v>
      </c>
      <c r="AC33" s="18">
        <f t="shared" si="4"/>
        <v>2.2054127250798161</v>
      </c>
      <c r="AD33" s="56">
        <f t="shared" si="5"/>
        <v>1</v>
      </c>
      <c r="AF33" s="18">
        <f t="shared" si="6"/>
        <v>1.138366784107544</v>
      </c>
      <c r="AG33" s="18">
        <f t="shared" si="6"/>
        <v>2.3075009170161978</v>
      </c>
      <c r="AH33" s="56">
        <f t="shared" si="7"/>
        <v>1</v>
      </c>
      <c r="AJ33" s="18">
        <f t="shared" si="8"/>
        <v>0.5584400519470345</v>
      </c>
      <c r="AK33" s="18">
        <f t="shared" si="8"/>
        <v>2.5134822018513594</v>
      </c>
      <c r="AL33" s="56">
        <f t="shared" si="9"/>
        <v>1</v>
      </c>
      <c r="AN33" s="18">
        <f t="shared" si="10"/>
        <v>0.43497739571827676</v>
      </c>
      <c r="AO33" s="18">
        <f t="shared" si="10"/>
        <v>2.6139824529013986</v>
      </c>
      <c r="AP33" s="56">
        <f t="shared" si="11"/>
        <v>1</v>
      </c>
      <c r="AR33" s="18">
        <f t="shared" si="12"/>
        <v>0.37027555898501102</v>
      </c>
      <c r="AS33" s="18">
        <f t="shared" si="12"/>
        <v>2.667568104804213</v>
      </c>
      <c r="AT33" s="56">
        <f t="shared" si="13"/>
        <v>1</v>
      </c>
      <c r="AV33" s="18">
        <f t="shared" si="14"/>
        <v>0.35183684821289601</v>
      </c>
      <c r="AW33" s="18">
        <f t="shared" si="14"/>
        <v>2.6852754532032588</v>
      </c>
      <c r="AX33" s="56">
        <f t="shared" si="15"/>
        <v>1</v>
      </c>
      <c r="AZ33" s="18">
        <f t="shared" si="16"/>
        <v>0.329765458317553</v>
      </c>
      <c r="BA33" s="18">
        <f t="shared" si="16"/>
        <v>2.7029377135244834</v>
      </c>
      <c r="BB33" s="56">
        <f t="shared" si="17"/>
        <v>1</v>
      </c>
      <c r="BD33" s="18">
        <f t="shared" si="18"/>
        <v>0.329765458317553</v>
      </c>
      <c r="BE33" s="18">
        <f t="shared" si="18"/>
        <v>2.7029377135244834</v>
      </c>
      <c r="BF33" s="56">
        <f t="shared" si="19"/>
        <v>1</v>
      </c>
      <c r="BH33" s="18">
        <f t="shared" si="20"/>
        <v>0.329765458317553</v>
      </c>
      <c r="BI33" s="18">
        <f t="shared" si="20"/>
        <v>2.7029377135244834</v>
      </c>
      <c r="BJ33" s="56">
        <f t="shared" si="21"/>
        <v>1</v>
      </c>
      <c r="BL33" s="18">
        <f t="shared" si="22"/>
        <v>0.329765458317553</v>
      </c>
      <c r="BM33" s="18">
        <f t="shared" si="22"/>
        <v>2.7029377135244834</v>
      </c>
      <c r="BN33" s="56">
        <f t="shared" si="23"/>
        <v>1</v>
      </c>
      <c r="BP33" s="18">
        <f t="shared" si="24"/>
        <v>0.329765458317553</v>
      </c>
      <c r="BQ33" s="18">
        <f t="shared" si="24"/>
        <v>2.7029377135244834</v>
      </c>
      <c r="BR33" s="56">
        <f t="shared" si="25"/>
        <v>1</v>
      </c>
    </row>
    <row r="34" spans="1:70" x14ac:dyDescent="0.25">
      <c r="A34" s="36" t="str">
        <f>KMeans_Data!A24</f>
        <v>Muzaffarabad</v>
      </c>
      <c r="B34" s="18">
        <f>KMeans_Data!H24</f>
        <v>0.84172690240795967</v>
      </c>
      <c r="C34" s="18">
        <f>KMeans_Data!I24</f>
        <v>0.80308444953571578</v>
      </c>
      <c r="D34" s="18">
        <f>KMeans_Data!J24</f>
        <v>1.0367093535020828</v>
      </c>
      <c r="E34" s="56">
        <f t="shared" si="0"/>
        <v>1</v>
      </c>
      <c r="F34" s="38">
        <f t="shared" si="1"/>
        <v>0.21822413948739505</v>
      </c>
      <c r="G34" s="18">
        <f>IF(COUNTIF(Distance_Matrix!$E$8:$DQ$8,$E34)&lt;=1,0,SUMIF(Distance_Matrix!$E$8:$DQ$8,$E34,Distance_Matrix!$E$33:$DQ$33)/(COUNTIF(Distance_Matrix!$E$8:$DQ$8,$E34)-1))</f>
        <v>1.0869410384098259</v>
      </c>
      <c r="H34" s="18">
        <f>MIN(IF(1=$E34,1E+99,IF(COUNTIF(Distance_Matrix!$E$8:$DQ$8,1)=0,1E+99,SUMIF(Distance_Matrix!$E$8:$DQ$8,1,Distance_Matrix!$E$33:$DQ$33)/COUNTIF(Distance_Matrix!$E$8:$DQ$8,1))),IF(2=$E34,1E+99,IF(COUNTIF(Distance_Matrix!$E$8:$DQ$8,2)=0,1E+99,SUMIF(Distance_Matrix!$E$8:$DQ$8,2,Distance_Matrix!$E$33:$DQ$33)/COUNTIF(Distance_Matrix!$E$8:$DQ$8,2))))</f>
        <v>2.4933489494754588</v>
      </c>
      <c r="I34" s="18">
        <f>IF(COUNTIF(Distance_Matrix!$E$8:$DQ$8,$E34)&lt;=1,0,(H34-G34)/MAX(G34,H34))</f>
        <v>0.56406381118916693</v>
      </c>
      <c r="X34" s="18">
        <f t="shared" si="2"/>
        <v>4.6150099077019524</v>
      </c>
      <c r="Y34" s="18">
        <f t="shared" si="2"/>
        <v>3.9338807191152401</v>
      </c>
      <c r="Z34" s="56">
        <f t="shared" si="3"/>
        <v>2</v>
      </c>
      <c r="AB34" s="18">
        <f t="shared" si="4"/>
        <v>2.0881715407002686</v>
      </c>
      <c r="AC34" s="18">
        <f t="shared" si="4"/>
        <v>1.8883041258170543</v>
      </c>
      <c r="AD34" s="56">
        <f t="shared" si="5"/>
        <v>2</v>
      </c>
      <c r="AF34" s="18">
        <f t="shared" si="6"/>
        <v>1.4893955219722224</v>
      </c>
      <c r="AG34" s="18">
        <f t="shared" si="6"/>
        <v>1.9884641713684708</v>
      </c>
      <c r="AH34" s="56">
        <f t="shared" si="7"/>
        <v>1</v>
      </c>
      <c r="AJ34" s="18">
        <f t="shared" si="8"/>
        <v>0.88508123299637054</v>
      </c>
      <c r="AK34" s="18">
        <f t="shared" si="8"/>
        <v>2.1955210977899879</v>
      </c>
      <c r="AL34" s="56">
        <f t="shared" si="9"/>
        <v>1</v>
      </c>
      <c r="AN34" s="18">
        <f t="shared" si="10"/>
        <v>0.66454164865804777</v>
      </c>
      <c r="AO34" s="18">
        <f t="shared" si="10"/>
        <v>2.3017445923602344</v>
      </c>
      <c r="AP34" s="56">
        <f t="shared" si="11"/>
        <v>1</v>
      </c>
      <c r="AR34" s="18">
        <f t="shared" si="12"/>
        <v>0.53908795730749648</v>
      </c>
      <c r="AS34" s="18">
        <f t="shared" si="12"/>
        <v>2.3571306280498141</v>
      </c>
      <c r="AT34" s="56">
        <f t="shared" si="13"/>
        <v>1</v>
      </c>
      <c r="AV34" s="18">
        <f t="shared" si="14"/>
        <v>0.50255776474389169</v>
      </c>
      <c r="AW34" s="18">
        <f t="shared" si="14"/>
        <v>2.3749399143590382</v>
      </c>
      <c r="AX34" s="56">
        <f t="shared" si="15"/>
        <v>1</v>
      </c>
      <c r="AZ34" s="18">
        <f t="shared" si="16"/>
        <v>0.46714466655137471</v>
      </c>
      <c r="BA34" s="18">
        <f t="shared" si="16"/>
        <v>2.3922839736659598</v>
      </c>
      <c r="BB34" s="56">
        <f t="shared" si="17"/>
        <v>1</v>
      </c>
      <c r="BD34" s="18">
        <f t="shared" si="18"/>
        <v>0.46714466655137471</v>
      </c>
      <c r="BE34" s="18">
        <f t="shared" si="18"/>
        <v>2.3922839736659598</v>
      </c>
      <c r="BF34" s="56">
        <f t="shared" si="19"/>
        <v>1</v>
      </c>
      <c r="BH34" s="18">
        <f t="shared" si="20"/>
        <v>0.46714466655137471</v>
      </c>
      <c r="BI34" s="18">
        <f t="shared" si="20"/>
        <v>2.3922839736659598</v>
      </c>
      <c r="BJ34" s="56">
        <f t="shared" si="21"/>
        <v>1</v>
      </c>
      <c r="BL34" s="18">
        <f t="shared" si="22"/>
        <v>0.46714466655137471</v>
      </c>
      <c r="BM34" s="18">
        <f t="shared" si="22"/>
        <v>2.3922839736659598</v>
      </c>
      <c r="BN34" s="56">
        <f t="shared" si="23"/>
        <v>1</v>
      </c>
      <c r="BP34" s="18">
        <f t="shared" si="24"/>
        <v>0.46714466655137471</v>
      </c>
      <c r="BQ34" s="18">
        <f t="shared" si="24"/>
        <v>2.3922839736659598</v>
      </c>
      <c r="BR34" s="56">
        <f t="shared" si="25"/>
        <v>1</v>
      </c>
    </row>
    <row r="35" spans="1:70" x14ac:dyDescent="0.25">
      <c r="A35" s="36" t="str">
        <f>KMeans_Data!A25</f>
        <v>Dera Ghazi Khan</v>
      </c>
      <c r="B35" s="18">
        <f>KMeans_Data!H25</f>
        <v>0.78983637463992185</v>
      </c>
      <c r="C35" s="18">
        <f>KMeans_Data!I25</f>
        <v>0.80308444953571578</v>
      </c>
      <c r="D35" s="18">
        <f>KMeans_Data!J25</f>
        <v>1.2683843951613223</v>
      </c>
      <c r="E35" s="56">
        <f t="shared" si="0"/>
        <v>1</v>
      </c>
      <c r="F35" s="38">
        <f t="shared" si="1"/>
        <v>0.24533699182159854</v>
      </c>
      <c r="G35" s="18">
        <f>IF(COUNTIF(Distance_Matrix!$E$8:$DQ$8,$E35)&lt;=1,0,SUMIF(Distance_Matrix!$E$8:$DQ$8,$E35,Distance_Matrix!$E$34:$DQ$34)/(COUNTIF(Distance_Matrix!$E$8:$DQ$8,$E35)-1))</f>
        <v>1.1299813469518831</v>
      </c>
      <c r="H35" s="18">
        <f>MIN(IF(1=$E35,1E+99,IF(COUNTIF(Distance_Matrix!$E$8:$DQ$8,1)=0,1E+99,SUMIF(Distance_Matrix!$E$8:$DQ$8,1,Distance_Matrix!$E$34:$DQ$34)/COUNTIF(Distance_Matrix!$E$8:$DQ$8,1))),IF(2=$E35,1E+99,IF(COUNTIF(Distance_Matrix!$E$8:$DQ$8,2)=0,1E+99,SUMIF(Distance_Matrix!$E$8:$DQ$8,2,Distance_Matrix!$E$34:$DQ$34)/COUNTIF(Distance_Matrix!$E$8:$DQ$8,2))))</f>
        <v>2.613251028919223</v>
      </c>
      <c r="I35" s="18">
        <f>IF(COUNTIF(Distance_Matrix!$E$8:$DQ$8,$E35)&lt;=1,0,(H35-G35)/MAX(G35,H35))</f>
        <v>0.56759556030129421</v>
      </c>
      <c r="X35" s="18">
        <f t="shared" ref="X35:Y54" si="26">SQRT(($B35-X$8)^2+($C35-X$9)^2+($D35-X$10)^2)</f>
        <v>4.5365573847970895</v>
      </c>
      <c r="Y35" s="18">
        <f t="shared" si="26"/>
        <v>4.0298615877856374</v>
      </c>
      <c r="Z35" s="56">
        <f t="shared" si="3"/>
        <v>2</v>
      </c>
      <c r="AB35" s="18">
        <f t="shared" ref="AB35:AC54" si="27">SQRT(($B35-AB$8)^2+($C35-AB$9)^2+($D35-AB$10)^2)</f>
        <v>2.0371815395770101</v>
      </c>
      <c r="AC35" s="18">
        <f t="shared" si="27"/>
        <v>2.0190885870561095</v>
      </c>
      <c r="AD35" s="56">
        <f t="shared" si="5"/>
        <v>2</v>
      </c>
      <c r="AF35" s="18">
        <f t="shared" ref="AF35:AG54" si="28">SQRT(($B35-AF$8)^2+($C35-AF$9)^2+($D35-AF$10)^2)</f>
        <v>1.4574663185613046</v>
      </c>
      <c r="AG35" s="18">
        <f t="shared" si="28"/>
        <v>2.1173758526101634</v>
      </c>
      <c r="AH35" s="56">
        <f t="shared" si="7"/>
        <v>1</v>
      </c>
      <c r="AJ35" s="18">
        <f t="shared" ref="AJ35:AK54" si="29">SQRT(($B35-AJ$8)^2+($C35-AJ$9)^2+($D35-AJ$10)^2)</f>
        <v>0.86846124005608594</v>
      </c>
      <c r="AK35" s="18">
        <f t="shared" si="29"/>
        <v>2.3237284362947652</v>
      </c>
      <c r="AL35" s="56">
        <f t="shared" si="9"/>
        <v>1</v>
      </c>
      <c r="AN35" s="18">
        <f t="shared" ref="AN35:AO54" si="30">SQRT(($B35-AN$8)^2+($C35-AN$9)^2+($D35-AN$10)^2)</f>
        <v>0.65677055603377643</v>
      </c>
      <c r="AO35" s="18">
        <f t="shared" si="30"/>
        <v>2.4302045301932109</v>
      </c>
      <c r="AP35" s="56">
        <f t="shared" si="11"/>
        <v>1</v>
      </c>
      <c r="AR35" s="18">
        <f t="shared" ref="AR35:AS54" si="31">SQRT(($B35-AR$8)^2+($C35-AR$9)^2+($D35-AR$10)^2)</f>
        <v>0.54922022452822428</v>
      </c>
      <c r="AS35" s="18">
        <f t="shared" si="31"/>
        <v>2.4854860650729798</v>
      </c>
      <c r="AT35" s="56">
        <f t="shared" si="13"/>
        <v>1</v>
      </c>
      <c r="AV35" s="18">
        <f t="shared" ref="AV35:AW54" si="32">SQRT(($B35-AV$8)^2+($C35-AV$9)^2+($D35-AV$10)^2)</f>
        <v>0.52364022062703841</v>
      </c>
      <c r="AW35" s="18">
        <f t="shared" si="32"/>
        <v>2.5029835100515507</v>
      </c>
      <c r="AX35" s="56">
        <f t="shared" si="15"/>
        <v>1</v>
      </c>
      <c r="AZ35" s="18">
        <f t="shared" ref="AZ35:BA54" si="33">SQRT(($B35-AZ$8)^2+($C35-AZ$9)^2+($D35-AZ$10)^2)</f>
        <v>0.49531504299950202</v>
      </c>
      <c r="BA35" s="18">
        <f t="shared" si="33"/>
        <v>2.5204412977333925</v>
      </c>
      <c r="BB35" s="56">
        <f t="shared" si="17"/>
        <v>1</v>
      </c>
      <c r="BD35" s="18">
        <f t="shared" ref="BD35:BE54" si="34">SQRT(($B35-BD$8)^2+($C35-BD$9)^2+($D35-BD$10)^2)</f>
        <v>0.49531504299950202</v>
      </c>
      <c r="BE35" s="18">
        <f t="shared" si="34"/>
        <v>2.5204412977333925</v>
      </c>
      <c r="BF35" s="56">
        <f t="shared" si="19"/>
        <v>1</v>
      </c>
      <c r="BH35" s="18">
        <f t="shared" ref="BH35:BI54" si="35">SQRT(($B35-BH$8)^2+($C35-BH$9)^2+($D35-BH$10)^2)</f>
        <v>0.49531504299950202</v>
      </c>
      <c r="BI35" s="18">
        <f t="shared" si="35"/>
        <v>2.5204412977333925</v>
      </c>
      <c r="BJ35" s="56">
        <f t="shared" si="21"/>
        <v>1</v>
      </c>
      <c r="BL35" s="18">
        <f t="shared" ref="BL35:BM54" si="36">SQRT(($B35-BL$8)^2+($C35-BL$9)^2+($D35-BL$10)^2)</f>
        <v>0.49531504299950202</v>
      </c>
      <c r="BM35" s="18">
        <f t="shared" si="36"/>
        <v>2.5204412977333925</v>
      </c>
      <c r="BN35" s="56">
        <f t="shared" si="23"/>
        <v>1</v>
      </c>
      <c r="BP35" s="18">
        <f t="shared" ref="BP35:BQ54" si="37">SQRT(($B35-BP$8)^2+($C35-BP$9)^2+($D35-BP$10)^2)</f>
        <v>0.49531504299950202</v>
      </c>
      <c r="BQ35" s="18">
        <f t="shared" si="37"/>
        <v>2.5204412977333925</v>
      </c>
      <c r="BR35" s="56">
        <f t="shared" si="25"/>
        <v>1</v>
      </c>
    </row>
    <row r="36" spans="1:70" x14ac:dyDescent="0.25">
      <c r="A36" s="36" t="str">
        <f>KMeans_Data!A26</f>
        <v>Charsadda</v>
      </c>
      <c r="B36" s="18">
        <f>KMeans_Data!H26</f>
        <v>0.78562201948780019</v>
      </c>
      <c r="C36" s="18">
        <f>KMeans_Data!I26</f>
        <v>0.80308444953571578</v>
      </c>
      <c r="D36" s="18">
        <f>KMeans_Data!J26</f>
        <v>0.61832866607444492</v>
      </c>
      <c r="E36" s="56">
        <f t="shared" si="0"/>
        <v>1</v>
      </c>
      <c r="F36" s="38">
        <f t="shared" si="1"/>
        <v>0.50887241354018442</v>
      </c>
      <c r="G36" s="18">
        <f>IF(COUNTIF(Distance_Matrix!$E$8:$DQ$8,$E36)&lt;=1,0,SUMIF(Distance_Matrix!$E$8:$DQ$8,$E36,Distance_Matrix!$E$35:$DQ$35)/(COUNTIF(Distance_Matrix!$E$8:$DQ$8,$E36)-1))</f>
        <v>1.1686143234792976</v>
      </c>
      <c r="H36" s="18">
        <f>MIN(IF(1=$E36,1E+99,IF(COUNTIF(Distance_Matrix!$E$8:$DQ$8,1)=0,1E+99,SUMIF(Distance_Matrix!$E$8:$DQ$8,1,Distance_Matrix!$E$35:$DQ$35)/COUNTIF(Distance_Matrix!$E$8:$DQ$8,1))),IF(2=$E36,1E+99,IF(COUNTIF(Distance_Matrix!$E$8:$DQ$8,2)=0,1E+99,SUMIF(Distance_Matrix!$E$8:$DQ$8,2,Distance_Matrix!$E$35:$DQ$35)/COUNTIF(Distance_Matrix!$E$8:$DQ$8,2))))</f>
        <v>2.2439018681113598</v>
      </c>
      <c r="I36" s="18">
        <f>IF(COUNTIF(Distance_Matrix!$E$8:$DQ$8,$E36)&lt;=1,0,(H36-G36)/MAX(G36,H36))</f>
        <v>0.47920435377020598</v>
      </c>
      <c r="X36" s="18">
        <f t="shared" si="26"/>
        <v>4.8583672348654217</v>
      </c>
      <c r="Y36" s="18">
        <f t="shared" si="26"/>
        <v>3.6741912973222601</v>
      </c>
      <c r="Z36" s="56">
        <f t="shared" si="3"/>
        <v>2</v>
      </c>
      <c r="AB36" s="18">
        <f t="shared" si="27"/>
        <v>2.31509252048515</v>
      </c>
      <c r="AC36" s="18">
        <f t="shared" si="27"/>
        <v>1.6171967184335307</v>
      </c>
      <c r="AD36" s="56">
        <f t="shared" si="5"/>
        <v>2</v>
      </c>
      <c r="AF36" s="18">
        <f t="shared" si="28"/>
        <v>1.7028878584738627</v>
      </c>
      <c r="AG36" s="18">
        <f t="shared" si="28"/>
        <v>1.7189448134829297</v>
      </c>
      <c r="AH36" s="56">
        <f t="shared" si="7"/>
        <v>1</v>
      </c>
      <c r="AJ36" s="18">
        <f t="shared" si="29"/>
        <v>1.1100558862077816</v>
      </c>
      <c r="AK36" s="18">
        <f t="shared" si="29"/>
        <v>1.9239622798807434</v>
      </c>
      <c r="AL36" s="56">
        <f t="shared" si="9"/>
        <v>1</v>
      </c>
      <c r="AN36" s="18">
        <f t="shared" si="30"/>
        <v>0.91235018008987312</v>
      </c>
      <c r="AO36" s="18">
        <f t="shared" si="30"/>
        <v>2.0271379175306219</v>
      </c>
      <c r="AP36" s="56">
        <f t="shared" si="11"/>
        <v>1</v>
      </c>
      <c r="AR36" s="18">
        <f t="shared" si="31"/>
        <v>0.7903723211384871</v>
      </c>
      <c r="AS36" s="18">
        <f t="shared" si="31"/>
        <v>2.0816307782406844</v>
      </c>
      <c r="AT36" s="56">
        <f t="shared" si="13"/>
        <v>1</v>
      </c>
      <c r="AV36" s="18">
        <f t="shared" si="32"/>
        <v>0.75004722126239043</v>
      </c>
      <c r="AW36" s="18">
        <f t="shared" si="32"/>
        <v>2.0996574571335231</v>
      </c>
      <c r="AX36" s="56">
        <f t="shared" si="15"/>
        <v>1</v>
      </c>
      <c r="AZ36" s="18">
        <f t="shared" si="33"/>
        <v>0.71335293757030571</v>
      </c>
      <c r="BA36" s="18">
        <f t="shared" si="33"/>
        <v>2.1167675516921496</v>
      </c>
      <c r="BB36" s="56">
        <f t="shared" si="17"/>
        <v>1</v>
      </c>
      <c r="BD36" s="18">
        <f t="shared" si="34"/>
        <v>0.71335293757030571</v>
      </c>
      <c r="BE36" s="18">
        <f t="shared" si="34"/>
        <v>2.1167675516921496</v>
      </c>
      <c r="BF36" s="56">
        <f t="shared" si="19"/>
        <v>1</v>
      </c>
      <c r="BH36" s="18">
        <f t="shared" si="35"/>
        <v>0.71335293757030571</v>
      </c>
      <c r="BI36" s="18">
        <f t="shared" si="35"/>
        <v>2.1167675516921496</v>
      </c>
      <c r="BJ36" s="56">
        <f t="shared" si="21"/>
        <v>1</v>
      </c>
      <c r="BL36" s="18">
        <f t="shared" si="36"/>
        <v>0.71335293757030571</v>
      </c>
      <c r="BM36" s="18">
        <f t="shared" si="36"/>
        <v>2.1167675516921496</v>
      </c>
      <c r="BN36" s="56">
        <f t="shared" si="23"/>
        <v>1</v>
      </c>
      <c r="BP36" s="18">
        <f t="shared" si="37"/>
        <v>0.71335293757030571</v>
      </c>
      <c r="BQ36" s="18">
        <f t="shared" si="37"/>
        <v>2.1167675516921496</v>
      </c>
      <c r="BR36" s="56">
        <f t="shared" si="25"/>
        <v>1</v>
      </c>
    </row>
    <row r="37" spans="1:70" x14ac:dyDescent="0.25">
      <c r="A37" s="36" t="str">
        <f>KMeans_Data!A27</f>
        <v>Dir Upper</v>
      </c>
      <c r="B37" s="18">
        <f>KMeans_Data!H27</f>
        <v>0.78350197575168823</v>
      </c>
      <c r="C37" s="18">
        <f>KMeans_Data!I27</f>
        <v>0.16051258962499582</v>
      </c>
      <c r="D37" s="18">
        <f>KMeans_Data!J27</f>
        <v>0.95967737195633995</v>
      </c>
      <c r="E37" s="56">
        <f t="shared" si="0"/>
        <v>1</v>
      </c>
      <c r="F37" s="38">
        <f t="shared" si="1"/>
        <v>1.2054237352041719</v>
      </c>
      <c r="G37" s="18">
        <f>IF(COUNTIF(Distance_Matrix!$E$8:$DQ$8,$E37)&lt;=1,0,SUMIF(Distance_Matrix!$E$8:$DQ$8,$E37,Distance_Matrix!$E$36:$DQ$36)/(COUNTIF(Distance_Matrix!$E$8:$DQ$8,$E37)-1))</f>
        <v>1.3828111736680577</v>
      </c>
      <c r="H37" s="18">
        <f>MIN(IF(1=$E37,1E+99,IF(COUNTIF(Distance_Matrix!$E$8:$DQ$8,1)=0,1E+99,SUMIF(Distance_Matrix!$E$8:$DQ$8,1,Distance_Matrix!$E$36:$DQ$36)/COUNTIF(Distance_Matrix!$E$8:$DQ$8,1))),IF(2=$E37,1E+99,IF(COUNTIF(Distance_Matrix!$E$8:$DQ$8,2)=0,1E+99,SUMIF(Distance_Matrix!$E$8:$DQ$8,2,Distance_Matrix!$E$36:$DQ$36)/COUNTIF(Distance_Matrix!$E$8:$DQ$8,2))))</f>
        <v>2.1211353173985885</v>
      </c>
      <c r="I37" s="18">
        <f>IF(COUNTIF(Distance_Matrix!$E$8:$DQ$8,$E37)&lt;=1,0,(H37-G37)/MAX(G37,H37))</f>
        <v>0.34807969943003414</v>
      </c>
      <c r="X37" s="18">
        <f t="shared" si="26"/>
        <v>5.1481691193932422</v>
      </c>
      <c r="Y37" s="18">
        <f t="shared" si="26"/>
        <v>3.6502989512011172</v>
      </c>
      <c r="Z37" s="56">
        <f t="shared" si="3"/>
        <v>2</v>
      </c>
      <c r="AB37" s="18">
        <f t="shared" si="27"/>
        <v>2.6512552015077708</v>
      </c>
      <c r="AC37" s="18">
        <f t="shared" si="27"/>
        <v>1.5387018601426483</v>
      </c>
      <c r="AD37" s="56">
        <f t="shared" si="5"/>
        <v>2</v>
      </c>
      <c r="AF37" s="18">
        <f t="shared" si="28"/>
        <v>2.0767796958934479</v>
      </c>
      <c r="AG37" s="18">
        <f t="shared" si="28"/>
        <v>1.6281158387907277</v>
      </c>
      <c r="AH37" s="56">
        <f t="shared" si="7"/>
        <v>2</v>
      </c>
      <c r="AJ37" s="18">
        <f t="shared" si="29"/>
        <v>1.5011974203544458</v>
      </c>
      <c r="AK37" s="18">
        <f t="shared" si="29"/>
        <v>1.8213843629958268</v>
      </c>
      <c r="AL37" s="56">
        <f t="shared" si="9"/>
        <v>1</v>
      </c>
      <c r="AN37" s="18">
        <f t="shared" si="30"/>
        <v>1.2799254492041818</v>
      </c>
      <c r="AO37" s="18">
        <f t="shared" si="30"/>
        <v>1.9283786667250724</v>
      </c>
      <c r="AP37" s="56">
        <f t="shared" si="11"/>
        <v>1</v>
      </c>
      <c r="AR37" s="18">
        <f t="shared" si="31"/>
        <v>1.1613363919045987</v>
      </c>
      <c r="AS37" s="18">
        <f t="shared" si="31"/>
        <v>1.9829151238895957</v>
      </c>
      <c r="AT37" s="56">
        <f t="shared" si="13"/>
        <v>1</v>
      </c>
      <c r="AV37" s="18">
        <f t="shared" si="32"/>
        <v>1.1275844086454787</v>
      </c>
      <c r="AW37" s="18">
        <f t="shared" si="32"/>
        <v>1.9999927623403675</v>
      </c>
      <c r="AX37" s="56">
        <f t="shared" si="15"/>
        <v>1</v>
      </c>
      <c r="AZ37" s="18">
        <f t="shared" si="33"/>
        <v>1.0979179091371867</v>
      </c>
      <c r="BA37" s="18">
        <f t="shared" si="33"/>
        <v>2.0158738246542351</v>
      </c>
      <c r="BB37" s="56">
        <f t="shared" si="17"/>
        <v>1</v>
      </c>
      <c r="BD37" s="18">
        <f t="shared" si="34"/>
        <v>1.0979179091371867</v>
      </c>
      <c r="BE37" s="18">
        <f t="shared" si="34"/>
        <v>2.0158738246542351</v>
      </c>
      <c r="BF37" s="56">
        <f t="shared" si="19"/>
        <v>1</v>
      </c>
      <c r="BH37" s="18">
        <f t="shared" si="35"/>
        <v>1.0979179091371867</v>
      </c>
      <c r="BI37" s="18">
        <f t="shared" si="35"/>
        <v>2.0158738246542351</v>
      </c>
      <c r="BJ37" s="56">
        <f t="shared" si="21"/>
        <v>1</v>
      </c>
      <c r="BL37" s="18">
        <f t="shared" si="36"/>
        <v>1.0979179091371867</v>
      </c>
      <c r="BM37" s="18">
        <f t="shared" si="36"/>
        <v>2.0158738246542351</v>
      </c>
      <c r="BN37" s="56">
        <f t="shared" si="23"/>
        <v>1</v>
      </c>
      <c r="BP37" s="18">
        <f t="shared" si="37"/>
        <v>1.0979179091371867</v>
      </c>
      <c r="BQ37" s="18">
        <f t="shared" si="37"/>
        <v>2.0158738246542351</v>
      </c>
      <c r="BR37" s="56">
        <f t="shared" si="25"/>
        <v>1</v>
      </c>
    </row>
    <row r="38" spans="1:70" x14ac:dyDescent="0.25">
      <c r="A38" s="36" t="str">
        <f>KMeans_Data!A28</f>
        <v>Khyber</v>
      </c>
      <c r="B38" s="18">
        <f>KMeans_Data!H28</f>
        <v>0.78350197575168823</v>
      </c>
      <c r="C38" s="18">
        <f>KMeans_Data!I28</f>
        <v>0.54791138584450239</v>
      </c>
      <c r="D38" s="18">
        <f>KMeans_Data!J28</f>
        <v>0.66715177094920652</v>
      </c>
      <c r="E38" s="56">
        <f t="shared" si="0"/>
        <v>1</v>
      </c>
      <c r="F38" s="38">
        <f t="shared" si="1"/>
        <v>0.73465127856138246</v>
      </c>
      <c r="G38" s="18">
        <f>IF(COUNTIF(Distance_Matrix!$E$8:$DQ$8,$E38)&lt;=1,0,SUMIF(Distance_Matrix!$E$8:$DQ$8,$E38,Distance_Matrix!$E$37:$DQ$37)/(COUNTIF(Distance_Matrix!$E$8:$DQ$8,$E38)-1))</f>
        <v>1.2177232088360213</v>
      </c>
      <c r="H38" s="18">
        <f>MIN(IF(1=$E38,1E+99,IF(COUNTIF(Distance_Matrix!$E$8:$DQ$8,1)=0,1E+99,SUMIF(Distance_Matrix!$E$8:$DQ$8,1,Distance_Matrix!$E$37:$DQ$37)/COUNTIF(Distance_Matrix!$E$8:$DQ$8,1))),IF(2=$E38,1E+99,IF(COUNTIF(Distance_Matrix!$E$8:$DQ$8,2)=0,1E+99,SUMIF(Distance_Matrix!$E$8:$DQ$8,2,Distance_Matrix!$E$37:$DQ$37)/COUNTIF(Distance_Matrix!$E$8:$DQ$8,2))))</f>
        <v>2.1194993409048135</v>
      </c>
      <c r="I38" s="18">
        <f>IF(COUNTIF(Distance_Matrix!$E$8:$DQ$8,$E38)&lt;=1,0,(H38-G38)/MAX(G38,H38))</f>
        <v>0.42546657819852135</v>
      </c>
      <c r="X38" s="18">
        <f t="shared" si="26"/>
        <v>5.0075852088878463</v>
      </c>
      <c r="Y38" s="18">
        <f t="shared" si="26"/>
        <v>3.6019638270620704</v>
      </c>
      <c r="Z38" s="56">
        <f t="shared" si="3"/>
        <v>2</v>
      </c>
      <c r="AB38" s="18">
        <f t="shared" si="27"/>
        <v>2.4696873494180838</v>
      </c>
      <c r="AC38" s="18">
        <f t="shared" si="27"/>
        <v>1.4947331246053128</v>
      </c>
      <c r="AD38" s="56">
        <f t="shared" si="5"/>
        <v>2</v>
      </c>
      <c r="AF38" s="18">
        <f t="shared" si="28"/>
        <v>1.8652974987547748</v>
      </c>
      <c r="AG38" s="18">
        <f t="shared" si="28"/>
        <v>1.5944560153403509</v>
      </c>
      <c r="AH38" s="56">
        <f t="shared" si="7"/>
        <v>2</v>
      </c>
      <c r="AJ38" s="18">
        <f t="shared" si="29"/>
        <v>1.2711713257997008</v>
      </c>
      <c r="AK38" s="18">
        <f t="shared" si="29"/>
        <v>1.7984844196659353</v>
      </c>
      <c r="AL38" s="56">
        <f t="shared" si="9"/>
        <v>1</v>
      </c>
      <c r="AN38" s="18">
        <f t="shared" si="30"/>
        <v>1.0583275669014922</v>
      </c>
      <c r="AO38" s="18">
        <f t="shared" si="30"/>
        <v>1.9043125905381035</v>
      </c>
      <c r="AP38" s="56">
        <f t="shared" si="11"/>
        <v>1</v>
      </c>
      <c r="AR38" s="18">
        <f t="shared" si="31"/>
        <v>0.93240629716303502</v>
      </c>
      <c r="AS38" s="18">
        <f t="shared" si="31"/>
        <v>1.9595077569979062</v>
      </c>
      <c r="AT38" s="56">
        <f t="shared" si="13"/>
        <v>1</v>
      </c>
      <c r="AV38" s="18">
        <f t="shared" si="32"/>
        <v>0.89252606889462816</v>
      </c>
      <c r="AW38" s="18">
        <f t="shared" si="32"/>
        <v>1.9775031026675178</v>
      </c>
      <c r="AX38" s="56">
        <f t="shared" si="15"/>
        <v>1</v>
      </c>
      <c r="AZ38" s="18">
        <f t="shared" si="33"/>
        <v>0.85711800737202015</v>
      </c>
      <c r="BA38" s="18">
        <f t="shared" si="33"/>
        <v>1.9943061117636618</v>
      </c>
      <c r="BB38" s="56">
        <f t="shared" si="17"/>
        <v>1</v>
      </c>
      <c r="BD38" s="18">
        <f t="shared" si="34"/>
        <v>0.85711800737202015</v>
      </c>
      <c r="BE38" s="18">
        <f t="shared" si="34"/>
        <v>1.9943061117636618</v>
      </c>
      <c r="BF38" s="56">
        <f t="shared" si="19"/>
        <v>1</v>
      </c>
      <c r="BH38" s="18">
        <f t="shared" si="35"/>
        <v>0.85711800737202015</v>
      </c>
      <c r="BI38" s="18">
        <f t="shared" si="35"/>
        <v>1.9943061117636618</v>
      </c>
      <c r="BJ38" s="56">
        <f t="shared" si="21"/>
        <v>1</v>
      </c>
      <c r="BL38" s="18">
        <f t="shared" si="36"/>
        <v>0.85711800737202015</v>
      </c>
      <c r="BM38" s="18">
        <f t="shared" si="36"/>
        <v>1.9943061117636618</v>
      </c>
      <c r="BN38" s="56">
        <f t="shared" si="23"/>
        <v>1</v>
      </c>
      <c r="BP38" s="18">
        <f t="shared" si="37"/>
        <v>0.85711800737202015</v>
      </c>
      <c r="BQ38" s="18">
        <f t="shared" si="37"/>
        <v>1.9943061117636618</v>
      </c>
      <c r="BR38" s="56">
        <f t="shared" si="25"/>
        <v>1</v>
      </c>
    </row>
    <row r="39" spans="1:70" x14ac:dyDescent="0.25">
      <c r="A39" s="36" t="str">
        <f>KMeans_Data!A29</f>
        <v>Bajaur</v>
      </c>
      <c r="B39" s="18">
        <f>KMeans_Data!H29</f>
        <v>0.76181258672347318</v>
      </c>
      <c r="C39" s="18">
        <f>KMeans_Data!I29</f>
        <v>1.3810745208577742</v>
      </c>
      <c r="D39" s="18">
        <f>KMeans_Data!J29</f>
        <v>0.72786907626120334</v>
      </c>
      <c r="E39" s="56">
        <f t="shared" si="0"/>
        <v>1</v>
      </c>
      <c r="F39" s="38">
        <f t="shared" si="1"/>
        <v>0.27998164140365456</v>
      </c>
      <c r="G39" s="18">
        <f>IF(COUNTIF(Distance_Matrix!$E$8:$DQ$8,$E39)&lt;=1,0,SUMIF(Distance_Matrix!$E$8:$DQ$8,$E39,Distance_Matrix!$E$38:$DQ$38)/(COUNTIF(Distance_Matrix!$E$8:$DQ$8,$E39)-1))</f>
        <v>1.1942814246512394</v>
      </c>
      <c r="H39" s="18">
        <f>MIN(IF(1=$E39,1E+99,IF(COUNTIF(Distance_Matrix!$E$8:$DQ$8,1)=0,1E+99,SUMIF(Distance_Matrix!$E$8:$DQ$8,1,Distance_Matrix!$E$38:$DQ$38)/COUNTIF(Distance_Matrix!$E$8:$DQ$8,1))),IF(2=$E39,1E+99,IF(COUNTIF(Distance_Matrix!$E$8:$DQ$8,2)=0,1E+99,SUMIF(Distance_Matrix!$E$8:$DQ$8,2,Distance_Matrix!$E$38:$DQ$38)/COUNTIF(Distance_Matrix!$E$8:$DQ$8,2))))</f>
        <v>2.6743147514262375</v>
      </c>
      <c r="I39" s="18">
        <f>IF(COUNTIF(Distance_Matrix!$E$8:$DQ$8,$E39)&lt;=1,0,(H39-G39)/MAX(G39,H39))</f>
        <v>0.55342525631498019</v>
      </c>
      <c r="X39" s="18">
        <f t="shared" si="26"/>
        <v>4.4442382127810589</v>
      </c>
      <c r="Y39" s="18">
        <f t="shared" si="26"/>
        <v>3.9752041411792853</v>
      </c>
      <c r="Z39" s="56">
        <f t="shared" si="3"/>
        <v>2</v>
      </c>
      <c r="AB39" s="18">
        <f t="shared" si="27"/>
        <v>1.9241660160930136</v>
      </c>
      <c r="AC39" s="18">
        <f t="shared" si="27"/>
        <v>2.0667778540339947</v>
      </c>
      <c r="AD39" s="56">
        <f t="shared" si="5"/>
        <v>1</v>
      </c>
      <c r="AF39" s="18">
        <f t="shared" si="28"/>
        <v>1.3155940972066107</v>
      </c>
      <c r="AG39" s="18">
        <f t="shared" si="28"/>
        <v>2.1683284843747659</v>
      </c>
      <c r="AH39" s="56">
        <f t="shared" si="7"/>
        <v>1</v>
      </c>
      <c r="AJ39" s="18">
        <f t="shared" si="29"/>
        <v>0.76450149566335446</v>
      </c>
      <c r="AK39" s="18">
        <f t="shared" si="29"/>
        <v>2.3714560680802941</v>
      </c>
      <c r="AL39" s="56">
        <f t="shared" si="9"/>
        <v>1</v>
      </c>
      <c r="AN39" s="18">
        <f t="shared" si="30"/>
        <v>0.65059242379041726</v>
      </c>
      <c r="AO39" s="18">
        <f t="shared" si="30"/>
        <v>2.4691832114148808</v>
      </c>
      <c r="AP39" s="56">
        <f t="shared" si="11"/>
        <v>1</v>
      </c>
      <c r="AR39" s="18">
        <f t="shared" si="31"/>
        <v>0.57938371060905902</v>
      </c>
      <c r="AS39" s="18">
        <f t="shared" si="31"/>
        <v>2.5217403741756623</v>
      </c>
      <c r="AT39" s="56">
        <f t="shared" si="13"/>
        <v>1</v>
      </c>
      <c r="AV39" s="18">
        <f t="shared" si="32"/>
        <v>0.55540399826960629</v>
      </c>
      <c r="AW39" s="18">
        <f t="shared" si="32"/>
        <v>2.5393191988828026</v>
      </c>
      <c r="AX39" s="56">
        <f t="shared" si="15"/>
        <v>1</v>
      </c>
      <c r="AZ39" s="18">
        <f t="shared" si="33"/>
        <v>0.52913291468557744</v>
      </c>
      <c r="BA39" s="18">
        <f t="shared" si="33"/>
        <v>2.5568531928132292</v>
      </c>
      <c r="BB39" s="56">
        <f t="shared" si="17"/>
        <v>1</v>
      </c>
      <c r="BD39" s="18">
        <f t="shared" si="34"/>
        <v>0.52913291468557744</v>
      </c>
      <c r="BE39" s="18">
        <f t="shared" si="34"/>
        <v>2.5568531928132292</v>
      </c>
      <c r="BF39" s="56">
        <f t="shared" si="19"/>
        <v>1</v>
      </c>
      <c r="BH39" s="18">
        <f t="shared" si="35"/>
        <v>0.52913291468557744</v>
      </c>
      <c r="BI39" s="18">
        <f t="shared" si="35"/>
        <v>2.5568531928132292</v>
      </c>
      <c r="BJ39" s="56">
        <f t="shared" si="21"/>
        <v>1</v>
      </c>
      <c r="BL39" s="18">
        <f t="shared" si="36"/>
        <v>0.52913291468557744</v>
      </c>
      <c r="BM39" s="18">
        <f t="shared" si="36"/>
        <v>2.5568531928132292</v>
      </c>
      <c r="BN39" s="56">
        <f t="shared" si="23"/>
        <v>1</v>
      </c>
      <c r="BP39" s="18">
        <f t="shared" si="37"/>
        <v>0.52913291468557744</v>
      </c>
      <c r="BQ39" s="18">
        <f t="shared" si="37"/>
        <v>2.5568531928132292</v>
      </c>
      <c r="BR39" s="56">
        <f t="shared" si="25"/>
        <v>1</v>
      </c>
    </row>
    <row r="40" spans="1:70" x14ac:dyDescent="0.25">
      <c r="A40" s="36" t="str">
        <f>KMeans_Data!A30</f>
        <v>Shikarpur</v>
      </c>
      <c r="B40" s="18">
        <f>KMeans_Data!H30</f>
        <v>0.70820457074466558</v>
      </c>
      <c r="C40" s="18">
        <f>KMeans_Data!I30</f>
        <v>0.80308444953571578</v>
      </c>
      <c r="D40" s="18">
        <f>KMeans_Data!J30</f>
        <v>1.2784040483641788</v>
      </c>
      <c r="E40" s="56">
        <f t="shared" si="0"/>
        <v>1</v>
      </c>
      <c r="F40" s="38">
        <f t="shared" si="1"/>
        <v>0.29554893803351745</v>
      </c>
      <c r="G40" s="18">
        <f>IF(COUNTIF(Distance_Matrix!$E$8:$DQ$8,$E40)&lt;=1,0,SUMIF(Distance_Matrix!$E$8:$DQ$8,$E40,Distance_Matrix!$E$39:$DQ$39)/(COUNTIF(Distance_Matrix!$E$8:$DQ$8,$E40)-1))</f>
        <v>1.144233725925446</v>
      </c>
      <c r="H40" s="18">
        <f>MIN(IF(1=$E40,1E+99,IF(COUNTIF(Distance_Matrix!$E$8:$DQ$8,1)=0,1E+99,SUMIF(Distance_Matrix!$E$8:$DQ$8,1,Distance_Matrix!$E$39:$DQ$39)/COUNTIF(Distance_Matrix!$E$8:$DQ$8,1))),IF(2=$E40,1E+99,IF(COUNTIF(Distance_Matrix!$E$8:$DQ$8,2)=0,1E+99,SUMIF(Distance_Matrix!$E$8:$DQ$8,2,Distance_Matrix!$E$39:$DQ$39)/COUNTIF(Distance_Matrix!$E$8:$DQ$8,2))))</f>
        <v>2.5837697842964871</v>
      </c>
      <c r="I40" s="18">
        <f>IF(COUNTIF(Distance_Matrix!$E$8:$DQ$8,$E40)&lt;=1,0,(H40-G40)/MAX(G40,H40))</f>
        <v>0.55714563546651286</v>
      </c>
      <c r="X40" s="18">
        <f t="shared" si="26"/>
        <v>4.5774421255084663</v>
      </c>
      <c r="Y40" s="18">
        <f t="shared" si="26"/>
        <v>3.9782442052148572</v>
      </c>
      <c r="Z40" s="56">
        <f t="shared" si="3"/>
        <v>2</v>
      </c>
      <c r="AB40" s="18">
        <f t="shared" si="27"/>
        <v>2.0828515616770074</v>
      </c>
      <c r="AC40" s="18">
        <f t="shared" si="27"/>
        <v>1.988295684695764</v>
      </c>
      <c r="AD40" s="56">
        <f t="shared" si="5"/>
        <v>2</v>
      </c>
      <c r="AF40" s="18">
        <f t="shared" si="28"/>
        <v>1.5034366024940646</v>
      </c>
      <c r="AG40" s="18">
        <f t="shared" si="28"/>
        <v>2.0862078264961434</v>
      </c>
      <c r="AH40" s="56">
        <f t="shared" si="7"/>
        <v>1</v>
      </c>
      <c r="AJ40" s="18">
        <f t="shared" si="29"/>
        <v>0.91214238698382633</v>
      </c>
      <c r="AK40" s="18">
        <f t="shared" si="29"/>
        <v>2.2924904139068345</v>
      </c>
      <c r="AL40" s="56">
        <f t="shared" si="9"/>
        <v>1</v>
      </c>
      <c r="AN40" s="18">
        <f t="shared" si="30"/>
        <v>0.7051416622969563</v>
      </c>
      <c r="AO40" s="18">
        <f t="shared" si="30"/>
        <v>2.3985493577987769</v>
      </c>
      <c r="AP40" s="56">
        <f t="shared" si="11"/>
        <v>1</v>
      </c>
      <c r="AR40" s="18">
        <f t="shared" si="31"/>
        <v>0.59897959287794467</v>
      </c>
      <c r="AS40" s="18">
        <f t="shared" si="31"/>
        <v>2.4536521809080987</v>
      </c>
      <c r="AT40" s="56">
        <f t="shared" si="13"/>
        <v>1</v>
      </c>
      <c r="AV40" s="18">
        <f t="shared" si="32"/>
        <v>0.57375074476447119</v>
      </c>
      <c r="AW40" s="18">
        <f t="shared" si="32"/>
        <v>2.4710300638904097</v>
      </c>
      <c r="AX40" s="56">
        <f t="shared" si="15"/>
        <v>1</v>
      </c>
      <c r="AZ40" s="18">
        <f t="shared" si="33"/>
        <v>0.54364412811463114</v>
      </c>
      <c r="BA40" s="18">
        <f t="shared" si="33"/>
        <v>2.4885976685833717</v>
      </c>
      <c r="BB40" s="56">
        <f t="shared" si="17"/>
        <v>1</v>
      </c>
      <c r="BD40" s="18">
        <f t="shared" si="34"/>
        <v>0.54364412811463114</v>
      </c>
      <c r="BE40" s="18">
        <f t="shared" si="34"/>
        <v>2.4885976685833717</v>
      </c>
      <c r="BF40" s="56">
        <f t="shared" si="19"/>
        <v>1</v>
      </c>
      <c r="BH40" s="18">
        <f t="shared" si="35"/>
        <v>0.54364412811463114</v>
      </c>
      <c r="BI40" s="18">
        <f t="shared" si="35"/>
        <v>2.4885976685833717</v>
      </c>
      <c r="BJ40" s="56">
        <f t="shared" si="21"/>
        <v>1</v>
      </c>
      <c r="BL40" s="18">
        <f t="shared" si="36"/>
        <v>0.54364412811463114</v>
      </c>
      <c r="BM40" s="18">
        <f t="shared" si="36"/>
        <v>2.4885976685833717</v>
      </c>
      <c r="BN40" s="56">
        <f t="shared" si="23"/>
        <v>1</v>
      </c>
      <c r="BP40" s="18">
        <f t="shared" si="37"/>
        <v>0.54364412811463114</v>
      </c>
      <c r="BQ40" s="18">
        <f t="shared" si="37"/>
        <v>2.4885976685833717</v>
      </c>
      <c r="BR40" s="56">
        <f t="shared" si="25"/>
        <v>1</v>
      </c>
    </row>
    <row r="41" spans="1:70" x14ac:dyDescent="0.25">
      <c r="A41" s="36" t="str">
        <f>KMeans_Data!A31</f>
        <v>Rawalpindi</v>
      </c>
      <c r="B41" s="18">
        <f>KMeans_Data!H31</f>
        <v>0.64567305864807512</v>
      </c>
      <c r="C41" s="18">
        <f>KMeans_Data!I31</f>
        <v>-0.14698313392952958</v>
      </c>
      <c r="D41" s="18">
        <f>KMeans_Data!J31</f>
        <v>-1.1456441163335547</v>
      </c>
      <c r="E41" s="56">
        <f t="shared" si="0"/>
        <v>2</v>
      </c>
      <c r="F41" s="38">
        <f t="shared" si="1"/>
        <v>1.7568118912345467</v>
      </c>
      <c r="G41" s="18">
        <f>IF(COUNTIF(Distance_Matrix!$E$8:$DQ$8,$E41)&lt;=1,0,SUMIF(Distance_Matrix!$E$8:$DQ$8,$E41,Distance_Matrix!$E$40:$DQ$40)/(COUNTIF(Distance_Matrix!$E$8:$DQ$8,$E41)-1))</f>
        <v>1.5988812145549496</v>
      </c>
      <c r="H41" s="18">
        <f>MIN(IF(1=$E41,1E+99,IF(COUNTIF(Distance_Matrix!$E$8:$DQ$8,1)=0,1E+99,SUMIF(Distance_Matrix!$E$8:$DQ$8,1,Distance_Matrix!$E$40:$DQ$40)/COUNTIF(Distance_Matrix!$E$8:$DQ$8,1))),IF(2=$E41,1E+99,IF(COUNTIF(Distance_Matrix!$E$8:$DQ$8,2)=0,1E+99,SUMIF(Distance_Matrix!$E$8:$DQ$8,2,Distance_Matrix!$E$40:$DQ$40)/COUNTIF(Distance_Matrix!$E$8:$DQ$8,2))))</f>
        <v>2.81447573380184</v>
      </c>
      <c r="I41" s="18">
        <f>IF(COUNTIF(Distance_Matrix!$E$8:$DQ$8,$E41)&lt;=1,0,(H41-G41)/MAX(G41,H41))</f>
        <v>0.43190797655407226</v>
      </c>
      <c r="X41" s="18">
        <f t="shared" si="26"/>
        <v>6.6163799696290333</v>
      </c>
      <c r="Y41" s="18">
        <f t="shared" si="26"/>
        <v>2.7756425502726647</v>
      </c>
      <c r="Z41" s="56">
        <f t="shared" si="3"/>
        <v>2</v>
      </c>
      <c r="AB41" s="18">
        <f t="shared" si="27"/>
        <v>4.1310397935817189</v>
      </c>
      <c r="AC41" s="18">
        <f t="shared" si="27"/>
        <v>1.279764952387181</v>
      </c>
      <c r="AD41" s="56">
        <f t="shared" si="5"/>
        <v>2</v>
      </c>
      <c r="AF41" s="18">
        <f t="shared" si="28"/>
        <v>3.553099895440528</v>
      </c>
      <c r="AG41" s="18">
        <f t="shared" si="28"/>
        <v>1.2832987481327114</v>
      </c>
      <c r="AH41" s="56">
        <f t="shared" si="7"/>
        <v>2</v>
      </c>
      <c r="AJ41" s="18">
        <f t="shared" si="29"/>
        <v>3.0405380128305008</v>
      </c>
      <c r="AK41" s="18">
        <f t="shared" si="29"/>
        <v>1.288312182132064</v>
      </c>
      <c r="AL41" s="56">
        <f t="shared" si="9"/>
        <v>2</v>
      </c>
      <c r="AN41" s="18">
        <f t="shared" si="30"/>
        <v>2.8702227146415931</v>
      </c>
      <c r="AO41" s="18">
        <f t="shared" si="30"/>
        <v>1.3033872181979891</v>
      </c>
      <c r="AP41" s="56">
        <f t="shared" si="11"/>
        <v>2</v>
      </c>
      <c r="AR41" s="18">
        <f t="shared" si="31"/>
        <v>2.7608829674196782</v>
      </c>
      <c r="AS41" s="18">
        <f t="shared" si="31"/>
        <v>1.3162162550269394</v>
      </c>
      <c r="AT41" s="56">
        <f t="shared" si="13"/>
        <v>2</v>
      </c>
      <c r="AV41" s="18">
        <f t="shared" si="32"/>
        <v>2.7226757350298856</v>
      </c>
      <c r="AW41" s="18">
        <f t="shared" si="32"/>
        <v>1.3238327285436593</v>
      </c>
      <c r="AX41" s="56">
        <f t="shared" si="15"/>
        <v>2</v>
      </c>
      <c r="AZ41" s="18">
        <f t="shared" si="33"/>
        <v>2.6919602258421609</v>
      </c>
      <c r="BA41" s="18">
        <f t="shared" si="33"/>
        <v>1.3254478078123433</v>
      </c>
      <c r="BB41" s="56">
        <f t="shared" si="17"/>
        <v>2</v>
      </c>
      <c r="BD41" s="18">
        <f t="shared" si="34"/>
        <v>2.6919602258421609</v>
      </c>
      <c r="BE41" s="18">
        <f t="shared" si="34"/>
        <v>1.3254478078123433</v>
      </c>
      <c r="BF41" s="56">
        <f t="shared" si="19"/>
        <v>2</v>
      </c>
      <c r="BH41" s="18">
        <f t="shared" si="35"/>
        <v>2.6919602258421609</v>
      </c>
      <c r="BI41" s="18">
        <f t="shared" si="35"/>
        <v>1.3254478078123433</v>
      </c>
      <c r="BJ41" s="56">
        <f t="shared" si="21"/>
        <v>2</v>
      </c>
      <c r="BL41" s="18">
        <f t="shared" si="36"/>
        <v>2.6919602258421609</v>
      </c>
      <c r="BM41" s="18">
        <f t="shared" si="36"/>
        <v>1.3254478078123433</v>
      </c>
      <c r="BN41" s="56">
        <f t="shared" si="23"/>
        <v>2</v>
      </c>
      <c r="BP41" s="18">
        <f t="shared" si="37"/>
        <v>2.6919602258421609</v>
      </c>
      <c r="BQ41" s="18">
        <f t="shared" si="37"/>
        <v>1.3254478078123433</v>
      </c>
      <c r="BR41" s="56">
        <f t="shared" si="25"/>
        <v>2</v>
      </c>
    </row>
    <row r="42" spans="1:70" x14ac:dyDescent="0.25">
      <c r="A42" s="36" t="str">
        <f>KMeans_Data!A32</f>
        <v>Buner</v>
      </c>
      <c r="B42" s="18">
        <f>KMeans_Data!H32</f>
        <v>0.60239578498043678</v>
      </c>
      <c r="C42" s="18">
        <f>KMeans_Data!I32</f>
        <v>0.68618000108374222</v>
      </c>
      <c r="D42" s="18">
        <f>KMeans_Data!J32</f>
        <v>0.8732151368336003</v>
      </c>
      <c r="E42" s="56">
        <f t="shared" si="0"/>
        <v>1</v>
      </c>
      <c r="F42" s="38">
        <f t="shared" si="1"/>
        <v>0.54193286053356149</v>
      </c>
      <c r="G42" s="18">
        <f>IF(COUNTIF(Distance_Matrix!$E$8:$DQ$8,$E42)&lt;=1,0,SUMIF(Distance_Matrix!$E$8:$DQ$8,$E42,Distance_Matrix!$E$41:$DQ$41)/(COUNTIF(Distance_Matrix!$E$8:$DQ$8,$E42)-1))</f>
        <v>1.1469453030170538</v>
      </c>
      <c r="H42" s="18">
        <f>MIN(IF(1=$E42,1E+99,IF(COUNTIF(Distance_Matrix!$E$8:$DQ$8,1)=0,1E+99,SUMIF(Distance_Matrix!$E$8:$DQ$8,1,Distance_Matrix!$E$41:$DQ$41)/COUNTIF(Distance_Matrix!$E$8:$DQ$8,1))),IF(2=$E42,1E+99,IF(COUNTIF(Distance_Matrix!$E$8:$DQ$8,2)=0,1E+99,SUMIF(Distance_Matrix!$E$8:$DQ$8,2,Distance_Matrix!$E$41:$DQ$41)/COUNTIF(Distance_Matrix!$E$8:$DQ$8,2))))</f>
        <v>2.2173118234921305</v>
      </c>
      <c r="I42" s="18">
        <f>IF(COUNTIF(Distance_Matrix!$E$8:$DQ$8,$E42)&lt;=1,0,(H42-G42)/MAX(G42,H42))</f>
        <v>0.48273161633590844</v>
      </c>
      <c r="X42" s="18">
        <f t="shared" si="26"/>
        <v>4.903216967148734</v>
      </c>
      <c r="Y42" s="18">
        <f t="shared" si="26"/>
        <v>3.6216094048151786</v>
      </c>
      <c r="Z42" s="56">
        <f t="shared" si="3"/>
        <v>2</v>
      </c>
      <c r="AB42" s="18">
        <f t="shared" si="27"/>
        <v>2.3733679464079982</v>
      </c>
      <c r="AC42" s="18">
        <f t="shared" si="27"/>
        <v>1.5928065371744582</v>
      </c>
      <c r="AD42" s="56">
        <f t="shared" si="5"/>
        <v>2</v>
      </c>
      <c r="AF42" s="18">
        <f t="shared" si="28"/>
        <v>1.7671307367256022</v>
      </c>
      <c r="AG42" s="18">
        <f t="shared" si="28"/>
        <v>1.6931167635295801</v>
      </c>
      <c r="AH42" s="56">
        <f t="shared" si="7"/>
        <v>2</v>
      </c>
      <c r="AJ42" s="18">
        <f t="shared" si="29"/>
        <v>1.1534049568024409</v>
      </c>
      <c r="AK42" s="18">
        <f t="shared" si="29"/>
        <v>1.9009493673965563</v>
      </c>
      <c r="AL42" s="56">
        <f t="shared" si="9"/>
        <v>1</v>
      </c>
      <c r="AN42" s="18">
        <f t="shared" si="30"/>
        <v>0.94054288746884995</v>
      </c>
      <c r="AO42" s="18">
        <f t="shared" si="30"/>
        <v>2.0065864019057846</v>
      </c>
      <c r="AP42" s="56">
        <f t="shared" si="11"/>
        <v>1</v>
      </c>
      <c r="AR42" s="18">
        <f t="shared" si="31"/>
        <v>0.81410100235649963</v>
      </c>
      <c r="AS42" s="18">
        <f t="shared" si="31"/>
        <v>2.0618017479102155</v>
      </c>
      <c r="AT42" s="56">
        <f t="shared" si="13"/>
        <v>1</v>
      </c>
      <c r="AV42" s="18">
        <f t="shared" si="32"/>
        <v>0.77597613040712377</v>
      </c>
      <c r="AW42" s="18">
        <f t="shared" si="32"/>
        <v>2.079504689172301</v>
      </c>
      <c r="AX42" s="56">
        <f t="shared" si="15"/>
        <v>1</v>
      </c>
      <c r="AZ42" s="18">
        <f t="shared" si="33"/>
        <v>0.73616089310256183</v>
      </c>
      <c r="BA42" s="18">
        <f t="shared" si="33"/>
        <v>2.097081595164294</v>
      </c>
      <c r="BB42" s="56">
        <f t="shared" si="17"/>
        <v>1</v>
      </c>
      <c r="BD42" s="18">
        <f t="shared" si="34"/>
        <v>0.73616089310256183</v>
      </c>
      <c r="BE42" s="18">
        <f t="shared" si="34"/>
        <v>2.097081595164294</v>
      </c>
      <c r="BF42" s="56">
        <f t="shared" si="19"/>
        <v>1</v>
      </c>
      <c r="BH42" s="18">
        <f t="shared" si="35"/>
        <v>0.73616089310256183</v>
      </c>
      <c r="BI42" s="18">
        <f t="shared" si="35"/>
        <v>2.097081595164294</v>
      </c>
      <c r="BJ42" s="56">
        <f t="shared" si="21"/>
        <v>1</v>
      </c>
      <c r="BL42" s="18">
        <f t="shared" si="36"/>
        <v>0.73616089310256183</v>
      </c>
      <c r="BM42" s="18">
        <f t="shared" si="36"/>
        <v>2.097081595164294</v>
      </c>
      <c r="BN42" s="56">
        <f t="shared" si="23"/>
        <v>1</v>
      </c>
      <c r="BP42" s="18">
        <f t="shared" si="37"/>
        <v>0.73616089310256183</v>
      </c>
      <c r="BQ42" s="18">
        <f t="shared" si="37"/>
        <v>2.097081595164294</v>
      </c>
      <c r="BR42" s="56">
        <f t="shared" si="25"/>
        <v>1</v>
      </c>
    </row>
    <row r="43" spans="1:70" x14ac:dyDescent="0.25">
      <c r="A43" s="36" t="str">
        <f>KMeans_Data!A33</f>
        <v>Sargodha</v>
      </c>
      <c r="B43" s="18">
        <f>KMeans_Data!H33</f>
        <v>0.57775354876086193</v>
      </c>
      <c r="C43" s="18">
        <f>KMeans_Data!I33</f>
        <v>-0.67265054538827607</v>
      </c>
      <c r="D43" s="18">
        <f>KMeans_Data!J33</f>
        <v>-0.39984522290956798</v>
      </c>
      <c r="E43" s="56">
        <f t="shared" si="0"/>
        <v>2</v>
      </c>
      <c r="F43" s="38">
        <f t="shared" si="1"/>
        <v>1.0764422066654371</v>
      </c>
      <c r="G43" s="18">
        <f>IF(COUNTIF(Distance_Matrix!$E$8:$DQ$8,$E43)&lt;=1,0,SUMIF(Distance_Matrix!$E$8:$DQ$8,$E43,Distance_Matrix!$E$42:$DQ$42)/(COUNTIF(Distance_Matrix!$E$8:$DQ$8,$E43)-1))</f>
        <v>1.356668065008207</v>
      </c>
      <c r="H43" s="18">
        <f>MIN(IF(1=$E43,1E+99,IF(COUNTIF(Distance_Matrix!$E$8:$DQ$8,1)=0,1E+99,SUMIF(Distance_Matrix!$E$8:$DQ$8,1,Distance_Matrix!$E$42:$DQ$42)/COUNTIF(Distance_Matrix!$E$8:$DQ$8,1))),IF(2=$E43,1E+99,IF(COUNTIF(Distance_Matrix!$E$8:$DQ$8,2)=0,1E+99,SUMIF(Distance_Matrix!$E$8:$DQ$8,2,Distance_Matrix!$E$42:$DQ$42)/COUNTIF(Distance_Matrix!$E$8:$DQ$8,2))))</f>
        <v>2.5716928177482026</v>
      </c>
      <c r="I43" s="18">
        <f>IF(COUNTIF(Distance_Matrix!$E$8:$DQ$8,$E43)&lt;=1,0,(H43-G43)/MAX(G43,H43))</f>
        <v>0.47246107480437038</v>
      </c>
      <c r="X43" s="18">
        <f t="shared" si="26"/>
        <v>6.5429996922998921</v>
      </c>
      <c r="Y43" s="18">
        <f t="shared" si="26"/>
        <v>2.7601589128984672</v>
      </c>
      <c r="Z43" s="56">
        <f t="shared" si="3"/>
        <v>2</v>
      </c>
      <c r="AB43" s="18">
        <f t="shared" si="27"/>
        <v>4.0268036854158469</v>
      </c>
      <c r="AC43" s="18">
        <f t="shared" si="27"/>
        <v>0.91497788748435027</v>
      </c>
      <c r="AD43" s="56">
        <f t="shared" si="5"/>
        <v>2</v>
      </c>
      <c r="AF43" s="18">
        <f t="shared" si="28"/>
        <v>3.4389197646174177</v>
      </c>
      <c r="AG43" s="18">
        <f t="shared" si="28"/>
        <v>0.91707885467645334</v>
      </c>
      <c r="AH43" s="56">
        <f t="shared" si="7"/>
        <v>2</v>
      </c>
      <c r="AJ43" s="18">
        <f t="shared" si="29"/>
        <v>2.8785914904054359</v>
      </c>
      <c r="AK43" s="18">
        <f t="shared" si="29"/>
        <v>0.94691896021218747</v>
      </c>
      <c r="AL43" s="56">
        <f t="shared" si="9"/>
        <v>2</v>
      </c>
      <c r="AN43" s="18">
        <f t="shared" si="30"/>
        <v>2.6734654079010558</v>
      </c>
      <c r="AO43" s="18">
        <f t="shared" si="30"/>
        <v>0.99626270735291178</v>
      </c>
      <c r="AP43" s="56">
        <f t="shared" si="11"/>
        <v>2</v>
      </c>
      <c r="AR43" s="18">
        <f t="shared" si="31"/>
        <v>2.5519275265424395</v>
      </c>
      <c r="AS43" s="18">
        <f t="shared" si="31"/>
        <v>1.0234702059504535</v>
      </c>
      <c r="AT43" s="56">
        <f t="shared" si="13"/>
        <v>2</v>
      </c>
      <c r="AV43" s="18">
        <f t="shared" si="32"/>
        <v>2.5125795985114059</v>
      </c>
      <c r="AW43" s="18">
        <f t="shared" si="32"/>
        <v>1.0336972300661502</v>
      </c>
      <c r="AX43" s="56">
        <f t="shared" si="15"/>
        <v>2</v>
      </c>
      <c r="AZ43" s="18">
        <f t="shared" si="33"/>
        <v>2.4799421889933879</v>
      </c>
      <c r="BA43" s="18">
        <f t="shared" si="33"/>
        <v>1.037517328368754</v>
      </c>
      <c r="BB43" s="56">
        <f t="shared" si="17"/>
        <v>2</v>
      </c>
      <c r="BD43" s="18">
        <f t="shared" si="34"/>
        <v>2.4799421889933879</v>
      </c>
      <c r="BE43" s="18">
        <f t="shared" si="34"/>
        <v>1.037517328368754</v>
      </c>
      <c r="BF43" s="56">
        <f t="shared" si="19"/>
        <v>2</v>
      </c>
      <c r="BH43" s="18">
        <f t="shared" si="35"/>
        <v>2.4799421889933879</v>
      </c>
      <c r="BI43" s="18">
        <f t="shared" si="35"/>
        <v>1.037517328368754</v>
      </c>
      <c r="BJ43" s="56">
        <f t="shared" si="21"/>
        <v>2</v>
      </c>
      <c r="BL43" s="18">
        <f t="shared" si="36"/>
        <v>2.4799421889933879</v>
      </c>
      <c r="BM43" s="18">
        <f t="shared" si="36"/>
        <v>1.037517328368754</v>
      </c>
      <c r="BN43" s="56">
        <f t="shared" si="23"/>
        <v>2</v>
      </c>
      <c r="BP43" s="18">
        <f t="shared" si="37"/>
        <v>2.4799421889933879</v>
      </c>
      <c r="BQ43" s="18">
        <f t="shared" si="37"/>
        <v>1.037517328368754</v>
      </c>
      <c r="BR43" s="56">
        <f t="shared" si="25"/>
        <v>2</v>
      </c>
    </row>
    <row r="44" spans="1:70" x14ac:dyDescent="0.25">
      <c r="A44" s="36" t="str">
        <f>KMeans_Data!A34</f>
        <v>Shaheed Benazirabad</v>
      </c>
      <c r="B44" s="18">
        <f>KMeans_Data!H34</f>
        <v>0.57775354876086193</v>
      </c>
      <c r="C44" s="18">
        <f>KMeans_Data!I34</f>
        <v>0.16051258962499582</v>
      </c>
      <c r="D44" s="18">
        <f>KMeans_Data!J34</f>
        <v>0.78154448627517237</v>
      </c>
      <c r="E44" s="56">
        <f t="shared" si="0"/>
        <v>1</v>
      </c>
      <c r="F44" s="38">
        <f t="shared" si="1"/>
        <v>1.4511574713434745</v>
      </c>
      <c r="G44" s="18">
        <f>IF(COUNTIF(Distance_Matrix!$E$8:$DQ$8,$E44)&lt;=1,0,SUMIF(Distance_Matrix!$E$8:$DQ$8,$E44,Distance_Matrix!$E$43:$DQ$43)/(COUNTIF(Distance_Matrix!$E$8:$DQ$8,$E44)-1))</f>
        <v>1.4258223906118548</v>
      </c>
      <c r="H44" s="18">
        <f>MIN(IF(1=$E44,1E+99,IF(COUNTIF(Distance_Matrix!$E$8:$DQ$8,1)=0,1E+99,SUMIF(Distance_Matrix!$E$8:$DQ$8,1,Distance_Matrix!$E$43:$DQ$43)/COUNTIF(Distance_Matrix!$E$8:$DQ$8,1))),IF(2=$E44,1E+99,IF(COUNTIF(Distance_Matrix!$E$8:$DQ$8,2)=0,1E+99,SUMIF(Distance_Matrix!$E$8:$DQ$8,2,Distance_Matrix!$E$43:$DQ$43)/COUNTIF(Distance_Matrix!$E$8:$DQ$8,2))))</f>
        <v>1.8926498121918591</v>
      </c>
      <c r="I44" s="18">
        <f>IF(COUNTIF(Distance_Matrix!$E$8:$DQ$8,$E44)&lt;=1,0,(H44-G44)/MAX(G44,H44))</f>
        <v>0.24665282429578247</v>
      </c>
      <c r="X44" s="18">
        <f t="shared" si="26"/>
        <v>5.3310034929576178</v>
      </c>
      <c r="Y44" s="18">
        <f t="shared" si="26"/>
        <v>3.3868094062982825</v>
      </c>
      <c r="Z44" s="56">
        <f t="shared" si="3"/>
        <v>2</v>
      </c>
      <c r="AB44" s="18">
        <f t="shared" si="27"/>
        <v>2.8135573856780773</v>
      </c>
      <c r="AC44" s="18">
        <f t="shared" si="27"/>
        <v>1.2803525488086196</v>
      </c>
      <c r="AD44" s="56">
        <f t="shared" si="5"/>
        <v>2</v>
      </c>
      <c r="AF44" s="18">
        <f t="shared" si="28"/>
        <v>2.2212525091816002</v>
      </c>
      <c r="AG44" s="18">
        <f t="shared" si="28"/>
        <v>1.3720056060673946</v>
      </c>
      <c r="AH44" s="56">
        <f t="shared" si="7"/>
        <v>2</v>
      </c>
      <c r="AJ44" s="18">
        <f t="shared" si="29"/>
        <v>1.6233947336401093</v>
      </c>
      <c r="AK44" s="18">
        <f t="shared" si="29"/>
        <v>1.5694103051826449</v>
      </c>
      <c r="AL44" s="56">
        <f t="shared" si="9"/>
        <v>2</v>
      </c>
      <c r="AN44" s="18">
        <f t="shared" si="30"/>
        <v>1.4021981561104133</v>
      </c>
      <c r="AO44" s="18">
        <f t="shared" si="30"/>
        <v>1.6768363256103185</v>
      </c>
      <c r="AP44" s="56">
        <f t="shared" si="11"/>
        <v>1</v>
      </c>
      <c r="AR44" s="18">
        <f t="shared" si="31"/>
        <v>1.2768612355713935</v>
      </c>
      <c r="AS44" s="18">
        <f t="shared" si="31"/>
        <v>1.7318107086287302</v>
      </c>
      <c r="AT44" s="56">
        <f t="shared" si="13"/>
        <v>1</v>
      </c>
      <c r="AV44" s="18">
        <f t="shared" si="32"/>
        <v>1.2397228103081932</v>
      </c>
      <c r="AW44" s="18">
        <f t="shared" si="32"/>
        <v>1.749055097033136</v>
      </c>
      <c r="AX44" s="56">
        <f t="shared" si="15"/>
        <v>1</v>
      </c>
      <c r="AZ44" s="18">
        <f t="shared" si="33"/>
        <v>1.2046399758199438</v>
      </c>
      <c r="BA44" s="18">
        <f t="shared" si="33"/>
        <v>1.7654127005243128</v>
      </c>
      <c r="BB44" s="56">
        <f t="shared" si="17"/>
        <v>1</v>
      </c>
      <c r="BD44" s="18">
        <f t="shared" si="34"/>
        <v>1.2046399758199438</v>
      </c>
      <c r="BE44" s="18">
        <f t="shared" si="34"/>
        <v>1.7654127005243128</v>
      </c>
      <c r="BF44" s="56">
        <f t="shared" si="19"/>
        <v>1</v>
      </c>
      <c r="BH44" s="18">
        <f t="shared" si="35"/>
        <v>1.2046399758199438</v>
      </c>
      <c r="BI44" s="18">
        <f t="shared" si="35"/>
        <v>1.7654127005243128</v>
      </c>
      <c r="BJ44" s="56">
        <f t="shared" si="21"/>
        <v>1</v>
      </c>
      <c r="BL44" s="18">
        <f t="shared" si="36"/>
        <v>1.2046399758199438</v>
      </c>
      <c r="BM44" s="18">
        <f t="shared" si="36"/>
        <v>1.7654127005243128</v>
      </c>
      <c r="BN44" s="56">
        <f t="shared" si="23"/>
        <v>1</v>
      </c>
      <c r="BP44" s="18">
        <f t="shared" si="37"/>
        <v>1.2046399758199438</v>
      </c>
      <c r="BQ44" s="18">
        <f t="shared" si="37"/>
        <v>1.7654127005243128</v>
      </c>
      <c r="BR44" s="56">
        <f t="shared" si="25"/>
        <v>1</v>
      </c>
    </row>
    <row r="45" spans="1:70" x14ac:dyDescent="0.25">
      <c r="A45" s="36" t="str">
        <f>KMeans_Data!A35</f>
        <v>Gujrat</v>
      </c>
      <c r="B45" s="18">
        <f>KMeans_Data!H35</f>
        <v>0.57458958754261724</v>
      </c>
      <c r="C45" s="18">
        <f>KMeans_Data!I35</f>
        <v>-0.67265054538827607</v>
      </c>
      <c r="D45" s="18">
        <f>KMeans_Data!J35</f>
        <v>-0.39984522290956798</v>
      </c>
      <c r="E45" s="56">
        <f t="shared" si="0"/>
        <v>2</v>
      </c>
      <c r="F45" s="38">
        <f t="shared" si="1"/>
        <v>1.0699852558266849</v>
      </c>
      <c r="G45" s="18">
        <f>IF(COUNTIF(Distance_Matrix!$E$8:$DQ$8,$E45)&lt;=1,0,SUMIF(Distance_Matrix!$E$8:$DQ$8,$E45,Distance_Matrix!$E$44:$DQ$44)/(COUNTIF(Distance_Matrix!$E$8:$DQ$8,$E45)-1))</f>
        <v>1.3544228276767156</v>
      </c>
      <c r="H45" s="18">
        <f>MIN(IF(1=$E45,1E+99,IF(COUNTIF(Distance_Matrix!$E$8:$DQ$8,1)=0,1E+99,SUMIF(Distance_Matrix!$E$8:$DQ$8,1,Distance_Matrix!$E$44:$DQ$44)/COUNTIF(Distance_Matrix!$E$8:$DQ$8,1))),IF(2=$E45,1E+99,IF(COUNTIF(Distance_Matrix!$E$8:$DQ$8,2)=0,1E+99,SUMIF(Distance_Matrix!$E$8:$DQ$8,2,Distance_Matrix!$E$44:$DQ$44)/COUNTIF(Distance_Matrix!$E$8:$DQ$8,2))))</f>
        <v>2.5720694707910399</v>
      </c>
      <c r="I45" s="18">
        <f>IF(COUNTIF(Distance_Matrix!$E$8:$DQ$8,$E45)&lt;=1,0,(H45-G45)/MAX(G45,H45))</f>
        <v>0.47341125772152531</v>
      </c>
      <c r="X45" s="18">
        <f t="shared" si="26"/>
        <v>6.5443042851341469</v>
      </c>
      <c r="Y45" s="18">
        <f t="shared" si="26"/>
        <v>2.7571127715097909</v>
      </c>
      <c r="Z45" s="56">
        <f t="shared" si="3"/>
        <v>2</v>
      </c>
      <c r="AB45" s="18">
        <f t="shared" si="27"/>
        <v>4.0279020511497539</v>
      </c>
      <c r="AC45" s="18">
        <f t="shared" si="27"/>
        <v>0.91234368370813268</v>
      </c>
      <c r="AD45" s="56">
        <f t="shared" si="5"/>
        <v>2</v>
      </c>
      <c r="AF45" s="18">
        <f t="shared" si="28"/>
        <v>3.4398752005937281</v>
      </c>
      <c r="AG45" s="18">
        <f t="shared" si="28"/>
        <v>0.91426745414277566</v>
      </c>
      <c r="AH45" s="56">
        <f t="shared" si="7"/>
        <v>2</v>
      </c>
      <c r="AJ45" s="18">
        <f t="shared" si="29"/>
        <v>2.8793097023997216</v>
      </c>
      <c r="AK45" s="18">
        <f t="shared" si="29"/>
        <v>0.94387236821746456</v>
      </c>
      <c r="AL45" s="56">
        <f t="shared" si="9"/>
        <v>2</v>
      </c>
      <c r="AN45" s="18">
        <f t="shared" si="30"/>
        <v>2.6741439399531828</v>
      </c>
      <c r="AO45" s="18">
        <f t="shared" si="30"/>
        <v>0.9931691533118151</v>
      </c>
      <c r="AP45" s="56">
        <f t="shared" si="11"/>
        <v>2</v>
      </c>
      <c r="AR45" s="18">
        <f t="shared" si="31"/>
        <v>2.5525629180827614</v>
      </c>
      <c r="AS45" s="18">
        <f t="shared" si="31"/>
        <v>1.0203620804796609</v>
      </c>
      <c r="AT45" s="56">
        <f t="shared" si="13"/>
        <v>2</v>
      </c>
      <c r="AV45" s="18">
        <f t="shared" si="32"/>
        <v>2.5132043096152477</v>
      </c>
      <c r="AW45" s="18">
        <f t="shared" si="32"/>
        <v>1.0305844642573221</v>
      </c>
      <c r="AX45" s="56">
        <f t="shared" si="15"/>
        <v>2</v>
      </c>
      <c r="AZ45" s="18">
        <f t="shared" si="33"/>
        <v>2.4805348255267106</v>
      </c>
      <c r="BA45" s="18">
        <f t="shared" si="33"/>
        <v>1.0344009163891363</v>
      </c>
      <c r="BB45" s="56">
        <f t="shared" si="17"/>
        <v>2</v>
      </c>
      <c r="BD45" s="18">
        <f t="shared" si="34"/>
        <v>2.4805348255267106</v>
      </c>
      <c r="BE45" s="18">
        <f t="shared" si="34"/>
        <v>1.0344009163891363</v>
      </c>
      <c r="BF45" s="56">
        <f t="shared" si="19"/>
        <v>2</v>
      </c>
      <c r="BH45" s="18">
        <f t="shared" si="35"/>
        <v>2.4805348255267106</v>
      </c>
      <c r="BI45" s="18">
        <f t="shared" si="35"/>
        <v>1.0344009163891363</v>
      </c>
      <c r="BJ45" s="56">
        <f t="shared" si="21"/>
        <v>2</v>
      </c>
      <c r="BL45" s="18">
        <f t="shared" si="36"/>
        <v>2.4805348255267106</v>
      </c>
      <c r="BM45" s="18">
        <f t="shared" si="36"/>
        <v>1.0344009163891363</v>
      </c>
      <c r="BN45" s="56">
        <f t="shared" si="23"/>
        <v>2</v>
      </c>
      <c r="BP45" s="18">
        <f t="shared" si="37"/>
        <v>2.4805348255267106</v>
      </c>
      <c r="BQ45" s="18">
        <f t="shared" si="37"/>
        <v>1.0344009163891363</v>
      </c>
      <c r="BR45" s="56">
        <f t="shared" si="25"/>
        <v>2</v>
      </c>
    </row>
    <row r="46" spans="1:70" x14ac:dyDescent="0.25">
      <c r="A46" s="36" t="str">
        <f>KMeans_Data!A36</f>
        <v>Dera Ismail Khan</v>
      </c>
      <c r="B46" s="18">
        <f>KMeans_Data!H36</f>
        <v>0.56820337223564554</v>
      </c>
      <c r="C46" s="18">
        <f>KMeans_Data!I36</f>
        <v>0.54791138584450239</v>
      </c>
      <c r="D46" s="18">
        <f>KMeans_Data!J36</f>
        <v>1.1134779913146182</v>
      </c>
      <c r="E46" s="56">
        <f t="shared" si="0"/>
        <v>1</v>
      </c>
      <c r="F46" s="38">
        <f t="shared" si="1"/>
        <v>0.66494507304500461</v>
      </c>
      <c r="G46" s="18">
        <f>IF(COUNTIF(Distance_Matrix!$E$8:$DQ$8,$E46)&lt;=1,0,SUMIF(Distance_Matrix!$E$8:$DQ$8,$E46,Distance_Matrix!$E$45:$DQ$45)/(COUNTIF(Distance_Matrix!$E$8:$DQ$8,$E46)-1))</f>
        <v>1.2098722908517174</v>
      </c>
      <c r="H46" s="18">
        <f>MIN(IF(1=$E46,1E+99,IF(COUNTIF(Distance_Matrix!$E$8:$DQ$8,1)=0,1E+99,SUMIF(Distance_Matrix!$E$8:$DQ$8,1,Distance_Matrix!$E$45:$DQ$45)/COUNTIF(Distance_Matrix!$E$8:$DQ$8,1))),IF(2=$E46,1E+99,IF(COUNTIF(Distance_Matrix!$E$8:$DQ$8,2)=0,1E+99,SUMIF(Distance_Matrix!$E$8:$DQ$8,2,Distance_Matrix!$E$45:$DQ$45)/COUNTIF(Distance_Matrix!$E$8:$DQ$8,2))))</f>
        <v>2.2807420861286429</v>
      </c>
      <c r="I46" s="18">
        <f>IF(COUNTIF(Distance_Matrix!$E$8:$DQ$8,$E46)&lt;=1,0,(H46-G46)/MAX(G46,H46))</f>
        <v>0.46952691485367898</v>
      </c>
      <c r="X46" s="18">
        <f t="shared" si="26"/>
        <v>4.9077486940462336</v>
      </c>
      <c r="Y46" s="18">
        <f t="shared" si="26"/>
        <v>3.6884952947874514</v>
      </c>
      <c r="Z46" s="56">
        <f t="shared" si="3"/>
        <v>2</v>
      </c>
      <c r="AB46" s="18">
        <f t="shared" si="27"/>
        <v>2.4057216395256305</v>
      </c>
      <c r="AC46" s="18">
        <f t="shared" si="27"/>
        <v>1.6775491247512424</v>
      </c>
      <c r="AD46" s="56">
        <f t="shared" si="5"/>
        <v>2</v>
      </c>
      <c r="AF46" s="18">
        <f t="shared" si="28"/>
        <v>1.8189382008065544</v>
      </c>
      <c r="AG46" s="18">
        <f t="shared" si="28"/>
        <v>1.7734727482998454</v>
      </c>
      <c r="AH46" s="56">
        <f t="shared" si="7"/>
        <v>2</v>
      </c>
      <c r="AJ46" s="18">
        <f t="shared" si="29"/>
        <v>1.217116741850252</v>
      </c>
      <c r="AK46" s="18">
        <f t="shared" si="29"/>
        <v>1.9778013936023677</v>
      </c>
      <c r="AL46" s="56">
        <f t="shared" si="9"/>
        <v>1</v>
      </c>
      <c r="AN46" s="18">
        <f t="shared" si="30"/>
        <v>1.0017197358479573</v>
      </c>
      <c r="AO46" s="18">
        <f t="shared" si="30"/>
        <v>2.0842353478024478</v>
      </c>
      <c r="AP46" s="56">
        <f t="shared" si="11"/>
        <v>1</v>
      </c>
      <c r="AR46" s="18">
        <f t="shared" si="31"/>
        <v>0.88303563029497467</v>
      </c>
      <c r="AS46" s="18">
        <f t="shared" si="31"/>
        <v>2.1392742527256186</v>
      </c>
      <c r="AT46" s="56">
        <f t="shared" si="13"/>
        <v>1</v>
      </c>
      <c r="AV46" s="18">
        <f t="shared" si="32"/>
        <v>0.85066426434057729</v>
      </c>
      <c r="AW46" s="18">
        <f t="shared" si="32"/>
        <v>2.1564963086414988</v>
      </c>
      <c r="AX46" s="56">
        <f t="shared" si="15"/>
        <v>1</v>
      </c>
      <c r="AZ46" s="18">
        <f t="shared" si="33"/>
        <v>0.81544164294264776</v>
      </c>
      <c r="BA46" s="18">
        <f t="shared" si="33"/>
        <v>2.1738753560894288</v>
      </c>
      <c r="BB46" s="56">
        <f t="shared" si="17"/>
        <v>1</v>
      </c>
      <c r="BD46" s="18">
        <f t="shared" si="34"/>
        <v>0.81544164294264776</v>
      </c>
      <c r="BE46" s="18">
        <f t="shared" si="34"/>
        <v>2.1738753560894288</v>
      </c>
      <c r="BF46" s="56">
        <f t="shared" si="19"/>
        <v>1</v>
      </c>
      <c r="BH46" s="18">
        <f t="shared" si="35"/>
        <v>0.81544164294264776</v>
      </c>
      <c r="BI46" s="18">
        <f t="shared" si="35"/>
        <v>2.1738753560894288</v>
      </c>
      <c r="BJ46" s="56">
        <f t="shared" si="21"/>
        <v>1</v>
      </c>
      <c r="BL46" s="18">
        <f t="shared" si="36"/>
        <v>0.81544164294264776</v>
      </c>
      <c r="BM46" s="18">
        <f t="shared" si="36"/>
        <v>2.1738753560894288</v>
      </c>
      <c r="BN46" s="56">
        <f t="shared" si="23"/>
        <v>1</v>
      </c>
      <c r="BP46" s="18">
        <f t="shared" si="37"/>
        <v>0.81544164294264776</v>
      </c>
      <c r="BQ46" s="18">
        <f t="shared" si="37"/>
        <v>2.1738753560894288</v>
      </c>
      <c r="BR46" s="56">
        <f t="shared" si="25"/>
        <v>1</v>
      </c>
    </row>
    <row r="47" spans="1:70" x14ac:dyDescent="0.25">
      <c r="A47" s="36" t="str">
        <f>KMeans_Data!A37</f>
        <v>Karak</v>
      </c>
      <c r="B47" s="18">
        <f>KMeans_Data!H37</f>
        <v>0.53160574306813768</v>
      </c>
      <c r="C47" s="18">
        <f>KMeans_Data!I37</f>
        <v>0.37868427752921691</v>
      </c>
      <c r="D47" s="18">
        <f>KMeans_Data!J37</f>
        <v>0.2867168485915767</v>
      </c>
      <c r="E47" s="56">
        <f t="shared" ref="E47:E78" si="38">BR47</f>
        <v>1</v>
      </c>
      <c r="F47" s="38">
        <f t="shared" ref="F47:F78" si="39">($B47-INDEX($L$8:$M$8,E47))^2+($C47-INDEX($L$9:$M$9,E47))^2+($D47-INDEX($L$10:$M$10,E47))^2</f>
        <v>1.6888870473028357</v>
      </c>
      <c r="G47" s="18">
        <f>IF(COUNTIF(Distance_Matrix!$E$8:$DQ$8,$E47)&lt;=1,0,SUMIF(Distance_Matrix!$E$8:$DQ$8,$E47,Distance_Matrix!$E$46:$DQ$46)/(COUNTIF(Distance_Matrix!$E$8:$DQ$8,$E47)-1))</f>
        <v>1.5074683413893069</v>
      </c>
      <c r="H47" s="18">
        <f>MIN(IF(1=$E47,1E+99,IF(COUNTIF(Distance_Matrix!$E$8:$DQ$8,1)=0,1E+99,SUMIF(Distance_Matrix!$E$8:$DQ$8,1,Distance_Matrix!$E$46:$DQ$46)/COUNTIF(Distance_Matrix!$E$8:$DQ$8,1))),IF(2=$E47,1E+99,IF(COUNTIF(Distance_Matrix!$E$8:$DQ$8,2)=0,1E+99,SUMIF(Distance_Matrix!$E$8:$DQ$8,2,Distance_Matrix!$E$46:$DQ$46)/COUNTIF(Distance_Matrix!$E$8:$DQ$8,2))))</f>
        <v>1.7182527005117043</v>
      </c>
      <c r="I47" s="18">
        <f>IF(COUNTIF(Distance_Matrix!$E$8:$DQ$8,$E47)&lt;=1,0,(H47-G47)/MAX(G47,H47))</f>
        <v>0.12267366671946729</v>
      </c>
      <c r="X47" s="18">
        <f t="shared" si="26"/>
        <v>5.4512731124576481</v>
      </c>
      <c r="Y47" s="18">
        <f t="shared" si="26"/>
        <v>3.1584931364728011</v>
      </c>
      <c r="Z47" s="56">
        <f t="shared" ref="Z47:Z78" si="40">MATCH(MIN(X47:Y47),X47:Y47,0)</f>
        <v>2</v>
      </c>
      <c r="AB47" s="18">
        <f t="shared" si="27"/>
        <v>2.9082390704089582</v>
      </c>
      <c r="AC47" s="18">
        <f t="shared" si="27"/>
        <v>1.0408251049485275</v>
      </c>
      <c r="AD47" s="56">
        <f t="shared" ref="AD47:AD78" si="41">MATCH(MIN(AB47:AC47),AB47:AC47,0)</f>
        <v>2</v>
      </c>
      <c r="AF47" s="18">
        <f t="shared" si="28"/>
        <v>2.2973603594288683</v>
      </c>
      <c r="AG47" s="18">
        <f t="shared" si="28"/>
        <v>1.1409199350538688</v>
      </c>
      <c r="AH47" s="56">
        <f t="shared" ref="AH47:AH78" si="42">MATCH(MIN(AF47:AG47),AF47:AG47,0)</f>
        <v>2</v>
      </c>
      <c r="AJ47" s="18">
        <f t="shared" si="29"/>
        <v>1.7043040765500144</v>
      </c>
      <c r="AK47" s="18">
        <f t="shared" si="29"/>
        <v>1.3424363431809623</v>
      </c>
      <c r="AL47" s="56">
        <f t="shared" ref="AL47:AL78" si="43">MATCH(MIN(AJ47:AK47),AJ47:AK47,0)</f>
        <v>2</v>
      </c>
      <c r="AN47" s="18">
        <f t="shared" si="30"/>
        <v>1.5022005149753814</v>
      </c>
      <c r="AO47" s="18">
        <f t="shared" si="30"/>
        <v>1.445716947944004</v>
      </c>
      <c r="AP47" s="56">
        <f t="shared" ref="AP47:AP78" si="44">MATCH(MIN(AN47:AO47),AN47:AO47,0)</f>
        <v>2</v>
      </c>
      <c r="AR47" s="18">
        <f t="shared" si="31"/>
        <v>1.3775815123429482</v>
      </c>
      <c r="AS47" s="18">
        <f t="shared" si="31"/>
        <v>1.5001365132610769</v>
      </c>
      <c r="AT47" s="56">
        <f t="shared" ref="AT47:AT78" si="45">MATCH(MIN(AR47:AS47),AR47:AS47,0)</f>
        <v>1</v>
      </c>
      <c r="AV47" s="18">
        <f t="shared" si="32"/>
        <v>1.3370644090387438</v>
      </c>
      <c r="AW47" s="18">
        <f t="shared" si="32"/>
        <v>1.5182104471557887</v>
      </c>
      <c r="AX47" s="56">
        <f t="shared" ref="AX47:AX78" si="46">MATCH(MIN(AV47:AW47),AV47:AW47,0)</f>
        <v>1</v>
      </c>
      <c r="AZ47" s="18">
        <f t="shared" si="33"/>
        <v>1.2995718707723847</v>
      </c>
      <c r="BA47" s="18">
        <f t="shared" si="33"/>
        <v>1.5348568182886122</v>
      </c>
      <c r="BB47" s="56">
        <f t="shared" ref="BB47:BB78" si="47">MATCH(MIN(AZ47:BA47),AZ47:BA47,0)</f>
        <v>1</v>
      </c>
      <c r="BD47" s="18">
        <f t="shared" si="34"/>
        <v>1.2995718707723847</v>
      </c>
      <c r="BE47" s="18">
        <f t="shared" si="34"/>
        <v>1.5348568182886122</v>
      </c>
      <c r="BF47" s="56">
        <f t="shared" ref="BF47:BF78" si="48">MATCH(MIN(BD47:BE47),BD47:BE47,0)</f>
        <v>1</v>
      </c>
      <c r="BH47" s="18">
        <f t="shared" si="35"/>
        <v>1.2995718707723847</v>
      </c>
      <c r="BI47" s="18">
        <f t="shared" si="35"/>
        <v>1.5348568182886122</v>
      </c>
      <c r="BJ47" s="56">
        <f t="shared" ref="BJ47:BJ78" si="49">MATCH(MIN(BH47:BI47),BH47:BI47,0)</f>
        <v>1</v>
      </c>
      <c r="BL47" s="18">
        <f t="shared" si="36"/>
        <v>1.2995718707723847</v>
      </c>
      <c r="BM47" s="18">
        <f t="shared" si="36"/>
        <v>1.5348568182886122</v>
      </c>
      <c r="BN47" s="56">
        <f t="shared" ref="BN47:BN78" si="50">MATCH(MIN(BL47:BM47),BL47:BM47,0)</f>
        <v>1</v>
      </c>
      <c r="BP47" s="18">
        <f t="shared" si="37"/>
        <v>1.2995718707723847</v>
      </c>
      <c r="BQ47" s="18">
        <f t="shared" si="37"/>
        <v>1.5348568182886122</v>
      </c>
      <c r="BR47" s="56">
        <f t="shared" ref="BR47:BR78" si="51">MATCH(MIN(BP47:BQ47),BP47:BQ47,0)</f>
        <v>1</v>
      </c>
    </row>
    <row r="48" spans="1:70" x14ac:dyDescent="0.25">
      <c r="A48" s="36" t="str">
        <f>KMeans_Data!A38</f>
        <v>Shangla</v>
      </c>
      <c r="B48" s="18">
        <f>KMeans_Data!H38</f>
        <v>0.48474983033217361</v>
      </c>
      <c r="C48" s="18">
        <f>KMeans_Data!I38</f>
        <v>-0.14698313392952958</v>
      </c>
      <c r="D48" s="18">
        <f>KMeans_Data!J38</f>
        <v>0.55201703639881239</v>
      </c>
      <c r="E48" s="56">
        <f t="shared" si="38"/>
        <v>2</v>
      </c>
      <c r="F48" s="38">
        <f t="shared" si="39"/>
        <v>2.0826701369470353</v>
      </c>
      <c r="G48" s="18">
        <f>IF(COUNTIF(Distance_Matrix!$E$8:$DQ$8,$E48)&lt;=1,0,SUMIF(Distance_Matrix!$E$8:$DQ$8,$E48,Distance_Matrix!$E$47:$DQ$47)/(COUNTIF(Distance_Matrix!$E$8:$DQ$8,$E48)-1))</f>
        <v>1.6265558596923131</v>
      </c>
      <c r="H48" s="18">
        <f>MIN(IF(1=$E48,1E+99,IF(COUNTIF(Distance_Matrix!$E$8:$DQ$8,1)=0,1E+99,SUMIF(Distance_Matrix!$E$8:$DQ$8,1,Distance_Matrix!$E$47:$DQ$47)/COUNTIF(Distance_Matrix!$E$8:$DQ$8,1))),IF(2=$E48,1E+99,IF(COUNTIF(Distance_Matrix!$E$8:$DQ$8,2)=0,1E+99,SUMIF(Distance_Matrix!$E$8:$DQ$8,2,Distance_Matrix!$E$47:$DQ$47)/COUNTIF(Distance_Matrix!$E$8:$DQ$8,2))))</f>
        <v>1.7012783691626805</v>
      </c>
      <c r="I48" s="18">
        <f>IF(COUNTIF(Distance_Matrix!$E$8:$DQ$8,$E48)&lt;=1,0,(H48-G48)/MAX(G48,H48))</f>
        <v>4.3921389247512529E-2</v>
      </c>
      <c r="X48" s="18">
        <f t="shared" si="26"/>
        <v>5.7093441936674045</v>
      </c>
      <c r="Y48" s="18">
        <f t="shared" si="26"/>
        <v>3.1200925235572523</v>
      </c>
      <c r="Z48" s="56">
        <f t="shared" si="40"/>
        <v>2</v>
      </c>
      <c r="AB48" s="18">
        <f t="shared" si="27"/>
        <v>3.1899102271856883</v>
      </c>
      <c r="AC48" s="18">
        <f t="shared" si="27"/>
        <v>0.99037631684563965</v>
      </c>
      <c r="AD48" s="56">
        <f t="shared" si="41"/>
        <v>2</v>
      </c>
      <c r="AF48" s="18">
        <f t="shared" si="28"/>
        <v>2.5969540146145897</v>
      </c>
      <c r="AG48" s="18">
        <f t="shared" si="28"/>
        <v>1.0709666905346154</v>
      </c>
      <c r="AH48" s="56">
        <f t="shared" si="42"/>
        <v>2</v>
      </c>
      <c r="AJ48" s="18">
        <f t="shared" si="29"/>
        <v>2.002337915120139</v>
      </c>
      <c r="AK48" s="18">
        <f t="shared" si="29"/>
        <v>1.2527842619637286</v>
      </c>
      <c r="AL48" s="56">
        <f t="shared" si="43"/>
        <v>2</v>
      </c>
      <c r="AN48" s="18">
        <f t="shared" si="30"/>
        <v>1.782166336604543</v>
      </c>
      <c r="AO48" s="18">
        <f t="shared" si="30"/>
        <v>1.3580980155332576</v>
      </c>
      <c r="AP48" s="56">
        <f t="shared" si="44"/>
        <v>2</v>
      </c>
      <c r="AR48" s="18">
        <f t="shared" si="31"/>
        <v>1.6562481468942845</v>
      </c>
      <c r="AS48" s="18">
        <f t="shared" si="31"/>
        <v>1.4114648321510908</v>
      </c>
      <c r="AT48" s="56">
        <f t="shared" si="45"/>
        <v>2</v>
      </c>
      <c r="AV48" s="18">
        <f t="shared" si="32"/>
        <v>1.6181980008454744</v>
      </c>
      <c r="AW48" s="18">
        <f t="shared" si="32"/>
        <v>1.4281008819722194</v>
      </c>
      <c r="AX48" s="56">
        <f t="shared" si="46"/>
        <v>2</v>
      </c>
      <c r="AZ48" s="18">
        <f t="shared" si="33"/>
        <v>1.5831141430593783</v>
      </c>
      <c r="BA48" s="18">
        <f t="shared" si="33"/>
        <v>1.4431459167204941</v>
      </c>
      <c r="BB48" s="56">
        <f t="shared" si="47"/>
        <v>2</v>
      </c>
      <c r="BD48" s="18">
        <f t="shared" si="34"/>
        <v>1.5831141430593783</v>
      </c>
      <c r="BE48" s="18">
        <f t="shared" si="34"/>
        <v>1.4431459167204941</v>
      </c>
      <c r="BF48" s="56">
        <f t="shared" si="48"/>
        <v>2</v>
      </c>
      <c r="BH48" s="18">
        <f t="shared" si="35"/>
        <v>1.5831141430593783</v>
      </c>
      <c r="BI48" s="18">
        <f t="shared" si="35"/>
        <v>1.4431459167204941</v>
      </c>
      <c r="BJ48" s="56">
        <f t="shared" si="49"/>
        <v>2</v>
      </c>
      <c r="BL48" s="18">
        <f t="shared" si="36"/>
        <v>1.5831141430593783</v>
      </c>
      <c r="BM48" s="18">
        <f t="shared" si="36"/>
        <v>1.4431459167204941</v>
      </c>
      <c r="BN48" s="56">
        <f t="shared" si="50"/>
        <v>2</v>
      </c>
      <c r="BP48" s="18">
        <f t="shared" si="37"/>
        <v>1.5831141430593783</v>
      </c>
      <c r="BQ48" s="18">
        <f t="shared" si="37"/>
        <v>1.4431459167204941</v>
      </c>
      <c r="BR48" s="56">
        <f t="shared" si="51"/>
        <v>2</v>
      </c>
    </row>
    <row r="49" spans="1:70" x14ac:dyDescent="0.25">
      <c r="A49" s="36" t="str">
        <f>KMeans_Data!A39</f>
        <v>Mansehra</v>
      </c>
      <c r="B49" s="18">
        <f>KMeans_Data!H39</f>
        <v>0.48474983033217361</v>
      </c>
      <c r="C49" s="18">
        <f>KMeans_Data!I39</f>
        <v>1.3810745208577742</v>
      </c>
      <c r="D49" s="18">
        <f>KMeans_Data!J39</f>
        <v>0.30731539115103124</v>
      </c>
      <c r="E49" s="56">
        <f t="shared" si="38"/>
        <v>1</v>
      </c>
      <c r="F49" s="38">
        <f t="shared" si="39"/>
        <v>1.0385349320611497</v>
      </c>
      <c r="G49" s="18">
        <f>IF(COUNTIF(Distance_Matrix!$E$8:$DQ$8,$E49)&lt;=1,0,SUMIF(Distance_Matrix!$E$8:$DQ$8,$E49,Distance_Matrix!$E$48:$DQ$48)/(COUNTIF(Distance_Matrix!$E$8:$DQ$8,$E49)-1))</f>
        <v>1.4434399344851268</v>
      </c>
      <c r="H49" s="18">
        <f>MIN(IF(1=$E49,1E+99,IF(COUNTIF(Distance_Matrix!$E$8:$DQ$8,1)=0,1E+99,SUMIF(Distance_Matrix!$E$8:$DQ$8,1,Distance_Matrix!$E$48:$DQ$48)/COUNTIF(Distance_Matrix!$E$8:$DQ$8,1))),IF(2=$E49,1E+99,IF(COUNTIF(Distance_Matrix!$E$8:$DQ$8,2)=0,1E+99,SUMIF(Distance_Matrix!$E$8:$DQ$8,2,Distance_Matrix!$E$48:$DQ$48)/COUNTIF(Distance_Matrix!$E$8:$DQ$8,2))))</f>
        <v>2.4110476016175313</v>
      </c>
      <c r="I49" s="18">
        <f>IF(COUNTIF(Distance_Matrix!$E$8:$DQ$8,$E49)&lt;=1,0,(H49-G49)/MAX(G49,H49))</f>
        <v>0.40132250664949659</v>
      </c>
      <c r="X49" s="18">
        <f t="shared" si="26"/>
        <v>4.8498232359863591</v>
      </c>
      <c r="Y49" s="18">
        <f t="shared" si="26"/>
        <v>3.592419201138521</v>
      </c>
      <c r="Z49" s="56">
        <f t="shared" si="40"/>
        <v>2</v>
      </c>
      <c r="AB49" s="18">
        <f t="shared" si="27"/>
        <v>2.3632999833287118</v>
      </c>
      <c r="AC49" s="18">
        <f t="shared" si="27"/>
        <v>1.8005329577231715</v>
      </c>
      <c r="AD49" s="56">
        <f t="shared" si="41"/>
        <v>2</v>
      </c>
      <c r="AF49" s="18">
        <f t="shared" si="28"/>
        <v>1.7707609515061067</v>
      </c>
      <c r="AG49" s="18">
        <f t="shared" si="28"/>
        <v>1.8972400522879895</v>
      </c>
      <c r="AH49" s="56">
        <f t="shared" si="42"/>
        <v>1</v>
      </c>
      <c r="AJ49" s="18">
        <f t="shared" si="29"/>
        <v>1.2591395881257219</v>
      </c>
      <c r="AK49" s="18">
        <f t="shared" si="29"/>
        <v>2.0878027993088013</v>
      </c>
      <c r="AL49" s="56">
        <f t="shared" si="43"/>
        <v>1</v>
      </c>
      <c r="AN49" s="18">
        <f t="shared" si="30"/>
        <v>1.1534729180915053</v>
      </c>
      <c r="AO49" s="18">
        <f t="shared" si="30"/>
        <v>2.1757953258095131</v>
      </c>
      <c r="AP49" s="56">
        <f t="shared" si="44"/>
        <v>1</v>
      </c>
      <c r="AR49" s="18">
        <f t="shared" si="31"/>
        <v>1.0765974782587568</v>
      </c>
      <c r="AS49" s="18">
        <f t="shared" si="31"/>
        <v>2.2244694672073</v>
      </c>
      <c r="AT49" s="56">
        <f t="shared" si="45"/>
        <v>1</v>
      </c>
      <c r="AV49" s="18">
        <f t="shared" si="32"/>
        <v>1.0490127159844915</v>
      </c>
      <c r="AW49" s="18">
        <f t="shared" si="32"/>
        <v>2.2412462309829579</v>
      </c>
      <c r="AX49" s="56">
        <f t="shared" si="46"/>
        <v>1</v>
      </c>
      <c r="AZ49" s="18">
        <f t="shared" si="33"/>
        <v>1.0190853409117167</v>
      </c>
      <c r="BA49" s="18">
        <f t="shared" si="33"/>
        <v>2.2582652306499358</v>
      </c>
      <c r="BB49" s="56">
        <f t="shared" si="47"/>
        <v>1</v>
      </c>
      <c r="BD49" s="18">
        <f t="shared" si="34"/>
        <v>1.0190853409117167</v>
      </c>
      <c r="BE49" s="18">
        <f t="shared" si="34"/>
        <v>2.2582652306499358</v>
      </c>
      <c r="BF49" s="56">
        <f t="shared" si="48"/>
        <v>1</v>
      </c>
      <c r="BH49" s="18">
        <f t="shared" si="35"/>
        <v>1.0190853409117167</v>
      </c>
      <c r="BI49" s="18">
        <f t="shared" si="35"/>
        <v>2.2582652306499358</v>
      </c>
      <c r="BJ49" s="56">
        <f t="shared" si="49"/>
        <v>1</v>
      </c>
      <c r="BL49" s="18">
        <f t="shared" si="36"/>
        <v>1.0190853409117167</v>
      </c>
      <c r="BM49" s="18">
        <f t="shared" si="36"/>
        <v>2.2582652306499358</v>
      </c>
      <c r="BN49" s="56">
        <f t="shared" si="50"/>
        <v>1</v>
      </c>
      <c r="BP49" s="18">
        <f t="shared" si="37"/>
        <v>1.0190853409117167</v>
      </c>
      <c r="BQ49" s="18">
        <f t="shared" si="37"/>
        <v>2.2582652306499358</v>
      </c>
      <c r="BR49" s="56">
        <f t="shared" si="51"/>
        <v>1</v>
      </c>
    </row>
    <row r="50" spans="1:70" x14ac:dyDescent="0.25">
      <c r="A50" s="36" t="str">
        <f>KMeans_Data!A40</f>
        <v>Swabi</v>
      </c>
      <c r="B50" s="18">
        <f>KMeans_Data!H40</f>
        <v>0.45366775919714841</v>
      </c>
      <c r="C50" s="18">
        <f>KMeans_Data!I40</f>
        <v>1.1458599186993335</v>
      </c>
      <c r="D50" s="18">
        <f>KMeans_Data!J40</f>
        <v>0.71966725318196356</v>
      </c>
      <c r="E50" s="56">
        <f t="shared" si="38"/>
        <v>1</v>
      </c>
      <c r="F50" s="38">
        <f t="shared" si="39"/>
        <v>0.52941155278320839</v>
      </c>
      <c r="G50" s="18">
        <f>IF(COUNTIF(Distance_Matrix!$E$8:$DQ$8,$E50)&lt;=1,0,SUMIF(Distance_Matrix!$E$8:$DQ$8,$E50,Distance_Matrix!$E$49:$DQ$49)/(COUNTIF(Distance_Matrix!$E$8:$DQ$8,$E50)-1))</f>
        <v>1.2085389133319244</v>
      </c>
      <c r="H50" s="18">
        <f>MIN(IF(1=$E50,1E+99,IF(COUNTIF(Distance_Matrix!$E$8:$DQ$8,1)=0,1E+99,SUMIF(Distance_Matrix!$E$8:$DQ$8,1,Distance_Matrix!$E$49:$DQ$49)/COUNTIF(Distance_Matrix!$E$8:$DQ$8,1))),IF(2=$E50,1E+99,IF(COUNTIF(Distance_Matrix!$E$8:$DQ$8,2)=0,1E+99,SUMIF(Distance_Matrix!$E$8:$DQ$8,2,Distance_Matrix!$E$49:$DQ$49)/COUNTIF(Distance_Matrix!$E$8:$DQ$8,2))))</f>
        <v>2.378292864859632</v>
      </c>
      <c r="I50" s="18">
        <f>IF(COUNTIF(Distance_Matrix!$E$8:$DQ$8,$E50)&lt;=1,0,(H50-G50)/MAX(G50,H50))</f>
        <v>0.49184605008548726</v>
      </c>
      <c r="X50" s="18">
        <f t="shared" si="26"/>
        <v>4.7688298155952484</v>
      </c>
      <c r="Y50" s="18">
        <f t="shared" si="26"/>
        <v>3.6338012413689014</v>
      </c>
      <c r="Z50" s="56">
        <f t="shared" si="40"/>
        <v>2</v>
      </c>
      <c r="AB50" s="18">
        <f t="shared" si="27"/>
        <v>2.2525603569140298</v>
      </c>
      <c r="AC50" s="18">
        <f t="shared" si="27"/>
        <v>1.752407425133867</v>
      </c>
      <c r="AD50" s="56">
        <f t="shared" si="41"/>
        <v>2</v>
      </c>
      <c r="AF50" s="18">
        <f t="shared" si="28"/>
        <v>1.6429634620572411</v>
      </c>
      <c r="AG50" s="18">
        <f t="shared" si="28"/>
        <v>1.8531578534137569</v>
      </c>
      <c r="AH50" s="56">
        <f t="shared" si="42"/>
        <v>1</v>
      </c>
      <c r="AJ50" s="18">
        <f t="shared" si="29"/>
        <v>1.0547738778180549</v>
      </c>
      <c r="AK50" s="18">
        <f t="shared" si="29"/>
        <v>2.0574244968026414</v>
      </c>
      <c r="AL50" s="56">
        <f t="shared" si="43"/>
        <v>1</v>
      </c>
      <c r="AN50" s="18">
        <f t="shared" si="30"/>
        <v>0.89865936077660102</v>
      </c>
      <c r="AO50" s="18">
        <f t="shared" si="30"/>
        <v>2.1553076520225991</v>
      </c>
      <c r="AP50" s="56">
        <f t="shared" si="44"/>
        <v>1</v>
      </c>
      <c r="AR50" s="18">
        <f t="shared" si="31"/>
        <v>0.79797728077584318</v>
      </c>
      <c r="AS50" s="18">
        <f t="shared" si="31"/>
        <v>2.2078936147712303</v>
      </c>
      <c r="AT50" s="56">
        <f t="shared" si="45"/>
        <v>1</v>
      </c>
      <c r="AV50" s="18">
        <f t="shared" si="32"/>
        <v>0.76607285548172854</v>
      </c>
      <c r="AW50" s="18">
        <f t="shared" si="32"/>
        <v>2.2252065236992014</v>
      </c>
      <c r="AX50" s="56">
        <f t="shared" si="46"/>
        <v>1</v>
      </c>
      <c r="AZ50" s="18">
        <f t="shared" si="33"/>
        <v>0.72760672947905614</v>
      </c>
      <c r="BA50" s="18">
        <f t="shared" si="33"/>
        <v>2.2431265712019766</v>
      </c>
      <c r="BB50" s="56">
        <f t="shared" si="47"/>
        <v>1</v>
      </c>
      <c r="BD50" s="18">
        <f t="shared" si="34"/>
        <v>0.72760672947905614</v>
      </c>
      <c r="BE50" s="18">
        <f t="shared" si="34"/>
        <v>2.2431265712019766</v>
      </c>
      <c r="BF50" s="56">
        <f t="shared" si="48"/>
        <v>1</v>
      </c>
      <c r="BH50" s="18">
        <f t="shared" si="35"/>
        <v>0.72760672947905614</v>
      </c>
      <c r="BI50" s="18">
        <f t="shared" si="35"/>
        <v>2.2431265712019766</v>
      </c>
      <c r="BJ50" s="56">
        <f t="shared" si="49"/>
        <v>1</v>
      </c>
      <c r="BL50" s="18">
        <f t="shared" si="36"/>
        <v>0.72760672947905614</v>
      </c>
      <c r="BM50" s="18">
        <f t="shared" si="36"/>
        <v>2.2431265712019766</v>
      </c>
      <c r="BN50" s="56">
        <f t="shared" si="50"/>
        <v>1</v>
      </c>
      <c r="BP50" s="18">
        <f t="shared" si="37"/>
        <v>0.72760672947905614</v>
      </c>
      <c r="BQ50" s="18">
        <f t="shared" si="37"/>
        <v>2.2431265712019766</v>
      </c>
      <c r="BR50" s="56">
        <f t="shared" si="51"/>
        <v>1</v>
      </c>
    </row>
    <row r="51" spans="1:70" x14ac:dyDescent="0.25">
      <c r="A51" s="36" t="str">
        <f>KMeans_Data!A41</f>
        <v>Haripur</v>
      </c>
      <c r="B51" s="18">
        <f>KMeans_Data!H41</f>
        <v>0.43325455393275542</v>
      </c>
      <c r="C51" s="18">
        <f>KMeans_Data!I41</f>
        <v>0.37868427752921691</v>
      </c>
      <c r="D51" s="18">
        <f>KMeans_Data!J41</f>
        <v>0.53998023220398461</v>
      </c>
      <c r="E51" s="56">
        <f t="shared" si="38"/>
        <v>1</v>
      </c>
      <c r="F51" s="38">
        <f t="shared" si="39"/>
        <v>1.4284016778881923</v>
      </c>
      <c r="G51" s="18">
        <f>IF(COUNTIF(Distance_Matrix!$E$8:$DQ$8,$E51)&lt;=1,0,SUMIF(Distance_Matrix!$E$8:$DQ$8,$E51,Distance_Matrix!$E$50:$DQ$50)/(COUNTIF(Distance_Matrix!$E$8:$DQ$8,$E51)-1))</f>
        <v>1.4016233990601019</v>
      </c>
      <c r="H51" s="18">
        <f>MIN(IF(1=$E51,1E+99,IF(COUNTIF(Distance_Matrix!$E$8:$DQ$8,1)=0,1E+99,SUMIF(Distance_Matrix!$E$8:$DQ$8,1,Distance_Matrix!$E$50:$DQ$50)/COUNTIF(Distance_Matrix!$E$8:$DQ$8,1))),IF(2=$E51,1E+99,IF(COUNTIF(Distance_Matrix!$E$8:$DQ$8,2)=0,1E+99,SUMIF(Distance_Matrix!$E$8:$DQ$8,2,Distance_Matrix!$E$50:$DQ$50)/COUNTIF(Distance_Matrix!$E$8:$DQ$8,2))))</f>
        <v>1.7829020045281929</v>
      </c>
      <c r="I51" s="18">
        <f>IF(COUNTIF(Distance_Matrix!$E$8:$DQ$8,$E51)&lt;=1,0,(H51-G51)/MAX(G51,H51))</f>
        <v>0.21385281103488818</v>
      </c>
      <c r="X51" s="18">
        <f t="shared" si="26"/>
        <v>5.3691092076194247</v>
      </c>
      <c r="Y51" s="18">
        <f t="shared" si="26"/>
        <v>3.2033991070309726</v>
      </c>
      <c r="Z51" s="56">
        <f t="shared" si="40"/>
        <v>2</v>
      </c>
      <c r="AB51" s="18">
        <f t="shared" si="27"/>
        <v>2.8311645895667468</v>
      </c>
      <c r="AC51" s="18">
        <f t="shared" si="27"/>
        <v>1.1179601167860842</v>
      </c>
      <c r="AD51" s="56">
        <f t="shared" si="41"/>
        <v>2</v>
      </c>
      <c r="AF51" s="18">
        <f t="shared" si="28"/>
        <v>2.2209616189716357</v>
      </c>
      <c r="AG51" s="18">
        <f t="shared" si="28"/>
        <v>1.2181025919198978</v>
      </c>
      <c r="AH51" s="56">
        <f t="shared" si="42"/>
        <v>2</v>
      </c>
      <c r="AJ51" s="18">
        <f t="shared" si="29"/>
        <v>1.6119546945255869</v>
      </c>
      <c r="AK51" s="18">
        <f t="shared" si="29"/>
        <v>1.4251110342832576</v>
      </c>
      <c r="AL51" s="56">
        <f t="shared" si="43"/>
        <v>2</v>
      </c>
      <c r="AN51" s="18">
        <f t="shared" si="30"/>
        <v>1.4015413913327555</v>
      </c>
      <c r="AO51" s="18">
        <f t="shared" si="30"/>
        <v>1.5312864686247065</v>
      </c>
      <c r="AP51" s="56">
        <f t="shared" si="44"/>
        <v>1</v>
      </c>
      <c r="AR51" s="18">
        <f t="shared" si="31"/>
        <v>1.2742271180684346</v>
      </c>
      <c r="AS51" s="18">
        <f t="shared" si="31"/>
        <v>1.5866733529306773</v>
      </c>
      <c r="AT51" s="56">
        <f t="shared" si="45"/>
        <v>1</v>
      </c>
      <c r="AV51" s="18">
        <f t="shared" si="32"/>
        <v>1.2344623357496483</v>
      </c>
      <c r="AW51" s="18">
        <f t="shared" si="32"/>
        <v>1.6044982823387841</v>
      </c>
      <c r="AX51" s="56">
        <f t="shared" si="46"/>
        <v>1</v>
      </c>
      <c r="AZ51" s="18">
        <f t="shared" si="33"/>
        <v>1.1951575954191951</v>
      </c>
      <c r="BA51" s="18">
        <f t="shared" si="33"/>
        <v>1.6218222110200824</v>
      </c>
      <c r="BB51" s="56">
        <f t="shared" si="47"/>
        <v>1</v>
      </c>
      <c r="BD51" s="18">
        <f t="shared" si="34"/>
        <v>1.1951575954191951</v>
      </c>
      <c r="BE51" s="18">
        <f t="shared" si="34"/>
        <v>1.6218222110200824</v>
      </c>
      <c r="BF51" s="56">
        <f t="shared" si="48"/>
        <v>1</v>
      </c>
      <c r="BH51" s="18">
        <f t="shared" si="35"/>
        <v>1.1951575954191951</v>
      </c>
      <c r="BI51" s="18">
        <f t="shared" si="35"/>
        <v>1.6218222110200824</v>
      </c>
      <c r="BJ51" s="56">
        <f t="shared" si="49"/>
        <v>1</v>
      </c>
      <c r="BL51" s="18">
        <f t="shared" si="36"/>
        <v>1.1951575954191951</v>
      </c>
      <c r="BM51" s="18">
        <f t="shared" si="36"/>
        <v>1.6218222110200824</v>
      </c>
      <c r="BN51" s="56">
        <f t="shared" si="50"/>
        <v>1</v>
      </c>
      <c r="BP51" s="18">
        <f t="shared" si="37"/>
        <v>1.1951575954191951</v>
      </c>
      <c r="BQ51" s="18">
        <f t="shared" si="37"/>
        <v>1.6218222110200824</v>
      </c>
      <c r="BR51" s="56">
        <f t="shared" si="51"/>
        <v>1</v>
      </c>
    </row>
    <row r="52" spans="1:70" x14ac:dyDescent="0.25">
      <c r="A52" s="36" t="str">
        <f>KMeans_Data!A42</f>
        <v>Battagram</v>
      </c>
      <c r="B52" s="18">
        <f>KMeans_Data!H42</f>
        <v>0.42907404938827359</v>
      </c>
      <c r="C52" s="18">
        <f>KMeans_Data!I42</f>
        <v>0.37868427752921691</v>
      </c>
      <c r="D52" s="18">
        <f>KMeans_Data!J42</f>
        <v>0.46034638584038468</v>
      </c>
      <c r="E52" s="56">
        <f t="shared" si="38"/>
        <v>1</v>
      </c>
      <c r="F52" s="38">
        <f t="shared" si="39"/>
        <v>1.5361073789788404</v>
      </c>
      <c r="G52" s="18">
        <f>IF(COUNTIF(Distance_Matrix!$E$8:$DQ$8,$E52)&lt;=1,0,SUMIF(Distance_Matrix!$E$8:$DQ$8,$E52,Distance_Matrix!$E$51:$DQ$51)/(COUNTIF(Distance_Matrix!$E$8:$DQ$8,$E52)-1))</f>
        <v>1.4376042796784623</v>
      </c>
      <c r="H52" s="18">
        <f>MIN(IF(1=$E52,1E+99,IF(COUNTIF(Distance_Matrix!$E$8:$DQ$8,1)=0,1E+99,SUMIF(Distance_Matrix!$E$8:$DQ$8,1,Distance_Matrix!$E$51:$DQ$51)/COUNTIF(Distance_Matrix!$E$8:$DQ$8,1))),IF(2=$E52,1E+99,IF(COUNTIF(Distance_Matrix!$E$8:$DQ$8,2)=0,1E+99,SUMIF(Distance_Matrix!$E$8:$DQ$8,2,Distance_Matrix!$E$51:$DQ$51)/COUNTIF(Distance_Matrix!$E$8:$DQ$8,2))))</f>
        <v>1.7412522639773491</v>
      </c>
      <c r="I52" s="18">
        <f>IF(COUNTIF(Distance_Matrix!$E$8:$DQ$8,$E52)&lt;=1,0,(H52-G52)/MAX(G52,H52))</f>
        <v>0.17438483244541345</v>
      </c>
      <c r="X52" s="18">
        <f t="shared" si="26"/>
        <v>5.4119772224383986</v>
      </c>
      <c r="Y52" s="18">
        <f t="shared" si="26"/>
        <v>3.158899841844244</v>
      </c>
      <c r="Z52" s="56">
        <f t="shared" si="40"/>
        <v>2</v>
      </c>
      <c r="AB52" s="18">
        <f t="shared" si="27"/>
        <v>2.8715725653920678</v>
      </c>
      <c r="AC52" s="18">
        <f t="shared" si="27"/>
        <v>1.0664202537845064</v>
      </c>
      <c r="AD52" s="56">
        <f t="shared" si="41"/>
        <v>2</v>
      </c>
      <c r="AF52" s="18">
        <f t="shared" si="28"/>
        <v>2.259936920219749</v>
      </c>
      <c r="AG52" s="18">
        <f t="shared" si="28"/>
        <v>1.1672965676064777</v>
      </c>
      <c r="AH52" s="56">
        <f t="shared" si="42"/>
        <v>2</v>
      </c>
      <c r="AJ52" s="18">
        <f t="shared" si="29"/>
        <v>1.6534088402058722</v>
      </c>
      <c r="AK52" s="18">
        <f t="shared" si="29"/>
        <v>1.374142255874754</v>
      </c>
      <c r="AL52" s="56">
        <f t="shared" si="43"/>
        <v>2</v>
      </c>
      <c r="AN52" s="18">
        <f t="shared" si="30"/>
        <v>1.4455676401860598</v>
      </c>
      <c r="AO52" s="18">
        <f t="shared" si="30"/>
        <v>1.4797425887974409</v>
      </c>
      <c r="AP52" s="56">
        <f t="shared" si="44"/>
        <v>1</v>
      </c>
      <c r="AR52" s="18">
        <f t="shared" si="31"/>
        <v>1.3187123331954849</v>
      </c>
      <c r="AS52" s="18">
        <f t="shared" si="31"/>
        <v>1.5350052917238517</v>
      </c>
      <c r="AT52" s="56">
        <f t="shared" si="45"/>
        <v>1</v>
      </c>
      <c r="AV52" s="18">
        <f t="shared" si="32"/>
        <v>1.2786230868368265</v>
      </c>
      <c r="AW52" s="18">
        <f t="shared" si="32"/>
        <v>1.5529262218577762</v>
      </c>
      <c r="AX52" s="56">
        <f t="shared" si="46"/>
        <v>1</v>
      </c>
      <c r="AZ52" s="18">
        <f t="shared" si="33"/>
        <v>1.2393979905497832</v>
      </c>
      <c r="BA52" s="18">
        <f t="shared" si="33"/>
        <v>1.5702008309262199</v>
      </c>
      <c r="BB52" s="56">
        <f t="shared" si="47"/>
        <v>1</v>
      </c>
      <c r="BD52" s="18">
        <f t="shared" si="34"/>
        <v>1.2393979905497832</v>
      </c>
      <c r="BE52" s="18">
        <f t="shared" si="34"/>
        <v>1.5702008309262199</v>
      </c>
      <c r="BF52" s="56">
        <f t="shared" si="48"/>
        <v>1</v>
      </c>
      <c r="BH52" s="18">
        <f t="shared" si="35"/>
        <v>1.2393979905497832</v>
      </c>
      <c r="BI52" s="18">
        <f t="shared" si="35"/>
        <v>1.5702008309262199</v>
      </c>
      <c r="BJ52" s="56">
        <f t="shared" si="49"/>
        <v>1</v>
      </c>
      <c r="BL52" s="18">
        <f t="shared" si="36"/>
        <v>1.2393979905497832</v>
      </c>
      <c r="BM52" s="18">
        <f t="shared" si="36"/>
        <v>1.5702008309262199</v>
      </c>
      <c r="BN52" s="56">
        <f t="shared" si="50"/>
        <v>1</v>
      </c>
      <c r="BP52" s="18">
        <f t="shared" si="37"/>
        <v>1.2393979905497832</v>
      </c>
      <c r="BQ52" s="18">
        <f t="shared" si="37"/>
        <v>1.5702008309262199</v>
      </c>
      <c r="BR52" s="56">
        <f t="shared" si="51"/>
        <v>1</v>
      </c>
    </row>
    <row r="53" spans="1:70" x14ac:dyDescent="0.25">
      <c r="A53" s="36" t="str">
        <f>KMeans_Data!A43</f>
        <v>Kohat</v>
      </c>
      <c r="B53" s="18">
        <f>KMeans_Data!H43</f>
        <v>0.40765250667401376</v>
      </c>
      <c r="C53" s="18">
        <f>KMeans_Data!I43</f>
        <v>1.2725500225060853</v>
      </c>
      <c r="D53" s="18">
        <f>KMeans_Data!J43</f>
        <v>0.62851349158581915</v>
      </c>
      <c r="E53" s="56">
        <f t="shared" si="38"/>
        <v>1</v>
      </c>
      <c r="F53" s="38">
        <f t="shared" si="39"/>
        <v>0.67065438870517768</v>
      </c>
      <c r="G53" s="18">
        <f>IF(COUNTIF(Distance_Matrix!$E$8:$DQ$8,$E53)&lt;=1,0,SUMIF(Distance_Matrix!$E$8:$DQ$8,$E53,Distance_Matrix!$E$52:$DQ$52)/(COUNTIF(Distance_Matrix!$E$8:$DQ$8,$E53)-1))</f>
        <v>1.2817066637450114</v>
      </c>
      <c r="H53" s="18">
        <f>MIN(IF(1=$E53,1E+99,IF(COUNTIF(Distance_Matrix!$E$8:$DQ$8,1)=0,1E+99,SUMIF(Distance_Matrix!$E$8:$DQ$8,1,Distance_Matrix!$E$52:$DQ$52)/COUNTIF(Distance_Matrix!$E$8:$DQ$8,1))),IF(2=$E53,1E+99,IF(COUNTIF(Distance_Matrix!$E$8:$DQ$8,2)=0,1E+99,SUMIF(Distance_Matrix!$E$8:$DQ$8,2,Distance_Matrix!$E$52:$DQ$52)/COUNTIF(Distance_Matrix!$E$8:$DQ$8,2))))</f>
        <v>2.4161935367588718</v>
      </c>
      <c r="I53" s="18">
        <f>IF(COUNTIF(Distance_Matrix!$E$8:$DQ$8,$E53)&lt;=1,0,(H53-G53)/MAX(G53,H53))</f>
        <v>0.46953476853335302</v>
      </c>
      <c r="X53" s="18">
        <f t="shared" si="26"/>
        <v>4.7703842622670001</v>
      </c>
      <c r="Y53" s="18">
        <f t="shared" si="26"/>
        <v>3.6219541561486244</v>
      </c>
      <c r="Z53" s="56">
        <f t="shared" si="40"/>
        <v>2</v>
      </c>
      <c r="AB53" s="18">
        <f t="shared" si="27"/>
        <v>2.2681623174823722</v>
      </c>
      <c r="AC53" s="18">
        <f t="shared" si="27"/>
        <v>1.7948950178927761</v>
      </c>
      <c r="AD53" s="56">
        <f t="shared" si="41"/>
        <v>2</v>
      </c>
      <c r="AF53" s="18">
        <f t="shared" si="28"/>
        <v>1.6646925308439409</v>
      </c>
      <c r="AG53" s="18">
        <f t="shared" si="28"/>
        <v>1.894371634338919</v>
      </c>
      <c r="AH53" s="56">
        <f t="shared" si="42"/>
        <v>1</v>
      </c>
      <c r="AJ53" s="18">
        <f t="shared" si="29"/>
        <v>1.1023189551246284</v>
      </c>
      <c r="AK53" s="18">
        <f t="shared" si="29"/>
        <v>2.094775028923999</v>
      </c>
      <c r="AL53" s="56">
        <f t="shared" si="43"/>
        <v>1</v>
      </c>
      <c r="AN53" s="18">
        <f t="shared" si="30"/>
        <v>0.97077625956253033</v>
      </c>
      <c r="AO53" s="18">
        <f t="shared" si="30"/>
        <v>2.1891397997037498</v>
      </c>
      <c r="AP53" s="56">
        <f t="shared" si="44"/>
        <v>1</v>
      </c>
      <c r="AR53" s="18">
        <f t="shared" si="31"/>
        <v>0.88273453362571452</v>
      </c>
      <c r="AS53" s="18">
        <f t="shared" si="31"/>
        <v>2.2403596407520907</v>
      </c>
      <c r="AT53" s="56">
        <f t="shared" si="45"/>
        <v>1</v>
      </c>
      <c r="AV53" s="18">
        <f t="shared" si="32"/>
        <v>0.85411699476784531</v>
      </c>
      <c r="AW53" s="18">
        <f t="shared" si="32"/>
        <v>2.2574110570454176</v>
      </c>
      <c r="AX53" s="56">
        <f t="shared" si="46"/>
        <v>1</v>
      </c>
      <c r="AZ53" s="18">
        <f t="shared" si="33"/>
        <v>0.81893491115300343</v>
      </c>
      <c r="BA53" s="18">
        <f t="shared" si="33"/>
        <v>2.2752138721383117</v>
      </c>
      <c r="BB53" s="56">
        <f t="shared" si="47"/>
        <v>1</v>
      </c>
      <c r="BD53" s="18">
        <f t="shared" si="34"/>
        <v>0.81893491115300343</v>
      </c>
      <c r="BE53" s="18">
        <f t="shared" si="34"/>
        <v>2.2752138721383117</v>
      </c>
      <c r="BF53" s="56">
        <f t="shared" si="48"/>
        <v>1</v>
      </c>
      <c r="BH53" s="18">
        <f t="shared" si="35"/>
        <v>0.81893491115300343</v>
      </c>
      <c r="BI53" s="18">
        <f t="shared" si="35"/>
        <v>2.2752138721383117</v>
      </c>
      <c r="BJ53" s="56">
        <f t="shared" si="49"/>
        <v>1</v>
      </c>
      <c r="BL53" s="18">
        <f t="shared" si="36"/>
        <v>0.81893491115300343</v>
      </c>
      <c r="BM53" s="18">
        <f t="shared" si="36"/>
        <v>2.2752138721383117</v>
      </c>
      <c r="BN53" s="56">
        <f t="shared" si="50"/>
        <v>1</v>
      </c>
      <c r="BP53" s="18">
        <f t="shared" si="37"/>
        <v>0.81893491115300343</v>
      </c>
      <c r="BQ53" s="18">
        <f t="shared" si="37"/>
        <v>2.2752138721383117</v>
      </c>
      <c r="BR53" s="56">
        <f t="shared" si="51"/>
        <v>1</v>
      </c>
    </row>
    <row r="54" spans="1:70" x14ac:dyDescent="0.25">
      <c r="A54" s="36" t="str">
        <f>KMeans_Data!A44</f>
        <v>Kurram</v>
      </c>
      <c r="B54" s="18">
        <f>KMeans_Data!H44</f>
        <v>0.38985692646238834</v>
      </c>
      <c r="C54" s="18">
        <f>KMeans_Data!I44</f>
        <v>0.16051258962499582</v>
      </c>
      <c r="D54" s="18">
        <f>KMeans_Data!J44</f>
        <v>-7.8647122474779993E-2</v>
      </c>
      <c r="E54" s="56">
        <f t="shared" si="38"/>
        <v>2</v>
      </c>
      <c r="F54" s="38">
        <f t="shared" si="39"/>
        <v>1.3229526585165337</v>
      </c>
      <c r="G54" s="18">
        <f>IF(COUNTIF(Distance_Matrix!$E$8:$DQ$8,$E54)&lt;=1,0,SUMIF(Distance_Matrix!$E$8:$DQ$8,$E54,Distance_Matrix!$E$53:$DQ$53)/(COUNTIF(Distance_Matrix!$E$8:$DQ$8,$E54)-1))</f>
        <v>1.4397764942495157</v>
      </c>
      <c r="H54" s="18">
        <f>MIN(IF(1=$E54,1E+99,IF(COUNTIF(Distance_Matrix!$E$8:$DQ$8,1)=0,1E+99,SUMIF(Distance_Matrix!$E$8:$DQ$8,1,Distance_Matrix!$E$53:$DQ$53)/COUNTIF(Distance_Matrix!$E$8:$DQ$8,1))),IF(2=$E54,1E+99,IF(COUNTIF(Distance_Matrix!$E$8:$DQ$8,2)=0,1E+99,SUMIF(Distance_Matrix!$E$8:$DQ$8,2,Distance_Matrix!$E$53:$DQ$53)/COUNTIF(Distance_Matrix!$E$8:$DQ$8,2))))</f>
        <v>1.859937293336664</v>
      </c>
      <c r="I54" s="18">
        <f>IF(COUNTIF(Distance_Matrix!$E$8:$DQ$8,$E54)&lt;=1,0,(H54-G54)/MAX(G54,H54))</f>
        <v>0.22590051857791085</v>
      </c>
      <c r="X54" s="18">
        <f t="shared" si="26"/>
        <v>5.8702245972691269</v>
      </c>
      <c r="Y54" s="18">
        <f t="shared" si="26"/>
        <v>2.8162994168555233</v>
      </c>
      <c r="Z54" s="56">
        <f t="shared" si="40"/>
        <v>2</v>
      </c>
      <c r="AB54" s="18">
        <f t="shared" si="27"/>
        <v>3.3289373094372143</v>
      </c>
      <c r="AC54" s="18">
        <f t="shared" si="27"/>
        <v>0.69534535194716274</v>
      </c>
      <c r="AD54" s="56">
        <f t="shared" si="41"/>
        <v>2</v>
      </c>
      <c r="AF54" s="18">
        <f t="shared" si="28"/>
        <v>2.7192654132128582</v>
      </c>
      <c r="AG54" s="18">
        <f t="shared" si="28"/>
        <v>0.78643502448754976</v>
      </c>
      <c r="AH54" s="56">
        <f t="shared" si="42"/>
        <v>2</v>
      </c>
      <c r="AJ54" s="18">
        <f t="shared" si="29"/>
        <v>2.1357909645486446</v>
      </c>
      <c r="AK54" s="18">
        <f t="shared" si="29"/>
        <v>0.96926977972618422</v>
      </c>
      <c r="AL54" s="56">
        <f t="shared" si="43"/>
        <v>2</v>
      </c>
      <c r="AN54" s="18">
        <f t="shared" si="30"/>
        <v>1.9394074813324913</v>
      </c>
      <c r="AO54" s="18">
        <f t="shared" si="30"/>
        <v>1.0654310397823061</v>
      </c>
      <c r="AP54" s="56">
        <f t="shared" si="44"/>
        <v>2</v>
      </c>
      <c r="AR54" s="18">
        <f t="shared" si="31"/>
        <v>1.8166233779128411</v>
      </c>
      <c r="AS54" s="18">
        <f t="shared" si="31"/>
        <v>1.117050637325417</v>
      </c>
      <c r="AT54" s="56">
        <f t="shared" si="45"/>
        <v>2</v>
      </c>
      <c r="AV54" s="18">
        <f t="shared" si="32"/>
        <v>1.7761760283060195</v>
      </c>
      <c r="AW54" s="18">
        <f t="shared" si="32"/>
        <v>1.1348356873587706</v>
      </c>
      <c r="AX54" s="56">
        <f t="shared" si="46"/>
        <v>2</v>
      </c>
      <c r="AZ54" s="18">
        <f t="shared" si="33"/>
        <v>1.7391555481524026</v>
      </c>
      <c r="BA54" s="18">
        <f t="shared" si="33"/>
        <v>1.1501967912129358</v>
      </c>
      <c r="BB54" s="56">
        <f t="shared" si="47"/>
        <v>2</v>
      </c>
      <c r="BD54" s="18">
        <f t="shared" si="34"/>
        <v>1.7391555481524026</v>
      </c>
      <c r="BE54" s="18">
        <f t="shared" si="34"/>
        <v>1.1501967912129358</v>
      </c>
      <c r="BF54" s="56">
        <f t="shared" si="48"/>
        <v>2</v>
      </c>
      <c r="BH54" s="18">
        <f t="shared" si="35"/>
        <v>1.7391555481524026</v>
      </c>
      <c r="BI54" s="18">
        <f t="shared" si="35"/>
        <v>1.1501967912129358</v>
      </c>
      <c r="BJ54" s="56">
        <f t="shared" si="49"/>
        <v>2</v>
      </c>
      <c r="BL54" s="18">
        <f t="shared" si="36"/>
        <v>1.7391555481524026</v>
      </c>
      <c r="BM54" s="18">
        <f t="shared" si="36"/>
        <v>1.1501967912129358</v>
      </c>
      <c r="BN54" s="56">
        <f t="shared" si="50"/>
        <v>2</v>
      </c>
      <c r="BP54" s="18">
        <f t="shared" si="37"/>
        <v>1.7391555481524026</v>
      </c>
      <c r="BQ54" s="18">
        <f t="shared" si="37"/>
        <v>1.1501967912129358</v>
      </c>
      <c r="BR54" s="56">
        <f t="shared" si="51"/>
        <v>2</v>
      </c>
    </row>
    <row r="55" spans="1:70" x14ac:dyDescent="0.25">
      <c r="A55" s="36" t="str">
        <f>KMeans_Data!A45</f>
        <v>Kambar Shahdadkot</v>
      </c>
      <c r="B55" s="18">
        <f>KMeans_Data!H45</f>
        <v>0.31711502585735735</v>
      </c>
      <c r="C55" s="18">
        <f>KMeans_Data!I45</f>
        <v>-0.67265054538827607</v>
      </c>
      <c r="D55" s="18">
        <f>KMeans_Data!J45</f>
        <v>1.0109587897935928</v>
      </c>
      <c r="E55" s="56">
        <f t="shared" si="38"/>
        <v>2</v>
      </c>
      <c r="F55" s="38">
        <f t="shared" si="39"/>
        <v>2.8520798807884398</v>
      </c>
      <c r="G55" s="18">
        <f>IF(COUNTIF(Distance_Matrix!$E$8:$DQ$8,$E55)&lt;=1,0,SUMIF(Distance_Matrix!$E$8:$DQ$8,$E55,Distance_Matrix!$E$54:$DQ$54)/(COUNTIF(Distance_Matrix!$E$8:$DQ$8,$E55)-1))</f>
        <v>1.8454596230042244</v>
      </c>
      <c r="H55" s="18">
        <f>MIN(IF(1=$E55,1E+99,IF(COUNTIF(Distance_Matrix!$E$8:$DQ$8,1)=0,1E+99,SUMIF(Distance_Matrix!$E$8:$DQ$8,1,Distance_Matrix!$E$54:$DQ$54)/COUNTIF(Distance_Matrix!$E$8:$DQ$8,1))),IF(2=$E55,1E+99,IF(COUNTIF(Distance_Matrix!$E$8:$DQ$8,2)=0,1E+99,SUMIF(Distance_Matrix!$E$8:$DQ$8,2,Distance_Matrix!$E$54:$DQ$54)/COUNTIF(Distance_Matrix!$E$8:$DQ$8,2))))</f>
        <v>2.1357393719185485</v>
      </c>
      <c r="I55" s="18">
        <f>IF(COUNTIF(Distance_Matrix!$E$8:$DQ$8,$E55)&lt;=1,0,(H55-G55)/MAX(G55,H55))</f>
        <v>0.13591534282273585</v>
      </c>
      <c r="X55" s="18">
        <f t="shared" ref="X55:Y74" si="52">SQRT(($B55-X$8)^2+($C55-X$9)^2+($D55-X$10)^2)</f>
        <v>5.997391976545833</v>
      </c>
      <c r="Y55" s="18">
        <f t="shared" si="52"/>
        <v>3.2242581216534347</v>
      </c>
      <c r="Z55" s="56">
        <f t="shared" si="40"/>
        <v>2</v>
      </c>
      <c r="AB55" s="18">
        <f t="shared" ref="AB55:AC74" si="53">SQRT(($B55-AB$8)^2+($C55-AB$9)^2+($D55-AB$10)^2)</f>
        <v>3.5507857988333318</v>
      </c>
      <c r="AC55" s="18">
        <f t="shared" si="53"/>
        <v>1.3645497139544569</v>
      </c>
      <c r="AD55" s="56">
        <f t="shared" si="41"/>
        <v>2</v>
      </c>
      <c r="AF55" s="18">
        <f t="shared" ref="AF55:AG74" si="54">SQRT(($B55-AF$8)^2+($C55-AF$9)^2+($D55-AF$10)^2)</f>
        <v>2.9944744701583681</v>
      </c>
      <c r="AG55" s="18">
        <f t="shared" si="54"/>
        <v>1.4081657651815331</v>
      </c>
      <c r="AH55" s="56">
        <f t="shared" si="42"/>
        <v>2</v>
      </c>
      <c r="AJ55" s="18">
        <f t="shared" ref="AJ55:AK74" si="55">SQRT(($B55-AJ$8)^2+($C55-AJ$9)^2+($D55-AJ$10)^2)</f>
        <v>2.4218030848201466</v>
      </c>
      <c r="AK55" s="18">
        <f t="shared" si="55"/>
        <v>1.5344075984010945</v>
      </c>
      <c r="AL55" s="56">
        <f t="shared" si="43"/>
        <v>2</v>
      </c>
      <c r="AN55" s="18">
        <f t="shared" ref="AN55:AO74" si="56">SQRT(($B55-AN$8)^2+($C55-AN$9)^2+($D55-AN$10)^2)</f>
        <v>2.2022878957483529</v>
      </c>
      <c r="AO55" s="18">
        <f t="shared" si="56"/>
        <v>1.6218884363774049</v>
      </c>
      <c r="AP55" s="56">
        <f t="shared" si="44"/>
        <v>2</v>
      </c>
      <c r="AR55" s="18">
        <f t="shared" ref="AR55:AS74" si="57">SQRT(($B55-AR$8)^2+($C55-AR$9)^2+($D55-AR$10)^2)</f>
        <v>2.0860022566583796</v>
      </c>
      <c r="AS55" s="18">
        <f t="shared" si="57"/>
        <v>1.6650613094826563</v>
      </c>
      <c r="AT55" s="56">
        <f t="shared" si="45"/>
        <v>2</v>
      </c>
      <c r="AV55" s="18">
        <f t="shared" ref="AV55:AW74" si="58">SQRT(($B55-AV$8)^2+($C55-AV$9)^2+($D55-AV$10)^2)</f>
        <v>2.0539080471155771</v>
      </c>
      <c r="AW55" s="18">
        <f t="shared" si="58"/>
        <v>1.6772242386012586</v>
      </c>
      <c r="AX55" s="56">
        <f t="shared" si="46"/>
        <v>2</v>
      </c>
      <c r="AZ55" s="18">
        <f t="shared" ref="AZ55:BA74" si="59">SQRT(($B55-AZ$8)^2+($C55-AZ$9)^2+($D55-AZ$10)^2)</f>
        <v>2.0229809120558402</v>
      </c>
      <c r="BA55" s="18">
        <f t="shared" si="59"/>
        <v>1.6888101967919427</v>
      </c>
      <c r="BB55" s="56">
        <f t="shared" si="47"/>
        <v>2</v>
      </c>
      <c r="BD55" s="18">
        <f t="shared" ref="BD55:BE74" si="60">SQRT(($B55-BD$8)^2+($C55-BD$9)^2+($D55-BD$10)^2)</f>
        <v>2.0229809120558402</v>
      </c>
      <c r="BE55" s="18">
        <f t="shared" si="60"/>
        <v>1.6888101967919427</v>
      </c>
      <c r="BF55" s="56">
        <f t="shared" si="48"/>
        <v>2</v>
      </c>
      <c r="BH55" s="18">
        <f t="shared" ref="BH55:BI74" si="61">SQRT(($B55-BH$8)^2+($C55-BH$9)^2+($D55-BH$10)^2)</f>
        <v>2.0229809120558402</v>
      </c>
      <c r="BI55" s="18">
        <f t="shared" si="61"/>
        <v>1.6888101967919427</v>
      </c>
      <c r="BJ55" s="56">
        <f t="shared" si="49"/>
        <v>2</v>
      </c>
      <c r="BL55" s="18">
        <f t="shared" ref="BL55:BM74" si="62">SQRT(($B55-BL$8)^2+($C55-BL$9)^2+($D55-BL$10)^2)</f>
        <v>2.0229809120558402</v>
      </c>
      <c r="BM55" s="18">
        <f t="shared" si="62"/>
        <v>1.6888101967919427</v>
      </c>
      <c r="BN55" s="56">
        <f t="shared" si="50"/>
        <v>2</v>
      </c>
      <c r="BP55" s="18">
        <f t="shared" ref="BP55:BQ74" si="63">SQRT(($B55-BP$8)^2+($C55-BP$9)^2+($D55-BP$10)^2)</f>
        <v>2.0229809120558402</v>
      </c>
      <c r="BQ55" s="18">
        <f t="shared" si="63"/>
        <v>1.6888101967919427</v>
      </c>
      <c r="BR55" s="56">
        <f t="shared" si="51"/>
        <v>2</v>
      </c>
    </row>
    <row r="56" spans="1:70" x14ac:dyDescent="0.25">
      <c r="A56" s="36" t="str">
        <f>KMeans_Data!A46</f>
        <v>Nagar</v>
      </c>
      <c r="B56" s="18">
        <f>KMeans_Data!H46</f>
        <v>0.27371739838699027</v>
      </c>
      <c r="C56" s="18">
        <f>KMeans_Data!I46</f>
        <v>-0.14698313392952958</v>
      </c>
      <c r="D56" s="18">
        <f>KMeans_Data!J46</f>
        <v>0.77424684086161255</v>
      </c>
      <c r="E56" s="56">
        <f t="shared" si="38"/>
        <v>2</v>
      </c>
      <c r="F56" s="38">
        <f t="shared" si="39"/>
        <v>2.2469609370442516</v>
      </c>
      <c r="G56" s="18">
        <f>IF(COUNTIF(Distance_Matrix!$E$8:$DQ$8,$E56)&lt;=1,0,SUMIF(Distance_Matrix!$E$8:$DQ$8,$E56,Distance_Matrix!$E$55:$DQ$55)/(COUNTIF(Distance_Matrix!$E$8:$DQ$8,$E56)-1))</f>
        <v>1.6665186652419819</v>
      </c>
      <c r="H56" s="18">
        <f>MIN(IF(1=$E56,1E+99,IF(COUNTIF(Distance_Matrix!$E$8:$DQ$8,1)=0,1E+99,SUMIF(Distance_Matrix!$E$8:$DQ$8,1,Distance_Matrix!$E$55:$DQ$55)/COUNTIF(Distance_Matrix!$E$8:$DQ$8,1))),IF(2=$E56,1E+99,IF(COUNTIF(Distance_Matrix!$E$8:$DQ$8,2)=0,1E+99,SUMIF(Distance_Matrix!$E$8:$DQ$8,2,Distance_Matrix!$E$55:$DQ$55)/COUNTIF(Distance_Matrix!$E$8:$DQ$8,2))))</f>
        <v>1.721657379721657</v>
      </c>
      <c r="I56" s="18">
        <f>IF(COUNTIF(Distance_Matrix!$E$8:$DQ$8,$E56)&lt;=1,0,(H56-G56)/MAX(G56,H56))</f>
        <v>3.202653160211788E-2</v>
      </c>
      <c r="X56" s="18">
        <f t="shared" si="52"/>
        <v>5.7155539104585298</v>
      </c>
      <c r="Y56" s="18">
        <f t="shared" si="52"/>
        <v>3.0823789094685083</v>
      </c>
      <c r="Z56" s="56">
        <f t="shared" si="40"/>
        <v>2</v>
      </c>
      <c r="AB56" s="18">
        <f t="shared" si="53"/>
        <v>3.211558069644517</v>
      </c>
      <c r="AC56" s="18">
        <f t="shared" si="53"/>
        <v>1.0560088002621915</v>
      </c>
      <c r="AD56" s="56">
        <f t="shared" si="41"/>
        <v>2</v>
      </c>
      <c r="AF56" s="18">
        <f t="shared" si="54"/>
        <v>2.622657288727066</v>
      </c>
      <c r="AG56" s="18">
        <f t="shared" si="54"/>
        <v>1.132130417925552</v>
      </c>
      <c r="AH56" s="56">
        <f t="shared" si="42"/>
        <v>2</v>
      </c>
      <c r="AJ56" s="18">
        <f t="shared" si="55"/>
        <v>2.0203015688338231</v>
      </c>
      <c r="AK56" s="18">
        <f t="shared" si="55"/>
        <v>1.3119080020503431</v>
      </c>
      <c r="AL56" s="56">
        <f t="shared" si="43"/>
        <v>2</v>
      </c>
      <c r="AN56" s="18">
        <f t="shared" si="56"/>
        <v>1.8001807796221285</v>
      </c>
      <c r="AO56" s="18">
        <f t="shared" si="56"/>
        <v>1.4153765119538884</v>
      </c>
      <c r="AP56" s="56">
        <f t="shared" si="44"/>
        <v>2</v>
      </c>
      <c r="AR56" s="18">
        <f t="shared" si="57"/>
        <v>1.6758543005755873</v>
      </c>
      <c r="AS56" s="18">
        <f t="shared" si="57"/>
        <v>1.4677021562007242</v>
      </c>
      <c r="AT56" s="56">
        <f t="shared" si="45"/>
        <v>2</v>
      </c>
      <c r="AV56" s="18">
        <f t="shared" si="58"/>
        <v>1.6397515497015642</v>
      </c>
      <c r="AW56" s="18">
        <f t="shared" si="58"/>
        <v>1.4834247774123914</v>
      </c>
      <c r="AX56" s="56">
        <f t="shared" si="46"/>
        <v>2</v>
      </c>
      <c r="AZ56" s="18">
        <f t="shared" si="59"/>
        <v>1.6036012765867511</v>
      </c>
      <c r="BA56" s="18">
        <f t="shared" si="59"/>
        <v>1.4989866367130333</v>
      </c>
      <c r="BB56" s="56">
        <f t="shared" si="47"/>
        <v>2</v>
      </c>
      <c r="BD56" s="18">
        <f t="shared" si="60"/>
        <v>1.6036012765867511</v>
      </c>
      <c r="BE56" s="18">
        <f t="shared" si="60"/>
        <v>1.4989866367130333</v>
      </c>
      <c r="BF56" s="56">
        <f t="shared" si="48"/>
        <v>2</v>
      </c>
      <c r="BH56" s="18">
        <f t="shared" si="61"/>
        <v>1.6036012765867511</v>
      </c>
      <c r="BI56" s="18">
        <f t="shared" si="61"/>
        <v>1.4989866367130333</v>
      </c>
      <c r="BJ56" s="56">
        <f t="shared" si="49"/>
        <v>2</v>
      </c>
      <c r="BL56" s="18">
        <f t="shared" si="62"/>
        <v>1.6036012765867511</v>
      </c>
      <c r="BM56" s="18">
        <f t="shared" si="62"/>
        <v>1.4989866367130333</v>
      </c>
      <c r="BN56" s="56">
        <f t="shared" si="50"/>
        <v>2</v>
      </c>
      <c r="BP56" s="18">
        <f t="shared" si="63"/>
        <v>1.6036012765867511</v>
      </c>
      <c r="BQ56" s="18">
        <f t="shared" si="63"/>
        <v>1.4989866367130333</v>
      </c>
      <c r="BR56" s="56">
        <f t="shared" si="51"/>
        <v>2</v>
      </c>
    </row>
    <row r="57" spans="1:70" x14ac:dyDescent="0.25">
      <c r="A57" s="36" t="str">
        <f>KMeans_Data!A47</f>
        <v>Rahim Yar Khan</v>
      </c>
      <c r="B57" s="18">
        <f>KMeans_Data!H47</f>
        <v>0.26227803642067726</v>
      </c>
      <c r="C57" s="18">
        <f>KMeans_Data!I47</f>
        <v>-0.14698313392952958</v>
      </c>
      <c r="D57" s="18">
        <f>KMeans_Data!J47</f>
        <v>-0.63655717184154814</v>
      </c>
      <c r="E57" s="56">
        <f t="shared" si="38"/>
        <v>2</v>
      </c>
      <c r="F57" s="38">
        <f t="shared" si="39"/>
        <v>0.65813872827956466</v>
      </c>
      <c r="G57" s="18">
        <f>IF(COUNTIF(Distance_Matrix!$E$8:$DQ$8,$E57)&lt;=1,0,SUMIF(Distance_Matrix!$E$8:$DQ$8,$E57,Distance_Matrix!$E$56:$DQ$56)/(COUNTIF(Distance_Matrix!$E$8:$DQ$8,$E57)-1))</f>
        <v>1.22749571239206</v>
      </c>
      <c r="H57" s="18">
        <f>MIN(IF(1=$E57,1E+99,IF(COUNTIF(Distance_Matrix!$E$8:$DQ$8,1)=0,1E+99,SUMIF(Distance_Matrix!$E$8:$DQ$8,1,Distance_Matrix!$E$56:$DQ$56)/COUNTIF(Distance_Matrix!$E$8:$DQ$8,1))),IF(2=$E57,1E+99,IF(COUNTIF(Distance_Matrix!$E$8:$DQ$8,2)=0,1E+99,SUMIF(Distance_Matrix!$E$8:$DQ$8,2,Distance_Matrix!$E$56:$DQ$56)/COUNTIF(Distance_Matrix!$E$8:$DQ$8,2))))</f>
        <v>2.4676740631243717</v>
      </c>
      <c r="I57" s="18">
        <f>IF(COUNTIF(Distance_Matrix!$E$8:$DQ$8,$E57)&lt;=1,0,(H57-G57)/MAX(G57,H57))</f>
        <v>0.50256975557059469</v>
      </c>
      <c r="X57" s="18">
        <f t="shared" si="52"/>
        <v>6.4590993672190296</v>
      </c>
      <c r="Y57" s="18">
        <f t="shared" si="52"/>
        <v>2.4536778056908317</v>
      </c>
      <c r="Z57" s="56">
        <f t="shared" si="40"/>
        <v>2</v>
      </c>
      <c r="AB57" s="18">
        <f t="shared" si="53"/>
        <v>3.9273425515514635</v>
      </c>
      <c r="AC57" s="18">
        <f t="shared" si="53"/>
        <v>0.64690060229156388</v>
      </c>
      <c r="AD57" s="56">
        <f t="shared" si="41"/>
        <v>2</v>
      </c>
      <c r="AF57" s="18">
        <f t="shared" si="54"/>
        <v>3.3233801802910623</v>
      </c>
      <c r="AG57" s="18">
        <f t="shared" si="54"/>
        <v>0.66267803456006846</v>
      </c>
      <c r="AH57" s="56">
        <f t="shared" si="42"/>
        <v>2</v>
      </c>
      <c r="AJ57" s="18">
        <f t="shared" si="55"/>
        <v>2.7568928250463491</v>
      </c>
      <c r="AK57" s="18">
        <f t="shared" si="55"/>
        <v>0.71418434010117204</v>
      </c>
      <c r="AL57" s="56">
        <f t="shared" si="43"/>
        <v>2</v>
      </c>
      <c r="AN57" s="18">
        <f t="shared" si="56"/>
        <v>2.5675065469256642</v>
      </c>
      <c r="AO57" s="18">
        <f t="shared" si="56"/>
        <v>0.76035473582692958</v>
      </c>
      <c r="AP57" s="56">
        <f t="shared" si="44"/>
        <v>2</v>
      </c>
      <c r="AR57" s="18">
        <f t="shared" si="57"/>
        <v>2.4475268790964599</v>
      </c>
      <c r="AS57" s="18">
        <f t="shared" si="57"/>
        <v>0.79057593227867995</v>
      </c>
      <c r="AT57" s="56">
        <f t="shared" si="45"/>
        <v>2</v>
      </c>
      <c r="AV57" s="18">
        <f t="shared" si="58"/>
        <v>2.4073550383077222</v>
      </c>
      <c r="AW57" s="18">
        <f t="shared" si="58"/>
        <v>0.80343456982684158</v>
      </c>
      <c r="AX57" s="56">
        <f t="shared" si="46"/>
        <v>2</v>
      </c>
      <c r="AZ57" s="18">
        <f t="shared" si="59"/>
        <v>2.3715108009510022</v>
      </c>
      <c r="BA57" s="18">
        <f t="shared" si="59"/>
        <v>0.81125749813457171</v>
      </c>
      <c r="BB57" s="56">
        <f t="shared" si="47"/>
        <v>2</v>
      </c>
      <c r="BD57" s="18">
        <f t="shared" si="60"/>
        <v>2.3715108009510022</v>
      </c>
      <c r="BE57" s="18">
        <f t="shared" si="60"/>
        <v>0.81125749813457171</v>
      </c>
      <c r="BF57" s="56">
        <f t="shared" si="48"/>
        <v>2</v>
      </c>
      <c r="BH57" s="18">
        <f t="shared" si="61"/>
        <v>2.3715108009510022</v>
      </c>
      <c r="BI57" s="18">
        <f t="shared" si="61"/>
        <v>0.81125749813457171</v>
      </c>
      <c r="BJ57" s="56">
        <f t="shared" si="49"/>
        <v>2</v>
      </c>
      <c r="BL57" s="18">
        <f t="shared" si="62"/>
        <v>2.3715108009510022</v>
      </c>
      <c r="BM57" s="18">
        <f t="shared" si="62"/>
        <v>0.81125749813457171</v>
      </c>
      <c r="BN57" s="56">
        <f t="shared" si="50"/>
        <v>2</v>
      </c>
      <c r="BP57" s="18">
        <f t="shared" si="63"/>
        <v>2.3715108009510022</v>
      </c>
      <c r="BQ57" s="18">
        <f t="shared" si="63"/>
        <v>0.81125749813457171</v>
      </c>
      <c r="BR57" s="56">
        <f t="shared" si="51"/>
        <v>2</v>
      </c>
    </row>
    <row r="58" spans="1:70" x14ac:dyDescent="0.25">
      <c r="A58" s="36" t="str">
        <f>KMeans_Data!A48</f>
        <v>Jamshoro</v>
      </c>
      <c r="B58" s="18">
        <f>KMeans_Data!H48</f>
        <v>0.25646266846194293</v>
      </c>
      <c r="C58" s="18">
        <f>KMeans_Data!I48</f>
        <v>-0.67265054538827607</v>
      </c>
      <c r="D58" s="18">
        <f>KMeans_Data!J48</f>
        <v>0.514925973520034</v>
      </c>
      <c r="E58" s="56">
        <f t="shared" si="38"/>
        <v>2</v>
      </c>
      <c r="F58" s="38">
        <f t="shared" si="39"/>
        <v>1.5219207317942436</v>
      </c>
      <c r="G58" s="18">
        <f>IF(COUNTIF(Distance_Matrix!$E$8:$DQ$8,$E58)&lt;=1,0,SUMIF(Distance_Matrix!$E$8:$DQ$8,$E58,Distance_Matrix!$E$57:$DQ$57)/(COUNTIF(Distance_Matrix!$E$8:$DQ$8,$E58)-1))</f>
        <v>1.4697485183450121</v>
      </c>
      <c r="H58" s="18">
        <f>MIN(IF(1=$E58,1E+99,IF(COUNTIF(Distance_Matrix!$E$8:$DQ$8,1)=0,1E+99,SUMIF(Distance_Matrix!$E$8:$DQ$8,1,Distance_Matrix!$E$57:$DQ$57)/COUNTIF(Distance_Matrix!$E$8:$DQ$8,1))),IF(2=$E58,1E+99,IF(COUNTIF(Distance_Matrix!$E$8:$DQ$8,2)=0,1E+99,SUMIF(Distance_Matrix!$E$8:$DQ$8,2,Distance_Matrix!$E$57:$DQ$57)/COUNTIF(Distance_Matrix!$E$8:$DQ$8,2))))</f>
        <v>2.2180761765546393</v>
      </c>
      <c r="I58" s="18">
        <f>IF(COUNTIF(Distance_Matrix!$E$8:$DQ$8,$E58)&lt;=1,0,(H58-G58)/MAX(G58,H58))</f>
        <v>0.33737689720468134</v>
      </c>
      <c r="X58" s="18">
        <f t="shared" si="52"/>
        <v>6.2290550244489014</v>
      </c>
      <c r="Y58" s="18">
        <f t="shared" si="52"/>
        <v>2.8662390866109257</v>
      </c>
      <c r="Z58" s="56">
        <f t="shared" si="40"/>
        <v>2</v>
      </c>
      <c r="AB58" s="18">
        <f t="shared" si="53"/>
        <v>3.7292207349888176</v>
      </c>
      <c r="AC58" s="18">
        <f t="shared" si="53"/>
        <v>0.93537533674398521</v>
      </c>
      <c r="AD58" s="56">
        <f t="shared" si="41"/>
        <v>2</v>
      </c>
      <c r="AF58" s="18">
        <f t="shared" si="54"/>
        <v>3.1453899544097088</v>
      </c>
      <c r="AG58" s="18">
        <f t="shared" si="54"/>
        <v>0.96879568076881051</v>
      </c>
      <c r="AH58" s="56">
        <f t="shared" si="42"/>
        <v>2</v>
      </c>
      <c r="AJ58" s="18">
        <f t="shared" si="55"/>
        <v>2.5535056874797095</v>
      </c>
      <c r="AK58" s="18">
        <f t="shared" si="55"/>
        <v>1.0814522698247948</v>
      </c>
      <c r="AL58" s="56">
        <f t="shared" si="43"/>
        <v>2</v>
      </c>
      <c r="AN58" s="18">
        <f t="shared" si="56"/>
        <v>2.3318240739548282</v>
      </c>
      <c r="AO58" s="18">
        <f t="shared" si="56"/>
        <v>1.1676146191330965</v>
      </c>
      <c r="AP58" s="56">
        <f t="shared" si="44"/>
        <v>2</v>
      </c>
      <c r="AR58" s="18">
        <f t="shared" si="57"/>
        <v>2.2073136926287948</v>
      </c>
      <c r="AS58" s="18">
        <f t="shared" si="57"/>
        <v>1.2104230750157392</v>
      </c>
      <c r="AT58" s="56">
        <f t="shared" si="45"/>
        <v>2</v>
      </c>
      <c r="AV58" s="18">
        <f t="shared" si="58"/>
        <v>2.1704898210960728</v>
      </c>
      <c r="AW58" s="18">
        <f t="shared" si="58"/>
        <v>1.2228489972934693</v>
      </c>
      <c r="AX58" s="56">
        <f t="shared" si="46"/>
        <v>2</v>
      </c>
      <c r="AZ58" s="18">
        <f t="shared" si="59"/>
        <v>2.1359679288788689</v>
      </c>
      <c r="BA58" s="18">
        <f t="shared" si="59"/>
        <v>1.2336615142713352</v>
      </c>
      <c r="BB58" s="56">
        <f t="shared" si="47"/>
        <v>2</v>
      </c>
      <c r="BD58" s="18">
        <f t="shared" si="60"/>
        <v>2.1359679288788689</v>
      </c>
      <c r="BE58" s="18">
        <f t="shared" si="60"/>
        <v>1.2336615142713352</v>
      </c>
      <c r="BF58" s="56">
        <f t="shared" si="48"/>
        <v>2</v>
      </c>
      <c r="BH58" s="18">
        <f t="shared" si="61"/>
        <v>2.1359679288788689</v>
      </c>
      <c r="BI58" s="18">
        <f t="shared" si="61"/>
        <v>1.2336615142713352</v>
      </c>
      <c r="BJ58" s="56">
        <f t="shared" si="49"/>
        <v>2</v>
      </c>
      <c r="BL58" s="18">
        <f t="shared" si="62"/>
        <v>2.1359679288788689</v>
      </c>
      <c r="BM58" s="18">
        <f t="shared" si="62"/>
        <v>1.2336615142713352</v>
      </c>
      <c r="BN58" s="56">
        <f t="shared" si="50"/>
        <v>2</v>
      </c>
      <c r="BP58" s="18">
        <f t="shared" si="63"/>
        <v>2.1359679288788689</v>
      </c>
      <c r="BQ58" s="18">
        <f t="shared" si="63"/>
        <v>1.2336615142713352</v>
      </c>
      <c r="BR58" s="56">
        <f t="shared" si="51"/>
        <v>2</v>
      </c>
    </row>
    <row r="59" spans="1:70" x14ac:dyDescent="0.25">
      <c r="A59" s="36" t="str">
        <f>KMeans_Data!A49</f>
        <v>Gujranwala</v>
      </c>
      <c r="B59" s="18">
        <f>KMeans_Data!H49</f>
        <v>0.23861623378571303</v>
      </c>
      <c r="C59" s="18">
        <f>KMeans_Data!I49</f>
        <v>-0.67265054538827607</v>
      </c>
      <c r="D59" s="18">
        <f>KMeans_Data!J49</f>
        <v>-0.82444601589876665</v>
      </c>
      <c r="E59" s="56">
        <f t="shared" si="38"/>
        <v>2</v>
      </c>
      <c r="F59" s="38">
        <f t="shared" si="39"/>
        <v>0.60330288710159907</v>
      </c>
      <c r="G59" s="18">
        <f>IF(COUNTIF(Distance_Matrix!$E$8:$DQ$8,$E59)&lt;=1,0,SUMIF(Distance_Matrix!$E$8:$DQ$8,$E59,Distance_Matrix!$E$58:$DQ$58)/(COUNTIF(Distance_Matrix!$E$8:$DQ$8,$E59)-1))</f>
        <v>1.1866595975487157</v>
      </c>
      <c r="H59" s="18">
        <f>MIN(IF(1=$E59,1E+99,IF(COUNTIF(Distance_Matrix!$E$8:$DQ$8,1)=0,1E+99,SUMIF(Distance_Matrix!$E$8:$DQ$8,1,Distance_Matrix!$E$58:$DQ$58)/COUNTIF(Distance_Matrix!$E$8:$DQ$8,1))),IF(2=$E59,1E+99,IF(COUNTIF(Distance_Matrix!$E$8:$DQ$8,2)=0,1E+99,SUMIF(Distance_Matrix!$E$8:$DQ$8,2,Distance_Matrix!$E$58:$DQ$58)/COUNTIF(Distance_Matrix!$E$8:$DQ$8,2))))</f>
        <v>2.916156448961027</v>
      </c>
      <c r="I59" s="18">
        <f>IF(COUNTIF(Distance_Matrix!$E$8:$DQ$8,$E59)&lt;=1,0,(H59-G59)/MAX(G59,H59))</f>
        <v>0.59307409656587495</v>
      </c>
      <c r="X59" s="18">
        <f t="shared" si="52"/>
        <v>6.9308663269636464</v>
      </c>
      <c r="Y59" s="18">
        <f t="shared" si="52"/>
        <v>2.3404987692076227</v>
      </c>
      <c r="Z59" s="56">
        <f t="shared" si="40"/>
        <v>2</v>
      </c>
      <c r="AB59" s="18">
        <f t="shared" si="53"/>
        <v>4.4024796339485448</v>
      </c>
      <c r="AC59" s="18">
        <f t="shared" si="53"/>
        <v>0.89828425961109915</v>
      </c>
      <c r="AD59" s="56">
        <f t="shared" si="41"/>
        <v>2</v>
      </c>
      <c r="AF59" s="18">
        <f t="shared" si="54"/>
        <v>3.8036260160100017</v>
      </c>
      <c r="AG59" s="18">
        <f t="shared" si="54"/>
        <v>0.8551591540659359</v>
      </c>
      <c r="AH59" s="56">
        <f t="shared" si="42"/>
        <v>2</v>
      </c>
      <c r="AJ59" s="18">
        <f t="shared" si="55"/>
        <v>3.2363887530976894</v>
      </c>
      <c r="AK59" s="18">
        <f t="shared" si="55"/>
        <v>0.7817353606584907</v>
      </c>
      <c r="AL59" s="56">
        <f t="shared" si="43"/>
        <v>2</v>
      </c>
      <c r="AN59" s="18">
        <f t="shared" si="56"/>
        <v>3.0382857715125606</v>
      </c>
      <c r="AO59" s="18">
        <f t="shared" si="56"/>
        <v>0.77508575886879916</v>
      </c>
      <c r="AP59" s="56">
        <f t="shared" si="44"/>
        <v>2</v>
      </c>
      <c r="AR59" s="18">
        <f t="shared" si="57"/>
        <v>2.9161970839412805</v>
      </c>
      <c r="AS59" s="18">
        <f t="shared" si="57"/>
        <v>0.77678688281500741</v>
      </c>
      <c r="AT59" s="56">
        <f t="shared" si="45"/>
        <v>2</v>
      </c>
      <c r="AV59" s="18">
        <f t="shared" si="58"/>
        <v>2.8759790902247486</v>
      </c>
      <c r="AW59" s="18">
        <f t="shared" si="58"/>
        <v>0.78030819214962122</v>
      </c>
      <c r="AX59" s="56">
        <f t="shared" si="46"/>
        <v>2</v>
      </c>
      <c r="AZ59" s="18">
        <f t="shared" si="59"/>
        <v>2.8409218653625361</v>
      </c>
      <c r="BA59" s="18">
        <f t="shared" si="59"/>
        <v>0.77672574767520042</v>
      </c>
      <c r="BB59" s="56">
        <f t="shared" si="47"/>
        <v>2</v>
      </c>
      <c r="BD59" s="18">
        <f t="shared" si="60"/>
        <v>2.8409218653625361</v>
      </c>
      <c r="BE59" s="18">
        <f t="shared" si="60"/>
        <v>0.77672574767520042</v>
      </c>
      <c r="BF59" s="56">
        <f t="shared" si="48"/>
        <v>2</v>
      </c>
      <c r="BH59" s="18">
        <f t="shared" si="61"/>
        <v>2.8409218653625361</v>
      </c>
      <c r="BI59" s="18">
        <f t="shared" si="61"/>
        <v>0.77672574767520042</v>
      </c>
      <c r="BJ59" s="56">
        <f t="shared" si="49"/>
        <v>2</v>
      </c>
      <c r="BL59" s="18">
        <f t="shared" si="62"/>
        <v>2.8409218653625361</v>
      </c>
      <c r="BM59" s="18">
        <f t="shared" si="62"/>
        <v>0.77672574767520042</v>
      </c>
      <c r="BN59" s="56">
        <f t="shared" si="50"/>
        <v>2</v>
      </c>
      <c r="BP59" s="18">
        <f t="shared" si="63"/>
        <v>2.8409218653625361</v>
      </c>
      <c r="BQ59" s="18">
        <f t="shared" si="63"/>
        <v>0.77672574767520042</v>
      </c>
      <c r="BR59" s="56">
        <f t="shared" si="51"/>
        <v>2</v>
      </c>
    </row>
    <row r="60" spans="1:70" x14ac:dyDescent="0.25">
      <c r="A60" s="36" t="str">
        <f>KMeans_Data!A50</f>
        <v>Bannu</v>
      </c>
      <c r="B60" s="18">
        <f>KMeans_Data!H50</f>
        <v>0.23252879576454735</v>
      </c>
      <c r="C60" s="18">
        <f>KMeans_Data!I50</f>
        <v>0.16051258962499582</v>
      </c>
      <c r="D60" s="18">
        <f>KMeans_Data!J50</f>
        <v>0.38161671714246476</v>
      </c>
      <c r="E60" s="56">
        <f t="shared" si="38"/>
        <v>2</v>
      </c>
      <c r="F60" s="38">
        <f t="shared" si="39"/>
        <v>1.6743549398523279</v>
      </c>
      <c r="G60" s="18">
        <f>IF(COUNTIF(Distance_Matrix!$E$8:$DQ$8,$E60)&lt;=1,0,SUMIF(Distance_Matrix!$E$8:$DQ$8,$E60,Distance_Matrix!$E$59:$DQ$59)/(COUNTIF(Distance_Matrix!$E$8:$DQ$8,$E60)-1))</f>
        <v>1.5224275564202439</v>
      </c>
      <c r="H60" s="18">
        <f>MIN(IF(1=$E60,1E+99,IF(COUNTIF(Distance_Matrix!$E$8:$DQ$8,1)=0,1E+99,SUMIF(Distance_Matrix!$E$8:$DQ$8,1,Distance_Matrix!$E$59:$DQ$59)/COUNTIF(Distance_Matrix!$E$8:$DQ$8,1))),IF(2=$E60,1E+99,IF(COUNTIF(Distance_Matrix!$E$8:$DQ$8,2)=0,1E+99,SUMIF(Distance_Matrix!$E$8:$DQ$8,2,Distance_Matrix!$E$59:$DQ$59)/COUNTIF(Distance_Matrix!$E$8:$DQ$8,2))))</f>
        <v>1.6393280977769784</v>
      </c>
      <c r="I60" s="18">
        <f>IF(COUNTIF(Distance_Matrix!$E$8:$DQ$8,$E60)&lt;=1,0,(H60-G60)/MAX(G60,H60))</f>
        <v>7.1310033369926557E-2</v>
      </c>
      <c r="X60" s="18">
        <f t="shared" si="52"/>
        <v>5.7041330215925905</v>
      </c>
      <c r="Y60" s="18">
        <f t="shared" si="52"/>
        <v>2.8936592946750208</v>
      </c>
      <c r="Z60" s="56">
        <f t="shared" si="40"/>
        <v>2</v>
      </c>
      <c r="AB60" s="18">
        <f t="shared" si="53"/>
        <v>3.1665212958581432</v>
      </c>
      <c r="AC60" s="18">
        <f t="shared" si="53"/>
        <v>0.79215425777866044</v>
      </c>
      <c r="AD60" s="56">
        <f t="shared" si="41"/>
        <v>2</v>
      </c>
      <c r="AF60" s="18">
        <f t="shared" si="54"/>
        <v>2.5556634178167834</v>
      </c>
      <c r="AG60" s="18">
        <f t="shared" si="54"/>
        <v>0.89051910729033779</v>
      </c>
      <c r="AH60" s="56">
        <f t="shared" si="42"/>
        <v>2</v>
      </c>
      <c r="AJ60" s="18">
        <f t="shared" si="55"/>
        <v>1.9457310383525146</v>
      </c>
      <c r="AK60" s="18">
        <f t="shared" si="55"/>
        <v>1.0968558925462395</v>
      </c>
      <c r="AL60" s="56">
        <f t="shared" si="43"/>
        <v>2</v>
      </c>
      <c r="AN60" s="18">
        <f t="shared" si="56"/>
        <v>1.7361966406041591</v>
      </c>
      <c r="AO60" s="18">
        <f t="shared" si="56"/>
        <v>1.2035571022639919</v>
      </c>
      <c r="AP60" s="56">
        <f t="shared" si="44"/>
        <v>2</v>
      </c>
      <c r="AR60" s="18">
        <f t="shared" si="57"/>
        <v>1.6090063655690858</v>
      </c>
      <c r="AS60" s="18">
        <f t="shared" si="57"/>
        <v>1.2589880882554156</v>
      </c>
      <c r="AT60" s="56">
        <f t="shared" si="45"/>
        <v>2</v>
      </c>
      <c r="AV60" s="18">
        <f t="shared" si="58"/>
        <v>1.569356234319736</v>
      </c>
      <c r="AW60" s="18">
        <f t="shared" si="58"/>
        <v>1.2766473202769135</v>
      </c>
      <c r="AX60" s="56">
        <f t="shared" si="46"/>
        <v>2</v>
      </c>
      <c r="AZ60" s="18">
        <f t="shared" si="59"/>
        <v>1.5297699374669798</v>
      </c>
      <c r="BA60" s="18">
        <f t="shared" si="59"/>
        <v>1.293968678080087</v>
      </c>
      <c r="BB60" s="56">
        <f t="shared" si="47"/>
        <v>2</v>
      </c>
      <c r="BD60" s="18">
        <f t="shared" si="60"/>
        <v>1.5297699374669798</v>
      </c>
      <c r="BE60" s="18">
        <f t="shared" si="60"/>
        <v>1.293968678080087</v>
      </c>
      <c r="BF60" s="56">
        <f t="shared" si="48"/>
        <v>2</v>
      </c>
      <c r="BH60" s="18">
        <f t="shared" si="61"/>
        <v>1.5297699374669798</v>
      </c>
      <c r="BI60" s="18">
        <f t="shared" si="61"/>
        <v>1.293968678080087</v>
      </c>
      <c r="BJ60" s="56">
        <f t="shared" si="49"/>
        <v>2</v>
      </c>
      <c r="BL60" s="18">
        <f t="shared" si="62"/>
        <v>1.5297699374669798</v>
      </c>
      <c r="BM60" s="18">
        <f t="shared" si="62"/>
        <v>1.293968678080087</v>
      </c>
      <c r="BN60" s="56">
        <f t="shared" si="50"/>
        <v>2</v>
      </c>
      <c r="BP60" s="18">
        <f t="shared" si="63"/>
        <v>1.5297699374669798</v>
      </c>
      <c r="BQ60" s="18">
        <f t="shared" si="63"/>
        <v>1.293968678080087</v>
      </c>
      <c r="BR60" s="56">
        <f t="shared" si="51"/>
        <v>2</v>
      </c>
    </row>
    <row r="61" spans="1:70" x14ac:dyDescent="0.25">
      <c r="A61" s="36" t="str">
        <f>KMeans_Data!A51</f>
        <v>Lodhran</v>
      </c>
      <c r="B61" s="18">
        <f>KMeans_Data!H51</f>
        <v>0.20097549778195881</v>
      </c>
      <c r="C61" s="18">
        <f>KMeans_Data!I51</f>
        <v>-0.67265054538827607</v>
      </c>
      <c r="D61" s="18">
        <f>KMeans_Data!J51</f>
        <v>-1.1456441163335547</v>
      </c>
      <c r="E61" s="56">
        <f t="shared" si="38"/>
        <v>2</v>
      </c>
      <c r="F61" s="38">
        <f t="shared" si="39"/>
        <v>0.87231200625455951</v>
      </c>
      <c r="G61" s="18">
        <f>IF(COUNTIF(Distance_Matrix!$E$8:$DQ$8,$E61)&lt;=1,0,SUMIF(Distance_Matrix!$E$8:$DQ$8,$E61,Distance_Matrix!$E$60:$DQ$60)/(COUNTIF(Distance_Matrix!$E$8:$DQ$8,$E61)-1))</f>
        <v>1.2776543151287032</v>
      </c>
      <c r="H61" s="18">
        <f>MIN(IF(1=$E61,1E+99,IF(COUNTIF(Distance_Matrix!$E$8:$DQ$8,1)=0,1E+99,SUMIF(Distance_Matrix!$E$8:$DQ$8,1,Distance_Matrix!$E$60:$DQ$60)/COUNTIF(Distance_Matrix!$E$8:$DQ$8,1))),IF(2=$E61,1E+99,IF(COUNTIF(Distance_Matrix!$E$8:$DQ$8,2)=0,1E+99,SUMIF(Distance_Matrix!$E$8:$DQ$8,2,Distance_Matrix!$E$60:$DQ$60)/COUNTIF(Distance_Matrix!$E$8:$DQ$8,2))))</f>
        <v>3.1587048762079983</v>
      </c>
      <c r="I61" s="18">
        <f>IF(COUNTIF(Distance_Matrix!$E$8:$DQ$8,$E61)&lt;=1,0,(H61-G61)/MAX(G61,H61))</f>
        <v>0.5955132355820093</v>
      </c>
      <c r="X61" s="18">
        <f t="shared" si="52"/>
        <v>7.1406705471015224</v>
      </c>
      <c r="Y61" s="18">
        <f t="shared" si="52"/>
        <v>2.2807134795852875</v>
      </c>
      <c r="Z61" s="56">
        <f t="shared" si="40"/>
        <v>2</v>
      </c>
      <c r="AB61" s="18">
        <f t="shared" si="53"/>
        <v>4.6201091439253306</v>
      </c>
      <c r="AC61" s="18">
        <f t="shared" si="53"/>
        <v>1.1389634486797555</v>
      </c>
      <c r="AD61" s="56">
        <f t="shared" si="41"/>
        <v>2</v>
      </c>
      <c r="AF61" s="18">
        <f t="shared" si="54"/>
        <v>4.0238266509991751</v>
      </c>
      <c r="AG61" s="18">
        <f t="shared" si="54"/>
        <v>1.0884354294973981</v>
      </c>
      <c r="AH61" s="56">
        <f t="shared" si="42"/>
        <v>2</v>
      </c>
      <c r="AJ61" s="18">
        <f t="shared" si="55"/>
        <v>3.4674744333953442</v>
      </c>
      <c r="AK61" s="18">
        <f t="shared" si="55"/>
        <v>0.98683374142694147</v>
      </c>
      <c r="AL61" s="56">
        <f t="shared" si="43"/>
        <v>2</v>
      </c>
      <c r="AN61" s="18">
        <f t="shared" si="56"/>
        <v>3.2766785361213171</v>
      </c>
      <c r="AO61" s="18">
        <f t="shared" si="56"/>
        <v>0.95413845411862752</v>
      </c>
      <c r="AP61" s="56">
        <f t="shared" si="44"/>
        <v>2</v>
      </c>
      <c r="AR61" s="18">
        <f t="shared" si="57"/>
        <v>3.1570212271555924</v>
      </c>
      <c r="AS61" s="18">
        <f t="shared" si="57"/>
        <v>0.94188735258782896</v>
      </c>
      <c r="AT61" s="56">
        <f t="shared" si="45"/>
        <v>2</v>
      </c>
      <c r="AV61" s="18">
        <f t="shared" si="58"/>
        <v>3.1169753624287089</v>
      </c>
      <c r="AW61" s="18">
        <f t="shared" si="58"/>
        <v>0.94123728914009519</v>
      </c>
      <c r="AX61" s="56">
        <f t="shared" si="46"/>
        <v>2</v>
      </c>
      <c r="AZ61" s="18">
        <f t="shared" si="59"/>
        <v>3.0823040504196761</v>
      </c>
      <c r="BA61" s="18">
        <f t="shared" si="59"/>
        <v>0.93397644844747529</v>
      </c>
      <c r="BB61" s="56">
        <f t="shared" si="47"/>
        <v>2</v>
      </c>
      <c r="BD61" s="18">
        <f t="shared" si="60"/>
        <v>3.0823040504196761</v>
      </c>
      <c r="BE61" s="18">
        <f t="shared" si="60"/>
        <v>0.93397644844747529</v>
      </c>
      <c r="BF61" s="56">
        <f t="shared" si="48"/>
        <v>2</v>
      </c>
      <c r="BH61" s="18">
        <f t="shared" si="61"/>
        <v>3.0823040504196761</v>
      </c>
      <c r="BI61" s="18">
        <f t="shared" si="61"/>
        <v>0.93397644844747529</v>
      </c>
      <c r="BJ61" s="56">
        <f t="shared" si="49"/>
        <v>2</v>
      </c>
      <c r="BL61" s="18">
        <f t="shared" si="62"/>
        <v>3.0823040504196761</v>
      </c>
      <c r="BM61" s="18">
        <f t="shared" si="62"/>
        <v>0.93397644844747529</v>
      </c>
      <c r="BN61" s="56">
        <f t="shared" si="50"/>
        <v>2</v>
      </c>
      <c r="BP61" s="18">
        <f t="shared" si="63"/>
        <v>3.0823040504196761</v>
      </c>
      <c r="BQ61" s="18">
        <f t="shared" si="63"/>
        <v>0.93397644844747529</v>
      </c>
      <c r="BR61" s="56">
        <f t="shared" si="51"/>
        <v>2</v>
      </c>
    </row>
    <row r="62" spans="1:70" x14ac:dyDescent="0.25">
      <c r="A62" s="36" t="str">
        <f>KMeans_Data!A52</f>
        <v>Jacobabad</v>
      </c>
      <c r="B62" s="18">
        <f>KMeans_Data!H52</f>
        <v>0.20097549778195881</v>
      </c>
      <c r="C62" s="18">
        <f>KMeans_Data!I52</f>
        <v>-0.67265054538827607</v>
      </c>
      <c r="D62" s="18">
        <f>KMeans_Data!J52</f>
        <v>1.0325157420155633</v>
      </c>
      <c r="E62" s="56">
        <f t="shared" si="38"/>
        <v>2</v>
      </c>
      <c r="F62" s="38">
        <f t="shared" si="39"/>
        <v>2.7538373647255199</v>
      </c>
      <c r="G62" s="18">
        <f>IF(COUNTIF(Distance_Matrix!$E$8:$DQ$8,$E62)&lt;=1,0,SUMIF(Distance_Matrix!$E$8:$DQ$8,$E62,Distance_Matrix!$E$61:$DQ$61)/(COUNTIF(Distance_Matrix!$E$8:$DQ$8,$E62)-1))</f>
        <v>1.8218940702312727</v>
      </c>
      <c r="H62" s="18">
        <f>MIN(IF(1=$E62,1E+99,IF(COUNTIF(Distance_Matrix!$E$8:$DQ$8,1)=0,1E+99,SUMIF(Distance_Matrix!$E$8:$DQ$8,1,Distance_Matrix!$E$61:$DQ$61)/COUNTIF(Distance_Matrix!$E$8:$DQ$8,1))),IF(2=$E62,1E+99,IF(COUNTIF(Distance_Matrix!$E$8:$DQ$8,2)=0,1E+99,SUMIF(Distance_Matrix!$E$8:$DQ$8,2,Distance_Matrix!$E$61:$DQ$61)/COUNTIF(Distance_Matrix!$E$8:$DQ$8,2))))</f>
        <v>2.1746975699898758</v>
      </c>
      <c r="I62" s="18">
        <f>IF(COUNTIF(Distance_Matrix!$E$8:$DQ$8,$E62)&lt;=1,0,(H62-G62)/MAX(G62,H62))</f>
        <v>0.16223106358657752</v>
      </c>
      <c r="X62" s="18">
        <f t="shared" si="52"/>
        <v>6.0475538042601258</v>
      </c>
      <c r="Y62" s="18">
        <f t="shared" si="52"/>
        <v>3.1537333978136894</v>
      </c>
      <c r="Z62" s="56">
        <f t="shared" si="40"/>
        <v>2</v>
      </c>
      <c r="AB62" s="18">
        <f t="shared" si="53"/>
        <v>3.6014010170771571</v>
      </c>
      <c r="AC62" s="18">
        <f t="shared" si="53"/>
        <v>1.3455619784931283</v>
      </c>
      <c r="AD62" s="56">
        <f t="shared" si="41"/>
        <v>2</v>
      </c>
      <c r="AF62" s="18">
        <f t="shared" si="54"/>
        <v>3.0429716231668804</v>
      </c>
      <c r="AG62" s="18">
        <f t="shared" si="54"/>
        <v>1.3861392074682937</v>
      </c>
      <c r="AH62" s="56">
        <f t="shared" si="42"/>
        <v>2</v>
      </c>
      <c r="AJ62" s="18">
        <f t="shared" si="55"/>
        <v>2.4654089822260818</v>
      </c>
      <c r="AK62" s="18">
        <f t="shared" si="55"/>
        <v>1.5086404297921729</v>
      </c>
      <c r="AL62" s="56">
        <f t="shared" si="43"/>
        <v>2</v>
      </c>
      <c r="AN62" s="18">
        <f t="shared" si="56"/>
        <v>2.2465768300114481</v>
      </c>
      <c r="AO62" s="18">
        <f t="shared" si="56"/>
        <v>1.5940202654266784</v>
      </c>
      <c r="AP62" s="56">
        <f t="shared" si="44"/>
        <v>2</v>
      </c>
      <c r="AR62" s="18">
        <f t="shared" si="57"/>
        <v>2.1299933233196415</v>
      </c>
      <c r="AS62" s="18">
        <f t="shared" si="57"/>
        <v>1.63618917540751</v>
      </c>
      <c r="AT62" s="56">
        <f t="shared" si="45"/>
        <v>2</v>
      </c>
      <c r="AV62" s="18">
        <f t="shared" si="58"/>
        <v>2.0979379472784569</v>
      </c>
      <c r="AW62" s="18">
        <f t="shared" si="58"/>
        <v>1.6478695525220408</v>
      </c>
      <c r="AX62" s="56">
        <f t="shared" si="46"/>
        <v>2</v>
      </c>
      <c r="AZ62" s="18">
        <f t="shared" si="59"/>
        <v>2.0660914976027671</v>
      </c>
      <c r="BA62" s="18">
        <f t="shared" si="59"/>
        <v>1.6594690008329531</v>
      </c>
      <c r="BB62" s="56">
        <f t="shared" si="47"/>
        <v>2</v>
      </c>
      <c r="BD62" s="18">
        <f t="shared" si="60"/>
        <v>2.0660914976027671</v>
      </c>
      <c r="BE62" s="18">
        <f t="shared" si="60"/>
        <v>1.6594690008329531</v>
      </c>
      <c r="BF62" s="56">
        <f t="shared" si="48"/>
        <v>2</v>
      </c>
      <c r="BH62" s="18">
        <f t="shared" si="61"/>
        <v>2.0660914976027671</v>
      </c>
      <c r="BI62" s="18">
        <f t="shared" si="61"/>
        <v>1.6594690008329531</v>
      </c>
      <c r="BJ62" s="56">
        <f t="shared" si="49"/>
        <v>2</v>
      </c>
      <c r="BL62" s="18">
        <f t="shared" si="62"/>
        <v>2.0660914976027671</v>
      </c>
      <c r="BM62" s="18">
        <f t="shared" si="62"/>
        <v>1.6594690008329531</v>
      </c>
      <c r="BN62" s="56">
        <f t="shared" si="50"/>
        <v>2</v>
      </c>
      <c r="BP62" s="18">
        <f t="shared" si="63"/>
        <v>2.0660914976027671</v>
      </c>
      <c r="BQ62" s="18">
        <f t="shared" si="63"/>
        <v>1.6594690008329531</v>
      </c>
      <c r="BR62" s="56">
        <f t="shared" si="51"/>
        <v>2</v>
      </c>
    </row>
    <row r="63" spans="1:70" x14ac:dyDescent="0.25">
      <c r="A63" s="36" t="str">
        <f>KMeans_Data!A53</f>
        <v>Skardu</v>
      </c>
      <c r="B63" s="18">
        <f>KMeans_Data!H53</f>
        <v>0.19442861878561798</v>
      </c>
      <c r="C63" s="18">
        <f>KMeans_Data!I53</f>
        <v>-0.14698313392952958</v>
      </c>
      <c r="D63" s="18">
        <f>KMeans_Data!J53</f>
        <v>0.79580379308358284</v>
      </c>
      <c r="E63" s="56">
        <f t="shared" si="38"/>
        <v>2</v>
      </c>
      <c r="F63" s="38">
        <f t="shared" si="39"/>
        <v>2.1943044946093608</v>
      </c>
      <c r="G63" s="18">
        <f>IF(COUNTIF(Distance_Matrix!$E$8:$DQ$8,$E63)&lt;=1,0,SUMIF(Distance_Matrix!$E$8:$DQ$8,$E63,Distance_Matrix!$E$62:$DQ$62)/(COUNTIF(Distance_Matrix!$E$8:$DQ$8,$E63)-1))</f>
        <v>1.65300723829616</v>
      </c>
      <c r="H63" s="18">
        <f>MIN(IF(1=$E63,1E+99,IF(COUNTIF(Distance_Matrix!$E$8:$DQ$8,1)=0,1E+99,SUMIF(Distance_Matrix!$E$8:$DQ$8,1,Distance_Matrix!$E$62:$DQ$62)/COUNTIF(Distance_Matrix!$E$8:$DQ$8,1))),IF(2=$E63,1E+99,IF(COUNTIF(Distance_Matrix!$E$8:$DQ$8,2)=0,1E+99,SUMIF(Distance_Matrix!$E$8:$DQ$8,2,Distance_Matrix!$E$62:$DQ$62)/COUNTIF(Distance_Matrix!$E$8:$DQ$8,2))))</f>
        <v>1.7541566872299383</v>
      </c>
      <c r="I63" s="18">
        <f>IF(COUNTIF(Distance_Matrix!$E$8:$DQ$8,$E63)&lt;=1,0,(H63-G63)/MAX(G63,H63))</f>
        <v>5.7662721734115782E-2</v>
      </c>
      <c r="X63" s="18">
        <f t="shared" si="52"/>
        <v>5.748328281005314</v>
      </c>
      <c r="Y63" s="18">
        <f t="shared" si="52"/>
        <v>3.0360138240271897</v>
      </c>
      <c r="Z63" s="56">
        <f t="shared" si="40"/>
        <v>2</v>
      </c>
      <c r="AB63" s="18">
        <f t="shared" si="53"/>
        <v>3.2470686926663626</v>
      </c>
      <c r="AC63" s="18">
        <f t="shared" si="53"/>
        <v>1.0440981235417779</v>
      </c>
      <c r="AD63" s="56">
        <f t="shared" si="41"/>
        <v>2</v>
      </c>
      <c r="AF63" s="18">
        <f t="shared" si="54"/>
        <v>2.6580001531531878</v>
      </c>
      <c r="AG63" s="18">
        <f t="shared" si="54"/>
        <v>1.1182658877393941</v>
      </c>
      <c r="AH63" s="56">
        <f t="shared" si="42"/>
        <v>2</v>
      </c>
      <c r="AJ63" s="18">
        <f t="shared" si="55"/>
        <v>2.0535204954612198</v>
      </c>
      <c r="AK63" s="18">
        <f t="shared" si="55"/>
        <v>1.2962121786277028</v>
      </c>
      <c r="AL63" s="56">
        <f t="shared" si="43"/>
        <v>2</v>
      </c>
      <c r="AN63" s="18">
        <f t="shared" si="56"/>
        <v>1.8346134653066621</v>
      </c>
      <c r="AO63" s="18">
        <f t="shared" si="56"/>
        <v>1.3984747429620175</v>
      </c>
      <c r="AP63" s="56">
        <f t="shared" si="44"/>
        <v>2</v>
      </c>
      <c r="AR63" s="18">
        <f t="shared" si="57"/>
        <v>1.7107191955475685</v>
      </c>
      <c r="AS63" s="18">
        <f t="shared" si="57"/>
        <v>1.450243033129119</v>
      </c>
      <c r="AT63" s="56">
        <f t="shared" si="45"/>
        <v>2</v>
      </c>
      <c r="AV63" s="18">
        <f t="shared" si="58"/>
        <v>1.6749341903265949</v>
      </c>
      <c r="AW63" s="18">
        <f t="shared" si="58"/>
        <v>1.4656613565404748</v>
      </c>
      <c r="AX63" s="56">
        <f t="shared" si="46"/>
        <v>2</v>
      </c>
      <c r="AZ63" s="18">
        <f t="shared" si="59"/>
        <v>1.6382800951326892</v>
      </c>
      <c r="BA63" s="18">
        <f t="shared" si="59"/>
        <v>1.4813184987062575</v>
      </c>
      <c r="BB63" s="56">
        <f t="shared" si="47"/>
        <v>2</v>
      </c>
      <c r="BD63" s="18">
        <f t="shared" si="60"/>
        <v>1.6382800951326892</v>
      </c>
      <c r="BE63" s="18">
        <f t="shared" si="60"/>
        <v>1.4813184987062575</v>
      </c>
      <c r="BF63" s="56">
        <f t="shared" si="48"/>
        <v>2</v>
      </c>
      <c r="BH63" s="18">
        <f t="shared" si="61"/>
        <v>1.6382800951326892</v>
      </c>
      <c r="BI63" s="18">
        <f t="shared" si="61"/>
        <v>1.4813184987062575</v>
      </c>
      <c r="BJ63" s="56">
        <f t="shared" si="49"/>
        <v>2</v>
      </c>
      <c r="BL63" s="18">
        <f t="shared" si="62"/>
        <v>1.6382800951326892</v>
      </c>
      <c r="BM63" s="18">
        <f t="shared" si="62"/>
        <v>1.4813184987062575</v>
      </c>
      <c r="BN63" s="56">
        <f t="shared" si="50"/>
        <v>2</v>
      </c>
      <c r="BP63" s="18">
        <f t="shared" si="63"/>
        <v>1.6382800951326892</v>
      </c>
      <c r="BQ63" s="18">
        <f t="shared" si="63"/>
        <v>1.4813184987062575</v>
      </c>
      <c r="BR63" s="56">
        <f t="shared" si="51"/>
        <v>2</v>
      </c>
    </row>
    <row r="64" spans="1:70" x14ac:dyDescent="0.25">
      <c r="A64" s="36" t="str">
        <f>KMeans_Data!A54</f>
        <v>Sialkot</v>
      </c>
      <c r="B64" s="18">
        <f>KMeans_Data!H54</f>
        <v>0.19442861878561798</v>
      </c>
      <c r="C64" s="18">
        <f>KMeans_Data!I54</f>
        <v>-0.67265054538827607</v>
      </c>
      <c r="D64" s="18">
        <f>KMeans_Data!J54</f>
        <v>-1.1456441163335547</v>
      </c>
      <c r="E64" s="56">
        <f t="shared" si="38"/>
        <v>2</v>
      </c>
      <c r="F64" s="38">
        <f t="shared" si="39"/>
        <v>0.86390685043583992</v>
      </c>
      <c r="G64" s="18">
        <f>IF(COUNTIF(Distance_Matrix!$E$8:$DQ$8,$E64)&lt;=1,0,SUMIF(Distance_Matrix!$E$8:$DQ$8,$E64,Distance_Matrix!$E$63:$DQ$63)/(COUNTIF(Distance_Matrix!$E$8:$DQ$8,$E64)-1))</f>
        <v>1.274224684659895</v>
      </c>
      <c r="H64" s="18">
        <f>MIN(IF(1=$E64,1E+99,IF(COUNTIF(Distance_Matrix!$E$8:$DQ$8,1)=0,1E+99,SUMIF(Distance_Matrix!$E$8:$DQ$8,1,Distance_Matrix!$E$63:$DQ$63)/COUNTIF(Distance_Matrix!$E$8:$DQ$8,1))),IF(2=$E64,1E+99,IF(COUNTIF(Distance_Matrix!$E$8:$DQ$8,2)=0,1E+99,SUMIF(Distance_Matrix!$E$8:$DQ$8,2,Distance_Matrix!$E$63:$DQ$63)/COUNTIF(Distance_Matrix!$E$8:$DQ$8,2))))</f>
        <v>3.1602272765391515</v>
      </c>
      <c r="I64" s="18">
        <f>IF(COUNTIF(Distance_Matrix!$E$8:$DQ$8,$E64)&lt;=1,0,(H64-G64)/MAX(G64,H64))</f>
        <v>0.59679334011212881</v>
      </c>
      <c r="X64" s="18">
        <f t="shared" si="52"/>
        <v>7.1434907577509605</v>
      </c>
      <c r="Y64" s="18">
        <f t="shared" si="52"/>
        <v>2.2741666005889467</v>
      </c>
      <c r="Z64" s="56">
        <f t="shared" si="40"/>
        <v>2</v>
      </c>
      <c r="AB64" s="18">
        <f t="shared" si="53"/>
        <v>4.622625915861466</v>
      </c>
      <c r="AC64" s="18">
        <f t="shared" si="53"/>
        <v>1.136764328326916</v>
      </c>
      <c r="AD64" s="56">
        <f t="shared" si="41"/>
        <v>2</v>
      </c>
      <c r="AF64" s="18">
        <f t="shared" si="54"/>
        <v>4.0261316201902497</v>
      </c>
      <c r="AG64" s="18">
        <f t="shared" si="54"/>
        <v>1.0858147507469242</v>
      </c>
      <c r="AH64" s="56">
        <f t="shared" si="42"/>
        <v>2</v>
      </c>
      <c r="AJ64" s="18">
        <f t="shared" si="55"/>
        <v>3.4694223589397892</v>
      </c>
      <c r="AK64" s="18">
        <f t="shared" si="55"/>
        <v>0.98329895678767165</v>
      </c>
      <c r="AL64" s="56">
        <f t="shared" si="43"/>
        <v>2</v>
      </c>
      <c r="AN64" s="18">
        <f t="shared" si="56"/>
        <v>3.278579871194101</v>
      </c>
      <c r="AO64" s="18">
        <f t="shared" si="56"/>
        <v>0.95005317852379145</v>
      </c>
      <c r="AP64" s="56">
        <f t="shared" si="44"/>
        <v>2</v>
      </c>
      <c r="AR64" s="18">
        <f t="shared" si="57"/>
        <v>3.1588684314959923</v>
      </c>
      <c r="AS64" s="18">
        <f t="shared" si="57"/>
        <v>0.93753015187684086</v>
      </c>
      <c r="AT64" s="56">
        <f t="shared" si="45"/>
        <v>2</v>
      </c>
      <c r="AV64" s="18">
        <f t="shared" si="58"/>
        <v>3.1188118890415741</v>
      </c>
      <c r="AW64" s="18">
        <f t="shared" si="58"/>
        <v>0.93679629439339318</v>
      </c>
      <c r="AX64" s="56">
        <f t="shared" si="46"/>
        <v>2</v>
      </c>
      <c r="AZ64" s="18">
        <f t="shared" si="59"/>
        <v>3.0840941633314434</v>
      </c>
      <c r="BA64" s="18">
        <f t="shared" si="59"/>
        <v>0.92946589525159018</v>
      </c>
      <c r="BB64" s="56">
        <f t="shared" si="47"/>
        <v>2</v>
      </c>
      <c r="BD64" s="18">
        <f t="shared" si="60"/>
        <v>3.0840941633314434</v>
      </c>
      <c r="BE64" s="18">
        <f t="shared" si="60"/>
        <v>0.92946589525159018</v>
      </c>
      <c r="BF64" s="56">
        <f t="shared" si="48"/>
        <v>2</v>
      </c>
      <c r="BH64" s="18">
        <f t="shared" si="61"/>
        <v>3.0840941633314434</v>
      </c>
      <c r="BI64" s="18">
        <f t="shared" si="61"/>
        <v>0.92946589525159018</v>
      </c>
      <c r="BJ64" s="56">
        <f t="shared" si="49"/>
        <v>2</v>
      </c>
      <c r="BL64" s="18">
        <f t="shared" si="62"/>
        <v>3.0840941633314434</v>
      </c>
      <c r="BM64" s="18">
        <f t="shared" si="62"/>
        <v>0.92946589525159018</v>
      </c>
      <c r="BN64" s="56">
        <f t="shared" si="50"/>
        <v>2</v>
      </c>
      <c r="BP64" s="18">
        <f t="shared" si="63"/>
        <v>3.0840941633314434</v>
      </c>
      <c r="BQ64" s="18">
        <f t="shared" si="63"/>
        <v>0.92946589525159018</v>
      </c>
      <c r="BR64" s="56">
        <f t="shared" si="51"/>
        <v>2</v>
      </c>
    </row>
    <row r="65" spans="1:70" x14ac:dyDescent="0.25">
      <c r="A65" s="36" t="str">
        <f>KMeans_Data!A55</f>
        <v>Faisalabad</v>
      </c>
      <c r="B65" s="18">
        <f>KMeans_Data!H55</f>
        <v>0.18779833781528543</v>
      </c>
      <c r="C65" s="18">
        <f>KMeans_Data!I55</f>
        <v>-0.67265054538827607</v>
      </c>
      <c r="D65" s="18">
        <f>KMeans_Data!J55</f>
        <v>-1.1456441163335547</v>
      </c>
      <c r="E65" s="56">
        <f t="shared" si="38"/>
        <v>2</v>
      </c>
      <c r="F65" s="38">
        <f t="shared" si="39"/>
        <v>0.85548198796364372</v>
      </c>
      <c r="G65" s="18">
        <f>IF(COUNTIF(Distance_Matrix!$E$8:$DQ$8,$E65)&lt;=1,0,SUMIF(Distance_Matrix!$E$8:$DQ$8,$E65,Distance_Matrix!$E$64:$DQ$64)/(COUNTIF(Distance_Matrix!$E$8:$DQ$8,$E65)-1))</f>
        <v>1.2709326218677977</v>
      </c>
      <c r="H65" s="18">
        <f>MIN(IF(1=$E65,1E+99,IF(COUNTIF(Distance_Matrix!$E$8:$DQ$8,1)=0,1E+99,SUMIF(Distance_Matrix!$E$8:$DQ$8,1,Distance_Matrix!$E$64:$DQ$64)/COUNTIF(Distance_Matrix!$E$8:$DQ$8,1))),IF(2=$E65,1E+99,IF(COUNTIF(Distance_Matrix!$E$8:$DQ$8,2)=0,1E+99,SUMIF(Distance_Matrix!$E$8:$DQ$8,2,Distance_Matrix!$E$64:$DQ$64)/COUNTIF(Distance_Matrix!$E$8:$DQ$8,2))))</f>
        <v>3.1617835498329141</v>
      </c>
      <c r="I65" s="18">
        <f>IF(COUNTIF(Distance_Matrix!$E$8:$DQ$8,$E65)&lt;=1,0,(H65-G65)/MAX(G65,H65))</f>
        <v>0.59803300832058515</v>
      </c>
      <c r="X65" s="18">
        <f t="shared" si="52"/>
        <v>7.1463518740909944</v>
      </c>
      <c r="Y65" s="18">
        <f t="shared" si="52"/>
        <v>2.267536319618614</v>
      </c>
      <c r="Z65" s="56">
        <f t="shared" si="40"/>
        <v>2</v>
      </c>
      <c r="AB65" s="18">
        <f t="shared" si="53"/>
        <v>4.6251827985304139</v>
      </c>
      <c r="AC65" s="18">
        <f t="shared" si="53"/>
        <v>1.1345713519153868</v>
      </c>
      <c r="AD65" s="56">
        <f t="shared" si="41"/>
        <v>2</v>
      </c>
      <c r="AF65" s="18">
        <f t="shared" si="54"/>
        <v>4.0284754525444235</v>
      </c>
      <c r="AG65" s="18">
        <f t="shared" si="54"/>
        <v>1.0831945540324524</v>
      </c>
      <c r="AH65" s="56">
        <f t="shared" si="42"/>
        <v>2</v>
      </c>
      <c r="AJ65" s="18">
        <f t="shared" si="55"/>
        <v>3.4714065694721574</v>
      </c>
      <c r="AK65" s="18">
        <f t="shared" si="55"/>
        <v>0.9797507316658719</v>
      </c>
      <c r="AL65" s="56">
        <f t="shared" si="43"/>
        <v>2</v>
      </c>
      <c r="AN65" s="18">
        <f t="shared" si="56"/>
        <v>3.2805176208722182</v>
      </c>
      <c r="AO65" s="18">
        <f t="shared" si="56"/>
        <v>0.94594405892009448</v>
      </c>
      <c r="AP65" s="56">
        <f t="shared" si="44"/>
        <v>2</v>
      </c>
      <c r="AR65" s="18">
        <f t="shared" si="57"/>
        <v>3.1607518883070695</v>
      </c>
      <c r="AS65" s="18">
        <f t="shared" si="57"/>
        <v>0.9331435224007304</v>
      </c>
      <c r="AT65" s="56">
        <f t="shared" si="45"/>
        <v>2</v>
      </c>
      <c r="AV65" s="18">
        <f t="shared" si="58"/>
        <v>3.1206847082686209</v>
      </c>
      <c r="AW65" s="18">
        <f t="shared" si="58"/>
        <v>0.93232402038840212</v>
      </c>
      <c r="AX65" s="56">
        <f t="shared" si="46"/>
        <v>2</v>
      </c>
      <c r="AZ65" s="18">
        <f t="shared" si="59"/>
        <v>3.0859201784667727</v>
      </c>
      <c r="BA65" s="18">
        <f t="shared" si="59"/>
        <v>0.92492269296608987</v>
      </c>
      <c r="BB65" s="56">
        <f t="shared" si="47"/>
        <v>2</v>
      </c>
      <c r="BD65" s="18">
        <f t="shared" si="60"/>
        <v>3.0859201784667727</v>
      </c>
      <c r="BE65" s="18">
        <f t="shared" si="60"/>
        <v>0.92492269296608987</v>
      </c>
      <c r="BF65" s="56">
        <f t="shared" si="48"/>
        <v>2</v>
      </c>
      <c r="BH65" s="18">
        <f t="shared" si="61"/>
        <v>3.0859201784667727</v>
      </c>
      <c r="BI65" s="18">
        <f t="shared" si="61"/>
        <v>0.92492269296608987</v>
      </c>
      <c r="BJ65" s="56">
        <f t="shared" si="49"/>
        <v>2</v>
      </c>
      <c r="BL65" s="18">
        <f t="shared" si="62"/>
        <v>3.0859201784667727</v>
      </c>
      <c r="BM65" s="18">
        <f t="shared" si="62"/>
        <v>0.92492269296608987</v>
      </c>
      <c r="BN65" s="56">
        <f t="shared" si="50"/>
        <v>2</v>
      </c>
      <c r="BP65" s="18">
        <f t="shared" si="63"/>
        <v>3.0859201784667727</v>
      </c>
      <c r="BQ65" s="18">
        <f t="shared" si="63"/>
        <v>0.92492269296608987</v>
      </c>
      <c r="BR65" s="56">
        <f t="shared" si="51"/>
        <v>2</v>
      </c>
    </row>
    <row r="66" spans="1:70" x14ac:dyDescent="0.25">
      <c r="A66" s="36" t="str">
        <f>KMeans_Data!A56</f>
        <v>Jhelum</v>
      </c>
      <c r="B66" s="18">
        <f>KMeans_Data!H56</f>
        <v>0.16738513255089196</v>
      </c>
      <c r="C66" s="18">
        <f>KMeans_Data!I56</f>
        <v>-0.67265054538827607</v>
      </c>
      <c r="D66" s="18">
        <f>KMeans_Data!J56</f>
        <v>-0.50324791546397885</v>
      </c>
      <c r="E66" s="56">
        <f t="shared" si="38"/>
        <v>2</v>
      </c>
      <c r="F66" s="38">
        <f t="shared" si="39"/>
        <v>0.39843790201424839</v>
      </c>
      <c r="G66" s="18">
        <f>IF(COUNTIF(Distance_Matrix!$E$8:$DQ$8,$E66)&lt;=1,0,SUMIF(Distance_Matrix!$E$8:$DQ$8,$E66,Distance_Matrix!$E$65:$DQ$65)/(COUNTIF(Distance_Matrix!$E$8:$DQ$8,$E66)-1))</f>
        <v>1.1077736576263839</v>
      </c>
      <c r="H66" s="18">
        <f>MIN(IF(1=$E66,1E+99,IF(COUNTIF(Distance_Matrix!$E$8:$DQ$8,1)=0,1E+99,SUMIF(Distance_Matrix!$E$8:$DQ$8,1,Distance_Matrix!$E$65:$DQ$65)/COUNTIF(Distance_Matrix!$E$8:$DQ$8,1))),IF(2=$E66,1E+99,IF(COUNTIF(Distance_Matrix!$E$8:$DQ$8,2)=0,1E+99,SUMIF(Distance_Matrix!$E$8:$DQ$8,2,Distance_Matrix!$E$65:$DQ$65)/COUNTIF(Distance_Matrix!$E$8:$DQ$8,2))))</f>
        <v>2.7203008134157658</v>
      </c>
      <c r="I66" s="18">
        <f>IF(COUNTIF(Distance_Matrix!$E$8:$DQ$8,$E66)&lt;=1,0,(H66-G66)/MAX(G66,H66))</f>
        <v>0.59277530919994115</v>
      </c>
      <c r="X66" s="18">
        <f t="shared" si="52"/>
        <v>6.7792676747337426</v>
      </c>
      <c r="Y66" s="18">
        <f t="shared" si="52"/>
        <v>2.3371425223885418</v>
      </c>
      <c r="Z66" s="56">
        <f t="shared" si="40"/>
        <v>2</v>
      </c>
      <c r="AB66" s="18">
        <f t="shared" si="53"/>
        <v>4.2437010432777456</v>
      </c>
      <c r="AC66" s="18">
        <f t="shared" si="53"/>
        <v>0.66127561599264184</v>
      </c>
      <c r="AD66" s="56">
        <f t="shared" si="41"/>
        <v>2</v>
      </c>
      <c r="AF66" s="18">
        <f t="shared" si="54"/>
        <v>3.6409393586383065</v>
      </c>
      <c r="AG66" s="18">
        <f t="shared" si="54"/>
        <v>0.62214586733210686</v>
      </c>
      <c r="AH66" s="56">
        <f t="shared" si="42"/>
        <v>2</v>
      </c>
      <c r="AJ66" s="18">
        <f t="shared" si="55"/>
        <v>3.0583773241879086</v>
      </c>
      <c r="AK66" s="18">
        <f t="shared" si="55"/>
        <v>0.58007719240813205</v>
      </c>
      <c r="AL66" s="56">
        <f t="shared" si="43"/>
        <v>2</v>
      </c>
      <c r="AN66" s="18">
        <f t="shared" si="56"/>
        <v>2.8525293595596835</v>
      </c>
      <c r="AO66" s="18">
        <f t="shared" si="56"/>
        <v>0.60472313027081948</v>
      </c>
      <c r="AP66" s="56">
        <f t="shared" si="44"/>
        <v>2</v>
      </c>
      <c r="AR66" s="18">
        <f t="shared" si="57"/>
        <v>2.7275555199186163</v>
      </c>
      <c r="AS66" s="18">
        <f t="shared" si="57"/>
        <v>0.62240072599044816</v>
      </c>
      <c r="AT66" s="56">
        <f t="shared" si="45"/>
        <v>2</v>
      </c>
      <c r="AV66" s="18">
        <f t="shared" si="58"/>
        <v>2.6872550036105682</v>
      </c>
      <c r="AW66" s="18">
        <f t="shared" si="58"/>
        <v>0.63012391960713265</v>
      </c>
      <c r="AX66" s="56">
        <f t="shared" si="46"/>
        <v>2</v>
      </c>
      <c r="AZ66" s="18">
        <f t="shared" si="59"/>
        <v>2.6511432588233843</v>
      </c>
      <c r="BA66" s="18">
        <f t="shared" si="59"/>
        <v>0.63121937709028575</v>
      </c>
      <c r="BB66" s="56">
        <f t="shared" si="47"/>
        <v>2</v>
      </c>
      <c r="BD66" s="18">
        <f t="shared" si="60"/>
        <v>2.6511432588233843</v>
      </c>
      <c r="BE66" s="18">
        <f t="shared" si="60"/>
        <v>0.63121937709028575</v>
      </c>
      <c r="BF66" s="56">
        <f t="shared" si="48"/>
        <v>2</v>
      </c>
      <c r="BH66" s="18">
        <f t="shared" si="61"/>
        <v>2.6511432588233843</v>
      </c>
      <c r="BI66" s="18">
        <f t="shared" si="61"/>
        <v>0.63121937709028575</v>
      </c>
      <c r="BJ66" s="56">
        <f t="shared" si="49"/>
        <v>2</v>
      </c>
      <c r="BL66" s="18">
        <f t="shared" si="62"/>
        <v>2.6511432588233843</v>
      </c>
      <c r="BM66" s="18">
        <f t="shared" si="62"/>
        <v>0.63121937709028575</v>
      </c>
      <c r="BN66" s="56">
        <f t="shared" si="50"/>
        <v>2</v>
      </c>
      <c r="BP66" s="18">
        <f t="shared" si="63"/>
        <v>2.6511432588233843</v>
      </c>
      <c r="BQ66" s="18">
        <f t="shared" si="63"/>
        <v>0.63121937709028575</v>
      </c>
      <c r="BR66" s="56">
        <f t="shared" si="51"/>
        <v>2</v>
      </c>
    </row>
    <row r="67" spans="1:70" x14ac:dyDescent="0.25">
      <c r="A67" s="36" t="str">
        <f>KMeans_Data!A57</f>
        <v>Vehari</v>
      </c>
      <c r="B67" s="18">
        <f>KMeans_Data!H57</f>
        <v>0.15331751895798426</v>
      </c>
      <c r="C67" s="18">
        <f>KMeans_Data!I57</f>
        <v>-0.67265054538827607</v>
      </c>
      <c r="D67" s="18">
        <f>KMeans_Data!J57</f>
        <v>-0.24392704812240026</v>
      </c>
      <c r="E67" s="56">
        <f t="shared" si="38"/>
        <v>2</v>
      </c>
      <c r="F67" s="38">
        <f t="shared" si="39"/>
        <v>0.44101171466933115</v>
      </c>
      <c r="G67" s="18">
        <f>IF(COUNTIF(Distance_Matrix!$E$8:$DQ$8,$E67)&lt;=1,0,SUMIF(Distance_Matrix!$E$8:$DQ$8,$E67,Distance_Matrix!$E$66:$DQ$66)/(COUNTIF(Distance_Matrix!$E$8:$DQ$8,$E67)-1))</f>
        <v>1.1204849969583137</v>
      </c>
      <c r="H67" s="18">
        <f>MIN(IF(1=$E67,1E+99,IF(COUNTIF(Distance_Matrix!$E$8:$DQ$8,1)=0,1E+99,SUMIF(Distance_Matrix!$E$8:$DQ$8,1,Distance_Matrix!$E$66:$DQ$66)/COUNTIF(Distance_Matrix!$E$8:$DQ$8,1))),IF(2=$E67,1E+99,IF(COUNTIF(Distance_Matrix!$E$8:$DQ$8,2)=0,1E+99,SUMIF(Distance_Matrix!$E$8:$DQ$8,2,Distance_Matrix!$E$66:$DQ$66)/COUNTIF(Distance_Matrix!$E$8:$DQ$8,2))))</f>
        <v>2.5701459834552693</v>
      </c>
      <c r="I67" s="18">
        <f>IF(COUNTIF(Distance_Matrix!$E$8:$DQ$8,$E67)&lt;=1,0,(H67-G67)/MAX(G67,H67))</f>
        <v>0.56403838374505522</v>
      </c>
      <c r="X67" s="18">
        <f t="shared" si="52"/>
        <v>6.645700219429111</v>
      </c>
      <c r="Y67" s="18">
        <f t="shared" si="52"/>
        <v>2.4082422097006102</v>
      </c>
      <c r="Z67" s="56">
        <f t="shared" si="40"/>
        <v>2</v>
      </c>
      <c r="AB67" s="18">
        <f t="shared" si="53"/>
        <v>4.1107770604104124</v>
      </c>
      <c r="AC67" s="18">
        <f t="shared" si="53"/>
        <v>0.56944887462324889</v>
      </c>
      <c r="AD67" s="56">
        <f t="shared" si="41"/>
        <v>2</v>
      </c>
      <c r="AF67" s="18">
        <f t="shared" si="54"/>
        <v>3.5082343452316476</v>
      </c>
      <c r="AG67" s="18">
        <f t="shared" si="54"/>
        <v>0.54695328992092007</v>
      </c>
      <c r="AH67" s="56">
        <f t="shared" si="42"/>
        <v>2</v>
      </c>
      <c r="AJ67" s="18">
        <f t="shared" si="55"/>
        <v>2.9174540053888265</v>
      </c>
      <c r="AK67" s="18">
        <f t="shared" si="55"/>
        <v>0.55962766330493652</v>
      </c>
      <c r="AL67" s="56">
        <f t="shared" si="43"/>
        <v>2</v>
      </c>
      <c r="AN67" s="18">
        <f t="shared" si="56"/>
        <v>2.7060985362588958</v>
      </c>
      <c r="AO67" s="18">
        <f t="shared" si="56"/>
        <v>0.616218803874514</v>
      </c>
      <c r="AP67" s="56">
        <f t="shared" si="44"/>
        <v>2</v>
      </c>
      <c r="AR67" s="18">
        <f t="shared" si="57"/>
        <v>2.5796897427372132</v>
      </c>
      <c r="AS67" s="18">
        <f t="shared" si="57"/>
        <v>0.64770364532990066</v>
      </c>
      <c r="AT67" s="56">
        <f t="shared" si="45"/>
        <v>2</v>
      </c>
      <c r="AV67" s="18">
        <f t="shared" si="58"/>
        <v>2.53966444746646</v>
      </c>
      <c r="AW67" s="18">
        <f t="shared" si="58"/>
        <v>0.65846859677276814</v>
      </c>
      <c r="AX67" s="56">
        <f t="shared" si="46"/>
        <v>2</v>
      </c>
      <c r="AZ67" s="18">
        <f t="shared" si="59"/>
        <v>2.5032038139215089</v>
      </c>
      <c r="BA67" s="18">
        <f t="shared" si="59"/>
        <v>0.66408712882371934</v>
      </c>
      <c r="BB67" s="56">
        <f t="shared" si="47"/>
        <v>2</v>
      </c>
      <c r="BD67" s="18">
        <f t="shared" si="60"/>
        <v>2.5032038139215089</v>
      </c>
      <c r="BE67" s="18">
        <f t="shared" si="60"/>
        <v>0.66408712882371934</v>
      </c>
      <c r="BF67" s="56">
        <f t="shared" si="48"/>
        <v>2</v>
      </c>
      <c r="BH67" s="18">
        <f t="shared" si="61"/>
        <v>2.5032038139215089</v>
      </c>
      <c r="BI67" s="18">
        <f t="shared" si="61"/>
        <v>0.66408712882371934</v>
      </c>
      <c r="BJ67" s="56">
        <f t="shared" si="49"/>
        <v>2</v>
      </c>
      <c r="BL67" s="18">
        <f t="shared" si="62"/>
        <v>2.5032038139215089</v>
      </c>
      <c r="BM67" s="18">
        <f t="shared" si="62"/>
        <v>0.66408712882371934</v>
      </c>
      <c r="BN67" s="56">
        <f t="shared" si="50"/>
        <v>2</v>
      </c>
      <c r="BP67" s="18">
        <f t="shared" si="63"/>
        <v>2.5032038139215089</v>
      </c>
      <c r="BQ67" s="18">
        <f t="shared" si="63"/>
        <v>0.66408712882371934</v>
      </c>
      <c r="BR67" s="56">
        <f t="shared" si="51"/>
        <v>2</v>
      </c>
    </row>
    <row r="68" spans="1:70" x14ac:dyDescent="0.25">
      <c r="A68" s="36" t="str">
        <f>KMeans_Data!A58</f>
        <v>Astore</v>
      </c>
      <c r="B68" s="18">
        <f>KMeans_Data!H58</f>
        <v>0.13147641151517545</v>
      </c>
      <c r="C68" s="18">
        <f>KMeans_Data!I58</f>
        <v>1.3810745208577742</v>
      </c>
      <c r="D68" s="18">
        <f>KMeans_Data!J58</f>
        <v>0.77424684086161255</v>
      </c>
      <c r="E68" s="56">
        <f t="shared" si="38"/>
        <v>1</v>
      </c>
      <c r="F68" s="38">
        <f t="shared" si="39"/>
        <v>0.99245643001584094</v>
      </c>
      <c r="G68" s="18">
        <f>IF(COUNTIF(Distance_Matrix!$E$8:$DQ$8,$E68)&lt;=1,0,SUMIF(Distance_Matrix!$E$8:$DQ$8,$E68,Distance_Matrix!$E$67:$DQ$67)/(COUNTIF(Distance_Matrix!$E$8:$DQ$8,$E68)-1))</f>
        <v>1.4347674878255436</v>
      </c>
      <c r="H68" s="18">
        <f>MIN(IF(1=$E68,1E+99,IF(COUNTIF(Distance_Matrix!$E$8:$DQ$8,1)=0,1E+99,SUMIF(Distance_Matrix!$E$8:$DQ$8,1,Distance_Matrix!$E$67:$DQ$67)/COUNTIF(Distance_Matrix!$E$8:$DQ$8,1))),IF(2=$E68,1E+99,IF(COUNTIF(Distance_Matrix!$E$8:$DQ$8,2)=0,1E+99,SUMIF(Distance_Matrix!$E$8:$DQ$8,2,Distance_Matrix!$E$67:$DQ$67)/COUNTIF(Distance_Matrix!$E$8:$DQ$8,2))))</f>
        <v>2.4946675781552643</v>
      </c>
      <c r="I68" s="18">
        <f>IF(COUNTIF(Distance_Matrix!$E$8:$DQ$8,$E68)&lt;=1,0,(H68-G68)/MAX(G68,H68))</f>
        <v>0.42486626258777399</v>
      </c>
      <c r="X68" s="18">
        <f t="shared" si="52"/>
        <v>4.8045779357516958</v>
      </c>
      <c r="Y68" s="18">
        <f t="shared" si="52"/>
        <v>3.5767634851169623</v>
      </c>
      <c r="Z68" s="56">
        <f t="shared" si="40"/>
        <v>2</v>
      </c>
      <c r="AB68" s="18">
        <f t="shared" si="53"/>
        <v>2.35049433842401</v>
      </c>
      <c r="AC68" s="18">
        <f t="shared" si="53"/>
        <v>1.8872550620989121</v>
      </c>
      <c r="AD68" s="56">
        <f t="shared" si="41"/>
        <v>2</v>
      </c>
      <c r="AF68" s="18">
        <f t="shared" si="54"/>
        <v>1.7693929637292525</v>
      </c>
      <c r="AG68" s="18">
        <f t="shared" si="54"/>
        <v>1.9823732946665427</v>
      </c>
      <c r="AH68" s="56">
        <f t="shared" si="42"/>
        <v>1</v>
      </c>
      <c r="AJ68" s="18">
        <f t="shared" si="55"/>
        <v>1.2328620426752155</v>
      </c>
      <c r="AK68" s="18">
        <f t="shared" si="55"/>
        <v>2.1776386092766371</v>
      </c>
      <c r="AL68" s="56">
        <f t="shared" si="43"/>
        <v>1</v>
      </c>
      <c r="AN68" s="18">
        <f t="shared" si="56"/>
        <v>1.1239302198000136</v>
      </c>
      <c r="AO68" s="18">
        <f t="shared" si="56"/>
        <v>2.2679682822673772</v>
      </c>
      <c r="AP68" s="56">
        <f t="shared" si="44"/>
        <v>1</v>
      </c>
      <c r="AR68" s="18">
        <f t="shared" si="57"/>
        <v>1.050916636927326</v>
      </c>
      <c r="AS68" s="18">
        <f t="shared" si="57"/>
        <v>2.3173094550340272</v>
      </c>
      <c r="AT68" s="56">
        <f t="shared" si="45"/>
        <v>1</v>
      </c>
      <c r="AV68" s="18">
        <f t="shared" si="58"/>
        <v>1.0290874116959985</v>
      </c>
      <c r="AW68" s="18">
        <f t="shared" si="58"/>
        <v>2.3334872012425438</v>
      </c>
      <c r="AX68" s="56">
        <f t="shared" si="46"/>
        <v>1</v>
      </c>
      <c r="AZ68" s="18">
        <f t="shared" si="59"/>
        <v>0.99622107487035272</v>
      </c>
      <c r="BA68" s="18">
        <f t="shared" si="59"/>
        <v>2.3514643869926775</v>
      </c>
      <c r="BB68" s="56">
        <f t="shared" si="47"/>
        <v>1</v>
      </c>
      <c r="BD68" s="18">
        <f t="shared" si="60"/>
        <v>0.99622107487035272</v>
      </c>
      <c r="BE68" s="18">
        <f t="shared" si="60"/>
        <v>2.3514643869926775</v>
      </c>
      <c r="BF68" s="56">
        <f t="shared" si="48"/>
        <v>1</v>
      </c>
      <c r="BH68" s="18">
        <f t="shared" si="61"/>
        <v>0.99622107487035272</v>
      </c>
      <c r="BI68" s="18">
        <f t="shared" si="61"/>
        <v>2.3514643869926775</v>
      </c>
      <c r="BJ68" s="56">
        <f t="shared" si="49"/>
        <v>1</v>
      </c>
      <c r="BL68" s="18">
        <f t="shared" si="62"/>
        <v>0.99622107487035272</v>
      </c>
      <c r="BM68" s="18">
        <f t="shared" si="62"/>
        <v>2.3514643869926775</v>
      </c>
      <c r="BN68" s="56">
        <f t="shared" si="50"/>
        <v>1</v>
      </c>
      <c r="BP68" s="18">
        <f t="shared" si="63"/>
        <v>0.99622107487035272</v>
      </c>
      <c r="BQ68" s="18">
        <f t="shared" si="63"/>
        <v>2.3514643869926775</v>
      </c>
      <c r="BR68" s="56">
        <f t="shared" si="51"/>
        <v>1</v>
      </c>
    </row>
    <row r="69" spans="1:70" x14ac:dyDescent="0.25">
      <c r="A69" s="36" t="str">
        <f>KMeans_Data!A59</f>
        <v>Sanghar</v>
      </c>
      <c r="B69" s="18">
        <f>KMeans_Data!H59</f>
        <v>0.10085169543381561</v>
      </c>
      <c r="C69" s="18">
        <f>KMeans_Data!I59</f>
        <v>-0.14698313392952958</v>
      </c>
      <c r="D69" s="18">
        <f>KMeans_Data!J59</f>
        <v>0.61832866607444492</v>
      </c>
      <c r="E69" s="56">
        <f t="shared" si="38"/>
        <v>2</v>
      </c>
      <c r="F69" s="38">
        <f t="shared" si="39"/>
        <v>1.6591794813362442</v>
      </c>
      <c r="G69" s="18">
        <f>IF(COUNTIF(Distance_Matrix!$E$8:$DQ$8,$E69)&lt;=1,0,SUMIF(Distance_Matrix!$E$8:$DQ$8,$E69,Distance_Matrix!$E$68:$DQ$68)/(COUNTIF(Distance_Matrix!$E$8:$DQ$8,$E69)-1))</f>
        <v>1.4982240088174736</v>
      </c>
      <c r="H69" s="18">
        <f>MIN(IF(1=$E69,1E+99,IF(COUNTIF(Distance_Matrix!$E$8:$DQ$8,1)=0,1E+99,SUMIF(Distance_Matrix!$E$8:$DQ$8,1,Distance_Matrix!$E$68:$DQ$68)/COUNTIF(Distance_Matrix!$E$8:$DQ$8,1))),IF(2=$E69,1E+99,IF(COUNTIF(Distance_Matrix!$E$8:$DQ$8,2)=0,1E+99,SUMIF(Distance_Matrix!$E$8:$DQ$8,2,Distance_Matrix!$E$68:$DQ$68)/COUNTIF(Distance_Matrix!$E$8:$DQ$8,2))))</f>
        <v>1.8311358945039493</v>
      </c>
      <c r="I69" s="18">
        <f>IF(COUNTIF(Distance_Matrix!$E$8:$DQ$8,$E69)&lt;=1,0,(H69-G69)/MAX(G69,H69))</f>
        <v>0.18180621475756761</v>
      </c>
      <c r="X69" s="18">
        <f t="shared" si="52"/>
        <v>5.8763954941776619</v>
      </c>
      <c r="Y69" s="18">
        <f t="shared" si="52"/>
        <v>2.8535762728581746</v>
      </c>
      <c r="Z69" s="56">
        <f t="shared" si="40"/>
        <v>2</v>
      </c>
      <c r="AB69" s="18">
        <f t="shared" si="53"/>
        <v>3.3610533467506594</v>
      </c>
      <c r="AC69" s="18">
        <f t="shared" si="53"/>
        <v>0.84563791824824641</v>
      </c>
      <c r="AD69" s="56">
        <f t="shared" si="41"/>
        <v>2</v>
      </c>
      <c r="AF69" s="18">
        <f t="shared" si="54"/>
        <v>2.7628373165934041</v>
      </c>
      <c r="AG69" s="18">
        <f t="shared" si="54"/>
        <v>0.92052607162162947</v>
      </c>
      <c r="AH69" s="56">
        <f t="shared" si="42"/>
        <v>2</v>
      </c>
      <c r="AJ69" s="18">
        <f t="shared" si="55"/>
        <v>2.152396561274847</v>
      </c>
      <c r="AK69" s="18">
        <f t="shared" si="55"/>
        <v>1.1012932257786539</v>
      </c>
      <c r="AL69" s="56">
        <f t="shared" si="43"/>
        <v>2</v>
      </c>
      <c r="AN69" s="18">
        <f t="shared" si="56"/>
        <v>1.9354203707769797</v>
      </c>
      <c r="AO69" s="18">
        <f t="shared" si="56"/>
        <v>1.2041619845360592</v>
      </c>
      <c r="AP69" s="56">
        <f t="shared" si="44"/>
        <v>2</v>
      </c>
      <c r="AR69" s="18">
        <f t="shared" si="57"/>
        <v>1.8094367702833687</v>
      </c>
      <c r="AS69" s="18">
        <f t="shared" si="57"/>
        <v>1.2564353829655448</v>
      </c>
      <c r="AT69" s="56">
        <f t="shared" si="45"/>
        <v>2</v>
      </c>
      <c r="AV69" s="18">
        <f t="shared" si="58"/>
        <v>1.7721203111990185</v>
      </c>
      <c r="AW69" s="18">
        <f t="shared" si="58"/>
        <v>1.2720848576669894</v>
      </c>
      <c r="AX69" s="56">
        <f t="shared" si="46"/>
        <v>2</v>
      </c>
      <c r="AZ69" s="18">
        <f t="shared" si="59"/>
        <v>1.7338821222927079</v>
      </c>
      <c r="BA69" s="18">
        <f t="shared" si="59"/>
        <v>1.2880914103184775</v>
      </c>
      <c r="BB69" s="56">
        <f t="shared" si="47"/>
        <v>2</v>
      </c>
      <c r="BD69" s="18">
        <f t="shared" si="60"/>
        <v>1.7338821222927079</v>
      </c>
      <c r="BE69" s="18">
        <f t="shared" si="60"/>
        <v>1.2880914103184775</v>
      </c>
      <c r="BF69" s="56">
        <f t="shared" si="48"/>
        <v>2</v>
      </c>
      <c r="BH69" s="18">
        <f t="shared" si="61"/>
        <v>1.7338821222927079</v>
      </c>
      <c r="BI69" s="18">
        <f t="shared" si="61"/>
        <v>1.2880914103184775</v>
      </c>
      <c r="BJ69" s="56">
        <f t="shared" si="49"/>
        <v>2</v>
      </c>
      <c r="BL69" s="18">
        <f t="shared" si="62"/>
        <v>1.7338821222927079</v>
      </c>
      <c r="BM69" s="18">
        <f t="shared" si="62"/>
        <v>1.2880914103184775</v>
      </c>
      <c r="BN69" s="56">
        <f t="shared" si="50"/>
        <v>2</v>
      </c>
      <c r="BP69" s="18">
        <f t="shared" si="63"/>
        <v>1.7338821222927079</v>
      </c>
      <c r="BQ69" s="18">
        <f t="shared" si="63"/>
        <v>1.2880914103184775</v>
      </c>
      <c r="BR69" s="56">
        <f t="shared" si="51"/>
        <v>2</v>
      </c>
    </row>
    <row r="70" spans="1:70" x14ac:dyDescent="0.25">
      <c r="A70" s="36" t="str">
        <f>KMeans_Data!A60</f>
        <v>Bhakkar</v>
      </c>
      <c r="B70" s="18">
        <f>KMeans_Data!H60</f>
        <v>8.4835969706560738E-2</v>
      </c>
      <c r="C70" s="18">
        <f>KMeans_Data!I60</f>
        <v>-0.67265054538827607</v>
      </c>
      <c r="D70" s="18">
        <f>KMeans_Data!J60</f>
        <v>-1.1456441163335547</v>
      </c>
      <c r="E70" s="56">
        <f t="shared" si="38"/>
        <v>2</v>
      </c>
      <c r="F70" s="38">
        <f t="shared" si="39"/>
        <v>0.73593528347211401</v>
      </c>
      <c r="G70" s="18">
        <f>IF(COUNTIF(Distance_Matrix!$E$8:$DQ$8,$E70)&lt;=1,0,SUMIF(Distance_Matrix!$E$8:$DQ$8,$E70,Distance_Matrix!$E$69:$DQ$69)/(COUNTIF(Distance_Matrix!$E$8:$DQ$8,$E70)-1))</f>
        <v>1.2246488900989085</v>
      </c>
      <c r="H70" s="18">
        <f>MIN(IF(1=$E70,1E+99,IF(COUNTIF(Distance_Matrix!$E$8:$DQ$8,1)=0,1E+99,SUMIF(Distance_Matrix!$E$8:$DQ$8,1,Distance_Matrix!$E$69:$DQ$69)/COUNTIF(Distance_Matrix!$E$8:$DQ$8,1))),IF(2=$E70,1E+99,IF(COUNTIF(Distance_Matrix!$E$8:$DQ$8,2)=0,1E+99,SUMIF(Distance_Matrix!$E$8:$DQ$8,2,Distance_Matrix!$E$69:$DQ$69)/COUNTIF(Distance_Matrix!$E$8:$DQ$8,2))))</f>
        <v>3.187804795316441</v>
      </c>
      <c r="I70" s="18">
        <f>IF(COUNTIF(Distance_Matrix!$E$8:$DQ$8,$E70)&lt;=1,0,(H70-G70)/MAX(G70,H70))</f>
        <v>0.61583316146014444</v>
      </c>
      <c r="X70" s="18">
        <f t="shared" si="52"/>
        <v>7.1914209448379909</v>
      </c>
      <c r="Y70" s="18">
        <f t="shared" si="52"/>
        <v>2.1645739515098894</v>
      </c>
      <c r="Z70" s="56">
        <f t="shared" si="40"/>
        <v>2</v>
      </c>
      <c r="AB70" s="18">
        <f t="shared" si="53"/>
        <v>4.6659183864555906</v>
      </c>
      <c r="AC70" s="18">
        <f t="shared" si="53"/>
        <v>1.1050727551832504</v>
      </c>
      <c r="AD70" s="56">
        <f t="shared" si="41"/>
        <v>2</v>
      </c>
      <c r="AF70" s="18">
        <f t="shared" si="54"/>
        <v>4.0660874336386623</v>
      </c>
      <c r="AG70" s="18">
        <f t="shared" si="54"/>
        <v>1.0470620017827446</v>
      </c>
      <c r="AH70" s="56">
        <f t="shared" si="42"/>
        <v>2</v>
      </c>
      <c r="AJ70" s="18">
        <f t="shared" si="55"/>
        <v>3.5036859771641775</v>
      </c>
      <c r="AK70" s="18">
        <f t="shared" si="55"/>
        <v>0.92899399539698513</v>
      </c>
      <c r="AL70" s="56">
        <f t="shared" si="43"/>
        <v>2</v>
      </c>
      <c r="AN70" s="18">
        <f t="shared" si="56"/>
        <v>3.3121674256371154</v>
      </c>
      <c r="AO70" s="18">
        <f t="shared" si="56"/>
        <v>0.88606357066095021</v>
      </c>
      <c r="AP70" s="56">
        <f t="shared" si="44"/>
        <v>2</v>
      </c>
      <c r="AR70" s="18">
        <f t="shared" si="57"/>
        <v>3.1916258022617332</v>
      </c>
      <c r="AS70" s="18">
        <f t="shared" si="57"/>
        <v>0.86868268634166546</v>
      </c>
      <c r="AT70" s="56">
        <f t="shared" si="45"/>
        <v>2</v>
      </c>
      <c r="AV70" s="18">
        <f t="shared" si="58"/>
        <v>3.1514158092658286</v>
      </c>
      <c r="AW70" s="18">
        <f t="shared" si="58"/>
        <v>0.86642990007440246</v>
      </c>
      <c r="AX70" s="56">
        <f t="shared" si="46"/>
        <v>2</v>
      </c>
      <c r="AZ70" s="18">
        <f t="shared" si="59"/>
        <v>3.1159503539684965</v>
      </c>
      <c r="BA70" s="18">
        <f t="shared" si="59"/>
        <v>0.85786670495602868</v>
      </c>
      <c r="BB70" s="56">
        <f t="shared" si="47"/>
        <v>2</v>
      </c>
      <c r="BD70" s="18">
        <f t="shared" si="60"/>
        <v>3.1159503539684965</v>
      </c>
      <c r="BE70" s="18">
        <f t="shared" si="60"/>
        <v>0.85786670495602868</v>
      </c>
      <c r="BF70" s="56">
        <f t="shared" si="48"/>
        <v>2</v>
      </c>
      <c r="BH70" s="18">
        <f t="shared" si="61"/>
        <v>3.1159503539684965</v>
      </c>
      <c r="BI70" s="18">
        <f t="shared" si="61"/>
        <v>0.85786670495602868</v>
      </c>
      <c r="BJ70" s="56">
        <f t="shared" si="49"/>
        <v>2</v>
      </c>
      <c r="BL70" s="18">
        <f t="shared" si="62"/>
        <v>3.1159503539684965</v>
      </c>
      <c r="BM70" s="18">
        <f t="shared" si="62"/>
        <v>0.85786670495602868</v>
      </c>
      <c r="BN70" s="56">
        <f t="shared" si="50"/>
        <v>2</v>
      </c>
      <c r="BP70" s="18">
        <f t="shared" si="63"/>
        <v>3.1159503539684965</v>
      </c>
      <c r="BQ70" s="18">
        <f t="shared" si="63"/>
        <v>0.85786670495602868</v>
      </c>
      <c r="BR70" s="56">
        <f t="shared" si="51"/>
        <v>2</v>
      </c>
    </row>
    <row r="71" spans="1:70" x14ac:dyDescent="0.25">
      <c r="A71" s="36" t="str">
        <f>KMeans_Data!A61</f>
        <v>Muzaffargar</v>
      </c>
      <c r="B71" s="18">
        <f>KMeans_Data!H61</f>
        <v>6.8311724136625313E-2</v>
      </c>
      <c r="C71" s="18">
        <f>KMeans_Data!I61</f>
        <v>-0.67265054538827607</v>
      </c>
      <c r="D71" s="18">
        <f>KMeans_Data!J61</f>
        <v>-1.1456441163335547</v>
      </c>
      <c r="E71" s="56">
        <f t="shared" si="38"/>
        <v>2</v>
      </c>
      <c r="F71" s="38">
        <f t="shared" si="39"/>
        <v>0.71872387368306889</v>
      </c>
      <c r="G71" s="18">
        <f>IF(COUNTIF(Distance_Matrix!$E$8:$DQ$8,$E71)&lt;=1,0,SUMIF(Distance_Matrix!$E$8:$DQ$8,$E71,Distance_Matrix!$E$70:$DQ$70)/(COUNTIF(Distance_Matrix!$E$8:$DQ$8,$E71)-1))</f>
        <v>1.2180359174597506</v>
      </c>
      <c r="H71" s="18">
        <f>MIN(IF(1=$E71,1E+99,IF(COUNTIF(Distance_Matrix!$E$8:$DQ$8,1)=0,1E+99,SUMIF(Distance_Matrix!$E$8:$DQ$8,1,Distance_Matrix!$E$70:$DQ$70)/COUNTIF(Distance_Matrix!$E$8:$DQ$8,1))),IF(2=$E71,1E+99,IF(COUNTIF(Distance_Matrix!$E$8:$DQ$8,2)=0,1E+99,SUMIF(Distance_Matrix!$E$8:$DQ$8,2,Distance_Matrix!$E$70:$DQ$70)/COUNTIF(Distance_Matrix!$E$8:$DQ$8,2))))</f>
        <v>3.1923020042630377</v>
      </c>
      <c r="I71" s="18">
        <f>IF(COUNTIF(Distance_Matrix!$E$8:$DQ$8,$E71)&lt;=1,0,(H71-G71)/MAX(G71,H71))</f>
        <v>0.61844590022085277</v>
      </c>
      <c r="X71" s="18">
        <f t="shared" si="52"/>
        <v>7.1987648607522274</v>
      </c>
      <c r="Y71" s="18">
        <f t="shared" si="52"/>
        <v>2.1480497059399539</v>
      </c>
      <c r="Z71" s="56">
        <f t="shared" si="40"/>
        <v>2</v>
      </c>
      <c r="AB71" s="18">
        <f t="shared" si="53"/>
        <v>4.672634176255646</v>
      </c>
      <c r="AC71" s="18">
        <f t="shared" si="53"/>
        <v>1.1011618178903253</v>
      </c>
      <c r="AD71" s="56">
        <f t="shared" si="41"/>
        <v>2</v>
      </c>
      <c r="AF71" s="18">
        <f t="shared" si="54"/>
        <v>4.0723337886998907</v>
      </c>
      <c r="AG71" s="18">
        <f t="shared" si="54"/>
        <v>1.0420941545005753</v>
      </c>
      <c r="AH71" s="56">
        <f t="shared" si="42"/>
        <v>2</v>
      </c>
      <c r="AJ71" s="18">
        <f t="shared" si="55"/>
        <v>3.5091201275806996</v>
      </c>
      <c r="AK71" s="18">
        <f t="shared" si="55"/>
        <v>0.92165932271896245</v>
      </c>
      <c r="AL71" s="56">
        <f t="shared" si="43"/>
        <v>2</v>
      </c>
      <c r="AN71" s="18">
        <f t="shared" si="56"/>
        <v>3.3175163149677429</v>
      </c>
      <c r="AO71" s="18">
        <f t="shared" si="56"/>
        <v>0.87719854014425491</v>
      </c>
      <c r="AP71" s="56">
        <f t="shared" si="44"/>
        <v>2</v>
      </c>
      <c r="AR71" s="18">
        <f t="shared" si="57"/>
        <v>3.1968617545563101</v>
      </c>
      <c r="AS71" s="18">
        <f t="shared" si="57"/>
        <v>0.85903653956319481</v>
      </c>
      <c r="AT71" s="56">
        <f t="shared" si="45"/>
        <v>2</v>
      </c>
      <c r="AV71" s="18">
        <f t="shared" si="58"/>
        <v>3.1566326834822989</v>
      </c>
      <c r="AW71" s="18">
        <f t="shared" si="58"/>
        <v>0.85653544187420017</v>
      </c>
      <c r="AX71" s="56">
        <f t="shared" si="46"/>
        <v>2</v>
      </c>
      <c r="AZ71" s="18">
        <f t="shared" si="59"/>
        <v>3.1210592562447959</v>
      </c>
      <c r="BA71" s="18">
        <f t="shared" si="59"/>
        <v>0.84777583928953115</v>
      </c>
      <c r="BB71" s="56">
        <f t="shared" si="47"/>
        <v>2</v>
      </c>
      <c r="BD71" s="18">
        <f t="shared" si="60"/>
        <v>3.1210592562447959</v>
      </c>
      <c r="BE71" s="18">
        <f t="shared" si="60"/>
        <v>0.84777583928953115</v>
      </c>
      <c r="BF71" s="56">
        <f t="shared" si="48"/>
        <v>2</v>
      </c>
      <c r="BH71" s="18">
        <f t="shared" si="61"/>
        <v>3.1210592562447959</v>
      </c>
      <c r="BI71" s="18">
        <f t="shared" si="61"/>
        <v>0.84777583928953115</v>
      </c>
      <c r="BJ71" s="56">
        <f t="shared" si="49"/>
        <v>2</v>
      </c>
      <c r="BL71" s="18">
        <f t="shared" si="62"/>
        <v>3.1210592562447959</v>
      </c>
      <c r="BM71" s="18">
        <f t="shared" si="62"/>
        <v>0.84777583928953115</v>
      </c>
      <c r="BN71" s="56">
        <f t="shared" si="50"/>
        <v>2</v>
      </c>
      <c r="BP71" s="18">
        <f t="shared" si="63"/>
        <v>3.1210592562447959</v>
      </c>
      <c r="BQ71" s="18">
        <f t="shared" si="63"/>
        <v>0.84777583928953115</v>
      </c>
      <c r="BR71" s="56">
        <f t="shared" si="51"/>
        <v>2</v>
      </c>
    </row>
    <row r="72" spans="1:70" x14ac:dyDescent="0.25">
      <c r="A72" s="36" t="str">
        <f>KMeans_Data!A62</f>
        <v>Badin</v>
      </c>
      <c r="B72" s="18">
        <f>KMeans_Data!H62</f>
        <v>2.4548982643863189E-2</v>
      </c>
      <c r="C72" s="18">
        <f>KMeans_Data!I62</f>
        <v>0.54791138584450239</v>
      </c>
      <c r="D72" s="18">
        <f>KMeans_Data!J62</f>
        <v>5.8390290280275915E-3</v>
      </c>
      <c r="E72" s="56">
        <f t="shared" si="38"/>
        <v>2</v>
      </c>
      <c r="F72" s="38">
        <f t="shared" si="39"/>
        <v>1.5985799155974127</v>
      </c>
      <c r="G72" s="18">
        <f>IF(COUNTIF(Distance_Matrix!$E$8:$DQ$8,$E72)&lt;=1,0,SUMIF(Distance_Matrix!$E$8:$DQ$8,$E72,Distance_Matrix!$E$71:$DQ$71)/(COUNTIF(Distance_Matrix!$E$8:$DQ$8,$E72)-1))</f>
        <v>1.5556227728577861</v>
      </c>
      <c r="H72" s="18">
        <f>MIN(IF(1=$E72,1E+99,IF(COUNTIF(Distance_Matrix!$E$8:$DQ$8,1)=0,1E+99,SUMIF(Distance_Matrix!$E$8:$DQ$8,1,Distance_Matrix!$E$71:$DQ$71)/COUNTIF(Distance_Matrix!$E$8:$DQ$8,1))),IF(2=$E72,1E+99,IF(COUNTIF(Distance_Matrix!$E$8:$DQ$8,2)=0,1E+99,SUMIF(Distance_Matrix!$E$8:$DQ$8,2,Distance_Matrix!$E$71:$DQ$71)/COUNTIF(Distance_Matrix!$E$8:$DQ$8,2))))</f>
        <v>1.8008319467187965</v>
      </c>
      <c r="I72" s="18">
        <f>IF(COUNTIF(Distance_Matrix!$E$8:$DQ$8,$E72)&lt;=1,0,(H72-G72)/MAX(G72,H72))</f>
        <v>0.13616438463777453</v>
      </c>
      <c r="X72" s="18">
        <f t="shared" si="52"/>
        <v>5.7697307870114276</v>
      </c>
      <c r="Y72" s="18">
        <f t="shared" si="52"/>
        <v>2.6914138460610011</v>
      </c>
      <c r="Z72" s="56">
        <f t="shared" si="40"/>
        <v>2</v>
      </c>
      <c r="AB72" s="18">
        <f t="shared" si="53"/>
        <v>3.241264337812606</v>
      </c>
      <c r="AC72" s="18">
        <f t="shared" si="53"/>
        <v>0.81558013428079856</v>
      </c>
      <c r="AD72" s="56">
        <f t="shared" si="41"/>
        <v>2</v>
      </c>
      <c r="AF72" s="18">
        <f t="shared" si="54"/>
        <v>2.6271198033888479</v>
      </c>
      <c r="AG72" s="18">
        <f t="shared" si="54"/>
        <v>0.90830915425828207</v>
      </c>
      <c r="AH72" s="56">
        <f t="shared" si="42"/>
        <v>2</v>
      </c>
      <c r="AJ72" s="18">
        <f t="shared" si="55"/>
        <v>2.0382074996071324</v>
      </c>
      <c r="AK72" s="18">
        <f t="shared" si="55"/>
        <v>1.0949156182023645</v>
      </c>
      <c r="AL72" s="56">
        <f t="shared" si="43"/>
        <v>2</v>
      </c>
      <c r="AN72" s="18">
        <f t="shared" si="56"/>
        <v>1.859912840010572</v>
      </c>
      <c r="AO72" s="18">
        <f t="shared" si="56"/>
        <v>1.1817393404432242</v>
      </c>
      <c r="AP72" s="56">
        <f t="shared" si="44"/>
        <v>2</v>
      </c>
      <c r="AR72" s="18">
        <f t="shared" si="57"/>
        <v>1.7428104506068769</v>
      </c>
      <c r="AS72" s="18">
        <f t="shared" si="57"/>
        <v>1.2303865607547433</v>
      </c>
      <c r="AT72" s="56">
        <f t="shared" si="45"/>
        <v>2</v>
      </c>
      <c r="AV72" s="18">
        <f t="shared" si="58"/>
        <v>1.7042898668970425</v>
      </c>
      <c r="AW72" s="18">
        <f t="shared" si="58"/>
        <v>1.2470513543449357</v>
      </c>
      <c r="AX72" s="56">
        <f t="shared" si="46"/>
        <v>2</v>
      </c>
      <c r="AZ72" s="18">
        <f t="shared" si="59"/>
        <v>1.6642431560968223</v>
      </c>
      <c r="BA72" s="18">
        <f t="shared" si="59"/>
        <v>1.2643496018101215</v>
      </c>
      <c r="BB72" s="56">
        <f t="shared" si="47"/>
        <v>2</v>
      </c>
      <c r="BD72" s="18">
        <f t="shared" si="60"/>
        <v>1.6642431560968223</v>
      </c>
      <c r="BE72" s="18">
        <f t="shared" si="60"/>
        <v>1.2643496018101215</v>
      </c>
      <c r="BF72" s="56">
        <f t="shared" si="48"/>
        <v>2</v>
      </c>
      <c r="BH72" s="18">
        <f t="shared" si="61"/>
        <v>1.6642431560968223</v>
      </c>
      <c r="BI72" s="18">
        <f t="shared" si="61"/>
        <v>1.2643496018101215</v>
      </c>
      <c r="BJ72" s="56">
        <f t="shared" si="49"/>
        <v>2</v>
      </c>
      <c r="BL72" s="18">
        <f t="shared" si="62"/>
        <v>1.6642431560968223</v>
      </c>
      <c r="BM72" s="18">
        <f t="shared" si="62"/>
        <v>1.2643496018101215</v>
      </c>
      <c r="BN72" s="56">
        <f t="shared" si="50"/>
        <v>2</v>
      </c>
      <c r="BP72" s="18">
        <f t="shared" si="63"/>
        <v>1.6642431560968223</v>
      </c>
      <c r="BQ72" s="18">
        <f t="shared" si="63"/>
        <v>1.2643496018101215</v>
      </c>
      <c r="BR72" s="56">
        <f t="shared" si="51"/>
        <v>2</v>
      </c>
    </row>
    <row r="73" spans="1:70" x14ac:dyDescent="0.25">
      <c r="A73" s="36" t="str">
        <f>KMeans_Data!A63</f>
        <v>Bahawalpur</v>
      </c>
      <c r="B73" s="18">
        <f>KMeans_Data!H63</f>
        <v>5.9587915640307559E-3</v>
      </c>
      <c r="C73" s="18">
        <f>KMeans_Data!I63</f>
        <v>-0.67265054538827607</v>
      </c>
      <c r="D73" s="18">
        <f>KMeans_Data!J63</f>
        <v>-0.39984522290956798</v>
      </c>
      <c r="E73" s="56">
        <f t="shared" si="38"/>
        <v>2</v>
      </c>
      <c r="F73" s="38">
        <f t="shared" si="39"/>
        <v>0.234674637025206</v>
      </c>
      <c r="G73" s="18">
        <f>IF(COUNTIF(Distance_Matrix!$E$8:$DQ$8,$E73)&lt;=1,0,SUMIF(Distance_Matrix!$E$8:$DQ$8,$E73,Distance_Matrix!$E$72:$DQ$72)/(COUNTIF(Distance_Matrix!$E$8:$DQ$8,$E73)-1))</f>
        <v>1.040184485815802</v>
      </c>
      <c r="H73" s="18">
        <f>MIN(IF(1=$E73,1E+99,IF(COUNTIF(Distance_Matrix!$E$8:$DQ$8,1)=0,1E+99,SUMIF(Distance_Matrix!$E$8:$DQ$8,1,Distance_Matrix!$E$72:$DQ$72)/COUNTIF(Distance_Matrix!$E$8:$DQ$8,1))),IF(2=$E73,1E+99,IF(COUNTIF(Distance_Matrix!$E$8:$DQ$8,2)=0,1E+99,SUMIF(Distance_Matrix!$E$8:$DQ$8,2,Distance_Matrix!$E$72:$DQ$72)/COUNTIF(Distance_Matrix!$E$8:$DQ$8,2))))</f>
        <v>2.7088736171702532</v>
      </c>
      <c r="I73" s="18">
        <f>IF(COUNTIF(Distance_Matrix!$E$8:$DQ$8,$E73)&lt;=1,0,(H73-G73)/MAX(G73,H73))</f>
        <v>0.61600848440378675</v>
      </c>
      <c r="X73" s="18">
        <f t="shared" si="52"/>
        <v>6.798642989836301</v>
      </c>
      <c r="Y73" s="18">
        <f t="shared" si="52"/>
        <v>2.215027543816884</v>
      </c>
      <c r="Z73" s="56">
        <f t="shared" si="40"/>
        <v>2</v>
      </c>
      <c r="AB73" s="18">
        <f t="shared" si="53"/>
        <v>4.2590058093718852</v>
      </c>
      <c r="AC73" s="18">
        <f t="shared" si="53"/>
        <v>0.54075554469307086</v>
      </c>
      <c r="AD73" s="56">
        <f t="shared" si="41"/>
        <v>2</v>
      </c>
      <c r="AF73" s="18">
        <f t="shared" si="54"/>
        <v>3.6522669129464096</v>
      </c>
      <c r="AG73" s="18">
        <f t="shared" si="54"/>
        <v>0.48549363640159893</v>
      </c>
      <c r="AH73" s="56">
        <f t="shared" si="42"/>
        <v>2</v>
      </c>
      <c r="AJ73" s="18">
        <f t="shared" si="55"/>
        <v>3.0592126835614772</v>
      </c>
      <c r="AK73" s="18">
        <f t="shared" si="55"/>
        <v>0.42515506092279259</v>
      </c>
      <c r="AL73" s="56">
        <f t="shared" si="43"/>
        <v>2</v>
      </c>
      <c r="AN73" s="18">
        <f t="shared" si="56"/>
        <v>2.8510188602984341</v>
      </c>
      <c r="AO73" s="18">
        <f t="shared" si="56"/>
        <v>0.45326200666975214</v>
      </c>
      <c r="AP73" s="56">
        <f t="shared" si="44"/>
        <v>2</v>
      </c>
      <c r="AR73" s="18">
        <f t="shared" si="57"/>
        <v>2.7246313892541658</v>
      </c>
      <c r="AS73" s="18">
        <f t="shared" si="57"/>
        <v>0.47392244679908074</v>
      </c>
      <c r="AT73" s="56">
        <f t="shared" si="45"/>
        <v>2</v>
      </c>
      <c r="AV73" s="18">
        <f t="shared" si="58"/>
        <v>2.6843248506841952</v>
      </c>
      <c r="AW73" s="18">
        <f t="shared" si="58"/>
        <v>0.48210325607228799</v>
      </c>
      <c r="AX73" s="56">
        <f t="shared" si="46"/>
        <v>2</v>
      </c>
      <c r="AZ73" s="18">
        <f t="shared" si="59"/>
        <v>2.6469851156977371</v>
      </c>
      <c r="BA73" s="18">
        <f t="shared" si="59"/>
        <v>0.48443228321944648</v>
      </c>
      <c r="BB73" s="56">
        <f t="shared" si="47"/>
        <v>2</v>
      </c>
      <c r="BD73" s="18">
        <f t="shared" si="60"/>
        <v>2.6469851156977371</v>
      </c>
      <c r="BE73" s="18">
        <f t="shared" si="60"/>
        <v>0.48443228321944648</v>
      </c>
      <c r="BF73" s="56">
        <f t="shared" si="48"/>
        <v>2</v>
      </c>
      <c r="BH73" s="18">
        <f t="shared" si="61"/>
        <v>2.6469851156977371</v>
      </c>
      <c r="BI73" s="18">
        <f t="shared" si="61"/>
        <v>0.48443228321944648</v>
      </c>
      <c r="BJ73" s="56">
        <f t="shared" si="49"/>
        <v>2</v>
      </c>
      <c r="BL73" s="18">
        <f t="shared" si="62"/>
        <v>2.6469851156977371</v>
      </c>
      <c r="BM73" s="18">
        <f t="shared" si="62"/>
        <v>0.48443228321944648</v>
      </c>
      <c r="BN73" s="56">
        <f t="shared" si="50"/>
        <v>2</v>
      </c>
      <c r="BP73" s="18">
        <f t="shared" si="63"/>
        <v>2.6469851156977371</v>
      </c>
      <c r="BQ73" s="18">
        <f t="shared" si="63"/>
        <v>0.48443228321944648</v>
      </c>
      <c r="BR73" s="56">
        <f t="shared" si="51"/>
        <v>2</v>
      </c>
    </row>
    <row r="74" spans="1:70" x14ac:dyDescent="0.25">
      <c r="A74" s="36" t="str">
        <f>KMeans_Data!A64</f>
        <v>Dadu</v>
      </c>
      <c r="B74" s="18">
        <f>KMeans_Data!H64</f>
        <v>-3.5913849611856918E-3</v>
      </c>
      <c r="C74" s="18">
        <f>KMeans_Data!I64</f>
        <v>-0.67265054538827607</v>
      </c>
      <c r="D74" s="18">
        <f>KMeans_Data!J64</f>
        <v>0.36412819234159388</v>
      </c>
      <c r="E74" s="56">
        <f t="shared" si="38"/>
        <v>2</v>
      </c>
      <c r="F74" s="38">
        <f t="shared" si="39"/>
        <v>0.94523856593868372</v>
      </c>
      <c r="G74" s="18">
        <f>IF(COUNTIF(Distance_Matrix!$E$8:$DQ$8,$E74)&lt;=1,0,SUMIF(Distance_Matrix!$E$8:$DQ$8,$E74,Distance_Matrix!$E$73:$DQ$73)/(COUNTIF(Distance_Matrix!$E$8:$DQ$8,$E74)-1))</f>
        <v>1.2846894549185266</v>
      </c>
      <c r="H74" s="18">
        <f>MIN(IF(1=$E74,1E+99,IF(COUNTIF(Distance_Matrix!$E$8:$DQ$8,1)=0,1E+99,SUMIF(Distance_Matrix!$E$8:$DQ$8,1,Distance_Matrix!$E$73:$DQ$73)/COUNTIF(Distance_Matrix!$E$8:$DQ$8,1))),IF(2=$E74,1E+99,IF(COUNTIF(Distance_Matrix!$E$8:$DQ$8,2)=0,1E+99,SUMIF(Distance_Matrix!$E$8:$DQ$8,2,Distance_Matrix!$E$73:$DQ$73)/COUNTIF(Distance_Matrix!$E$8:$DQ$8,2))))</f>
        <v>2.3582767606808237</v>
      </c>
      <c r="I74" s="18">
        <f>IF(COUNTIF(Distance_Matrix!$E$8:$DQ$8,$E74)&lt;=1,0,(H74-G74)/MAX(G74,H74))</f>
        <v>0.45524228693682134</v>
      </c>
      <c r="X74" s="18">
        <f t="shared" si="52"/>
        <v>6.425480929982732</v>
      </c>
      <c r="Y74" s="18">
        <f t="shared" si="52"/>
        <v>2.5670600140280122</v>
      </c>
      <c r="Z74" s="56">
        <f t="shared" si="40"/>
        <v>2</v>
      </c>
      <c r="AB74" s="18">
        <f t="shared" si="53"/>
        <v>3.9113138589716754</v>
      </c>
      <c r="AC74" s="18">
        <f t="shared" si="53"/>
        <v>0.72666764395157668</v>
      </c>
      <c r="AD74" s="56">
        <f t="shared" si="41"/>
        <v>2</v>
      </c>
      <c r="AF74" s="18">
        <f t="shared" si="54"/>
        <v>3.3162991843586833</v>
      </c>
      <c r="AG74" s="18">
        <f t="shared" si="54"/>
        <v>0.74072571055800784</v>
      </c>
      <c r="AH74" s="56">
        <f t="shared" si="42"/>
        <v>2</v>
      </c>
      <c r="AJ74" s="18">
        <f t="shared" si="55"/>
        <v>2.7122268363839455</v>
      </c>
      <c r="AK74" s="18">
        <f t="shared" si="55"/>
        <v>0.83079071589955755</v>
      </c>
      <c r="AL74" s="56">
        <f t="shared" si="43"/>
        <v>2</v>
      </c>
      <c r="AN74" s="18">
        <f t="shared" si="56"/>
        <v>2.492755210053502</v>
      </c>
      <c r="AO74" s="18">
        <f t="shared" si="56"/>
        <v>0.91043145571710204</v>
      </c>
      <c r="AP74" s="56">
        <f t="shared" si="44"/>
        <v>2</v>
      </c>
      <c r="AR74" s="18">
        <f t="shared" si="57"/>
        <v>2.3662264297997364</v>
      </c>
      <c r="AS74" s="18">
        <f t="shared" si="57"/>
        <v>0.95045620288067989</v>
      </c>
      <c r="AT74" s="56">
        <f t="shared" si="45"/>
        <v>2</v>
      </c>
      <c r="AV74" s="18">
        <f t="shared" si="58"/>
        <v>2.3283655353115136</v>
      </c>
      <c r="AW74" s="18">
        <f t="shared" si="58"/>
        <v>0.96169163830644344</v>
      </c>
      <c r="AX74" s="56">
        <f t="shared" si="46"/>
        <v>2</v>
      </c>
      <c r="AZ74" s="18">
        <f t="shared" si="59"/>
        <v>2.2913945025446791</v>
      </c>
      <c r="BA74" s="18">
        <f t="shared" si="59"/>
        <v>0.97223380209632893</v>
      </c>
      <c r="BB74" s="56">
        <f t="shared" si="47"/>
        <v>2</v>
      </c>
      <c r="BD74" s="18">
        <f t="shared" si="60"/>
        <v>2.2913945025446791</v>
      </c>
      <c r="BE74" s="18">
        <f t="shared" si="60"/>
        <v>0.97223380209632893</v>
      </c>
      <c r="BF74" s="56">
        <f t="shared" si="48"/>
        <v>2</v>
      </c>
      <c r="BH74" s="18">
        <f t="shared" si="61"/>
        <v>2.2913945025446791</v>
      </c>
      <c r="BI74" s="18">
        <f t="shared" si="61"/>
        <v>0.97223380209632893</v>
      </c>
      <c r="BJ74" s="56">
        <f t="shared" si="49"/>
        <v>2</v>
      </c>
      <c r="BL74" s="18">
        <f t="shared" si="62"/>
        <v>2.2913945025446791</v>
      </c>
      <c r="BM74" s="18">
        <f t="shared" si="62"/>
        <v>0.97223380209632893</v>
      </c>
      <c r="BN74" s="56">
        <f t="shared" si="50"/>
        <v>2</v>
      </c>
      <c r="BP74" s="18">
        <f t="shared" si="63"/>
        <v>2.2913945025446791</v>
      </c>
      <c r="BQ74" s="18">
        <f t="shared" si="63"/>
        <v>0.97223380209632893</v>
      </c>
      <c r="BR74" s="56">
        <f t="shared" si="51"/>
        <v>2</v>
      </c>
    </row>
    <row r="75" spans="1:70" x14ac:dyDescent="0.25">
      <c r="A75" s="36" t="str">
        <f>KMeans_Data!A65</f>
        <v>Other</v>
      </c>
      <c r="B75" s="18">
        <f>KMeans_Data!H65</f>
        <v>-3.3340625617315857E-2</v>
      </c>
      <c r="C75" s="18">
        <f>KMeans_Data!I65</f>
        <v>0.54791138584450239</v>
      </c>
      <c r="D75" s="18">
        <f>KMeans_Data!J65</f>
        <v>0.50187184530158635</v>
      </c>
      <c r="E75" s="56">
        <f t="shared" si="38"/>
        <v>1</v>
      </c>
      <c r="F75" s="38">
        <f t="shared" si="39"/>
        <v>2.0072134929371916</v>
      </c>
      <c r="G75" s="18">
        <f>IF(COUNTIF(Distance_Matrix!$E$8:$DQ$8,$E75)&lt;=1,0,SUMIF(Distance_Matrix!$E$8:$DQ$8,$E75,Distance_Matrix!$E$74:$DQ$74)/(COUNTIF(Distance_Matrix!$E$8:$DQ$8,$E75)-1))</f>
        <v>1.6160081304756908</v>
      </c>
      <c r="H75" s="18">
        <f>MIN(IF(1=$E75,1E+99,IF(COUNTIF(Distance_Matrix!$E$8:$DQ$8,1)=0,1E+99,SUMIF(Distance_Matrix!$E$8:$DQ$8,1,Distance_Matrix!$E$74:$DQ$74)/COUNTIF(Distance_Matrix!$E$8:$DQ$8,1))),IF(2=$E75,1E+99,IF(COUNTIF(Distance_Matrix!$E$8:$DQ$8,2)=0,1E+99,SUMIF(Distance_Matrix!$E$8:$DQ$8,2,Distance_Matrix!$E$74:$DQ$74)/COUNTIF(Distance_Matrix!$E$8:$DQ$8,2))))</f>
        <v>1.7164028169825871</v>
      </c>
      <c r="I75" s="18">
        <f>IF(COUNTIF(Distance_Matrix!$E$8:$DQ$8,$E75)&lt;=1,0,(H75-G75)/MAX(G75,H75))</f>
        <v>5.8491331704633769E-2</v>
      </c>
      <c r="X75" s="18">
        <f t="shared" ref="X75:Y94" si="64">SQRT(($B75-X$8)^2+($C75-X$9)^2+($D75-X$10)^2)</f>
        <v>5.5402469095381823</v>
      </c>
      <c r="Y75" s="18">
        <f t="shared" si="64"/>
        <v>2.8968642376235647</v>
      </c>
      <c r="Z75" s="56">
        <f t="shared" si="40"/>
        <v>2</v>
      </c>
      <c r="AB75" s="18">
        <f t="shared" ref="AB75:AC94" si="65">SQRT(($B75-AB$8)^2+($C75-AB$9)^2+($D75-AB$10)^2)</f>
        <v>3.0225031733322636</v>
      </c>
      <c r="AC75" s="18">
        <f t="shared" si="65"/>
        <v>1.0340057138165246</v>
      </c>
      <c r="AD75" s="56">
        <f t="shared" si="41"/>
        <v>2</v>
      </c>
      <c r="AF75" s="18">
        <f t="shared" ref="AF75:AG94" si="66">SQRT(($B75-AF$8)^2+($C75-AF$9)^2+($D75-AF$10)^2)</f>
        <v>2.4121917895101692</v>
      </c>
      <c r="AG75" s="18">
        <f t="shared" si="66"/>
        <v>1.1286114792204602</v>
      </c>
      <c r="AH75" s="56">
        <f t="shared" si="42"/>
        <v>2</v>
      </c>
      <c r="AJ75" s="18">
        <f t="shared" ref="AJ75:AK94" si="67">SQRT(($B75-AJ$8)^2+($C75-AJ$9)^2+($D75-AJ$10)^2)</f>
        <v>1.8031195528303454</v>
      </c>
      <c r="AK75" s="18">
        <f t="shared" si="67"/>
        <v>1.3285924024365852</v>
      </c>
      <c r="AL75" s="56">
        <f t="shared" si="43"/>
        <v>2</v>
      </c>
      <c r="AN75" s="18">
        <f t="shared" ref="AN75:AO94" si="68">SQRT(($B75-AN$8)^2+($C75-AN$9)^2+($D75-AN$10)^2)</f>
        <v>1.6140523952020467</v>
      </c>
      <c r="AO75" s="18">
        <f t="shared" si="68"/>
        <v>1.424919747994577</v>
      </c>
      <c r="AP75" s="56">
        <f t="shared" si="44"/>
        <v>2</v>
      </c>
      <c r="AR75" s="18">
        <f t="shared" ref="AR75:AS94" si="69">SQRT(($B75-AR$8)^2+($C75-AR$9)^2+($D75-AR$10)^2)</f>
        <v>1.4951086183418472</v>
      </c>
      <c r="AS75" s="18">
        <f t="shared" si="69"/>
        <v>1.4766263627039617</v>
      </c>
      <c r="AT75" s="56">
        <f t="shared" si="45"/>
        <v>2</v>
      </c>
      <c r="AV75" s="18">
        <f t="shared" ref="AV75:AW94" si="70">SQRT(($B75-AV$8)^2+($C75-AV$9)^2+($D75-AV$10)^2)</f>
        <v>1.4584310812399379</v>
      </c>
      <c r="AW75" s="18">
        <f t="shared" si="70"/>
        <v>1.493113363714843</v>
      </c>
      <c r="AX75" s="56">
        <f t="shared" si="46"/>
        <v>1</v>
      </c>
      <c r="AZ75" s="18">
        <f t="shared" ref="AZ75:BA94" si="71">SQRT(($B75-AZ$8)^2+($C75-AZ$9)^2+($D75-AZ$10)^2)</f>
        <v>1.41676162177594</v>
      </c>
      <c r="BA75" s="18">
        <f t="shared" si="71"/>
        <v>1.5113220632723412</v>
      </c>
      <c r="BB75" s="56">
        <f t="shared" si="47"/>
        <v>1</v>
      </c>
      <c r="BD75" s="18">
        <f t="shared" ref="BD75:BE94" si="72">SQRT(($B75-BD$8)^2+($C75-BD$9)^2+($D75-BD$10)^2)</f>
        <v>1.41676162177594</v>
      </c>
      <c r="BE75" s="18">
        <f t="shared" si="72"/>
        <v>1.5113220632723412</v>
      </c>
      <c r="BF75" s="56">
        <f t="shared" si="48"/>
        <v>1</v>
      </c>
      <c r="BH75" s="18">
        <f t="shared" ref="BH75:BI94" si="73">SQRT(($B75-BH$8)^2+($C75-BH$9)^2+($D75-BH$10)^2)</f>
        <v>1.41676162177594</v>
      </c>
      <c r="BI75" s="18">
        <f t="shared" si="73"/>
        <v>1.5113220632723412</v>
      </c>
      <c r="BJ75" s="56">
        <f t="shared" si="49"/>
        <v>1</v>
      </c>
      <c r="BL75" s="18">
        <f t="shared" ref="BL75:BM94" si="74">SQRT(($B75-BL$8)^2+($C75-BL$9)^2+($D75-BL$10)^2)</f>
        <v>1.41676162177594</v>
      </c>
      <c r="BM75" s="18">
        <f t="shared" si="74"/>
        <v>1.5113220632723412</v>
      </c>
      <c r="BN75" s="56">
        <f t="shared" si="50"/>
        <v>1</v>
      </c>
      <c r="BP75" s="18">
        <f t="shared" ref="BP75:BQ94" si="75">SQRT(($B75-BP$8)^2+($C75-BP$9)^2+($D75-BP$10)^2)</f>
        <v>1.41676162177594</v>
      </c>
      <c r="BQ75" s="18">
        <f t="shared" si="75"/>
        <v>1.5113220632723412</v>
      </c>
      <c r="BR75" s="56">
        <f t="shared" si="51"/>
        <v>1</v>
      </c>
    </row>
    <row r="76" spans="1:70" x14ac:dyDescent="0.25">
      <c r="A76" s="36" t="str">
        <f>KMeans_Data!A66</f>
        <v>Thatta</v>
      </c>
      <c r="B76" s="18">
        <f>KMeans_Data!H66</f>
        <v>-4.3647299394291184E-2</v>
      </c>
      <c r="C76" s="18">
        <f>KMeans_Data!I66</f>
        <v>0.16051258962499582</v>
      </c>
      <c r="D76" s="18">
        <f>KMeans_Data!J66</f>
        <v>4.2930091906806002E-2</v>
      </c>
      <c r="E76" s="56">
        <f t="shared" si="38"/>
        <v>2</v>
      </c>
      <c r="F76" s="38">
        <f t="shared" si="39"/>
        <v>0.90215948109565547</v>
      </c>
      <c r="G76" s="18">
        <f>IF(COUNTIF(Distance_Matrix!$E$8:$DQ$8,$E76)&lt;=1,0,SUMIF(Distance_Matrix!$E$8:$DQ$8,$E76,Distance_Matrix!$E$75:$DQ$75)/(COUNTIF(Distance_Matrix!$E$8:$DQ$8,$E76)-1))</f>
        <v>1.3015264035075313</v>
      </c>
      <c r="H76" s="18">
        <f>MIN(IF(1=$E76,1E+99,IF(COUNTIF(Distance_Matrix!$E$8:$DQ$8,1)=0,1E+99,SUMIF(Distance_Matrix!$E$8:$DQ$8,1,Distance_Matrix!$E$75:$DQ$75)/COUNTIF(Distance_Matrix!$E$8:$DQ$8,1))),IF(2=$E76,1E+99,IF(COUNTIF(Distance_Matrix!$E$8:$DQ$8,2)=0,1E+99,SUMIF(Distance_Matrix!$E$8:$DQ$8,2,Distance_Matrix!$E$75:$DQ$75)/COUNTIF(Distance_Matrix!$E$8:$DQ$8,2))))</f>
        <v>1.9617267997936263</v>
      </c>
      <c r="I76" s="18">
        <f>IF(COUNTIF(Distance_Matrix!$E$8:$DQ$8,$E76)&lt;=1,0,(H76-G76)/MAX(G76,H76))</f>
        <v>0.33654043792211435</v>
      </c>
      <c r="X76" s="18">
        <f t="shared" si="64"/>
        <v>6.0293492978854237</v>
      </c>
      <c r="Y76" s="18">
        <f t="shared" si="64"/>
        <v>2.5005068936182209</v>
      </c>
      <c r="Z76" s="56">
        <f t="shared" si="40"/>
        <v>2</v>
      </c>
      <c r="AB76" s="18">
        <f t="shared" si="65"/>
        <v>3.4907554223943507</v>
      </c>
      <c r="AC76" s="18">
        <f t="shared" si="65"/>
        <v>0.45990394563103865</v>
      </c>
      <c r="AD76" s="56">
        <f t="shared" si="41"/>
        <v>2</v>
      </c>
      <c r="AF76" s="18">
        <f t="shared" si="66"/>
        <v>2.8752165534876579</v>
      </c>
      <c r="AG76" s="18">
        <f t="shared" si="66"/>
        <v>0.55950055430020407</v>
      </c>
      <c r="AH76" s="56">
        <f t="shared" si="42"/>
        <v>2</v>
      </c>
      <c r="AJ76" s="18">
        <f t="shared" si="67"/>
        <v>2.2705161018443647</v>
      </c>
      <c r="AK76" s="18">
        <f t="shared" si="67"/>
        <v>0.76274463471420406</v>
      </c>
      <c r="AL76" s="56">
        <f t="shared" si="43"/>
        <v>2</v>
      </c>
      <c r="AN76" s="18">
        <f t="shared" si="68"/>
        <v>2.07358672530281</v>
      </c>
      <c r="AO76" s="18">
        <f t="shared" si="68"/>
        <v>0.86127306743304899</v>
      </c>
      <c r="AP76" s="56">
        <f t="shared" si="44"/>
        <v>2</v>
      </c>
      <c r="AR76" s="18">
        <f t="shared" si="69"/>
        <v>1.9494351060118713</v>
      </c>
      <c r="AS76" s="18">
        <f t="shared" si="69"/>
        <v>0.91444582406470543</v>
      </c>
      <c r="AT76" s="56">
        <f t="shared" si="45"/>
        <v>2</v>
      </c>
      <c r="AV76" s="18">
        <f t="shared" si="70"/>
        <v>1.9097723947732976</v>
      </c>
      <c r="AW76" s="18">
        <f t="shared" si="70"/>
        <v>0.93190641411913833</v>
      </c>
      <c r="AX76" s="56">
        <f t="shared" si="46"/>
        <v>2</v>
      </c>
      <c r="AZ76" s="18">
        <f t="shared" si="71"/>
        <v>1.8693039407256569</v>
      </c>
      <c r="BA76" s="18">
        <f t="shared" si="71"/>
        <v>0.94982076261558712</v>
      </c>
      <c r="BB76" s="56">
        <f t="shared" si="47"/>
        <v>2</v>
      </c>
      <c r="BD76" s="18">
        <f t="shared" si="72"/>
        <v>1.8693039407256569</v>
      </c>
      <c r="BE76" s="18">
        <f t="shared" si="72"/>
        <v>0.94982076261558712</v>
      </c>
      <c r="BF76" s="56">
        <f t="shared" si="48"/>
        <v>2</v>
      </c>
      <c r="BH76" s="18">
        <f t="shared" si="73"/>
        <v>1.8693039407256569</v>
      </c>
      <c r="BI76" s="18">
        <f t="shared" si="73"/>
        <v>0.94982076261558712</v>
      </c>
      <c r="BJ76" s="56">
        <f t="shared" si="49"/>
        <v>2</v>
      </c>
      <c r="BL76" s="18">
        <f t="shared" si="74"/>
        <v>1.8693039407256569</v>
      </c>
      <c r="BM76" s="18">
        <f t="shared" si="74"/>
        <v>0.94982076261558712</v>
      </c>
      <c r="BN76" s="56">
        <f t="shared" si="50"/>
        <v>2</v>
      </c>
      <c r="BP76" s="18">
        <f t="shared" si="75"/>
        <v>1.8693039407256569</v>
      </c>
      <c r="BQ76" s="18">
        <f t="shared" si="75"/>
        <v>0.94982076261558712</v>
      </c>
      <c r="BR76" s="56">
        <f t="shared" si="51"/>
        <v>2</v>
      </c>
    </row>
    <row r="77" spans="1:70" x14ac:dyDescent="0.25">
      <c r="A77" s="36" t="str">
        <f>KMeans_Data!A67</f>
        <v>Hafizabad</v>
      </c>
      <c r="B77" s="18">
        <f>KMeans_Data!H67</f>
        <v>-6.4893923599903938E-2</v>
      </c>
      <c r="C77" s="18">
        <f>KMeans_Data!I67</f>
        <v>-0.67265054538827607</v>
      </c>
      <c r="D77" s="18">
        <f>KMeans_Data!J67</f>
        <v>-0.82444601589876665</v>
      </c>
      <c r="E77" s="56">
        <f t="shared" si="38"/>
        <v>2</v>
      </c>
      <c r="F77" s="38">
        <f t="shared" si="39"/>
        <v>0.2809265910949138</v>
      </c>
      <c r="G77" s="18">
        <f>IF(COUNTIF(Distance_Matrix!$E$8:$DQ$8,$E77)&lt;=1,0,SUMIF(Distance_Matrix!$E$8:$DQ$8,$E77,Distance_Matrix!$E$76:$DQ$76)/(COUNTIF(Distance_Matrix!$E$8:$DQ$8,$E77)-1))</f>
        <v>1.0549836144616513</v>
      </c>
      <c r="H77" s="18">
        <f>MIN(IF(1=$E77,1E+99,IF(COUNTIF(Distance_Matrix!$E$8:$DQ$8,1)=0,1E+99,SUMIF(Distance_Matrix!$E$8:$DQ$8,1,Distance_Matrix!$E$76:$DQ$76)/COUNTIF(Distance_Matrix!$E$8:$DQ$8,1))),IF(2=$E77,1E+99,IF(COUNTIF(Distance_Matrix!$E$8:$DQ$8,2)=0,1E+99,SUMIF(Distance_Matrix!$E$8:$DQ$8,2,Distance_Matrix!$E$76:$DQ$76)/COUNTIF(Distance_Matrix!$E$8:$DQ$8,2))))</f>
        <v>3.0043734821618617</v>
      </c>
      <c r="I77" s="18">
        <f>IF(COUNTIF(Distance_Matrix!$E$8:$DQ$8,$E77)&lt;=1,0,(H77-G77)/MAX(G77,H77))</f>
        <v>0.64885071023110108</v>
      </c>
      <c r="X77" s="18">
        <f t="shared" si="64"/>
        <v>7.0690702006543615</v>
      </c>
      <c r="Y77" s="18">
        <f t="shared" si="64"/>
        <v>2.0402854698792918</v>
      </c>
      <c r="Z77" s="56">
        <f t="shared" si="40"/>
        <v>2</v>
      </c>
      <c r="AB77" s="18">
        <f t="shared" si="65"/>
        <v>4.5307304111659255</v>
      </c>
      <c r="AC77" s="18">
        <f t="shared" si="65"/>
        <v>0.80136538414572733</v>
      </c>
      <c r="AD77" s="56">
        <f t="shared" si="41"/>
        <v>2</v>
      </c>
      <c r="AF77" s="18">
        <f t="shared" si="66"/>
        <v>3.9236526409621284</v>
      </c>
      <c r="AG77" s="18">
        <f t="shared" si="66"/>
        <v>0.73104227064110738</v>
      </c>
      <c r="AH77" s="56">
        <f t="shared" si="42"/>
        <v>2</v>
      </c>
      <c r="AJ77" s="18">
        <f t="shared" si="67"/>
        <v>3.3418453800129946</v>
      </c>
      <c r="AK77" s="18">
        <f t="shared" si="67"/>
        <v>0.59627628573489444</v>
      </c>
      <c r="AL77" s="56">
        <f t="shared" si="43"/>
        <v>2</v>
      </c>
      <c r="AN77" s="18">
        <f t="shared" si="68"/>
        <v>3.1426543270780471</v>
      </c>
      <c r="AO77" s="18">
        <f t="shared" si="68"/>
        <v>0.55443942583349848</v>
      </c>
      <c r="AP77" s="56">
        <f t="shared" si="44"/>
        <v>2</v>
      </c>
      <c r="AR77" s="18">
        <f t="shared" si="69"/>
        <v>3.0186673390990402</v>
      </c>
      <c r="AS77" s="18">
        <f t="shared" si="69"/>
        <v>0.53948352897321272</v>
      </c>
      <c r="AT77" s="56">
        <f t="shared" si="45"/>
        <v>2</v>
      </c>
      <c r="AV77" s="18">
        <f t="shared" si="70"/>
        <v>2.9781632569898093</v>
      </c>
      <c r="AW77" s="18">
        <f t="shared" si="70"/>
        <v>0.53806090271759033</v>
      </c>
      <c r="AX77" s="56">
        <f t="shared" si="46"/>
        <v>2</v>
      </c>
      <c r="AZ77" s="18">
        <f t="shared" si="71"/>
        <v>2.941064695568997</v>
      </c>
      <c r="BA77" s="18">
        <f t="shared" si="71"/>
        <v>0.53002508534494275</v>
      </c>
      <c r="BB77" s="56">
        <f t="shared" si="47"/>
        <v>2</v>
      </c>
      <c r="BD77" s="18">
        <f t="shared" si="72"/>
        <v>2.941064695568997</v>
      </c>
      <c r="BE77" s="18">
        <f t="shared" si="72"/>
        <v>0.53002508534494275</v>
      </c>
      <c r="BF77" s="56">
        <f t="shared" si="48"/>
        <v>2</v>
      </c>
      <c r="BH77" s="18">
        <f t="shared" si="73"/>
        <v>2.941064695568997</v>
      </c>
      <c r="BI77" s="18">
        <f t="shared" si="73"/>
        <v>0.53002508534494275</v>
      </c>
      <c r="BJ77" s="56">
        <f t="shared" si="49"/>
        <v>2</v>
      </c>
      <c r="BL77" s="18">
        <f t="shared" si="74"/>
        <v>2.941064695568997</v>
      </c>
      <c r="BM77" s="18">
        <f t="shared" si="74"/>
        <v>0.53002508534494275</v>
      </c>
      <c r="BN77" s="56">
        <f t="shared" si="50"/>
        <v>2</v>
      </c>
      <c r="BP77" s="18">
        <f t="shared" si="75"/>
        <v>2.941064695568997</v>
      </c>
      <c r="BQ77" s="18">
        <f t="shared" si="75"/>
        <v>0.53002508534494275</v>
      </c>
      <c r="BR77" s="56">
        <f t="shared" si="51"/>
        <v>2</v>
      </c>
    </row>
    <row r="78" spans="1:70" x14ac:dyDescent="0.25">
      <c r="A78" s="36" t="str">
        <f>KMeans_Data!A68</f>
        <v>Mirpurkhas</v>
      </c>
      <c r="B78" s="18">
        <f>KMeans_Data!H68</f>
        <v>-9.8484288830971004E-2</v>
      </c>
      <c r="C78" s="18">
        <f>KMeans_Data!I68</f>
        <v>0.16051258962499582</v>
      </c>
      <c r="D78" s="18">
        <f>KMeans_Data!J68</f>
        <v>0.26515989636960624</v>
      </c>
      <c r="E78" s="56">
        <f t="shared" si="38"/>
        <v>2</v>
      </c>
      <c r="F78" s="38">
        <f t="shared" si="39"/>
        <v>1.1468068401131206</v>
      </c>
      <c r="G78" s="18">
        <f>IF(COUNTIF(Distance_Matrix!$E$8:$DQ$8,$E78)&lt;=1,0,SUMIF(Distance_Matrix!$E$8:$DQ$8,$E78,Distance_Matrix!$E$77:$DQ$77)/(COUNTIF(Distance_Matrix!$E$8:$DQ$8,$E78)-1))</f>
        <v>1.3726843854874542</v>
      </c>
      <c r="H78" s="18">
        <f>MIN(IF(1=$E78,1E+99,IF(COUNTIF(Distance_Matrix!$E$8:$DQ$8,1)=0,1E+99,SUMIF(Distance_Matrix!$E$8:$DQ$8,1,Distance_Matrix!$E$77:$DQ$77)/COUNTIF(Distance_Matrix!$E$8:$DQ$8,1))),IF(2=$E78,1E+99,IF(COUNTIF(Distance_Matrix!$E$8:$DQ$8,2)=0,1E+99,SUMIF(Distance_Matrix!$E$8:$DQ$8,2,Distance_Matrix!$E$77:$DQ$77)/COUNTIF(Distance_Matrix!$E$8:$DQ$8,2))))</f>
        <v>1.8761294147744869</v>
      </c>
      <c r="I78" s="18">
        <f>IF(COUNTIF(Distance_Matrix!$E$8:$DQ$8,$E78)&lt;=1,0,(H78-G78)/MAX(G78,H78))</f>
        <v>0.26834237836815084</v>
      </c>
      <c r="X78" s="18">
        <f t="shared" si="64"/>
        <v>5.9449744144455829</v>
      </c>
      <c r="Y78" s="18">
        <f t="shared" si="64"/>
        <v>2.5709715999444818</v>
      </c>
      <c r="Z78" s="56">
        <f t="shared" si="40"/>
        <v>2</v>
      </c>
      <c r="AB78" s="18">
        <f t="shared" si="65"/>
        <v>3.4130333085920577</v>
      </c>
      <c r="AC78" s="18">
        <f t="shared" si="65"/>
        <v>0.58740706117938135</v>
      </c>
      <c r="AD78" s="56">
        <f t="shared" si="41"/>
        <v>2</v>
      </c>
      <c r="AF78" s="18">
        <f t="shared" si="66"/>
        <v>2.7996740389185644</v>
      </c>
      <c r="AG78" s="18">
        <f t="shared" si="66"/>
        <v>0.680852409485738</v>
      </c>
      <c r="AH78" s="56">
        <f t="shared" si="42"/>
        <v>2</v>
      </c>
      <c r="AJ78" s="18">
        <f t="shared" si="67"/>
        <v>2.1874524890031313</v>
      </c>
      <c r="AK78" s="18">
        <f t="shared" si="67"/>
        <v>0.88282892746254304</v>
      </c>
      <c r="AL78" s="56">
        <f t="shared" si="43"/>
        <v>2</v>
      </c>
      <c r="AN78" s="18">
        <f t="shared" si="68"/>
        <v>1.986645983064022</v>
      </c>
      <c r="AO78" s="18">
        <f t="shared" si="68"/>
        <v>0.98289012717864854</v>
      </c>
      <c r="AP78" s="56">
        <f t="shared" si="44"/>
        <v>2</v>
      </c>
      <c r="AR78" s="18">
        <f t="shared" si="69"/>
        <v>1.8620172480605492</v>
      </c>
      <c r="AS78" s="18">
        <f t="shared" si="69"/>
        <v>1.0360151100890711</v>
      </c>
      <c r="AT78" s="56">
        <f t="shared" si="45"/>
        <v>2</v>
      </c>
      <c r="AV78" s="18">
        <f t="shared" si="70"/>
        <v>1.8231980103141769</v>
      </c>
      <c r="AW78" s="18">
        <f t="shared" si="70"/>
        <v>1.0527756760031524</v>
      </c>
      <c r="AX78" s="56">
        <f t="shared" si="46"/>
        <v>2</v>
      </c>
      <c r="AZ78" s="18">
        <f t="shared" si="71"/>
        <v>1.7821482892500597</v>
      </c>
      <c r="BA78" s="18">
        <f t="shared" si="71"/>
        <v>1.0708906760790855</v>
      </c>
      <c r="BB78" s="56">
        <f t="shared" si="47"/>
        <v>2</v>
      </c>
      <c r="BD78" s="18">
        <f t="shared" si="72"/>
        <v>1.7821482892500597</v>
      </c>
      <c r="BE78" s="18">
        <f t="shared" si="72"/>
        <v>1.0708906760790855</v>
      </c>
      <c r="BF78" s="56">
        <f t="shared" si="48"/>
        <v>2</v>
      </c>
      <c r="BH78" s="18">
        <f t="shared" si="73"/>
        <v>1.7821482892500597</v>
      </c>
      <c r="BI78" s="18">
        <f t="shared" si="73"/>
        <v>1.0708906760790855</v>
      </c>
      <c r="BJ78" s="56">
        <f t="shared" si="49"/>
        <v>2</v>
      </c>
      <c r="BL78" s="18">
        <f t="shared" si="74"/>
        <v>1.7821482892500597</v>
      </c>
      <c r="BM78" s="18">
        <f t="shared" si="74"/>
        <v>1.0708906760790855</v>
      </c>
      <c r="BN78" s="56">
        <f t="shared" si="50"/>
        <v>2</v>
      </c>
      <c r="BP78" s="18">
        <f t="shared" si="75"/>
        <v>1.7821482892500597</v>
      </c>
      <c r="BQ78" s="18">
        <f t="shared" si="75"/>
        <v>1.0708906760790855</v>
      </c>
      <c r="BR78" s="56">
        <f t="shared" si="51"/>
        <v>2</v>
      </c>
    </row>
    <row r="79" spans="1:70" x14ac:dyDescent="0.25">
      <c r="A79" s="36" t="str">
        <f>KMeans_Data!A69</f>
        <v>Kashmore</v>
      </c>
      <c r="B79" s="18">
        <f>KMeans_Data!H69</f>
        <v>-0.11018073651136755</v>
      </c>
      <c r="C79" s="18">
        <f>KMeans_Data!I69</f>
        <v>-0.14698313392952958</v>
      </c>
      <c r="D79" s="18">
        <f>KMeans_Data!J69</f>
        <v>0.38161671714246476</v>
      </c>
      <c r="E79" s="56">
        <f t="shared" ref="E79:E110" si="76">BR79</f>
        <v>2</v>
      </c>
      <c r="F79" s="38">
        <f t="shared" ref="F79:F110" si="77">($B79-INDEX($L$8:$M$8,E79))^2+($C79-INDEX($L$9:$M$9,E79))^2+($D79-INDEX($L$10:$M$10,E79))^2</f>
        <v>1.0057060868857508</v>
      </c>
      <c r="G79" s="18">
        <f>IF(COUNTIF(Distance_Matrix!$E$8:$DQ$8,$E79)&lt;=1,0,SUMIF(Distance_Matrix!$E$8:$DQ$8,$E79,Distance_Matrix!$E$78:$DQ$78)/(COUNTIF(Distance_Matrix!$E$8:$DQ$8,$E79)-1))</f>
        <v>1.3021510102214437</v>
      </c>
      <c r="H79" s="18">
        <f>MIN(IF(1=$E79,1E+99,IF(COUNTIF(Distance_Matrix!$E$8:$DQ$8,1)=0,1E+99,SUMIF(Distance_Matrix!$E$8:$DQ$8,1,Distance_Matrix!$E$78:$DQ$78)/COUNTIF(Distance_Matrix!$E$8:$DQ$8,1))),IF(2=$E79,1E+99,IF(COUNTIF(Distance_Matrix!$E$8:$DQ$8,2)=0,1E+99,SUMIF(Distance_Matrix!$E$8:$DQ$8,2,Distance_Matrix!$E$78:$DQ$78)/COUNTIF(Distance_Matrix!$E$8:$DQ$8,2))))</f>
        <v>2.0165871454087538</v>
      </c>
      <c r="I79" s="18">
        <f>IF(COUNTIF(Distance_Matrix!$E$8:$DQ$8,$E79)&lt;=1,0,(H79-G79)/MAX(G79,H79))</f>
        <v>0.35427982213111692</v>
      </c>
      <c r="X79" s="18">
        <f t="shared" si="64"/>
        <v>6.1007521178289013</v>
      </c>
      <c r="Y79" s="18">
        <f t="shared" si="64"/>
        <v>2.5471567724468125</v>
      </c>
      <c r="Z79" s="56">
        <f t="shared" ref="Z79:Z110" si="78">MATCH(MIN(X79:Y79),X79:Y79,0)</f>
        <v>2</v>
      </c>
      <c r="AB79" s="18">
        <f t="shared" si="65"/>
        <v>3.5747205317456552</v>
      </c>
      <c r="AC79" s="18">
        <f t="shared" si="65"/>
        <v>0.56562889104437619</v>
      </c>
      <c r="AD79" s="56">
        <f t="shared" ref="AD79:AD110" si="79">MATCH(MIN(AB79:AC79),AB79:AC79,0)</f>
        <v>2</v>
      </c>
      <c r="AF79" s="18">
        <f t="shared" si="66"/>
        <v>2.9675893254414554</v>
      </c>
      <c r="AG79" s="18">
        <f t="shared" si="66"/>
        <v>0.63684556483892873</v>
      </c>
      <c r="AH79" s="56">
        <f t="shared" ref="AH79:AH110" si="80">MATCH(MIN(AF79:AG79),AF79:AG79,0)</f>
        <v>2</v>
      </c>
      <c r="AJ79" s="18">
        <f t="shared" si="67"/>
        <v>2.3529552485607477</v>
      </c>
      <c r="AK79" s="18">
        <f t="shared" si="67"/>
        <v>0.81779643397207569</v>
      </c>
      <c r="AL79" s="56">
        <f t="shared" ref="AL79:AL110" si="81">MATCH(MIN(AJ79:AK79),AJ79:AK79,0)</f>
        <v>2</v>
      </c>
      <c r="AN79" s="18">
        <f t="shared" si="68"/>
        <v>2.1419271759396148</v>
      </c>
      <c r="AO79" s="18">
        <f t="shared" si="68"/>
        <v>0.91868900202467729</v>
      </c>
      <c r="AP79" s="56">
        <f t="shared" ref="AP79:AP110" si="82">MATCH(MIN(AN79:AO79),AN79:AO79,0)</f>
        <v>2</v>
      </c>
      <c r="AR79" s="18">
        <f t="shared" si="69"/>
        <v>2.0154796788199709</v>
      </c>
      <c r="AS79" s="18">
        <f t="shared" si="69"/>
        <v>0.97060528009271596</v>
      </c>
      <c r="AT79" s="56">
        <f t="shared" ref="AT79:AT110" si="83">MATCH(MIN(AR79:AS79),AR79:AS79,0)</f>
        <v>2</v>
      </c>
      <c r="AV79" s="18">
        <f t="shared" si="70"/>
        <v>1.9771230730718499</v>
      </c>
      <c r="AW79" s="18">
        <f t="shared" si="70"/>
        <v>0.98613623565270747</v>
      </c>
      <c r="AX79" s="56">
        <f t="shared" ref="AX79:AX110" si="84">MATCH(MIN(AV79:AW79),AV79:AW79,0)</f>
        <v>2</v>
      </c>
      <c r="AZ79" s="18">
        <f t="shared" si="71"/>
        <v>1.9371815083825956</v>
      </c>
      <c r="BA79" s="18">
        <f t="shared" si="71"/>
        <v>1.0028489850848685</v>
      </c>
      <c r="BB79" s="56">
        <f t="shared" ref="BB79:BB110" si="85">MATCH(MIN(AZ79:BA79),AZ79:BA79,0)</f>
        <v>2</v>
      </c>
      <c r="BD79" s="18">
        <f t="shared" si="72"/>
        <v>1.9371815083825956</v>
      </c>
      <c r="BE79" s="18">
        <f t="shared" si="72"/>
        <v>1.0028489850848685</v>
      </c>
      <c r="BF79" s="56">
        <f t="shared" ref="BF79:BF110" si="86">MATCH(MIN(BD79:BE79),BD79:BE79,0)</f>
        <v>2</v>
      </c>
      <c r="BH79" s="18">
        <f t="shared" si="73"/>
        <v>1.9371815083825956</v>
      </c>
      <c r="BI79" s="18">
        <f t="shared" si="73"/>
        <v>1.0028489850848685</v>
      </c>
      <c r="BJ79" s="56">
        <f t="shared" ref="BJ79:BJ110" si="87">MATCH(MIN(BH79:BI79),BH79:BI79,0)</f>
        <v>2</v>
      </c>
      <c r="BL79" s="18">
        <f t="shared" si="74"/>
        <v>1.9371815083825956</v>
      </c>
      <c r="BM79" s="18">
        <f t="shared" si="74"/>
        <v>1.0028489850848685</v>
      </c>
      <c r="BN79" s="56">
        <f t="shared" ref="BN79:BN110" si="88">MATCH(MIN(BL79:BM79),BL79:BM79,0)</f>
        <v>2</v>
      </c>
      <c r="BP79" s="18">
        <f t="shared" si="75"/>
        <v>1.9371815083825956</v>
      </c>
      <c r="BQ79" s="18">
        <f t="shared" si="75"/>
        <v>1.0028489850848685</v>
      </c>
      <c r="BR79" s="56">
        <f t="shared" ref="BR79:BR110" si="89">MATCH(MIN(BP79:BQ79),BP79:BQ79,0)</f>
        <v>2</v>
      </c>
    </row>
    <row r="80" spans="1:70" x14ac:dyDescent="0.25">
      <c r="A80" s="36" t="str">
        <f>KMeans_Data!A70</f>
        <v>Naushero Feroz</v>
      </c>
      <c r="B80" s="18">
        <f>KMeans_Data!H70</f>
        <v>-0.13439300986668776</v>
      </c>
      <c r="C80" s="18">
        <f>KMeans_Data!I70</f>
        <v>-0.14698313392952958</v>
      </c>
      <c r="D80" s="18">
        <f>KMeans_Data!J70</f>
        <v>0.43043982201722641</v>
      </c>
      <c r="E80" s="56">
        <f t="shared" si="76"/>
        <v>2</v>
      </c>
      <c r="F80" s="38">
        <f t="shared" si="77"/>
        <v>1.077461171352299</v>
      </c>
      <c r="G80" s="18">
        <f>IF(COUNTIF(Distance_Matrix!$E$8:$DQ$8,$E80)&lt;=1,0,SUMIF(Distance_Matrix!$E$8:$DQ$8,$E80,Distance_Matrix!$E$79:$DQ$79)/(COUNTIF(Distance_Matrix!$E$8:$DQ$8,$E80)-1))</f>
        <v>1.3264821711962449</v>
      </c>
      <c r="H80" s="18">
        <f>MIN(IF(1=$E80,1E+99,IF(COUNTIF(Distance_Matrix!$E$8:$DQ$8,1)=0,1E+99,SUMIF(Distance_Matrix!$E$8:$DQ$8,1,Distance_Matrix!$E$79:$DQ$79)/COUNTIF(Distance_Matrix!$E$8:$DQ$8,1))),IF(2=$E80,1E+99,IF(COUNTIF(Distance_Matrix!$E$8:$DQ$8,2)=0,1E+99,SUMIF(Distance_Matrix!$E$8:$DQ$8,2,Distance_Matrix!$E$79:$DQ$79)/COUNTIF(Distance_Matrix!$E$8:$DQ$8,2))))</f>
        <v>2.0141298723238714</v>
      </c>
      <c r="I80" s="18">
        <f>IF(COUNTIF(Distance_Matrix!$E$8:$DQ$8,$E80)&lt;=1,0,(H80-G80)/MAX(G80,H80))</f>
        <v>0.34141179800596938</v>
      </c>
      <c r="X80" s="18">
        <f t="shared" si="64"/>
        <v>6.091443757222688</v>
      </c>
      <c r="Y80" s="18">
        <f t="shared" si="64"/>
        <v>2.5582677475268727</v>
      </c>
      <c r="Z80" s="56">
        <f t="shared" si="78"/>
        <v>2</v>
      </c>
      <c r="AB80" s="18">
        <f t="shared" si="65"/>
        <v>3.5689760865285027</v>
      </c>
      <c r="AC80" s="18">
        <f t="shared" si="65"/>
        <v>0.61122729919656804</v>
      </c>
      <c r="AD80" s="56">
        <f t="shared" si="79"/>
        <v>2</v>
      </c>
      <c r="AF80" s="18">
        <f t="shared" si="66"/>
        <v>2.9631916955573603</v>
      </c>
      <c r="AG80" s="18">
        <f t="shared" si="66"/>
        <v>0.67946881735792941</v>
      </c>
      <c r="AH80" s="56">
        <f t="shared" si="80"/>
        <v>2</v>
      </c>
      <c r="AJ80" s="18">
        <f t="shared" si="67"/>
        <v>2.3481435662863341</v>
      </c>
      <c r="AK80" s="18">
        <f t="shared" si="67"/>
        <v>0.85608961882191159</v>
      </c>
      <c r="AL80" s="56">
        <f t="shared" si="81"/>
        <v>2</v>
      </c>
      <c r="AN80" s="18">
        <f t="shared" si="68"/>
        <v>2.1370734073096735</v>
      </c>
      <c r="AO80" s="18">
        <f t="shared" si="68"/>
        <v>0.95521384661050934</v>
      </c>
      <c r="AP80" s="56">
        <f t="shared" si="82"/>
        <v>2</v>
      </c>
      <c r="AR80" s="18">
        <f t="shared" si="69"/>
        <v>2.0110346764419784</v>
      </c>
      <c r="AS80" s="18">
        <f t="shared" si="69"/>
        <v>1.0062687284630523</v>
      </c>
      <c r="AT80" s="56">
        <f t="shared" si="83"/>
        <v>2</v>
      </c>
      <c r="AV80" s="18">
        <f t="shared" si="70"/>
        <v>1.9730479344366909</v>
      </c>
      <c r="AW80" s="18">
        <f t="shared" si="70"/>
        <v>1.0214178274497179</v>
      </c>
      <c r="AX80" s="56">
        <f t="shared" si="84"/>
        <v>2</v>
      </c>
      <c r="AZ80" s="18">
        <f t="shared" si="71"/>
        <v>1.933103799459049</v>
      </c>
      <c r="BA80" s="18">
        <f t="shared" si="71"/>
        <v>1.0380082713313508</v>
      </c>
      <c r="BB80" s="56">
        <f t="shared" si="85"/>
        <v>2</v>
      </c>
      <c r="BD80" s="18">
        <f t="shared" si="72"/>
        <v>1.933103799459049</v>
      </c>
      <c r="BE80" s="18">
        <f t="shared" si="72"/>
        <v>1.0380082713313508</v>
      </c>
      <c r="BF80" s="56">
        <f t="shared" si="86"/>
        <v>2</v>
      </c>
      <c r="BH80" s="18">
        <f t="shared" si="73"/>
        <v>1.933103799459049</v>
      </c>
      <c r="BI80" s="18">
        <f t="shared" si="73"/>
        <v>1.0380082713313508</v>
      </c>
      <c r="BJ80" s="56">
        <f t="shared" si="87"/>
        <v>2</v>
      </c>
      <c r="BL80" s="18">
        <f t="shared" si="74"/>
        <v>1.933103799459049</v>
      </c>
      <c r="BM80" s="18">
        <f t="shared" si="74"/>
        <v>1.0380082713313508</v>
      </c>
      <c r="BN80" s="56">
        <f t="shared" si="88"/>
        <v>2</v>
      </c>
      <c r="BP80" s="18">
        <f t="shared" si="75"/>
        <v>1.933103799459049</v>
      </c>
      <c r="BQ80" s="18">
        <f t="shared" si="75"/>
        <v>1.0380082713313508</v>
      </c>
      <c r="BR80" s="56">
        <f t="shared" si="89"/>
        <v>2</v>
      </c>
    </row>
    <row r="81" spans="1:70" x14ac:dyDescent="0.25">
      <c r="A81" s="36" t="str">
        <f>KMeans_Data!A71</f>
        <v>Tando M. Khan</v>
      </c>
      <c r="B81" s="18">
        <f>KMeans_Data!H71</f>
        <v>-0.17296398743636285</v>
      </c>
      <c r="C81" s="18">
        <f>KMeans_Data!I71</f>
        <v>-0.67265054538827607</v>
      </c>
      <c r="D81" s="18">
        <f>KMeans_Data!J71</f>
        <v>0.59726181533299938</v>
      </c>
      <c r="E81" s="56">
        <f t="shared" si="76"/>
        <v>2</v>
      </c>
      <c r="F81" s="38">
        <f t="shared" si="77"/>
        <v>1.276555725922381</v>
      </c>
      <c r="G81" s="18">
        <f>IF(COUNTIF(Distance_Matrix!$E$8:$DQ$8,$E81)&lt;=1,0,SUMIF(Distance_Matrix!$E$8:$DQ$8,$E81,Distance_Matrix!$E$80:$DQ$80)/(COUNTIF(Distance_Matrix!$E$8:$DQ$8,$E81)-1))</f>
        <v>1.4018352482228731</v>
      </c>
      <c r="H81" s="18">
        <f>MIN(IF(1=$E81,1E+99,IF(COUNTIF(Distance_Matrix!$E$8:$DQ$8,1)=0,1E+99,SUMIF(Distance_Matrix!$E$8:$DQ$8,1,Distance_Matrix!$E$80:$DQ$80)/COUNTIF(Distance_Matrix!$E$8:$DQ$8,1))),IF(2=$E81,1E+99,IF(COUNTIF(Distance_Matrix!$E$8:$DQ$8,2)=0,1E+99,SUMIF(Distance_Matrix!$E$8:$DQ$8,2,Distance_Matrix!$E$80:$DQ$80)/COUNTIF(Distance_Matrix!$E$8:$DQ$8,2))))</f>
        <v>2.37838859549707</v>
      </c>
      <c r="I81" s="18">
        <f>IF(COUNTIF(Distance_Matrix!$E$8:$DQ$8,$E81)&lt;=1,0,(H81-G81)/MAX(G81,H81))</f>
        <v>0.41059452989434753</v>
      </c>
      <c r="X81" s="18">
        <f t="shared" si="64"/>
        <v>6.4135297684832393</v>
      </c>
      <c r="Y81" s="18">
        <f t="shared" si="64"/>
        <v>2.5833134057316025</v>
      </c>
      <c r="Z81" s="56">
        <f t="shared" si="78"/>
        <v>2</v>
      </c>
      <c r="AB81" s="18">
        <f t="shared" si="65"/>
        <v>3.9180515378657415</v>
      </c>
      <c r="AC81" s="18">
        <f t="shared" si="65"/>
        <v>0.89492650726658274</v>
      </c>
      <c r="AD81" s="56">
        <f t="shared" si="79"/>
        <v>2</v>
      </c>
      <c r="AF81" s="18">
        <f t="shared" si="66"/>
        <v>3.3291672602863844</v>
      </c>
      <c r="AG81" s="18">
        <f t="shared" si="66"/>
        <v>0.90966650303327445</v>
      </c>
      <c r="AH81" s="56">
        <f t="shared" si="80"/>
        <v>2</v>
      </c>
      <c r="AJ81" s="18">
        <f t="shared" si="67"/>
        <v>2.723382591339305</v>
      </c>
      <c r="AK81" s="18">
        <f t="shared" si="67"/>
        <v>0.99840017118623769</v>
      </c>
      <c r="AL81" s="56">
        <f t="shared" si="81"/>
        <v>2</v>
      </c>
      <c r="AN81" s="18">
        <f t="shared" si="68"/>
        <v>2.504933757998661</v>
      </c>
      <c r="AO81" s="18">
        <f t="shared" si="68"/>
        <v>1.0721624112307035</v>
      </c>
      <c r="AP81" s="56">
        <f t="shared" si="82"/>
        <v>2</v>
      </c>
      <c r="AR81" s="18">
        <f t="shared" si="69"/>
        <v>2.380558545561108</v>
      </c>
      <c r="AS81" s="18">
        <f t="shared" si="69"/>
        <v>1.1092683044112954</v>
      </c>
      <c r="AT81" s="56">
        <f t="shared" si="83"/>
        <v>2</v>
      </c>
      <c r="AV81" s="18">
        <f t="shared" si="70"/>
        <v>2.3443874969089324</v>
      </c>
      <c r="AW81" s="18">
        <f t="shared" si="70"/>
        <v>1.1190538156552792</v>
      </c>
      <c r="AX81" s="56">
        <f t="shared" si="84"/>
        <v>2</v>
      </c>
      <c r="AZ81" s="18">
        <f t="shared" si="71"/>
        <v>2.3072637423466205</v>
      </c>
      <c r="BA81" s="18">
        <f t="shared" si="71"/>
        <v>1.1298476560680122</v>
      </c>
      <c r="BB81" s="56">
        <f t="shared" si="85"/>
        <v>2</v>
      </c>
      <c r="BD81" s="18">
        <f t="shared" si="72"/>
        <v>2.3072637423466205</v>
      </c>
      <c r="BE81" s="18">
        <f t="shared" si="72"/>
        <v>1.1298476560680122</v>
      </c>
      <c r="BF81" s="56">
        <f t="shared" si="86"/>
        <v>2</v>
      </c>
      <c r="BH81" s="18">
        <f t="shared" si="73"/>
        <v>2.3072637423466205</v>
      </c>
      <c r="BI81" s="18">
        <f t="shared" si="73"/>
        <v>1.1298476560680122</v>
      </c>
      <c r="BJ81" s="56">
        <f t="shared" si="87"/>
        <v>2</v>
      </c>
      <c r="BL81" s="18">
        <f t="shared" si="74"/>
        <v>2.3072637423466205</v>
      </c>
      <c r="BM81" s="18">
        <f t="shared" si="74"/>
        <v>1.1298476560680122</v>
      </c>
      <c r="BN81" s="56">
        <f t="shared" si="88"/>
        <v>2</v>
      </c>
      <c r="BP81" s="18">
        <f t="shared" si="75"/>
        <v>2.3072637423466205</v>
      </c>
      <c r="BQ81" s="18">
        <f t="shared" si="75"/>
        <v>1.1298476560680122</v>
      </c>
      <c r="BR81" s="56">
        <f t="shared" si="89"/>
        <v>2</v>
      </c>
    </row>
    <row r="82" spans="1:70" x14ac:dyDescent="0.25">
      <c r="A82" s="36" t="str">
        <f>KMeans_Data!A72</f>
        <v>Chitral Lower</v>
      </c>
      <c r="B82" s="18">
        <f>KMeans_Data!H72</f>
        <v>-0.21462381690636909</v>
      </c>
      <c r="C82" s="18">
        <f>KMeans_Data!I72</f>
        <v>-0.67265054538827607</v>
      </c>
      <c r="D82" s="18">
        <f>KMeans_Data!J72</f>
        <v>0.19372787308524608</v>
      </c>
      <c r="E82" s="56">
        <f t="shared" si="76"/>
        <v>2</v>
      </c>
      <c r="F82" s="38">
        <f t="shared" si="77"/>
        <v>0.5422697473043685</v>
      </c>
      <c r="G82" s="18">
        <f>IF(COUNTIF(Distance_Matrix!$E$8:$DQ$8,$E82)&lt;=1,0,SUMIF(Distance_Matrix!$E$8:$DQ$8,$E82,Distance_Matrix!$E$81:$DQ$81)/(COUNTIF(Distance_Matrix!$E$8:$DQ$8,$E82)-1))</f>
        <v>1.1463670056074737</v>
      </c>
      <c r="H82" s="18">
        <f>MIN(IF(1=$E82,1E+99,IF(COUNTIF(Distance_Matrix!$E$8:$DQ$8,1)=0,1E+99,SUMIF(Distance_Matrix!$E$8:$DQ$8,1,Distance_Matrix!$E$81:$DQ$81)/COUNTIF(Distance_Matrix!$E$8:$DQ$8,1))),IF(2=$E82,1E+99,IF(COUNTIF(Distance_Matrix!$E$8:$DQ$8,2)=0,1E+99,SUMIF(Distance_Matrix!$E$8:$DQ$8,2,Distance_Matrix!$E$81:$DQ$81)/COUNTIF(Distance_Matrix!$E$8:$DQ$8,2))))</f>
        <v>2.5137605690027289</v>
      </c>
      <c r="I82" s="18">
        <f>IF(COUNTIF(Distance_Matrix!$E$8:$DQ$8,$E82)&lt;=1,0,(H82-G82)/MAX(G82,H82))</f>
        <v>0.54396332739745934</v>
      </c>
      <c r="X82" s="18">
        <f t="shared" si="64"/>
        <v>6.6127372640193443</v>
      </c>
      <c r="Y82" s="18">
        <f t="shared" si="64"/>
        <v>2.2962073456330026</v>
      </c>
      <c r="Z82" s="56">
        <f t="shared" si="78"/>
        <v>2</v>
      </c>
      <c r="AB82" s="18">
        <f t="shared" si="65"/>
        <v>4.0888347790425206</v>
      </c>
      <c r="AC82" s="18">
        <f t="shared" si="65"/>
        <v>0.58457581979268392</v>
      </c>
      <c r="AD82" s="56">
        <f t="shared" si="79"/>
        <v>2</v>
      </c>
      <c r="AF82" s="18">
        <f t="shared" si="66"/>
        <v>3.4861667238551806</v>
      </c>
      <c r="AG82" s="18">
        <f t="shared" si="66"/>
        <v>0.56791721176876975</v>
      </c>
      <c r="AH82" s="56">
        <f t="shared" si="80"/>
        <v>2</v>
      </c>
      <c r="AJ82" s="18">
        <f t="shared" si="67"/>
        <v>2.8761071738321631</v>
      </c>
      <c r="AK82" s="18">
        <f t="shared" si="67"/>
        <v>0.61564904899657702</v>
      </c>
      <c r="AL82" s="56">
        <f t="shared" si="81"/>
        <v>2</v>
      </c>
      <c r="AN82" s="18">
        <f t="shared" si="68"/>
        <v>2.6600453601053271</v>
      </c>
      <c r="AO82" s="18">
        <f t="shared" si="68"/>
        <v>0.68244548894408463</v>
      </c>
      <c r="AP82" s="56">
        <f t="shared" si="82"/>
        <v>2</v>
      </c>
      <c r="AR82" s="18">
        <f t="shared" si="69"/>
        <v>2.5327930281140314</v>
      </c>
      <c r="AS82" s="18">
        <f t="shared" si="69"/>
        <v>0.7173066300692762</v>
      </c>
      <c r="AT82" s="56">
        <f t="shared" si="83"/>
        <v>2</v>
      </c>
      <c r="AV82" s="18">
        <f t="shared" si="70"/>
        <v>2.4942594826603779</v>
      </c>
      <c r="AW82" s="18">
        <f t="shared" si="70"/>
        <v>0.72666204869757878</v>
      </c>
      <c r="AX82" s="56">
        <f t="shared" si="84"/>
        <v>2</v>
      </c>
      <c r="AZ82" s="18">
        <f t="shared" si="71"/>
        <v>2.4557604060641198</v>
      </c>
      <c r="BA82" s="18">
        <f t="shared" si="71"/>
        <v>0.73638967082949258</v>
      </c>
      <c r="BB82" s="56">
        <f t="shared" si="85"/>
        <v>2</v>
      </c>
      <c r="BD82" s="18">
        <f t="shared" si="72"/>
        <v>2.4557604060641198</v>
      </c>
      <c r="BE82" s="18">
        <f t="shared" si="72"/>
        <v>0.73638967082949258</v>
      </c>
      <c r="BF82" s="56">
        <f t="shared" si="86"/>
        <v>2</v>
      </c>
      <c r="BH82" s="18">
        <f t="shared" si="73"/>
        <v>2.4557604060641198</v>
      </c>
      <c r="BI82" s="18">
        <f t="shared" si="73"/>
        <v>0.73638967082949258</v>
      </c>
      <c r="BJ82" s="56">
        <f t="shared" si="87"/>
        <v>2</v>
      </c>
      <c r="BL82" s="18">
        <f t="shared" si="74"/>
        <v>2.4557604060641198</v>
      </c>
      <c r="BM82" s="18">
        <f t="shared" si="74"/>
        <v>0.73638967082949258</v>
      </c>
      <c r="BN82" s="56">
        <f t="shared" si="88"/>
        <v>2</v>
      </c>
      <c r="BP82" s="18">
        <f t="shared" si="75"/>
        <v>2.4557604060641198</v>
      </c>
      <c r="BQ82" s="18">
        <f t="shared" si="75"/>
        <v>0.73638967082949258</v>
      </c>
      <c r="BR82" s="56">
        <f t="shared" si="89"/>
        <v>2</v>
      </c>
    </row>
    <row r="83" spans="1:70" x14ac:dyDescent="0.25">
      <c r="A83" s="36" t="str">
        <f>KMeans_Data!A73</f>
        <v>Sujawal</v>
      </c>
      <c r="B83" s="18">
        <f>KMeans_Data!H73</f>
        <v>-0.21462381690636909</v>
      </c>
      <c r="C83" s="18">
        <f>KMeans_Data!I73</f>
        <v>-0.67265054538827607</v>
      </c>
      <c r="D83" s="18">
        <f>KMeans_Data!J73</f>
        <v>0.1092417215824385</v>
      </c>
      <c r="E83" s="56">
        <f t="shared" si="76"/>
        <v>2</v>
      </c>
      <c r="F83" s="38">
        <f t="shared" si="77"/>
        <v>0.43413489609765565</v>
      </c>
      <c r="G83" s="18">
        <f>IF(COUNTIF(Distance_Matrix!$E$8:$DQ$8,$E83)&lt;=1,0,SUMIF(Distance_Matrix!$E$8:$DQ$8,$E83,Distance_Matrix!$E$82:$DQ$82)/(COUNTIF(Distance_Matrix!$E$8:$DQ$8,$E83)-1))</f>
        <v>1.1068365384789842</v>
      </c>
      <c r="H83" s="18">
        <f>MIN(IF(1=$E83,1E+99,IF(COUNTIF(Distance_Matrix!$E$8:$DQ$8,1)=0,1E+99,SUMIF(Distance_Matrix!$E$8:$DQ$8,1,Distance_Matrix!$E$82:$DQ$82)/COUNTIF(Distance_Matrix!$E$8:$DQ$8,1))),IF(2=$E83,1E+99,IF(COUNTIF(Distance_Matrix!$E$8:$DQ$8,2)=0,1E+99,SUMIF(Distance_Matrix!$E$8:$DQ$8,2,Distance_Matrix!$E$82:$DQ$82)/COUNTIF(Distance_Matrix!$E$8:$DQ$8,2))))</f>
        <v>2.5463631124664161</v>
      </c>
      <c r="I83" s="18">
        <f>IF(COUNTIF(Distance_Matrix!$E$8:$DQ$8,$E83)&lt;=1,0,(H83-G83)/MAX(G83,H83))</f>
        <v>0.56532651095196773</v>
      </c>
      <c r="X83" s="18">
        <f t="shared" si="64"/>
        <v>6.6522414095383775</v>
      </c>
      <c r="Y83" s="18">
        <f t="shared" si="64"/>
        <v>2.2479744914703566</v>
      </c>
      <c r="Z83" s="56">
        <f t="shared" si="78"/>
        <v>2</v>
      </c>
      <c r="AB83" s="18">
        <f t="shared" si="65"/>
        <v>4.1241091173929272</v>
      </c>
      <c r="AC83" s="18">
        <f t="shared" si="65"/>
        <v>0.53541067747062365</v>
      </c>
      <c r="AD83" s="56">
        <f t="shared" si="79"/>
        <v>2</v>
      </c>
      <c r="AF83" s="18">
        <f t="shared" si="66"/>
        <v>3.5195258367101685</v>
      </c>
      <c r="AG83" s="18">
        <f t="shared" si="66"/>
        <v>0.50872468888201006</v>
      </c>
      <c r="AH83" s="56">
        <f t="shared" si="80"/>
        <v>2</v>
      </c>
      <c r="AJ83" s="18">
        <f t="shared" si="67"/>
        <v>2.9098860970837865</v>
      </c>
      <c r="AK83" s="18">
        <f t="shared" si="67"/>
        <v>0.54162849825384518</v>
      </c>
      <c r="AL83" s="56">
        <f t="shared" si="81"/>
        <v>2</v>
      </c>
      <c r="AN83" s="18">
        <f t="shared" si="68"/>
        <v>2.6946930962733995</v>
      </c>
      <c r="AO83" s="18">
        <f t="shared" si="68"/>
        <v>0.60607997637758293</v>
      </c>
      <c r="AP83" s="56">
        <f t="shared" si="82"/>
        <v>2</v>
      </c>
      <c r="AR83" s="18">
        <f t="shared" si="69"/>
        <v>2.5671970381885743</v>
      </c>
      <c r="AS83" s="18">
        <f t="shared" si="69"/>
        <v>0.64026982507843888</v>
      </c>
      <c r="AT83" s="56">
        <f t="shared" si="83"/>
        <v>2</v>
      </c>
      <c r="AV83" s="18">
        <f t="shared" si="70"/>
        <v>2.52830021114652</v>
      </c>
      <c r="AW83" s="18">
        <f t="shared" si="70"/>
        <v>0.64955294865590385</v>
      </c>
      <c r="AX83" s="56">
        <f t="shared" si="84"/>
        <v>2</v>
      </c>
      <c r="AZ83" s="18">
        <f t="shared" si="71"/>
        <v>2.489686215540337</v>
      </c>
      <c r="BA83" s="18">
        <f t="shared" si="71"/>
        <v>0.65888913794177517</v>
      </c>
      <c r="BB83" s="56">
        <f t="shared" si="85"/>
        <v>2</v>
      </c>
      <c r="BD83" s="18">
        <f t="shared" si="72"/>
        <v>2.489686215540337</v>
      </c>
      <c r="BE83" s="18">
        <f t="shared" si="72"/>
        <v>0.65888913794177517</v>
      </c>
      <c r="BF83" s="56">
        <f t="shared" si="86"/>
        <v>2</v>
      </c>
      <c r="BH83" s="18">
        <f t="shared" si="73"/>
        <v>2.489686215540337</v>
      </c>
      <c r="BI83" s="18">
        <f t="shared" si="73"/>
        <v>0.65888913794177517</v>
      </c>
      <c r="BJ83" s="56">
        <f t="shared" si="87"/>
        <v>2</v>
      </c>
      <c r="BL83" s="18">
        <f t="shared" si="74"/>
        <v>2.489686215540337</v>
      </c>
      <c r="BM83" s="18">
        <f t="shared" si="74"/>
        <v>0.65888913794177517</v>
      </c>
      <c r="BN83" s="56">
        <f t="shared" si="88"/>
        <v>2</v>
      </c>
      <c r="BP83" s="18">
        <f t="shared" si="75"/>
        <v>2.489686215540337</v>
      </c>
      <c r="BQ83" s="18">
        <f t="shared" si="75"/>
        <v>0.65888913794177517</v>
      </c>
      <c r="BR83" s="56">
        <f t="shared" si="89"/>
        <v>2</v>
      </c>
    </row>
    <row r="84" spans="1:70" x14ac:dyDescent="0.25">
      <c r="A84" s="36" t="str">
        <f>KMeans_Data!A74</f>
        <v>Laiya</v>
      </c>
      <c r="B84" s="18">
        <f>KMeans_Data!H74</f>
        <v>-0.25991062981783247</v>
      </c>
      <c r="C84" s="18">
        <f>KMeans_Data!I74</f>
        <v>-0.67265054538827607</v>
      </c>
      <c r="D84" s="18">
        <f>KMeans_Data!J74</f>
        <v>-1.1456441163335547</v>
      </c>
      <c r="E84" s="56">
        <f t="shared" si="76"/>
        <v>2</v>
      </c>
      <c r="F84" s="38">
        <f t="shared" si="77"/>
        <v>0.49000586468615359</v>
      </c>
      <c r="G84" s="18">
        <f>IF(COUNTIF(Distance_Matrix!$E$8:$DQ$8,$E84)&lt;=1,0,SUMIF(Distance_Matrix!$E$8:$DQ$8,$E84,Distance_Matrix!$E$83:$DQ$83)/(COUNTIF(Distance_Matrix!$E$8:$DQ$8,$E84)-1))</f>
        <v>1.1187871090197579</v>
      </c>
      <c r="H84" s="18">
        <f>MIN(IF(1=$E84,1E+99,IF(COUNTIF(Distance_Matrix!$E$8:$DQ$8,1)=0,1E+99,SUMIF(Distance_Matrix!$E$8:$DQ$8,1,Distance_Matrix!$E$83:$DQ$83)/COUNTIF(Distance_Matrix!$E$8:$DQ$8,1))),IF(2=$E84,1E+99,IF(COUNTIF(Distance_Matrix!$E$8:$DQ$8,2)=0,1E+99,SUMIF(Distance_Matrix!$E$8:$DQ$8,2,Distance_Matrix!$E$83:$DQ$83)/COUNTIF(Distance_Matrix!$E$8:$DQ$8,2))))</f>
        <v>3.2992772559218815</v>
      </c>
      <c r="I84" s="18">
        <f>IF(COUNTIF(Distance_Matrix!$E$8:$DQ$8,$E84)&lt;=1,0,(H84-G84)/MAX(G84,H84))</f>
        <v>0.66089933575250648</v>
      </c>
      <c r="X84" s="18">
        <f t="shared" si="64"/>
        <v>7.3508166372041472</v>
      </c>
      <c r="Y84" s="18">
        <f t="shared" si="64"/>
        <v>1.8198273519854962</v>
      </c>
      <c r="Z84" s="56">
        <f t="shared" si="78"/>
        <v>2</v>
      </c>
      <c r="AB84" s="18">
        <f t="shared" si="65"/>
        <v>4.8158479571118518</v>
      </c>
      <c r="AC84" s="18">
        <f t="shared" si="65"/>
        <v>1.074394445753978</v>
      </c>
      <c r="AD84" s="56">
        <f t="shared" si="79"/>
        <v>2</v>
      </c>
      <c r="AF84" s="18">
        <f t="shared" si="66"/>
        <v>4.2079454403375163</v>
      </c>
      <c r="AG84" s="18">
        <f t="shared" si="66"/>
        <v>0.9964751216018195</v>
      </c>
      <c r="AH84" s="56">
        <f t="shared" si="80"/>
        <v>2</v>
      </c>
      <c r="AJ84" s="18">
        <f t="shared" si="67"/>
        <v>3.6309823059215054</v>
      </c>
      <c r="AK84" s="18">
        <f t="shared" si="67"/>
        <v>0.83245979589683616</v>
      </c>
      <c r="AL84" s="56">
        <f t="shared" si="81"/>
        <v>2</v>
      </c>
      <c r="AN84" s="18">
        <f t="shared" si="68"/>
        <v>3.4385231463654033</v>
      </c>
      <c r="AO84" s="18">
        <f t="shared" si="68"/>
        <v>0.75640179333026347</v>
      </c>
      <c r="AP84" s="56">
        <f t="shared" si="82"/>
        <v>2</v>
      </c>
      <c r="AR84" s="18">
        <f t="shared" si="69"/>
        <v>3.3162471069111459</v>
      </c>
      <c r="AS84" s="18">
        <f t="shared" si="69"/>
        <v>0.72115365626237915</v>
      </c>
      <c r="AT84" s="56">
        <f t="shared" si="83"/>
        <v>2</v>
      </c>
      <c r="AV84" s="18">
        <f t="shared" si="70"/>
        <v>3.2758424001753719</v>
      </c>
      <c r="AW84" s="18">
        <f t="shared" si="70"/>
        <v>0.71287066007236066</v>
      </c>
      <c r="AX84" s="56">
        <f t="shared" si="84"/>
        <v>2</v>
      </c>
      <c r="AZ84" s="18">
        <f t="shared" si="71"/>
        <v>3.2383772025130289</v>
      </c>
      <c r="BA84" s="18">
        <f t="shared" si="71"/>
        <v>0.70000418904900386</v>
      </c>
      <c r="BB84" s="56">
        <f t="shared" si="85"/>
        <v>2</v>
      </c>
      <c r="BD84" s="18">
        <f t="shared" si="72"/>
        <v>3.2383772025130289</v>
      </c>
      <c r="BE84" s="18">
        <f t="shared" si="72"/>
        <v>0.70000418904900386</v>
      </c>
      <c r="BF84" s="56">
        <f t="shared" si="86"/>
        <v>2</v>
      </c>
      <c r="BH84" s="18">
        <f t="shared" si="73"/>
        <v>3.2383772025130289</v>
      </c>
      <c r="BI84" s="18">
        <f t="shared" si="73"/>
        <v>0.70000418904900386</v>
      </c>
      <c r="BJ84" s="56">
        <f t="shared" si="87"/>
        <v>2</v>
      </c>
      <c r="BL84" s="18">
        <f t="shared" si="74"/>
        <v>3.2383772025130289</v>
      </c>
      <c r="BM84" s="18">
        <f t="shared" si="74"/>
        <v>0.70000418904900386</v>
      </c>
      <c r="BN84" s="56">
        <f t="shared" si="88"/>
        <v>2</v>
      </c>
      <c r="BP84" s="18">
        <f t="shared" si="75"/>
        <v>3.2383772025130289</v>
      </c>
      <c r="BQ84" s="18">
        <f t="shared" si="75"/>
        <v>0.70000418904900386</v>
      </c>
      <c r="BR84" s="56">
        <f t="shared" si="89"/>
        <v>2</v>
      </c>
    </row>
    <row r="85" spans="1:70" x14ac:dyDescent="0.25">
      <c r="A85" s="36" t="str">
        <f>KMeans_Data!A75</f>
        <v>Shigar</v>
      </c>
      <c r="B85" s="18">
        <f>KMeans_Data!H75</f>
        <v>-0.27592635554508732</v>
      </c>
      <c r="C85" s="18">
        <f>KMeans_Data!I75</f>
        <v>-0.67265054538827607</v>
      </c>
      <c r="D85" s="18">
        <f>KMeans_Data!J75</f>
        <v>0.2867168485915767</v>
      </c>
      <c r="E85" s="56">
        <f t="shared" si="76"/>
        <v>2</v>
      </c>
      <c r="F85" s="38">
        <f t="shared" si="77"/>
        <v>0.6533991921895036</v>
      </c>
      <c r="G85" s="18">
        <f>IF(COUNTIF(Distance_Matrix!$E$8:$DQ$8,$E85)&lt;=1,0,SUMIF(Distance_Matrix!$E$8:$DQ$8,$E85,Distance_Matrix!$E$84:$DQ$84)/(COUNTIF(Distance_Matrix!$E$8:$DQ$8,$E85)-1))</f>
        <v>1.1902941181629363</v>
      </c>
      <c r="H85" s="18">
        <f>MIN(IF(1=$E85,1E+99,IF(COUNTIF(Distance_Matrix!$E$8:$DQ$8,1)=0,1E+99,SUMIF(Distance_Matrix!$E$8:$DQ$8,1,Distance_Matrix!$E$84:$DQ$84)/COUNTIF(Distance_Matrix!$E$8:$DQ$8,1))),IF(2=$E85,1E+99,IF(COUNTIF(Distance_Matrix!$E$8:$DQ$8,2)=0,1E+99,SUMIF(Distance_Matrix!$E$8:$DQ$8,2,Distance_Matrix!$E$84:$DQ$84)/COUNTIF(Distance_Matrix!$E$8:$DQ$8,2))))</f>
        <v>2.5125664021625869</v>
      </c>
      <c r="I85" s="18">
        <f>IF(COUNTIF(Distance_Matrix!$E$8:$DQ$8,$E85)&lt;=1,0,(H85-G85)/MAX(G85,H85))</f>
        <v>0.52626361749546591</v>
      </c>
      <c r="X85" s="18">
        <f t="shared" si="64"/>
        <v>6.6029959991080132</v>
      </c>
      <c r="Y85" s="18">
        <f t="shared" si="64"/>
        <v>2.30334415944853</v>
      </c>
      <c r="Z85" s="56">
        <f t="shared" si="78"/>
        <v>2</v>
      </c>
      <c r="AB85" s="18">
        <f t="shared" si="65"/>
        <v>4.0851361091789435</v>
      </c>
      <c r="AC85" s="18">
        <f t="shared" si="65"/>
        <v>0.65290751039486494</v>
      </c>
      <c r="AD85" s="56">
        <f t="shared" si="79"/>
        <v>2</v>
      </c>
      <c r="AF85" s="18">
        <f t="shared" si="66"/>
        <v>3.4843493119929279</v>
      </c>
      <c r="AG85" s="18">
        <f t="shared" si="66"/>
        <v>0.64041653297272794</v>
      </c>
      <c r="AH85" s="56">
        <f t="shared" si="80"/>
        <v>2</v>
      </c>
      <c r="AJ85" s="18">
        <f t="shared" si="67"/>
        <v>2.8730156688780184</v>
      </c>
      <c r="AK85" s="18">
        <f t="shared" si="67"/>
        <v>0.69203575780423487</v>
      </c>
      <c r="AL85" s="56">
        <f t="shared" si="81"/>
        <v>2</v>
      </c>
      <c r="AN85" s="18">
        <f t="shared" si="68"/>
        <v>2.6569079925081427</v>
      </c>
      <c r="AO85" s="18">
        <f t="shared" si="68"/>
        <v>0.75631158486416217</v>
      </c>
      <c r="AP85" s="56">
        <f t="shared" si="82"/>
        <v>2</v>
      </c>
      <c r="AR85" s="18">
        <f t="shared" si="69"/>
        <v>2.5302132914010085</v>
      </c>
      <c r="AS85" s="18">
        <f t="shared" si="69"/>
        <v>0.7897932188728688</v>
      </c>
      <c r="AT85" s="56">
        <f t="shared" si="83"/>
        <v>2</v>
      </c>
      <c r="AV85" s="18">
        <f t="shared" si="70"/>
        <v>2.4922280056258828</v>
      </c>
      <c r="AW85" s="18">
        <f t="shared" si="70"/>
        <v>0.79847044688042879</v>
      </c>
      <c r="AX85" s="56">
        <f t="shared" si="84"/>
        <v>2</v>
      </c>
      <c r="AZ85" s="18">
        <f t="shared" si="71"/>
        <v>2.4536240045050883</v>
      </c>
      <c r="BA85" s="18">
        <f t="shared" si="71"/>
        <v>0.80833111544063652</v>
      </c>
      <c r="BB85" s="56">
        <f t="shared" si="85"/>
        <v>2</v>
      </c>
      <c r="BD85" s="18">
        <f t="shared" si="72"/>
        <v>2.4536240045050883</v>
      </c>
      <c r="BE85" s="18">
        <f t="shared" si="72"/>
        <v>0.80833111544063652</v>
      </c>
      <c r="BF85" s="56">
        <f t="shared" si="86"/>
        <v>2</v>
      </c>
      <c r="BH85" s="18">
        <f t="shared" si="73"/>
        <v>2.4536240045050883</v>
      </c>
      <c r="BI85" s="18">
        <f t="shared" si="73"/>
        <v>0.80833111544063652</v>
      </c>
      <c r="BJ85" s="56">
        <f t="shared" si="87"/>
        <v>2</v>
      </c>
      <c r="BL85" s="18">
        <f t="shared" si="74"/>
        <v>2.4536240045050883</v>
      </c>
      <c r="BM85" s="18">
        <f t="shared" si="74"/>
        <v>0.80833111544063652</v>
      </c>
      <c r="BN85" s="56">
        <f t="shared" si="88"/>
        <v>2</v>
      </c>
      <c r="BP85" s="18">
        <f t="shared" si="75"/>
        <v>2.4536240045050883</v>
      </c>
      <c r="BQ85" s="18">
        <f t="shared" si="75"/>
        <v>0.80833111544063652</v>
      </c>
      <c r="BR85" s="56">
        <f t="shared" si="89"/>
        <v>2</v>
      </c>
    </row>
    <row r="86" spans="1:70" x14ac:dyDescent="0.25">
      <c r="A86" s="36" t="str">
        <f>KMeans_Data!A76</f>
        <v>Narowal</v>
      </c>
      <c r="B86" s="18">
        <f>KMeans_Data!H76</f>
        <v>-0.27592635554508732</v>
      </c>
      <c r="C86" s="18">
        <f>KMeans_Data!I76</f>
        <v>-0.67265054538827607</v>
      </c>
      <c r="D86" s="18">
        <f>KMeans_Data!J76</f>
        <v>-1.1456441163335547</v>
      </c>
      <c r="E86" s="56">
        <f t="shared" si="76"/>
        <v>2</v>
      </c>
      <c r="F86" s="38">
        <f t="shared" si="77"/>
        <v>0.48435871129658925</v>
      </c>
      <c r="G86" s="18">
        <f>IF(COUNTIF(Distance_Matrix!$E$8:$DQ$8,$E86)&lt;=1,0,SUMIF(Distance_Matrix!$E$8:$DQ$8,$E86,Distance_Matrix!$E$85:$DQ$85)/(COUNTIF(Distance_Matrix!$E$8:$DQ$8,$E86)-1))</f>
        <v>1.1155163905362373</v>
      </c>
      <c r="H86" s="18">
        <f>MIN(IF(1=$E86,1E+99,IF(COUNTIF(Distance_Matrix!$E$8:$DQ$8,1)=0,1E+99,SUMIF(Distance_Matrix!$E$8:$DQ$8,1,Distance_Matrix!$E$85:$DQ$85)/COUNTIF(Distance_Matrix!$E$8:$DQ$8,1))),IF(2=$E86,1E+99,IF(COUNTIF(Distance_Matrix!$E$8:$DQ$8,2)=0,1E+99,SUMIF(Distance_Matrix!$E$8:$DQ$8,2,Distance_Matrix!$E$85:$DQ$85)/COUNTIF(Distance_Matrix!$E$8:$DQ$8,2))))</f>
        <v>3.3053241153311994</v>
      </c>
      <c r="I86" s="18">
        <f>IF(COUNTIF(Distance_Matrix!$E$8:$DQ$8,$E86)&lt;=1,0,(H86-G86)/MAX(G86,H86))</f>
        <v>0.66250922704914195</v>
      </c>
      <c r="X86" s="18">
        <f t="shared" si="64"/>
        <v>7.3585302822416772</v>
      </c>
      <c r="Y86" s="18">
        <f t="shared" si="64"/>
        <v>1.8038116262582413</v>
      </c>
      <c r="Z86" s="56">
        <f t="shared" si="78"/>
        <v>2</v>
      </c>
      <c r="AB86" s="18">
        <f t="shared" si="65"/>
        <v>4.8232988572924382</v>
      </c>
      <c r="AC86" s="18">
        <f t="shared" si="65"/>
        <v>1.0756370683618326</v>
      </c>
      <c r="AD86" s="56">
        <f t="shared" si="79"/>
        <v>2</v>
      </c>
      <c r="AF86" s="18">
        <f t="shared" si="66"/>
        <v>4.2151050364203551</v>
      </c>
      <c r="AG86" s="18">
        <f t="shared" si="66"/>
        <v>0.99696441355634013</v>
      </c>
      <c r="AH86" s="56">
        <f t="shared" si="80"/>
        <v>2</v>
      </c>
      <c r="AJ86" s="18">
        <f t="shared" si="67"/>
        <v>3.6375820234253879</v>
      </c>
      <c r="AK86" s="18">
        <f t="shared" si="67"/>
        <v>0.83118451119501702</v>
      </c>
      <c r="AL86" s="56">
        <f t="shared" si="81"/>
        <v>2</v>
      </c>
      <c r="AN86" s="18">
        <f t="shared" si="68"/>
        <v>3.4451191802399301</v>
      </c>
      <c r="AO86" s="18">
        <f t="shared" si="68"/>
        <v>0.75367627838645634</v>
      </c>
      <c r="AP86" s="56">
        <f t="shared" si="82"/>
        <v>2</v>
      </c>
      <c r="AR86" s="18">
        <f t="shared" si="69"/>
        <v>3.322792483695912</v>
      </c>
      <c r="AS86" s="18">
        <f t="shared" si="69"/>
        <v>0.71759614647306369</v>
      </c>
      <c r="AT86" s="56">
        <f t="shared" si="83"/>
        <v>2</v>
      </c>
      <c r="AV86" s="18">
        <f t="shared" si="70"/>
        <v>3.2823883972946164</v>
      </c>
      <c r="AW86" s="18">
        <f t="shared" si="70"/>
        <v>0.70901057195504069</v>
      </c>
      <c r="AX86" s="56">
        <f t="shared" si="84"/>
        <v>2</v>
      </c>
      <c r="AZ86" s="18">
        <f t="shared" si="71"/>
        <v>3.2448428577750565</v>
      </c>
      <c r="BA86" s="18">
        <f t="shared" si="71"/>
        <v>0.69595884310538736</v>
      </c>
      <c r="BB86" s="56">
        <f t="shared" si="85"/>
        <v>2</v>
      </c>
      <c r="BD86" s="18">
        <f t="shared" si="72"/>
        <v>3.2448428577750565</v>
      </c>
      <c r="BE86" s="18">
        <f t="shared" si="72"/>
        <v>0.69595884310538736</v>
      </c>
      <c r="BF86" s="56">
        <f t="shared" si="86"/>
        <v>2</v>
      </c>
      <c r="BH86" s="18">
        <f t="shared" si="73"/>
        <v>3.2448428577750565</v>
      </c>
      <c r="BI86" s="18">
        <f t="shared" si="73"/>
        <v>0.69595884310538736</v>
      </c>
      <c r="BJ86" s="56">
        <f t="shared" si="87"/>
        <v>2</v>
      </c>
      <c r="BL86" s="18">
        <f t="shared" si="74"/>
        <v>3.2448428577750565</v>
      </c>
      <c r="BM86" s="18">
        <f t="shared" si="74"/>
        <v>0.69595884310538736</v>
      </c>
      <c r="BN86" s="56">
        <f t="shared" si="88"/>
        <v>2</v>
      </c>
      <c r="BP86" s="18">
        <f t="shared" si="75"/>
        <v>3.2448428577750565</v>
      </c>
      <c r="BQ86" s="18">
        <f t="shared" si="75"/>
        <v>0.69595884310538736</v>
      </c>
      <c r="BR86" s="56">
        <f t="shared" si="89"/>
        <v>2</v>
      </c>
    </row>
    <row r="87" spans="1:70" x14ac:dyDescent="0.25">
      <c r="A87" s="36" t="str">
        <f>KMeans_Data!A77</f>
        <v>Mandi Bahauddin</v>
      </c>
      <c r="B87" s="18">
        <f>KMeans_Data!H77</f>
        <v>-0.30951672077615416</v>
      </c>
      <c r="C87" s="18">
        <f>KMeans_Data!I77</f>
        <v>-0.67265054538827607</v>
      </c>
      <c r="D87" s="18">
        <f>KMeans_Data!J77</f>
        <v>-0.1820498150291911</v>
      </c>
      <c r="E87" s="56">
        <f t="shared" si="76"/>
        <v>2</v>
      </c>
      <c r="F87" s="38">
        <f t="shared" si="77"/>
        <v>0.13619898334822786</v>
      </c>
      <c r="G87" s="18">
        <f>IF(COUNTIF(Distance_Matrix!$E$8:$DQ$8,$E87)&lt;=1,0,SUMIF(Distance_Matrix!$E$8:$DQ$8,$E87,Distance_Matrix!$E$86:$DQ$86)/(COUNTIF(Distance_Matrix!$E$8:$DQ$8,$E87)-1))</f>
        <v>0.99289320854548391</v>
      </c>
      <c r="H87" s="18">
        <f>MIN(IF(1=$E87,1E+99,IF(COUNTIF(Distance_Matrix!$E$8:$DQ$8,1)=0,1E+99,SUMIF(Distance_Matrix!$E$8:$DQ$8,1,Distance_Matrix!$E$86:$DQ$86)/COUNTIF(Distance_Matrix!$E$8:$DQ$8,1))),IF(2=$E87,1E+99,IF(COUNTIF(Distance_Matrix!$E$8:$DQ$8,2)=0,1E+99,SUMIF(Distance_Matrix!$E$8:$DQ$8,2,Distance_Matrix!$E$86:$DQ$86)/COUNTIF(Distance_Matrix!$E$8:$DQ$8,2))))</f>
        <v>2.7237764349932485</v>
      </c>
      <c r="I87" s="18">
        <f>IF(COUNTIF(Distance_Matrix!$E$8:$DQ$8,$E87)&lt;=1,0,(H87-G87)/MAX(G87,H87))</f>
        <v>0.63547184130479306</v>
      </c>
      <c r="X87" s="18">
        <f t="shared" si="64"/>
        <v>6.8439501868573736</v>
      </c>
      <c r="Y87" s="18">
        <f t="shared" si="64"/>
        <v>2.0154893426904752</v>
      </c>
      <c r="Z87" s="56">
        <f t="shared" si="78"/>
        <v>2</v>
      </c>
      <c r="AB87" s="18">
        <f t="shared" si="65"/>
        <v>4.3059273892213854</v>
      </c>
      <c r="AC87" s="18">
        <f t="shared" si="65"/>
        <v>0.4701004059651136</v>
      </c>
      <c r="AD87" s="56">
        <f t="shared" si="79"/>
        <v>2</v>
      </c>
      <c r="AF87" s="18">
        <f t="shared" si="66"/>
        <v>3.695739038777289</v>
      </c>
      <c r="AG87" s="18">
        <f t="shared" si="66"/>
        <v>0.391414525084335</v>
      </c>
      <c r="AH87" s="56">
        <f t="shared" si="80"/>
        <v>2</v>
      </c>
      <c r="AJ87" s="18">
        <f t="shared" si="67"/>
        <v>3.0876960136624758</v>
      </c>
      <c r="AK87" s="18">
        <f t="shared" si="67"/>
        <v>0.30625982314633832</v>
      </c>
      <c r="AL87" s="56">
        <f t="shared" si="81"/>
        <v>2</v>
      </c>
      <c r="AN87" s="18">
        <f t="shared" si="68"/>
        <v>2.8772232057073563</v>
      </c>
      <c r="AO87" s="18">
        <f t="shared" si="68"/>
        <v>0.3347211209524672</v>
      </c>
      <c r="AP87" s="56">
        <f t="shared" si="82"/>
        <v>2</v>
      </c>
      <c r="AR87" s="18">
        <f t="shared" si="69"/>
        <v>2.7497770022621824</v>
      </c>
      <c r="AS87" s="18">
        <f t="shared" si="69"/>
        <v>0.35691379066771373</v>
      </c>
      <c r="AT87" s="56">
        <f t="shared" si="83"/>
        <v>2</v>
      </c>
      <c r="AV87" s="18">
        <f t="shared" si="70"/>
        <v>2.7100718811548528</v>
      </c>
      <c r="AW87" s="18">
        <f t="shared" si="70"/>
        <v>0.36314448261381738</v>
      </c>
      <c r="AX87" s="56">
        <f t="shared" si="84"/>
        <v>2</v>
      </c>
      <c r="AZ87" s="18">
        <f t="shared" si="71"/>
        <v>2.6709024197395288</v>
      </c>
      <c r="BA87" s="18">
        <f t="shared" si="71"/>
        <v>0.36905146436266562</v>
      </c>
      <c r="BB87" s="56">
        <f t="shared" si="85"/>
        <v>2</v>
      </c>
      <c r="BD87" s="18">
        <f t="shared" si="72"/>
        <v>2.6709024197395288</v>
      </c>
      <c r="BE87" s="18">
        <f t="shared" si="72"/>
        <v>0.36905146436266562</v>
      </c>
      <c r="BF87" s="56">
        <f t="shared" si="86"/>
        <v>2</v>
      </c>
      <c r="BH87" s="18">
        <f t="shared" si="73"/>
        <v>2.6709024197395288</v>
      </c>
      <c r="BI87" s="18">
        <f t="shared" si="73"/>
        <v>0.36905146436266562</v>
      </c>
      <c r="BJ87" s="56">
        <f t="shared" si="87"/>
        <v>2</v>
      </c>
      <c r="BL87" s="18">
        <f t="shared" si="74"/>
        <v>2.6709024197395288</v>
      </c>
      <c r="BM87" s="18">
        <f t="shared" si="74"/>
        <v>0.36905146436266562</v>
      </c>
      <c r="BN87" s="56">
        <f t="shared" si="88"/>
        <v>2</v>
      </c>
      <c r="BP87" s="18">
        <f t="shared" si="75"/>
        <v>2.6709024197395288</v>
      </c>
      <c r="BQ87" s="18">
        <f t="shared" si="75"/>
        <v>0.36905146436266562</v>
      </c>
      <c r="BR87" s="56">
        <f t="shared" si="89"/>
        <v>2</v>
      </c>
    </row>
    <row r="88" spans="1:70" x14ac:dyDescent="0.25">
      <c r="A88" s="36" t="str">
        <f>KMeans_Data!A78</f>
        <v>Ghanche</v>
      </c>
      <c r="B88" s="18">
        <f>KMeans_Data!H78</f>
        <v>-0.3271614619727895</v>
      </c>
      <c r="C88" s="18">
        <f>KMeans_Data!I78</f>
        <v>-0.67265054538827607</v>
      </c>
      <c r="D88" s="18">
        <f>KMeans_Data!J78</f>
        <v>-0.24392704812240026</v>
      </c>
      <c r="E88" s="56">
        <f t="shared" si="76"/>
        <v>2</v>
      </c>
      <c r="F88" s="38">
        <f t="shared" si="77"/>
        <v>9.7664522953833516E-2</v>
      </c>
      <c r="G88" s="18">
        <f>IF(COUNTIF(Distance_Matrix!$E$8:$DQ$8,$E88)&lt;=1,0,SUMIF(Distance_Matrix!$E$8:$DQ$8,$E88,Distance_Matrix!$E$87:$DQ$87)/(COUNTIF(Distance_Matrix!$E$8:$DQ$8,$E88)-1))</f>
        <v>0.97697200367144099</v>
      </c>
      <c r="H88" s="18">
        <f>MIN(IF(1=$E88,1E+99,IF(COUNTIF(Distance_Matrix!$E$8:$DQ$8,1)=0,1E+99,SUMIF(Distance_Matrix!$E$8:$DQ$8,1,Distance_Matrix!$E$87:$DQ$87)/COUNTIF(Distance_Matrix!$E$8:$DQ$8,1))),IF(2=$E88,1E+99,IF(COUNTIF(Distance_Matrix!$E$8:$DQ$8,2)=0,1E+99,SUMIF(Distance_Matrix!$E$8:$DQ$8,2,Distance_Matrix!$E$87:$DQ$87)/COUNTIF(Distance_Matrix!$E$8:$DQ$8,2))))</f>
        <v>2.7635360124883661</v>
      </c>
      <c r="I88" s="18">
        <f>IF(COUNTIF(Distance_Matrix!$E$8:$DQ$8,$E88)&lt;=1,0,(H88-G88)/MAX(G88,H88))</f>
        <v>0.64647755655923311</v>
      </c>
      <c r="X88" s="18">
        <f t="shared" si="64"/>
        <v>6.8844268357778047</v>
      </c>
      <c r="Y88" s="18">
        <f t="shared" si="64"/>
        <v>1.9709434616357322</v>
      </c>
      <c r="Z88" s="56">
        <f t="shared" si="78"/>
        <v>2</v>
      </c>
      <c r="AB88" s="18">
        <f t="shared" si="65"/>
        <v>4.3450201314592638</v>
      </c>
      <c r="AC88" s="18">
        <f t="shared" si="65"/>
        <v>0.48009739462337969</v>
      </c>
      <c r="AD88" s="56">
        <f t="shared" si="79"/>
        <v>2</v>
      </c>
      <c r="AF88" s="18">
        <f t="shared" si="66"/>
        <v>3.7340292572697189</v>
      </c>
      <c r="AG88" s="18">
        <f t="shared" si="66"/>
        <v>0.39305153618507022</v>
      </c>
      <c r="AH88" s="56">
        <f t="shared" si="80"/>
        <v>2</v>
      </c>
      <c r="AJ88" s="18">
        <f t="shared" si="67"/>
        <v>3.1267784627719331</v>
      </c>
      <c r="AK88" s="18">
        <f t="shared" si="67"/>
        <v>0.27496093253908471</v>
      </c>
      <c r="AL88" s="56">
        <f t="shared" si="81"/>
        <v>2</v>
      </c>
      <c r="AN88" s="18">
        <f t="shared" si="68"/>
        <v>2.9173964106287182</v>
      </c>
      <c r="AO88" s="18">
        <f t="shared" si="68"/>
        <v>0.28691724072838726</v>
      </c>
      <c r="AP88" s="56">
        <f t="shared" si="82"/>
        <v>2</v>
      </c>
      <c r="AR88" s="18">
        <f t="shared" si="69"/>
        <v>2.7900786994742757</v>
      </c>
      <c r="AS88" s="18">
        <f t="shared" si="69"/>
        <v>0.30337545210217692</v>
      </c>
      <c r="AT88" s="56">
        <f t="shared" si="83"/>
        <v>2</v>
      </c>
      <c r="AV88" s="18">
        <f t="shared" si="70"/>
        <v>2.7502526391028321</v>
      </c>
      <c r="AW88" s="18">
        <f t="shared" si="70"/>
        <v>0.30820572487019138</v>
      </c>
      <c r="AX88" s="56">
        <f t="shared" si="84"/>
        <v>2</v>
      </c>
      <c r="AZ88" s="18">
        <f t="shared" si="71"/>
        <v>2.7110267670054933</v>
      </c>
      <c r="BA88" s="18">
        <f t="shared" si="71"/>
        <v>0.31251323644580803</v>
      </c>
      <c r="BB88" s="56">
        <f t="shared" si="85"/>
        <v>2</v>
      </c>
      <c r="BD88" s="18">
        <f t="shared" si="72"/>
        <v>2.7110267670054933</v>
      </c>
      <c r="BE88" s="18">
        <f t="shared" si="72"/>
        <v>0.31251323644580803</v>
      </c>
      <c r="BF88" s="56">
        <f t="shared" si="86"/>
        <v>2</v>
      </c>
      <c r="BH88" s="18">
        <f t="shared" si="73"/>
        <v>2.7110267670054933</v>
      </c>
      <c r="BI88" s="18">
        <f t="shared" si="73"/>
        <v>0.31251323644580803</v>
      </c>
      <c r="BJ88" s="56">
        <f t="shared" si="87"/>
        <v>2</v>
      </c>
      <c r="BL88" s="18">
        <f t="shared" si="74"/>
        <v>2.7110267670054933</v>
      </c>
      <c r="BM88" s="18">
        <f t="shared" si="74"/>
        <v>0.31251323644580803</v>
      </c>
      <c r="BN88" s="56">
        <f t="shared" si="88"/>
        <v>2</v>
      </c>
      <c r="BP88" s="18">
        <f t="shared" si="75"/>
        <v>2.7110267670054933</v>
      </c>
      <c r="BQ88" s="18">
        <f t="shared" si="75"/>
        <v>0.31251323644580803</v>
      </c>
      <c r="BR88" s="56">
        <f t="shared" si="89"/>
        <v>2</v>
      </c>
    </row>
    <row r="89" spans="1:70" x14ac:dyDescent="0.25">
      <c r="A89" s="36" t="str">
        <f>KMeans_Data!A79</f>
        <v>Hunza</v>
      </c>
      <c r="B89" s="18">
        <f>KMeans_Data!H79</f>
        <v>-0.3271614619727895</v>
      </c>
      <c r="C89" s="18">
        <f>KMeans_Data!I79</f>
        <v>-0.67265054538827607</v>
      </c>
      <c r="D89" s="18">
        <f>KMeans_Data!J79</f>
        <v>-1.1456441163335547</v>
      </c>
      <c r="E89" s="56">
        <f t="shared" si="76"/>
        <v>2</v>
      </c>
      <c r="F89" s="38">
        <f t="shared" si="77"/>
        <v>0.46973878912703615</v>
      </c>
      <c r="G89" s="18">
        <f>IF(COUNTIF(Distance_Matrix!$E$8:$DQ$8,$E89)&lt;=1,0,SUMIF(Distance_Matrix!$E$8:$DQ$8,$E89,Distance_Matrix!$E$88:$DQ$88)/(COUNTIF(Distance_Matrix!$E$8:$DQ$8,$E89)-1))</f>
        <v>1.1070528349504491</v>
      </c>
      <c r="H89" s="18">
        <f>MIN(IF(1=$E89,1E+99,IF(COUNTIF(Distance_Matrix!$E$8:$DQ$8,1)=0,1E+99,SUMIF(Distance_Matrix!$E$8:$DQ$8,1,Distance_Matrix!$E$88:$DQ$88)/COUNTIF(Distance_Matrix!$E$8:$DQ$8,1))),IF(2=$E89,1E+99,IF(COUNTIF(Distance_Matrix!$E$8:$DQ$8,2)=0,1E+99,SUMIF(Distance_Matrix!$E$8:$DQ$8,2,Distance_Matrix!$E$88:$DQ$88)/COUNTIF(Distance_Matrix!$E$8:$DQ$8,2))))</f>
        <v>3.3251611146662663</v>
      </c>
      <c r="I89" s="18">
        <f>IF(COUNTIF(Distance_Matrix!$E$8:$DQ$8,$E89)&lt;=1,0,(H89-G89)/MAX(G89,H89))</f>
        <v>0.66706791136598509</v>
      </c>
      <c r="X89" s="18">
        <f t="shared" si="64"/>
        <v>7.3833858290521244</v>
      </c>
      <c r="Y89" s="18">
        <f t="shared" si="64"/>
        <v>1.752576519830539</v>
      </c>
      <c r="Z89" s="56">
        <f t="shared" si="78"/>
        <v>2</v>
      </c>
      <c r="AB89" s="18">
        <f t="shared" si="65"/>
        <v>4.847413151677892</v>
      </c>
      <c r="AC89" s="18">
        <f t="shared" si="65"/>
        <v>1.0811972701488579</v>
      </c>
      <c r="AD89" s="56">
        <f t="shared" si="79"/>
        <v>2</v>
      </c>
      <c r="AF89" s="18">
        <f t="shared" si="66"/>
        <v>4.2383342037955689</v>
      </c>
      <c r="AG89" s="18">
        <f t="shared" si="66"/>
        <v>1.0002519259372871</v>
      </c>
      <c r="AH89" s="56">
        <f t="shared" si="80"/>
        <v>2</v>
      </c>
      <c r="AJ89" s="18">
        <f t="shared" si="67"/>
        <v>3.6590857483545012</v>
      </c>
      <c r="AK89" s="18">
        <f t="shared" si="67"/>
        <v>0.8291719522695461</v>
      </c>
      <c r="AL89" s="56">
        <f t="shared" si="81"/>
        <v>2</v>
      </c>
      <c r="AN89" s="18">
        <f t="shared" si="68"/>
        <v>3.4666329188233229</v>
      </c>
      <c r="AO89" s="18">
        <f t="shared" si="68"/>
        <v>0.74719948957613047</v>
      </c>
      <c r="AP89" s="56">
        <f t="shared" si="82"/>
        <v>2</v>
      </c>
      <c r="AR89" s="18">
        <f t="shared" si="69"/>
        <v>3.3441606208927097</v>
      </c>
      <c r="AS89" s="18">
        <f t="shared" si="69"/>
        <v>0.70853082001170897</v>
      </c>
      <c r="AT89" s="56">
        <f t="shared" si="83"/>
        <v>2</v>
      </c>
      <c r="AV89" s="18">
        <f t="shared" si="70"/>
        <v>3.3037637505905311</v>
      </c>
      <c r="AW89" s="18">
        <f t="shared" si="70"/>
        <v>0.69898736130189176</v>
      </c>
      <c r="AX89" s="56">
        <f t="shared" si="84"/>
        <v>2</v>
      </c>
      <c r="AZ89" s="18">
        <f t="shared" si="71"/>
        <v>3.2659683711272804</v>
      </c>
      <c r="BA89" s="18">
        <f t="shared" si="71"/>
        <v>0.68537492595442695</v>
      </c>
      <c r="BB89" s="56">
        <f t="shared" si="85"/>
        <v>2</v>
      </c>
      <c r="BD89" s="18">
        <f t="shared" si="72"/>
        <v>3.2659683711272804</v>
      </c>
      <c r="BE89" s="18">
        <f t="shared" si="72"/>
        <v>0.68537492595442695</v>
      </c>
      <c r="BF89" s="56">
        <f t="shared" si="86"/>
        <v>2</v>
      </c>
      <c r="BH89" s="18">
        <f t="shared" si="73"/>
        <v>3.2659683711272804</v>
      </c>
      <c r="BI89" s="18">
        <f t="shared" si="73"/>
        <v>0.68537492595442695</v>
      </c>
      <c r="BJ89" s="56">
        <f t="shared" si="87"/>
        <v>2</v>
      </c>
      <c r="BL89" s="18">
        <f t="shared" si="74"/>
        <v>3.2659683711272804</v>
      </c>
      <c r="BM89" s="18">
        <f t="shared" si="74"/>
        <v>0.68537492595442695</v>
      </c>
      <c r="BN89" s="56">
        <f t="shared" si="88"/>
        <v>2</v>
      </c>
      <c r="BP89" s="18">
        <f t="shared" si="75"/>
        <v>3.2659683711272804</v>
      </c>
      <c r="BQ89" s="18">
        <f t="shared" si="75"/>
        <v>0.68537492595442695</v>
      </c>
      <c r="BR89" s="56">
        <f t="shared" si="89"/>
        <v>2</v>
      </c>
    </row>
    <row r="90" spans="1:70" x14ac:dyDescent="0.25">
      <c r="A90" s="36" t="str">
        <f>KMeans_Data!A80</f>
        <v>Nankana Sahib</v>
      </c>
      <c r="B90" s="18">
        <f>KMeans_Data!H80</f>
        <v>-0.34542544181187113</v>
      </c>
      <c r="C90" s="18">
        <f>KMeans_Data!I80</f>
        <v>-0.67265054538827607</v>
      </c>
      <c r="D90" s="18">
        <f>KMeans_Data!J80</f>
        <v>-0.24392704812240026</v>
      </c>
      <c r="E90" s="56">
        <f t="shared" si="76"/>
        <v>2</v>
      </c>
      <c r="F90" s="38">
        <f t="shared" si="77"/>
        <v>9.3722231724539418E-2</v>
      </c>
      <c r="G90" s="18">
        <f>IF(COUNTIF(Distance_Matrix!$E$8:$DQ$8,$E90)&lt;=1,0,SUMIF(Distance_Matrix!$E$8:$DQ$8,$E90,Distance_Matrix!$E$89:$DQ$89)/(COUNTIF(Distance_Matrix!$E$8:$DQ$8,$E90)-1))</f>
        <v>0.97540030433864167</v>
      </c>
      <c r="H90" s="18">
        <f>MIN(IF(1=$E90,1E+99,IF(COUNTIF(Distance_Matrix!$E$8:$DQ$8,1)=0,1E+99,SUMIF(Distance_Matrix!$E$8:$DQ$8,1,Distance_Matrix!$E$89:$DQ$89)/COUNTIF(Distance_Matrix!$E$8:$DQ$8,1))),IF(2=$E90,1E+99,IF(COUNTIF(Distance_Matrix!$E$8:$DQ$8,2)=0,1E+99,SUMIF(Distance_Matrix!$E$8:$DQ$8,2,Distance_Matrix!$E$89:$DQ$89)/COUNTIF(Distance_Matrix!$E$8:$DQ$8,2))))</f>
        <v>2.7724826496675625</v>
      </c>
      <c r="I90" s="18">
        <f>IF(COUNTIF(Distance_Matrix!$E$8:$DQ$8,$E90)&lt;=1,0,(H90-G90)/MAX(G90,H90))</f>
        <v>0.64818524492638463</v>
      </c>
      <c r="X90" s="18">
        <f t="shared" si="64"/>
        <v>6.8939988968562389</v>
      </c>
      <c r="Y90" s="18">
        <f t="shared" si="64"/>
        <v>1.9547208643371412</v>
      </c>
      <c r="Z90" s="56">
        <f t="shared" si="78"/>
        <v>2</v>
      </c>
      <c r="AB90" s="18">
        <f t="shared" si="65"/>
        <v>4.3547215580140541</v>
      </c>
      <c r="AC90" s="18">
        <f t="shared" si="65"/>
        <v>0.48583724475030021</v>
      </c>
      <c r="AD90" s="56">
        <f t="shared" si="79"/>
        <v>2</v>
      </c>
      <c r="AF90" s="18">
        <f t="shared" si="66"/>
        <v>3.7435602453703027</v>
      </c>
      <c r="AG90" s="18">
        <f t="shared" si="66"/>
        <v>0.39761715598117248</v>
      </c>
      <c r="AH90" s="56">
        <f t="shared" si="80"/>
        <v>2</v>
      </c>
      <c r="AJ90" s="18">
        <f t="shared" si="67"/>
        <v>3.1359122466603799</v>
      </c>
      <c r="AK90" s="18">
        <f t="shared" si="67"/>
        <v>0.27510300514631064</v>
      </c>
      <c r="AL90" s="56">
        <f t="shared" si="81"/>
        <v>2</v>
      </c>
      <c r="AN90" s="18">
        <f t="shared" si="68"/>
        <v>2.92668378454331</v>
      </c>
      <c r="AO90" s="18">
        <f t="shared" si="68"/>
        <v>0.28306465939621056</v>
      </c>
      <c r="AP90" s="56">
        <f t="shared" si="82"/>
        <v>2</v>
      </c>
      <c r="AR90" s="18">
        <f t="shared" si="69"/>
        <v>2.7993913422228358</v>
      </c>
      <c r="AS90" s="18">
        <f t="shared" si="69"/>
        <v>0.29782107143119085</v>
      </c>
      <c r="AT90" s="56">
        <f t="shared" si="83"/>
        <v>2</v>
      </c>
      <c r="AV90" s="18">
        <f t="shared" si="70"/>
        <v>2.7595912347113214</v>
      </c>
      <c r="AW90" s="18">
        <f t="shared" si="70"/>
        <v>0.30204189013250066</v>
      </c>
      <c r="AX90" s="56">
        <f t="shared" si="84"/>
        <v>2</v>
      </c>
      <c r="AZ90" s="18">
        <f t="shared" si="71"/>
        <v>2.7202879247695679</v>
      </c>
      <c r="BA90" s="18">
        <f t="shared" si="71"/>
        <v>0.30614086908568644</v>
      </c>
      <c r="BB90" s="56">
        <f t="shared" si="85"/>
        <v>2</v>
      </c>
      <c r="BD90" s="18">
        <f t="shared" si="72"/>
        <v>2.7202879247695679</v>
      </c>
      <c r="BE90" s="18">
        <f t="shared" si="72"/>
        <v>0.30614086908568644</v>
      </c>
      <c r="BF90" s="56">
        <f t="shared" si="86"/>
        <v>2</v>
      </c>
      <c r="BH90" s="18">
        <f t="shared" si="73"/>
        <v>2.7202879247695679</v>
      </c>
      <c r="BI90" s="18">
        <f t="shared" si="73"/>
        <v>0.30614086908568644</v>
      </c>
      <c r="BJ90" s="56">
        <f t="shared" si="87"/>
        <v>2</v>
      </c>
      <c r="BL90" s="18">
        <f t="shared" si="74"/>
        <v>2.7202879247695679</v>
      </c>
      <c r="BM90" s="18">
        <f t="shared" si="74"/>
        <v>0.30614086908568644</v>
      </c>
      <c r="BN90" s="56">
        <f t="shared" si="88"/>
        <v>2</v>
      </c>
      <c r="BP90" s="18">
        <f t="shared" si="75"/>
        <v>2.7202879247695679</v>
      </c>
      <c r="BQ90" s="18">
        <f t="shared" si="75"/>
        <v>0.30614086908568644</v>
      </c>
      <c r="BR90" s="56">
        <f t="shared" si="89"/>
        <v>2</v>
      </c>
    </row>
    <row r="91" spans="1:70" x14ac:dyDescent="0.25">
      <c r="A91" s="36" t="str">
        <f>KMeans_Data!A81</f>
        <v>Khushab</v>
      </c>
      <c r="B91" s="18">
        <f>KMeans_Data!H81</f>
        <v>-0.34542544181187113</v>
      </c>
      <c r="C91" s="18">
        <f>KMeans_Data!I81</f>
        <v>-0.67265054538827607</v>
      </c>
      <c r="D91" s="18">
        <f>KMeans_Data!J81</f>
        <v>-1.1456441163335547</v>
      </c>
      <c r="E91" s="56">
        <f t="shared" si="76"/>
        <v>2</v>
      </c>
      <c r="F91" s="38">
        <f t="shared" si="77"/>
        <v>0.46579649789774208</v>
      </c>
      <c r="G91" s="18">
        <f>IF(COUNTIF(Distance_Matrix!$E$8:$DQ$8,$E91)&lt;=1,0,SUMIF(Distance_Matrix!$E$8:$DQ$8,$E91,Distance_Matrix!$E$90:$DQ$90)/(COUNTIF(Distance_Matrix!$E$8:$DQ$8,$E91)-1))</f>
        <v>1.104757725898436</v>
      </c>
      <c r="H91" s="18">
        <f>MIN(IF(1=$E91,1E+99,IF(COUNTIF(Distance_Matrix!$E$8:$DQ$8,1)=0,1E+99,SUMIF(Distance_Matrix!$E$8:$DQ$8,1,Distance_Matrix!$E$90:$DQ$90)/COUNTIF(Distance_Matrix!$E$8:$DQ$8,1))),IF(2=$E91,1E+99,IF(COUNTIF(Distance_Matrix!$E$8:$DQ$8,2)=0,1E+99,SUMIF(Distance_Matrix!$E$8:$DQ$8,2,Distance_Matrix!$E$90:$DQ$90)/COUNTIF(Distance_Matrix!$E$8:$DQ$8,2))))</f>
        <v>3.3324120191052775</v>
      </c>
      <c r="I91" s="18">
        <f>IF(COUNTIF(Distance_Matrix!$E$8:$DQ$8,$E91)&lt;=1,0,(H91-G91)/MAX(G91,H91))</f>
        <v>0.66848105229345145</v>
      </c>
      <c r="X91" s="18">
        <f t="shared" si="64"/>
        <v>7.39231183279799</v>
      </c>
      <c r="Y91" s="18">
        <f t="shared" si="64"/>
        <v>1.7343125399914574</v>
      </c>
      <c r="Z91" s="56">
        <f t="shared" si="78"/>
        <v>2</v>
      </c>
      <c r="AB91" s="18">
        <f t="shared" si="65"/>
        <v>4.8561110127452674</v>
      </c>
      <c r="AC91" s="18">
        <f t="shared" si="65"/>
        <v>1.0837582096758245</v>
      </c>
      <c r="AD91" s="56">
        <f t="shared" si="79"/>
        <v>2</v>
      </c>
      <c r="AF91" s="18">
        <f t="shared" si="66"/>
        <v>4.2467335258565653</v>
      </c>
      <c r="AG91" s="18">
        <f t="shared" si="66"/>
        <v>1.0020547929002508</v>
      </c>
      <c r="AH91" s="56">
        <f t="shared" si="80"/>
        <v>2</v>
      </c>
      <c r="AJ91" s="18">
        <f t="shared" si="67"/>
        <v>3.6668938595644081</v>
      </c>
      <c r="AK91" s="18">
        <f t="shared" si="67"/>
        <v>0.82921907566592934</v>
      </c>
      <c r="AL91" s="56">
        <f t="shared" si="81"/>
        <v>2</v>
      </c>
      <c r="AN91" s="18">
        <f t="shared" si="68"/>
        <v>3.4744524679190727</v>
      </c>
      <c r="AO91" s="18">
        <f t="shared" si="68"/>
        <v>0.74572862060855039</v>
      </c>
      <c r="AP91" s="56">
        <f t="shared" si="82"/>
        <v>2</v>
      </c>
      <c r="AR91" s="18">
        <f t="shared" si="69"/>
        <v>3.3519342171321949</v>
      </c>
      <c r="AS91" s="18">
        <f t="shared" si="69"/>
        <v>0.70617041042278672</v>
      </c>
      <c r="AT91" s="56">
        <f t="shared" si="83"/>
        <v>2</v>
      </c>
      <c r="AV91" s="18">
        <f t="shared" si="70"/>
        <v>3.3115418045858149</v>
      </c>
      <c r="AW91" s="18">
        <f t="shared" si="70"/>
        <v>0.69629150921997807</v>
      </c>
      <c r="AX91" s="56">
        <f t="shared" si="84"/>
        <v>2</v>
      </c>
      <c r="AZ91" s="18">
        <f t="shared" si="71"/>
        <v>3.2736599798132131</v>
      </c>
      <c r="BA91" s="18">
        <f t="shared" si="71"/>
        <v>0.68249285556534733</v>
      </c>
      <c r="BB91" s="56">
        <f t="shared" si="85"/>
        <v>2</v>
      </c>
      <c r="BD91" s="18">
        <f t="shared" si="72"/>
        <v>3.2736599798132131</v>
      </c>
      <c r="BE91" s="18">
        <f t="shared" si="72"/>
        <v>0.68249285556534733</v>
      </c>
      <c r="BF91" s="56">
        <f t="shared" si="86"/>
        <v>2</v>
      </c>
      <c r="BH91" s="18">
        <f t="shared" si="73"/>
        <v>3.2736599798132131</v>
      </c>
      <c r="BI91" s="18">
        <f t="shared" si="73"/>
        <v>0.68249285556534733</v>
      </c>
      <c r="BJ91" s="56">
        <f t="shared" si="87"/>
        <v>2</v>
      </c>
      <c r="BL91" s="18">
        <f t="shared" si="74"/>
        <v>3.2736599798132131</v>
      </c>
      <c r="BM91" s="18">
        <f t="shared" si="74"/>
        <v>0.68249285556534733</v>
      </c>
      <c r="BN91" s="56">
        <f t="shared" si="88"/>
        <v>2</v>
      </c>
      <c r="BP91" s="18">
        <f t="shared" si="75"/>
        <v>3.2736599798132131</v>
      </c>
      <c r="BQ91" s="18">
        <f t="shared" si="75"/>
        <v>0.68249285556534733</v>
      </c>
      <c r="BR91" s="56">
        <f t="shared" si="89"/>
        <v>2</v>
      </c>
    </row>
    <row r="92" spans="1:70" x14ac:dyDescent="0.25">
      <c r="A92" s="36" t="str">
        <f>KMeans_Data!A82</f>
        <v>Sheikhupura</v>
      </c>
      <c r="B92" s="18">
        <f>KMeans_Data!H82</f>
        <v>-0.38399641938154599</v>
      </c>
      <c r="C92" s="18">
        <f>KMeans_Data!I82</f>
        <v>-0.67265054538827607</v>
      </c>
      <c r="D92" s="18">
        <f>KMeans_Data!J82</f>
        <v>-1.1456441163335547</v>
      </c>
      <c r="E92" s="56">
        <f t="shared" si="76"/>
        <v>2</v>
      </c>
      <c r="F92" s="38">
        <f t="shared" si="77"/>
        <v>0.45966310864394228</v>
      </c>
      <c r="G92" s="18">
        <f>IF(COUNTIF(Distance_Matrix!$E$8:$DQ$8,$E92)&lt;=1,0,SUMIF(Distance_Matrix!$E$8:$DQ$8,$E92,Distance_Matrix!$E$91:$DQ$91)/(COUNTIF(Distance_Matrix!$E$8:$DQ$8,$E92)-1))</f>
        <v>1.1013324489626708</v>
      </c>
      <c r="H92" s="18">
        <f>MIN(IF(1=$E92,1E+99,IF(COUNTIF(Distance_Matrix!$E$8:$DQ$8,1)=0,1E+99,SUMIF(Distance_Matrix!$E$8:$DQ$8,1,Distance_Matrix!$E$91:$DQ$91)/COUNTIF(Distance_Matrix!$E$8:$DQ$8,1))),IF(2=$E92,1E+99,IF(COUNTIF(Distance_Matrix!$E$8:$DQ$8,2)=0,1E+99,SUMIF(Distance_Matrix!$E$8:$DQ$8,2,Distance_Matrix!$E$91:$DQ$91)/COUNTIF(Distance_Matrix!$E$8:$DQ$8,2))))</f>
        <v>3.3480305445403706</v>
      </c>
      <c r="I92" s="18">
        <f>IF(COUNTIF(Distance_Matrix!$E$8:$DQ$8,$E92)&lt;=1,0,(H92-G92)/MAX(G92,H92))</f>
        <v>0.6710506567036516</v>
      </c>
      <c r="X92" s="18">
        <f t="shared" si="64"/>
        <v>7.4112748787545444</v>
      </c>
      <c r="Y92" s="18">
        <f t="shared" si="64"/>
        <v>1.6957415624217826</v>
      </c>
      <c r="Z92" s="56">
        <f t="shared" si="78"/>
        <v>2</v>
      </c>
      <c r="AB92" s="18">
        <f t="shared" si="65"/>
        <v>4.8746535439482246</v>
      </c>
      <c r="AC92" s="18">
        <f t="shared" si="65"/>
        <v>1.090152680792289</v>
      </c>
      <c r="AD92" s="56">
        <f t="shared" si="79"/>
        <v>2</v>
      </c>
      <c r="AF92" s="18">
        <f t="shared" si="66"/>
        <v>4.2646743859291663</v>
      </c>
      <c r="AG92" s="18">
        <f t="shared" si="66"/>
        <v>1.0069407020762773</v>
      </c>
      <c r="AH92" s="56">
        <f t="shared" si="80"/>
        <v>2</v>
      </c>
      <c r="AJ92" s="18">
        <f t="shared" si="67"/>
        <v>3.6836266824318411</v>
      </c>
      <c r="AK92" s="18">
        <f t="shared" si="67"/>
        <v>0.83063920876592068</v>
      </c>
      <c r="AL92" s="56">
        <f t="shared" si="81"/>
        <v>2</v>
      </c>
      <c r="AN92" s="18">
        <f t="shared" si="68"/>
        <v>3.491222680624579</v>
      </c>
      <c r="AO92" s="18">
        <f t="shared" si="68"/>
        <v>0.74408730506230913</v>
      </c>
      <c r="AP92" s="56">
        <f t="shared" si="82"/>
        <v>2</v>
      </c>
      <c r="AR92" s="18">
        <f t="shared" si="69"/>
        <v>3.3686174161429059</v>
      </c>
      <c r="AS92" s="18">
        <f t="shared" si="69"/>
        <v>0.70272095943605983</v>
      </c>
      <c r="AT92" s="56">
        <f t="shared" si="83"/>
        <v>2</v>
      </c>
      <c r="AV92" s="18">
        <f t="shared" si="70"/>
        <v>3.3282375822478669</v>
      </c>
      <c r="AW92" s="18">
        <f t="shared" si="70"/>
        <v>0.69214908465069469</v>
      </c>
      <c r="AX92" s="56">
        <f t="shared" si="84"/>
        <v>2</v>
      </c>
      <c r="AZ92" s="18">
        <f t="shared" si="71"/>
        <v>3.2901776517636514</v>
      </c>
      <c r="BA92" s="18">
        <f t="shared" si="71"/>
        <v>0.67798459322018689</v>
      </c>
      <c r="BB92" s="56">
        <f t="shared" si="85"/>
        <v>2</v>
      </c>
      <c r="BD92" s="18">
        <f t="shared" si="72"/>
        <v>3.2901776517636514</v>
      </c>
      <c r="BE92" s="18">
        <f t="shared" si="72"/>
        <v>0.67798459322018689</v>
      </c>
      <c r="BF92" s="56">
        <f t="shared" si="86"/>
        <v>2</v>
      </c>
      <c r="BH92" s="18">
        <f t="shared" si="73"/>
        <v>3.2901776517636514</v>
      </c>
      <c r="BI92" s="18">
        <f t="shared" si="73"/>
        <v>0.67798459322018689</v>
      </c>
      <c r="BJ92" s="56">
        <f t="shared" si="87"/>
        <v>2</v>
      </c>
      <c r="BL92" s="18">
        <f t="shared" si="74"/>
        <v>3.2901776517636514</v>
      </c>
      <c r="BM92" s="18">
        <f t="shared" si="74"/>
        <v>0.67798459322018689</v>
      </c>
      <c r="BN92" s="56">
        <f t="shared" si="88"/>
        <v>2</v>
      </c>
      <c r="BP92" s="18">
        <f t="shared" si="75"/>
        <v>3.2901776517636514</v>
      </c>
      <c r="BQ92" s="18">
        <f t="shared" si="75"/>
        <v>0.67798459322018689</v>
      </c>
      <c r="BR92" s="56">
        <f t="shared" si="89"/>
        <v>2</v>
      </c>
    </row>
    <row r="93" spans="1:70" x14ac:dyDescent="0.25">
      <c r="A93" s="36" t="str">
        <f>KMeans_Data!A83</f>
        <v>Diamer</v>
      </c>
      <c r="B93" s="18">
        <f>KMeans_Data!H83</f>
        <v>-0.40440962464593949</v>
      </c>
      <c r="C93" s="18">
        <f>KMeans_Data!I83</f>
        <v>-0.67265054538827607</v>
      </c>
      <c r="D93" s="18">
        <f>KMeans_Data!J83</f>
        <v>4.2930091906806002E-2</v>
      </c>
      <c r="E93" s="56">
        <f t="shared" si="76"/>
        <v>2</v>
      </c>
      <c r="F93" s="38">
        <f t="shared" si="77"/>
        <v>0.30813241281589931</v>
      </c>
      <c r="G93" s="18">
        <f>IF(COUNTIF(Distance_Matrix!$E$8:$DQ$8,$E93)&lt;=1,0,SUMIF(Distance_Matrix!$E$8:$DQ$8,$E93,Distance_Matrix!$E$92:$DQ$92)/(COUNTIF(Distance_Matrix!$E$8:$DQ$8,$E93)-1))</f>
        <v>1.0655898980361973</v>
      </c>
      <c r="H93" s="18">
        <f>MIN(IF(1=$E93,1E+99,IF(COUNTIF(Distance_Matrix!$E$8:$DQ$8,1)=0,1E+99,SUMIF(Distance_Matrix!$E$8:$DQ$8,1,Distance_Matrix!$E$92:$DQ$92)/COUNTIF(Distance_Matrix!$E$8:$DQ$8,1))),IF(2=$E93,1E+99,IF(COUNTIF(Distance_Matrix!$E$8:$DQ$8,2)=0,1E+99,SUMIF(Distance_Matrix!$E$8:$DQ$8,2,Distance_Matrix!$E$92:$DQ$92)/COUNTIF(Distance_Matrix!$E$8:$DQ$8,2))))</f>
        <v>2.6707893394333455</v>
      </c>
      <c r="I93" s="18">
        <f>IF(COUNTIF(Distance_Matrix!$E$8:$DQ$8,$E93)&lt;=1,0,(H93-G93)/MAX(G93,H93))</f>
        <v>0.60102061128404805</v>
      </c>
      <c r="X93" s="18">
        <f t="shared" si="64"/>
        <v>6.784830788256877</v>
      </c>
      <c r="Y93" s="18">
        <f t="shared" si="64"/>
        <v>2.0541260313792522</v>
      </c>
      <c r="Z93" s="56">
        <f t="shared" si="78"/>
        <v>2</v>
      </c>
      <c r="AB93" s="18">
        <f t="shared" si="65"/>
        <v>4.2558804711053861</v>
      </c>
      <c r="AC93" s="18">
        <f t="shared" si="65"/>
        <v>0.54853813266175566</v>
      </c>
      <c r="AD93" s="56">
        <f t="shared" si="79"/>
        <v>2</v>
      </c>
      <c r="AF93" s="18">
        <f t="shared" si="66"/>
        <v>3.6484107208028043</v>
      </c>
      <c r="AG93" s="18">
        <f t="shared" si="66"/>
        <v>0.49611316240732928</v>
      </c>
      <c r="AH93" s="56">
        <f t="shared" si="80"/>
        <v>2</v>
      </c>
      <c r="AJ93" s="18">
        <f t="shared" si="67"/>
        <v>3.0356343008896793</v>
      </c>
      <c r="AK93" s="18">
        <f t="shared" si="67"/>
        <v>0.47620864414657388</v>
      </c>
      <c r="AL93" s="56">
        <f t="shared" si="81"/>
        <v>2</v>
      </c>
      <c r="AN93" s="18">
        <f t="shared" si="68"/>
        <v>2.8232646696605395</v>
      </c>
      <c r="AO93" s="18">
        <f t="shared" si="68"/>
        <v>0.51683576752216664</v>
      </c>
      <c r="AP93" s="56">
        <f t="shared" si="82"/>
        <v>2</v>
      </c>
      <c r="AR93" s="18">
        <f t="shared" si="69"/>
        <v>2.6960982307519306</v>
      </c>
      <c r="AS93" s="18">
        <f t="shared" si="69"/>
        <v>0.54129158345700068</v>
      </c>
      <c r="AT93" s="56">
        <f t="shared" si="83"/>
        <v>2</v>
      </c>
      <c r="AV93" s="18">
        <f t="shared" si="70"/>
        <v>2.6572550717522785</v>
      </c>
      <c r="AW93" s="18">
        <f t="shared" si="70"/>
        <v>0.54715445545571795</v>
      </c>
      <c r="AX93" s="56">
        <f t="shared" si="84"/>
        <v>2</v>
      </c>
      <c r="AZ93" s="18">
        <f t="shared" si="71"/>
        <v>2.6177743847732668</v>
      </c>
      <c r="BA93" s="18">
        <f t="shared" si="71"/>
        <v>0.55509675986795248</v>
      </c>
      <c r="BB93" s="56">
        <f t="shared" si="85"/>
        <v>2</v>
      </c>
      <c r="BD93" s="18">
        <f t="shared" si="72"/>
        <v>2.6177743847732668</v>
      </c>
      <c r="BE93" s="18">
        <f t="shared" si="72"/>
        <v>0.55509675986795248</v>
      </c>
      <c r="BF93" s="56">
        <f t="shared" si="86"/>
        <v>2</v>
      </c>
      <c r="BH93" s="18">
        <f t="shared" si="73"/>
        <v>2.6177743847732668</v>
      </c>
      <c r="BI93" s="18">
        <f t="shared" si="73"/>
        <v>0.55509675986795248</v>
      </c>
      <c r="BJ93" s="56">
        <f t="shared" si="87"/>
        <v>2</v>
      </c>
      <c r="BL93" s="18">
        <f t="shared" si="74"/>
        <v>2.6177743847732668</v>
      </c>
      <c r="BM93" s="18">
        <f t="shared" si="74"/>
        <v>0.55509675986795248</v>
      </c>
      <c r="BN93" s="56">
        <f t="shared" si="88"/>
        <v>2</v>
      </c>
      <c r="BP93" s="18">
        <f t="shared" si="75"/>
        <v>2.6177743847732668</v>
      </c>
      <c r="BQ93" s="18">
        <f t="shared" si="75"/>
        <v>0.55509675986795248</v>
      </c>
      <c r="BR93" s="56">
        <f t="shared" si="89"/>
        <v>2</v>
      </c>
    </row>
    <row r="94" spans="1:70" x14ac:dyDescent="0.25">
      <c r="A94" s="36" t="str">
        <f>KMeans_Data!A84</f>
        <v>Hangu</v>
      </c>
      <c r="B94" s="18">
        <f>KMeans_Data!H84</f>
        <v>-0.40440962464593949</v>
      </c>
      <c r="C94" s="18">
        <f>KMeans_Data!I84</f>
        <v>-0.14698313392952958</v>
      </c>
      <c r="D94" s="18">
        <f>KMeans_Data!J84</f>
        <v>0.13914828540559679</v>
      </c>
      <c r="E94" s="56">
        <f t="shared" si="76"/>
        <v>2</v>
      </c>
      <c r="F94" s="38">
        <f t="shared" si="77"/>
        <v>0.53256265317808116</v>
      </c>
      <c r="G94" s="18">
        <f>IF(COUNTIF(Distance_Matrix!$E$8:$DQ$8,$E94)&lt;=1,0,SUMIF(Distance_Matrix!$E$8:$DQ$8,$E94,Distance_Matrix!$E$93:$DQ$93)/(COUNTIF(Distance_Matrix!$E$8:$DQ$8,$E94)-1))</f>
        <v>1.1653311524347432</v>
      </c>
      <c r="H94" s="18">
        <f>MIN(IF(1=$E94,1E+99,IF(COUNTIF(Distance_Matrix!$E$8:$DQ$8,1)=0,1E+99,SUMIF(Distance_Matrix!$E$8:$DQ$8,1,Distance_Matrix!$E$93:$DQ$93)/COUNTIF(Distance_Matrix!$E$8:$DQ$8,1))),IF(2=$E94,1E+99,IF(COUNTIF(Distance_Matrix!$E$8:$DQ$8,2)=0,1E+99,SUMIF(Distance_Matrix!$E$8:$DQ$8,2,Distance_Matrix!$E$93:$DQ$93)/COUNTIF(Distance_Matrix!$E$8:$DQ$8,2))))</f>
        <v>2.2938465077600578</v>
      </c>
      <c r="I94" s="18">
        <f>IF(COUNTIF(Distance_Matrix!$E$8:$DQ$8,$E94)&lt;=1,0,(H94-G94)/MAX(G94,H94))</f>
        <v>0.49197509576493437</v>
      </c>
      <c r="X94" s="18">
        <f t="shared" si="64"/>
        <v>6.3834526327003553</v>
      </c>
      <c r="Y94" s="18">
        <f t="shared" si="64"/>
        <v>2.1757166284541909</v>
      </c>
      <c r="Z94" s="56">
        <f t="shared" si="78"/>
        <v>2</v>
      </c>
      <c r="AB94" s="18">
        <f t="shared" si="65"/>
        <v>3.8562195600004623</v>
      </c>
      <c r="AC94" s="18">
        <f t="shared" si="65"/>
        <v>0.38977960125152045</v>
      </c>
      <c r="AD94" s="56">
        <f t="shared" si="79"/>
        <v>2</v>
      </c>
      <c r="AF94" s="18">
        <f t="shared" si="66"/>
        <v>3.2443993527990251</v>
      </c>
      <c r="AG94" s="18">
        <f t="shared" si="66"/>
        <v>0.42606773469935766</v>
      </c>
      <c r="AH94" s="56">
        <f t="shared" si="80"/>
        <v>2</v>
      </c>
      <c r="AJ94" s="18">
        <f t="shared" si="67"/>
        <v>2.6304992460229806</v>
      </c>
      <c r="AK94" s="18">
        <f t="shared" si="67"/>
        <v>0.57000909578806502</v>
      </c>
      <c r="AL94" s="56">
        <f t="shared" si="81"/>
        <v>2</v>
      </c>
      <c r="AN94" s="18">
        <f t="shared" si="68"/>
        <v>2.4280421680063804</v>
      </c>
      <c r="AO94" s="18">
        <f t="shared" si="68"/>
        <v>0.65339221843003137</v>
      </c>
      <c r="AP94" s="56">
        <f t="shared" si="82"/>
        <v>2</v>
      </c>
      <c r="AR94" s="18">
        <f t="shared" si="69"/>
        <v>2.3032537243046245</v>
      </c>
      <c r="AS94" s="18">
        <f t="shared" si="69"/>
        <v>0.69916962583451148</v>
      </c>
      <c r="AT94" s="56">
        <f t="shared" si="83"/>
        <v>2</v>
      </c>
      <c r="AV94" s="18">
        <f t="shared" si="70"/>
        <v>2.2647982443415473</v>
      </c>
      <c r="AW94" s="18">
        <f t="shared" si="70"/>
        <v>0.71275556708098164</v>
      </c>
      <c r="AX94" s="56">
        <f t="shared" si="84"/>
        <v>2</v>
      </c>
      <c r="AZ94" s="18">
        <f t="shared" si="71"/>
        <v>2.2237835632743237</v>
      </c>
      <c r="BA94" s="18">
        <f t="shared" si="71"/>
        <v>0.72976890395390315</v>
      </c>
      <c r="BB94" s="56">
        <f t="shared" si="85"/>
        <v>2</v>
      </c>
      <c r="BD94" s="18">
        <f t="shared" si="72"/>
        <v>2.2237835632743237</v>
      </c>
      <c r="BE94" s="18">
        <f t="shared" si="72"/>
        <v>0.72976890395390315</v>
      </c>
      <c r="BF94" s="56">
        <f t="shared" si="86"/>
        <v>2</v>
      </c>
      <c r="BH94" s="18">
        <f t="shared" si="73"/>
        <v>2.2237835632743237</v>
      </c>
      <c r="BI94" s="18">
        <f t="shared" si="73"/>
        <v>0.72976890395390315</v>
      </c>
      <c r="BJ94" s="56">
        <f t="shared" si="87"/>
        <v>2</v>
      </c>
      <c r="BL94" s="18">
        <f t="shared" si="74"/>
        <v>2.2237835632743237</v>
      </c>
      <c r="BM94" s="18">
        <f t="shared" si="74"/>
        <v>0.72976890395390315</v>
      </c>
      <c r="BN94" s="56">
        <f t="shared" si="88"/>
        <v>2</v>
      </c>
      <c r="BP94" s="18">
        <f t="shared" si="75"/>
        <v>2.2237835632743237</v>
      </c>
      <c r="BQ94" s="18">
        <f t="shared" si="75"/>
        <v>0.72976890395390315</v>
      </c>
      <c r="BR94" s="56">
        <f t="shared" si="89"/>
        <v>2</v>
      </c>
    </row>
    <row r="95" spans="1:70" x14ac:dyDescent="0.25">
      <c r="A95" s="36" t="str">
        <f>KMeans_Data!A85</f>
        <v>Mohmand</v>
      </c>
      <c r="B95" s="18">
        <f>KMeans_Data!H85</f>
        <v>-0.47094306176301559</v>
      </c>
      <c r="C95" s="18">
        <f>KMeans_Data!I85</f>
        <v>-0.14698313392952958</v>
      </c>
      <c r="D95" s="18">
        <f>KMeans_Data!J85</f>
        <v>-0.39984522290956798</v>
      </c>
      <c r="E95" s="56">
        <f t="shared" si="76"/>
        <v>2</v>
      </c>
      <c r="F95" s="38">
        <f t="shared" si="77"/>
        <v>0.14564034000615689</v>
      </c>
      <c r="G95" s="18">
        <f>IF(COUNTIF(Distance_Matrix!$E$8:$DQ$8,$E95)&lt;=1,0,SUMIF(Distance_Matrix!$E$8:$DQ$8,$E95,Distance_Matrix!$E$94:$DQ$94)/(COUNTIF(Distance_Matrix!$E$8:$DQ$8,$E95)-1))</f>
        <v>1.0350537446315085</v>
      </c>
      <c r="H95" s="18">
        <f>MIN(IF(1=$E95,1E+99,IF(COUNTIF(Distance_Matrix!$E$8:$DQ$8,1)=0,1E+99,SUMIF(Distance_Matrix!$E$8:$DQ$8,1,Distance_Matrix!$E$94:$DQ$94)/COUNTIF(Distance_Matrix!$E$8:$DQ$8,1))),IF(2=$E95,1E+99,IF(COUNTIF(Distance_Matrix!$E$8:$DQ$8,2)=0,1E+99,SUMIF(Distance_Matrix!$E$8:$DQ$8,2,Distance_Matrix!$E$94:$DQ$94)/COUNTIF(Distance_Matrix!$E$8:$DQ$8,2))))</f>
        <v>2.6195645547378716</v>
      </c>
      <c r="I95" s="18">
        <f>IF(COUNTIF(Distance_Matrix!$E$8:$DQ$8,$E95)&lt;=1,0,(H95-G95)/MAX(G95,H95))</f>
        <v>0.60487564898545443</v>
      </c>
      <c r="X95" s="18">
        <f t="shared" ref="X95:Y114" si="90">SQRT(($B95-X$8)^2+($C95-X$9)^2+($D95-X$10)^2)</f>
        <v>6.6999482057459137</v>
      </c>
      <c r="Y95" s="18">
        <f t="shared" si="90"/>
        <v>1.8495305652109939</v>
      </c>
      <c r="Z95" s="56">
        <f t="shared" si="78"/>
        <v>2</v>
      </c>
      <c r="AB95" s="18">
        <f t="shared" ref="AB95:AC114" si="91">SQRT(($B95-AB$8)^2+($C95-AB$9)^2+($D95-AB$10)^2)</f>
        <v>4.1645431829528059</v>
      </c>
      <c r="AC95" s="18">
        <f t="shared" si="91"/>
        <v>0.37166766741520652</v>
      </c>
      <c r="AD95" s="56">
        <f t="shared" si="79"/>
        <v>2</v>
      </c>
      <c r="AF95" s="18">
        <f t="shared" ref="AF95:AG114" si="92">SQRT(($B95-AF$8)^2+($C95-AF$9)^2+($D95-AF$10)^2)</f>
        <v>3.5488034205531012</v>
      </c>
      <c r="AG95" s="18">
        <f t="shared" si="92"/>
        <v>0.32467932248197945</v>
      </c>
      <c r="AH95" s="56">
        <f t="shared" si="80"/>
        <v>2</v>
      </c>
      <c r="AJ95" s="18">
        <f t="shared" ref="AJ95:AK114" si="93">SQRT(($B95-AJ$8)^2+($C95-AJ$9)^2+($D95-AJ$10)^2)</f>
        <v>2.9482335874053214</v>
      </c>
      <c r="AK95" s="18">
        <f t="shared" si="93"/>
        <v>0.30984073668495143</v>
      </c>
      <c r="AL95" s="56">
        <f t="shared" si="81"/>
        <v>2</v>
      </c>
      <c r="AN95" s="18">
        <f t="shared" ref="AN95:AO114" si="94">SQRT(($B95-AN$8)^2+($C95-AN$9)^2+($D95-AN$10)^2)</f>
        <v>2.7557268176915359</v>
      </c>
      <c r="AO95" s="18">
        <f t="shared" si="94"/>
        <v>0.32935245326358042</v>
      </c>
      <c r="AP95" s="56">
        <f t="shared" si="82"/>
        <v>2</v>
      </c>
      <c r="AR95" s="18">
        <f t="shared" ref="AR95:AS114" si="95">SQRT(($B95-AR$8)^2+($C95-AR$9)^2+($D95-AR$10)^2)</f>
        <v>2.6327323870554249</v>
      </c>
      <c r="AS95" s="18">
        <f t="shared" si="95"/>
        <v>0.35604767525807379</v>
      </c>
      <c r="AT95" s="56">
        <f t="shared" si="83"/>
        <v>2</v>
      </c>
      <c r="AV95" s="18">
        <f t="shared" ref="AV95:AW114" si="96">SQRT(($B95-AV$8)^2+($C95-AV$9)^2+($D95-AV$10)^2)</f>
        <v>2.5932214619358889</v>
      </c>
      <c r="AW95" s="18">
        <f t="shared" si="96"/>
        <v>0.36690500835245887</v>
      </c>
      <c r="AX95" s="56">
        <f t="shared" si="84"/>
        <v>2</v>
      </c>
      <c r="AZ95" s="18">
        <f t="shared" ref="AZ95:BA114" si="97">SQRT(($B95-AZ$8)^2+($C95-AZ$9)^2+($D95-AZ$10)^2)</f>
        <v>2.5526699495394278</v>
      </c>
      <c r="BA95" s="18">
        <f t="shared" si="97"/>
        <v>0.38162853667690638</v>
      </c>
      <c r="BB95" s="56">
        <f t="shared" si="85"/>
        <v>2</v>
      </c>
      <c r="BD95" s="18">
        <f t="shared" ref="BD95:BE114" si="98">SQRT(($B95-BD$8)^2+($C95-BD$9)^2+($D95-BD$10)^2)</f>
        <v>2.5526699495394278</v>
      </c>
      <c r="BE95" s="18">
        <f t="shared" si="98"/>
        <v>0.38162853667690638</v>
      </c>
      <c r="BF95" s="56">
        <f t="shared" si="86"/>
        <v>2</v>
      </c>
      <c r="BH95" s="18">
        <f t="shared" ref="BH95:BI114" si="99">SQRT(($B95-BH$8)^2+($C95-BH$9)^2+($D95-BH$10)^2)</f>
        <v>2.5526699495394278</v>
      </c>
      <c r="BI95" s="18">
        <f t="shared" si="99"/>
        <v>0.38162853667690638</v>
      </c>
      <c r="BJ95" s="56">
        <f t="shared" si="87"/>
        <v>2</v>
      </c>
      <c r="BL95" s="18">
        <f t="shared" ref="BL95:BM114" si="100">SQRT(($B95-BL$8)^2+($C95-BL$9)^2+($D95-BL$10)^2)</f>
        <v>2.5526699495394278</v>
      </c>
      <c r="BM95" s="18">
        <f t="shared" si="100"/>
        <v>0.38162853667690638</v>
      </c>
      <c r="BN95" s="56">
        <f t="shared" si="88"/>
        <v>2</v>
      </c>
      <c r="BP95" s="18">
        <f t="shared" ref="BP95:BQ114" si="101">SQRT(($B95-BP$8)^2+($C95-BP$9)^2+($D95-BP$10)^2)</f>
        <v>2.5526699495394278</v>
      </c>
      <c r="BQ95" s="18">
        <f t="shared" si="101"/>
        <v>0.38162853667690638</v>
      </c>
      <c r="BR95" s="56">
        <f t="shared" si="89"/>
        <v>2</v>
      </c>
    </row>
    <row r="96" spans="1:70" x14ac:dyDescent="0.25">
      <c r="A96" s="36" t="str">
        <f>KMeans_Data!A86</f>
        <v>Bahawal Nagar</v>
      </c>
      <c r="B96" s="18">
        <f>KMeans_Data!H86</f>
        <v>-0.47094306176301559</v>
      </c>
      <c r="C96" s="18">
        <f>KMeans_Data!I86</f>
        <v>-0.67265054538827607</v>
      </c>
      <c r="D96" s="18">
        <f>KMeans_Data!J86</f>
        <v>-0.39984522290956798</v>
      </c>
      <c r="E96" s="56">
        <f t="shared" si="76"/>
        <v>2</v>
      </c>
      <c r="F96" s="38">
        <f t="shared" si="77"/>
        <v>3.2728999317367648E-2</v>
      </c>
      <c r="G96" s="18">
        <f>IF(COUNTIF(Distance_Matrix!$E$8:$DQ$8,$E96)&lt;=1,0,SUMIF(Distance_Matrix!$E$8:$DQ$8,$E96,Distance_Matrix!$E$95:$DQ$95)/(COUNTIF(Distance_Matrix!$E$8:$DQ$8,$E96)-1))</f>
        <v>0.95114899600959257</v>
      </c>
      <c r="H96" s="18">
        <f>MIN(IF(1=$E96,1E+99,IF(COUNTIF(Distance_Matrix!$E$8:$DQ$8,1)=0,1E+99,SUMIF(Distance_Matrix!$E$8:$DQ$8,1,Distance_Matrix!$E$95:$DQ$95)/COUNTIF(Distance_Matrix!$E$8:$DQ$8,1))),IF(2=$E96,1E+99,IF(COUNTIF(Distance_Matrix!$E$8:$DQ$8,2)=0,1E+99,SUMIF(Distance_Matrix!$E$8:$DQ$8,2,Distance_Matrix!$E$95:$DQ$95)/COUNTIF(Distance_Matrix!$E$8:$DQ$8,2))))</f>
        <v>2.9176852011558925</v>
      </c>
      <c r="I96" s="18">
        <f>IF(COUNTIF(Distance_Matrix!$E$8:$DQ$8,$E96)&lt;=1,0,(H96-G96)/MAX(G96,H96))</f>
        <v>0.67400561389118396</v>
      </c>
      <c r="X96" s="18">
        <f t="shared" si="90"/>
        <v>7.0403370809162977</v>
      </c>
      <c r="Y96" s="18">
        <f t="shared" si="90"/>
        <v>1.7732560684176326</v>
      </c>
      <c r="Z96" s="56">
        <f t="shared" si="78"/>
        <v>2</v>
      </c>
      <c r="AB96" s="18">
        <f t="shared" si="91"/>
        <v>4.4993267836966115</v>
      </c>
      <c r="AC96" s="18">
        <f t="shared" si="91"/>
        <v>0.58153381825306361</v>
      </c>
      <c r="AD96" s="56">
        <f t="shared" si="79"/>
        <v>2</v>
      </c>
      <c r="AF96" s="18">
        <f t="shared" si="92"/>
        <v>3.8859993324006421</v>
      </c>
      <c r="AG96" s="18">
        <f t="shared" si="92"/>
        <v>0.48058098791892667</v>
      </c>
      <c r="AH96" s="56">
        <f t="shared" si="80"/>
        <v>2</v>
      </c>
      <c r="AJ96" s="18">
        <f t="shared" si="93"/>
        <v>3.2792398404829628</v>
      </c>
      <c r="AK96" s="18">
        <f t="shared" si="93"/>
        <v>0.28946734100792643</v>
      </c>
      <c r="AL96" s="56">
        <f t="shared" si="81"/>
        <v>2</v>
      </c>
      <c r="AN96" s="18">
        <f t="shared" si="94"/>
        <v>3.0735224313491556</v>
      </c>
      <c r="AO96" s="18">
        <f t="shared" si="94"/>
        <v>0.2215893655277647</v>
      </c>
      <c r="AP96" s="56">
        <f t="shared" si="82"/>
        <v>2</v>
      </c>
      <c r="AR96" s="18">
        <f t="shared" si="95"/>
        <v>2.9468272303537351</v>
      </c>
      <c r="AS96" s="18">
        <f t="shared" si="95"/>
        <v>0.19596578093698117</v>
      </c>
      <c r="AT96" s="56">
        <f t="shared" si="83"/>
        <v>2</v>
      </c>
      <c r="AV96" s="18">
        <f t="shared" si="96"/>
        <v>2.9069134390204332</v>
      </c>
      <c r="AW96" s="18">
        <f t="shared" si="96"/>
        <v>0.18761546695795858</v>
      </c>
      <c r="AX96" s="56">
        <f t="shared" si="84"/>
        <v>2</v>
      </c>
      <c r="AZ96" s="18">
        <f t="shared" si="97"/>
        <v>2.8672189962393433</v>
      </c>
      <c r="BA96" s="18">
        <f t="shared" si="97"/>
        <v>0.18091157872664659</v>
      </c>
      <c r="BB96" s="56">
        <f t="shared" si="85"/>
        <v>2</v>
      </c>
      <c r="BD96" s="18">
        <f t="shared" si="98"/>
        <v>2.8672189962393433</v>
      </c>
      <c r="BE96" s="18">
        <f t="shared" si="98"/>
        <v>0.18091157872664659</v>
      </c>
      <c r="BF96" s="56">
        <f t="shared" si="86"/>
        <v>2</v>
      </c>
      <c r="BH96" s="18">
        <f t="shared" si="99"/>
        <v>2.8672189962393433</v>
      </c>
      <c r="BI96" s="18">
        <f t="shared" si="99"/>
        <v>0.18091157872664659</v>
      </c>
      <c r="BJ96" s="56">
        <f t="shared" si="87"/>
        <v>2</v>
      </c>
      <c r="BL96" s="18">
        <f t="shared" si="100"/>
        <v>2.8672189962393433</v>
      </c>
      <c r="BM96" s="18">
        <f t="shared" si="100"/>
        <v>0.18091157872664659</v>
      </c>
      <c r="BN96" s="56">
        <f t="shared" si="88"/>
        <v>2</v>
      </c>
      <c r="BP96" s="18">
        <f t="shared" si="101"/>
        <v>2.8672189962393433</v>
      </c>
      <c r="BQ96" s="18">
        <f t="shared" si="101"/>
        <v>0.18091157872664659</v>
      </c>
      <c r="BR96" s="56">
        <f t="shared" si="89"/>
        <v>2</v>
      </c>
    </row>
    <row r="97" spans="1:70" x14ac:dyDescent="0.25">
      <c r="A97" s="36" t="str">
        <f>KMeans_Data!A87</f>
        <v>Ghizer</v>
      </c>
      <c r="B97" s="18">
        <f>KMeans_Data!H87</f>
        <v>-0.5205491527213375</v>
      </c>
      <c r="C97" s="18">
        <f>KMeans_Data!I87</f>
        <v>-0.67265054538827607</v>
      </c>
      <c r="D97" s="18">
        <f>KMeans_Data!J87</f>
        <v>-0.50324791546397885</v>
      </c>
      <c r="E97" s="56">
        <f t="shared" si="76"/>
        <v>2</v>
      </c>
      <c r="F97" s="38">
        <f t="shared" si="77"/>
        <v>3.0204912252913736E-2</v>
      </c>
      <c r="G97" s="18">
        <f>IF(COUNTIF(Distance_Matrix!$E$8:$DQ$8,$E97)&lt;=1,0,SUMIF(Distance_Matrix!$E$8:$DQ$8,$E97,Distance_Matrix!$E$96:$DQ$96)/(COUNTIF(Distance_Matrix!$E$8:$DQ$8,$E97)-1))</f>
        <v>0.94865979501478837</v>
      </c>
      <c r="H97" s="18">
        <f>MIN(IF(1=$E97,1E+99,IF(COUNTIF(Distance_Matrix!$E$8:$DQ$8,1)=0,1E+99,SUMIF(Distance_Matrix!$E$8:$DQ$8,1,Distance_Matrix!$E$96:$DQ$96)/COUNTIF(Distance_Matrix!$E$8:$DQ$8,1))),IF(2=$E97,1E+99,IF(COUNTIF(Distance_Matrix!$E$8:$DQ$8,2)=0,1E+99,SUMIF(Distance_Matrix!$E$8:$DQ$8,2,Distance_Matrix!$E$96:$DQ$96)/COUNTIF(Distance_Matrix!$E$8:$DQ$8,2))))</f>
        <v>3.0002823034863986</v>
      </c>
      <c r="I97" s="18">
        <f>IF(COUNTIF(Distance_Matrix!$E$8:$DQ$8,$E97)&lt;=1,0,(H97-G97)/MAX(G97,H97))</f>
        <v>0.6838098221915907</v>
      </c>
      <c r="X97" s="18">
        <f t="shared" si="90"/>
        <v>7.1208456226614238</v>
      </c>
      <c r="Y97" s="18">
        <f t="shared" si="90"/>
        <v>1.6863400260996402</v>
      </c>
      <c r="Z97" s="56">
        <f t="shared" si="78"/>
        <v>2</v>
      </c>
      <c r="AB97" s="18">
        <f t="shared" si="91"/>
        <v>4.5791132654745166</v>
      </c>
      <c r="AC97" s="18">
        <f t="shared" si="91"/>
        <v>0.65297536271943946</v>
      </c>
      <c r="AD97" s="56">
        <f t="shared" si="79"/>
        <v>2</v>
      </c>
      <c r="AF97" s="18">
        <f t="shared" si="92"/>
        <v>3.9649869195966652</v>
      </c>
      <c r="AG97" s="18">
        <f t="shared" si="92"/>
        <v>0.55072168977046554</v>
      </c>
      <c r="AH97" s="56">
        <f t="shared" si="80"/>
        <v>2</v>
      </c>
      <c r="AJ97" s="18">
        <f t="shared" si="93"/>
        <v>3.3598382274632659</v>
      </c>
      <c r="AK97" s="18">
        <f t="shared" si="93"/>
        <v>0.3459641176442067</v>
      </c>
      <c r="AL97" s="56">
        <f t="shared" si="81"/>
        <v>2</v>
      </c>
      <c r="AN97" s="18">
        <f t="shared" si="94"/>
        <v>3.156193455844968</v>
      </c>
      <c r="AO97" s="18">
        <f t="shared" si="94"/>
        <v>0.25146946772633505</v>
      </c>
      <c r="AP97" s="56">
        <f t="shared" si="82"/>
        <v>2</v>
      </c>
      <c r="AR97" s="18">
        <f t="shared" si="95"/>
        <v>3.0299248763683524</v>
      </c>
      <c r="AS97" s="18">
        <f t="shared" si="95"/>
        <v>0.20460453091612213</v>
      </c>
      <c r="AT97" s="56">
        <f t="shared" si="83"/>
        <v>2</v>
      </c>
      <c r="AV97" s="18">
        <f t="shared" si="96"/>
        <v>2.9899298679299129</v>
      </c>
      <c r="AW97" s="18">
        <f t="shared" si="96"/>
        <v>0.18877017790586836</v>
      </c>
      <c r="AX97" s="56">
        <f t="shared" si="84"/>
        <v>2</v>
      </c>
      <c r="AZ97" s="18">
        <f t="shared" si="97"/>
        <v>2.9501588385381758</v>
      </c>
      <c r="BA97" s="18">
        <f t="shared" si="97"/>
        <v>0.17379560481471831</v>
      </c>
      <c r="BB97" s="56">
        <f t="shared" si="85"/>
        <v>2</v>
      </c>
      <c r="BD97" s="18">
        <f t="shared" si="98"/>
        <v>2.9501588385381758</v>
      </c>
      <c r="BE97" s="18">
        <f t="shared" si="98"/>
        <v>0.17379560481471831</v>
      </c>
      <c r="BF97" s="56">
        <f t="shared" si="86"/>
        <v>2</v>
      </c>
      <c r="BH97" s="18">
        <f t="shared" si="99"/>
        <v>2.9501588385381758</v>
      </c>
      <c r="BI97" s="18">
        <f t="shared" si="99"/>
        <v>0.17379560481471831</v>
      </c>
      <c r="BJ97" s="56">
        <f t="shared" si="87"/>
        <v>2</v>
      </c>
      <c r="BL97" s="18">
        <f t="shared" si="100"/>
        <v>2.9501588385381758</v>
      </c>
      <c r="BM97" s="18">
        <f t="shared" si="100"/>
        <v>0.17379560481471831</v>
      </c>
      <c r="BN97" s="56">
        <f t="shared" si="88"/>
        <v>2</v>
      </c>
      <c r="BP97" s="18">
        <f t="shared" si="101"/>
        <v>2.9501588385381758</v>
      </c>
      <c r="BQ97" s="18">
        <f t="shared" si="101"/>
        <v>0.17379560481471831</v>
      </c>
      <c r="BR97" s="56">
        <f t="shared" si="89"/>
        <v>2</v>
      </c>
    </row>
    <row r="98" spans="1:70" x14ac:dyDescent="0.25">
      <c r="A98" s="36" t="str">
        <f>KMeans_Data!A88</f>
        <v>Mianwali</v>
      </c>
      <c r="B98" s="18">
        <f>KMeans_Data!H88</f>
        <v>-0.54724577455296852</v>
      </c>
      <c r="C98" s="18">
        <f>KMeans_Data!I88</f>
        <v>-0.67265054538827607</v>
      </c>
      <c r="D98" s="18">
        <f>KMeans_Data!J88</f>
        <v>-0.82444601589876665</v>
      </c>
      <c r="E98" s="56">
        <f t="shared" si="76"/>
        <v>2</v>
      </c>
      <c r="F98" s="38">
        <f t="shared" si="77"/>
        <v>0.14765382725421555</v>
      </c>
      <c r="G98" s="18">
        <f>IF(COUNTIF(Distance_Matrix!$E$8:$DQ$8,$E98)&lt;=1,0,SUMIF(Distance_Matrix!$E$8:$DQ$8,$E98,Distance_Matrix!$E$97:$DQ$97)/(COUNTIF(Distance_Matrix!$E$8:$DQ$8,$E98)-1))</f>
        <v>0.9850170566867632</v>
      </c>
      <c r="H98" s="18">
        <f>MIN(IF(1=$E98,1E+99,IF(COUNTIF(Distance_Matrix!$E$8:$DQ$8,1)=0,1E+99,SUMIF(Distance_Matrix!$E$8:$DQ$8,1,Distance_Matrix!$E$97:$DQ$97)/COUNTIF(Distance_Matrix!$E$8:$DQ$8,1))),IF(2=$E98,1E+99,IF(COUNTIF(Distance_Matrix!$E$8:$DQ$8,2)=0,1E+99,SUMIF(Distance_Matrix!$E$8:$DQ$8,2,Distance_Matrix!$E$97:$DQ$97)/COUNTIF(Distance_Matrix!$E$8:$DQ$8,2))))</f>
        <v>3.2059411148244772</v>
      </c>
      <c r="I98" s="18">
        <f>IF(COUNTIF(Distance_Matrix!$E$8:$DQ$8,$E98)&lt;=1,0,(H98-G98)/MAX(G98,H98))</f>
        <v>0.69275260480238354</v>
      </c>
      <c r="X98" s="18">
        <f t="shared" si="90"/>
        <v>7.3092925798473285</v>
      </c>
      <c r="Y98" s="18">
        <f t="shared" si="90"/>
        <v>1.5657907219695728</v>
      </c>
      <c r="Z98" s="56">
        <f t="shared" si="78"/>
        <v>2</v>
      </c>
      <c r="AB98" s="18">
        <f t="shared" si="91"/>
        <v>4.7673224552247424</v>
      </c>
      <c r="AC98" s="18">
        <f t="shared" si="91"/>
        <v>0.87146726488489612</v>
      </c>
      <c r="AD98" s="56">
        <f t="shared" si="79"/>
        <v>2</v>
      </c>
      <c r="AF98" s="18">
        <f t="shared" si="92"/>
        <v>4.1530835809817317</v>
      </c>
      <c r="AG98" s="18">
        <f t="shared" si="92"/>
        <v>0.7749859822776759</v>
      </c>
      <c r="AH98" s="56">
        <f t="shared" si="80"/>
        <v>2</v>
      </c>
      <c r="AJ98" s="18">
        <f t="shared" si="93"/>
        <v>3.5566108401909435</v>
      </c>
      <c r="AK98" s="18">
        <f t="shared" si="93"/>
        <v>0.573107759135418</v>
      </c>
      <c r="AL98" s="56">
        <f t="shared" si="81"/>
        <v>2</v>
      </c>
      <c r="AN98" s="18">
        <f t="shared" si="94"/>
        <v>3.3586534736183089</v>
      </c>
      <c r="AO98" s="18">
        <f t="shared" si="94"/>
        <v>0.46931063929719868</v>
      </c>
      <c r="AP98" s="56">
        <f t="shared" si="82"/>
        <v>2</v>
      </c>
      <c r="AR98" s="18">
        <f t="shared" si="95"/>
        <v>3.2338690283799933</v>
      </c>
      <c r="AS98" s="18">
        <f t="shared" si="95"/>
        <v>0.41676779471957198</v>
      </c>
      <c r="AT98" s="56">
        <f t="shared" si="83"/>
        <v>2</v>
      </c>
      <c r="AV98" s="18">
        <f t="shared" si="96"/>
        <v>3.1936194967801135</v>
      </c>
      <c r="AW98" s="18">
        <f t="shared" si="96"/>
        <v>0.40126348139065321</v>
      </c>
      <c r="AX98" s="56">
        <f t="shared" si="84"/>
        <v>2</v>
      </c>
      <c r="AZ98" s="18">
        <f t="shared" si="97"/>
        <v>3.1542249511336311</v>
      </c>
      <c r="BA98" s="18">
        <f t="shared" si="97"/>
        <v>0.384257501233503</v>
      </c>
      <c r="BB98" s="56">
        <f t="shared" si="85"/>
        <v>2</v>
      </c>
      <c r="BD98" s="18">
        <f t="shared" si="98"/>
        <v>3.1542249511336311</v>
      </c>
      <c r="BE98" s="18">
        <f t="shared" si="98"/>
        <v>0.384257501233503</v>
      </c>
      <c r="BF98" s="56">
        <f t="shared" si="86"/>
        <v>2</v>
      </c>
      <c r="BH98" s="18">
        <f t="shared" si="99"/>
        <v>3.1542249511336311</v>
      </c>
      <c r="BI98" s="18">
        <f t="shared" si="99"/>
        <v>0.384257501233503</v>
      </c>
      <c r="BJ98" s="56">
        <f t="shared" si="87"/>
        <v>2</v>
      </c>
      <c r="BL98" s="18">
        <f t="shared" si="100"/>
        <v>3.1542249511336311</v>
      </c>
      <c r="BM98" s="18">
        <f t="shared" si="100"/>
        <v>0.384257501233503</v>
      </c>
      <c r="BN98" s="56">
        <f t="shared" si="88"/>
        <v>2</v>
      </c>
      <c r="BP98" s="18">
        <f t="shared" si="101"/>
        <v>3.1542249511336311</v>
      </c>
      <c r="BQ98" s="18">
        <f t="shared" si="101"/>
        <v>0.384257501233503</v>
      </c>
      <c r="BR98" s="56">
        <f t="shared" si="89"/>
        <v>2</v>
      </c>
    </row>
    <row r="99" spans="1:70" x14ac:dyDescent="0.25">
      <c r="A99" s="36" t="str">
        <f>KMeans_Data!A89</f>
        <v>Kharmang</v>
      </c>
      <c r="B99" s="18">
        <f>KMeans_Data!H89</f>
        <v>-0.60513538281414725</v>
      </c>
      <c r="C99" s="18">
        <f>KMeans_Data!I89</f>
        <v>-0.67265054538827607</v>
      </c>
      <c r="D99" s="18">
        <f>KMeans_Data!J89</f>
        <v>-3.44812518432112E-2</v>
      </c>
      <c r="E99" s="56">
        <f t="shared" si="76"/>
        <v>2</v>
      </c>
      <c r="F99" s="38">
        <f t="shared" si="77"/>
        <v>0.25616133438435018</v>
      </c>
      <c r="G99" s="18">
        <f>IF(COUNTIF(Distance_Matrix!$E$8:$DQ$8,$E99)&lt;=1,0,SUMIF(Distance_Matrix!$E$8:$DQ$8,$E99,Distance_Matrix!$E$98:$DQ$98)/(COUNTIF(Distance_Matrix!$E$8:$DQ$8,$E99)-1))</f>
        <v>1.054573129532435</v>
      </c>
      <c r="H99" s="18">
        <f>MIN(IF(1=$E99,1E+99,IF(COUNTIF(Distance_Matrix!$E$8:$DQ$8,1)=0,1E+99,SUMIF(Distance_Matrix!$E$8:$DQ$8,1,Distance_Matrix!$E$98:$DQ$98)/COUNTIF(Distance_Matrix!$E$8:$DQ$8,1))),IF(2=$E99,1E+99,IF(COUNTIF(Distance_Matrix!$E$8:$DQ$8,2)=0,1E+99,SUMIF(Distance_Matrix!$E$8:$DQ$8,2,Distance_Matrix!$E$98:$DQ$98)/COUNTIF(Distance_Matrix!$E$8:$DQ$8,2))))</f>
        <v>2.8163510752339995</v>
      </c>
      <c r="I99" s="18">
        <f>IF(COUNTIF(Distance_Matrix!$E$8:$DQ$8,$E99)&lt;=1,0,(H99-G99)/MAX(G99,H99))</f>
        <v>0.62555338402020255</v>
      </c>
      <c r="X99" s="18">
        <f t="shared" si="90"/>
        <v>6.9320982715787478</v>
      </c>
      <c r="Y99" s="18">
        <f t="shared" si="90"/>
        <v>1.8463845039341165</v>
      </c>
      <c r="Z99" s="56">
        <f t="shared" si="78"/>
        <v>2</v>
      </c>
      <c r="AB99" s="18">
        <f t="shared" si="91"/>
        <v>4.4040863626583757</v>
      </c>
      <c r="AC99" s="18">
        <f t="shared" si="91"/>
        <v>0.63388463371495363</v>
      </c>
      <c r="AD99" s="56">
        <f t="shared" si="79"/>
        <v>2</v>
      </c>
      <c r="AF99" s="18">
        <f t="shared" si="92"/>
        <v>3.7945661203687941</v>
      </c>
      <c r="AG99" s="18">
        <f t="shared" si="92"/>
        <v>0.56377726342817847</v>
      </c>
      <c r="AH99" s="56">
        <f t="shared" si="80"/>
        <v>2</v>
      </c>
      <c r="AJ99" s="18">
        <f t="shared" si="93"/>
        <v>3.1801343380952942</v>
      </c>
      <c r="AK99" s="18">
        <f t="shared" si="93"/>
        <v>0.489469045374408</v>
      </c>
      <c r="AL99" s="56">
        <f t="shared" si="81"/>
        <v>2</v>
      </c>
      <c r="AN99" s="18">
        <f t="shared" si="94"/>
        <v>2.971154821745515</v>
      </c>
      <c r="AO99" s="18">
        <f t="shared" si="94"/>
        <v>0.49321603633582839</v>
      </c>
      <c r="AP99" s="56">
        <f t="shared" si="82"/>
        <v>2</v>
      </c>
      <c r="AR99" s="18">
        <f t="shared" si="95"/>
        <v>2.844682943881784</v>
      </c>
      <c r="AS99" s="18">
        <f t="shared" si="95"/>
        <v>0.50090608564449712</v>
      </c>
      <c r="AT99" s="56">
        <f t="shared" si="83"/>
        <v>2</v>
      </c>
      <c r="AV99" s="18">
        <f t="shared" si="96"/>
        <v>2.8059916617426959</v>
      </c>
      <c r="AW99" s="18">
        <f t="shared" si="96"/>
        <v>0.50124002339159046</v>
      </c>
      <c r="AX99" s="56">
        <f t="shared" si="84"/>
        <v>2</v>
      </c>
      <c r="AZ99" s="18">
        <f t="shared" si="97"/>
        <v>2.765812611819058</v>
      </c>
      <c r="BA99" s="18">
        <f t="shared" si="97"/>
        <v>0.50612383305308806</v>
      </c>
      <c r="BB99" s="56">
        <f t="shared" si="85"/>
        <v>2</v>
      </c>
      <c r="BD99" s="18">
        <f t="shared" si="98"/>
        <v>2.765812611819058</v>
      </c>
      <c r="BE99" s="18">
        <f t="shared" si="98"/>
        <v>0.50612383305308806</v>
      </c>
      <c r="BF99" s="56">
        <f t="shared" si="86"/>
        <v>2</v>
      </c>
      <c r="BH99" s="18">
        <f t="shared" si="99"/>
        <v>2.765812611819058</v>
      </c>
      <c r="BI99" s="18">
        <f t="shared" si="99"/>
        <v>0.50612383305308806</v>
      </c>
      <c r="BJ99" s="56">
        <f t="shared" si="87"/>
        <v>2</v>
      </c>
      <c r="BL99" s="18">
        <f t="shared" si="100"/>
        <v>2.765812611819058</v>
      </c>
      <c r="BM99" s="18">
        <f t="shared" si="100"/>
        <v>0.50612383305308806</v>
      </c>
      <c r="BN99" s="56">
        <f t="shared" si="88"/>
        <v>2</v>
      </c>
      <c r="BP99" s="18">
        <f t="shared" si="101"/>
        <v>2.765812611819058</v>
      </c>
      <c r="BQ99" s="18">
        <f t="shared" si="101"/>
        <v>0.50612383305308806</v>
      </c>
      <c r="BR99" s="56">
        <f t="shared" si="89"/>
        <v>2</v>
      </c>
    </row>
    <row r="100" spans="1:70" x14ac:dyDescent="0.25">
      <c r="A100" s="36" t="str">
        <f>KMeans_Data!A90</f>
        <v>Attock</v>
      </c>
      <c r="B100" s="18">
        <f>KMeans_Data!H90</f>
        <v>-0.63668868079673557</v>
      </c>
      <c r="C100" s="18">
        <f>KMeans_Data!I90</f>
        <v>-0.67265054538827607</v>
      </c>
      <c r="D100" s="18">
        <f>KMeans_Data!J90</f>
        <v>-1.1456441163335547</v>
      </c>
      <c r="E100" s="56">
        <f t="shared" si="76"/>
        <v>2</v>
      </c>
      <c r="F100" s="38">
        <f t="shared" si="77"/>
        <v>0.49308104976301637</v>
      </c>
      <c r="G100" s="18">
        <f>IF(COUNTIF(Distance_Matrix!$E$8:$DQ$8,$E100)&lt;=1,0,SUMIF(Distance_Matrix!$E$8:$DQ$8,$E100,Distance_Matrix!$E$99:$DQ$99)/(COUNTIF(Distance_Matrix!$E$8:$DQ$8,$E100)-1))</f>
        <v>1.1010096181031579</v>
      </c>
      <c r="H100" s="18">
        <f>MIN(IF(1=$E100,1E+99,IF(COUNTIF(Distance_Matrix!$E$8:$DQ$8,1)=0,1E+99,SUMIF(Distance_Matrix!$E$8:$DQ$8,1,Distance_Matrix!$E$99:$DQ$99)/COUNTIF(Distance_Matrix!$E$8:$DQ$8,1))),IF(2=$E100,1E+99,IF(COUNTIF(Distance_Matrix!$E$8:$DQ$8,2)=0,1E+99,SUMIF(Distance_Matrix!$E$8:$DQ$8,2,Distance_Matrix!$E$99:$DQ$99)/COUNTIF(Distance_Matrix!$E$8:$DQ$8,2))))</f>
        <v>3.4601796888593186</v>
      </c>
      <c r="I100" s="18">
        <f>IF(COUNTIF(Distance_Matrix!$E$8:$DQ$8,$E100)&lt;=1,0,(H100-G100)/MAX(G100,H100))</f>
        <v>0.68180565256536829</v>
      </c>
      <c r="X100" s="18">
        <f t="shared" si="90"/>
        <v>7.5392108031360259</v>
      </c>
      <c r="Y100" s="18">
        <f t="shared" si="90"/>
        <v>1.443049301006593</v>
      </c>
      <c r="Z100" s="56">
        <f t="shared" si="78"/>
        <v>2</v>
      </c>
      <c r="AB100" s="18">
        <f t="shared" si="91"/>
        <v>5.0017925042023377</v>
      </c>
      <c r="AC100" s="18">
        <f t="shared" si="91"/>
        <v>1.1632296944549374</v>
      </c>
      <c r="AD100" s="56">
        <f t="shared" si="79"/>
        <v>2</v>
      </c>
      <c r="AF100" s="18">
        <f t="shared" si="92"/>
        <v>4.3887871705928285</v>
      </c>
      <c r="AG100" s="18">
        <f t="shared" si="92"/>
        <v>1.0732363015012762</v>
      </c>
      <c r="AH100" s="56">
        <f t="shared" si="80"/>
        <v>2</v>
      </c>
      <c r="AJ100" s="18">
        <f t="shared" si="93"/>
        <v>3.801116867232595</v>
      </c>
      <c r="AK100" s="18">
        <f t="shared" si="93"/>
        <v>0.88261228773414269</v>
      </c>
      <c r="AL100" s="56">
        <f t="shared" si="81"/>
        <v>2</v>
      </c>
      <c r="AN100" s="18">
        <f t="shared" si="94"/>
        <v>3.6093681146849588</v>
      </c>
      <c r="AO100" s="18">
        <f t="shared" si="94"/>
        <v>0.78182231011556413</v>
      </c>
      <c r="AP100" s="56">
        <f t="shared" si="82"/>
        <v>2</v>
      </c>
      <c r="AR100" s="18">
        <f t="shared" si="95"/>
        <v>3.4865059054003051</v>
      </c>
      <c r="AS100" s="18">
        <f t="shared" si="95"/>
        <v>0.73183178392179782</v>
      </c>
      <c r="AT100" s="56">
        <f t="shared" si="83"/>
        <v>2</v>
      </c>
      <c r="AV100" s="18">
        <f t="shared" si="96"/>
        <v>3.446305919261957</v>
      </c>
      <c r="AW100" s="18">
        <f t="shared" si="96"/>
        <v>0.7176281217922279</v>
      </c>
      <c r="AX100" s="56">
        <f t="shared" si="84"/>
        <v>2</v>
      </c>
      <c r="AZ100" s="18">
        <f t="shared" si="97"/>
        <v>3.4072221303509327</v>
      </c>
      <c r="BA100" s="18">
        <f t="shared" si="97"/>
        <v>0.7021973011647199</v>
      </c>
      <c r="BB100" s="56">
        <f t="shared" si="85"/>
        <v>2</v>
      </c>
      <c r="BD100" s="18">
        <f t="shared" si="98"/>
        <v>3.4072221303509327</v>
      </c>
      <c r="BE100" s="18">
        <f t="shared" si="98"/>
        <v>0.7021973011647199</v>
      </c>
      <c r="BF100" s="56">
        <f t="shared" si="86"/>
        <v>2</v>
      </c>
      <c r="BH100" s="18">
        <f t="shared" si="99"/>
        <v>3.4072221303509327</v>
      </c>
      <c r="BI100" s="18">
        <f t="shared" si="99"/>
        <v>0.7021973011647199</v>
      </c>
      <c r="BJ100" s="56">
        <f t="shared" si="87"/>
        <v>2</v>
      </c>
      <c r="BL100" s="18">
        <f t="shared" si="100"/>
        <v>3.4072221303509327</v>
      </c>
      <c r="BM100" s="18">
        <f t="shared" si="100"/>
        <v>0.7021973011647199</v>
      </c>
      <c r="BN100" s="56">
        <f t="shared" si="88"/>
        <v>2</v>
      </c>
      <c r="BP100" s="18">
        <f t="shared" si="101"/>
        <v>3.4072221303509327</v>
      </c>
      <c r="BQ100" s="18">
        <f t="shared" si="101"/>
        <v>0.7021973011647199</v>
      </c>
      <c r="BR100" s="56">
        <f t="shared" si="89"/>
        <v>2</v>
      </c>
    </row>
    <row r="101" spans="1:70" x14ac:dyDescent="0.25">
      <c r="A101" s="36" t="str">
        <f>KMeans_Data!A91</f>
        <v>Chitral Upper</v>
      </c>
      <c r="B101" s="18">
        <f>KMeans_Data!H91</f>
        <v>-0.63668868079673557</v>
      </c>
      <c r="C101" s="18">
        <f>KMeans_Data!I91</f>
        <v>-0.67265054538827607</v>
      </c>
      <c r="D101" s="18">
        <f>KMeans_Data!J91</f>
        <v>-0.31535907140676028</v>
      </c>
      <c r="E101" s="56">
        <f t="shared" si="76"/>
        <v>2</v>
      </c>
      <c r="F101" s="38">
        <f t="shared" si="77"/>
        <v>9.1172739857115076E-2</v>
      </c>
      <c r="G101" s="18">
        <f>IF(COUNTIF(Distance_Matrix!$E$8:$DQ$8,$E101)&lt;=1,0,SUMIF(Distance_Matrix!$E$8:$DQ$8,$E101,Distance_Matrix!$E$100:$DQ$100)/(COUNTIF(Distance_Matrix!$E$8:$DQ$8,$E101)-1))</f>
        <v>0.97908714500005967</v>
      </c>
      <c r="H101" s="18">
        <f>MIN(IF(1=$E101,1E+99,IF(COUNTIF(Distance_Matrix!$E$8:$DQ$8,1)=0,1E+99,SUMIF(Distance_Matrix!$E$8:$DQ$8,1,Distance_Matrix!$E$100:$DQ$100)/COUNTIF(Distance_Matrix!$E$8:$DQ$8,1))),IF(2=$E101,1E+99,IF(COUNTIF(Distance_Matrix!$E$8:$DQ$8,2)=0,1E+99,SUMIF(Distance_Matrix!$E$8:$DQ$8,2,Distance_Matrix!$E$100:$DQ$100)/COUNTIF(Distance_Matrix!$E$8:$DQ$8,2))))</f>
        <v>2.9634094388500074</v>
      </c>
      <c r="I101" s="18">
        <f>IF(COUNTIF(Distance_Matrix!$E$8:$DQ$8,$E101)&lt;=1,0,(H101-G101)/MAX(G101,H101))</f>
        <v>0.66960787390216037</v>
      </c>
      <c r="X101" s="18">
        <f t="shared" si="90"/>
        <v>7.0869805101477814</v>
      </c>
      <c r="Y101" s="18">
        <f t="shared" si="90"/>
        <v>1.6648617182711321</v>
      </c>
      <c r="Z101" s="56">
        <f t="shared" si="78"/>
        <v>2</v>
      </c>
      <c r="AB101" s="18">
        <f t="shared" si="91"/>
        <v>4.5504120335208169</v>
      </c>
      <c r="AC101" s="18">
        <f t="shared" si="91"/>
        <v>0.6554736952385507</v>
      </c>
      <c r="AD101" s="56">
        <f t="shared" si="79"/>
        <v>2</v>
      </c>
      <c r="AF101" s="18">
        <f t="shared" si="92"/>
        <v>3.9370213135684944</v>
      </c>
      <c r="AG101" s="18">
        <f t="shared" si="92"/>
        <v>0.55993945655147936</v>
      </c>
      <c r="AH101" s="56">
        <f t="shared" si="80"/>
        <v>2</v>
      </c>
      <c r="AJ101" s="18">
        <f t="shared" si="93"/>
        <v>3.3261333743487214</v>
      </c>
      <c r="AK101" s="18">
        <f t="shared" si="93"/>
        <v>0.39528223832338594</v>
      </c>
      <c r="AL101" s="56">
        <f t="shared" si="81"/>
        <v>2</v>
      </c>
      <c r="AN101" s="18">
        <f t="shared" si="94"/>
        <v>3.1208415359959729</v>
      </c>
      <c r="AO101" s="18">
        <f t="shared" si="94"/>
        <v>0.33713221395148546</v>
      </c>
      <c r="AP101" s="56">
        <f t="shared" si="82"/>
        <v>2</v>
      </c>
      <c r="AR101" s="18">
        <f t="shared" si="95"/>
        <v>2.994460618956003</v>
      </c>
      <c r="AS101" s="18">
        <f t="shared" si="95"/>
        <v>0.3142725051831457</v>
      </c>
      <c r="AT101" s="56">
        <f t="shared" si="83"/>
        <v>2</v>
      </c>
      <c r="AV101" s="18">
        <f t="shared" si="96"/>
        <v>2.9550306663245882</v>
      </c>
      <c r="AW101" s="18">
        <f t="shared" si="96"/>
        <v>0.30539834097477159</v>
      </c>
      <c r="AX101" s="56">
        <f t="shared" si="84"/>
        <v>2</v>
      </c>
      <c r="AZ101" s="18">
        <f t="shared" si="97"/>
        <v>2.9147429664391078</v>
      </c>
      <c r="BA101" s="18">
        <f t="shared" si="97"/>
        <v>0.30194824036101797</v>
      </c>
      <c r="BB101" s="56">
        <f t="shared" si="85"/>
        <v>2</v>
      </c>
      <c r="BD101" s="18">
        <f t="shared" si="98"/>
        <v>2.9147429664391078</v>
      </c>
      <c r="BE101" s="18">
        <f t="shared" si="98"/>
        <v>0.30194824036101797</v>
      </c>
      <c r="BF101" s="56">
        <f t="shared" si="86"/>
        <v>2</v>
      </c>
      <c r="BH101" s="18">
        <f t="shared" si="99"/>
        <v>2.9147429664391078</v>
      </c>
      <c r="BI101" s="18">
        <f t="shared" si="99"/>
        <v>0.30194824036101797</v>
      </c>
      <c r="BJ101" s="56">
        <f t="shared" si="87"/>
        <v>2</v>
      </c>
      <c r="BL101" s="18">
        <f t="shared" si="100"/>
        <v>2.9147429664391078</v>
      </c>
      <c r="BM101" s="18">
        <f t="shared" si="100"/>
        <v>0.30194824036101797</v>
      </c>
      <c r="BN101" s="56">
        <f t="shared" si="88"/>
        <v>2</v>
      </c>
      <c r="BP101" s="18">
        <f t="shared" si="101"/>
        <v>2.9147429664391078</v>
      </c>
      <c r="BQ101" s="18">
        <f t="shared" si="101"/>
        <v>0.30194824036101797</v>
      </c>
      <c r="BR101" s="56">
        <f t="shared" si="89"/>
        <v>2</v>
      </c>
    </row>
    <row r="102" spans="1:70" x14ac:dyDescent="0.25">
      <c r="A102" s="36" t="str">
        <f>KMeans_Data!A92</f>
        <v>Matiari</v>
      </c>
      <c r="B102" s="18">
        <f>KMeans_Data!H92</f>
        <v>-0.70618776706351938</v>
      </c>
      <c r="C102" s="18">
        <f>KMeans_Data!I92</f>
        <v>-0.14698313392952958</v>
      </c>
      <c r="D102" s="18">
        <f>KMeans_Data!J92</f>
        <v>0.62851349158581915</v>
      </c>
      <c r="E102" s="56">
        <f t="shared" si="76"/>
        <v>2</v>
      </c>
      <c r="F102" s="38">
        <f t="shared" si="77"/>
        <v>1.4533543030630998</v>
      </c>
      <c r="G102" s="18">
        <f>IF(COUNTIF(Distance_Matrix!$E$8:$DQ$8,$E102)&lt;=1,0,SUMIF(Distance_Matrix!$E$8:$DQ$8,$E102,Distance_Matrix!$E$101:$DQ$101)/(COUNTIF(Distance_Matrix!$E$8:$DQ$8,$E102)-1))</f>
        <v>1.4991499865162206</v>
      </c>
      <c r="H102" s="18">
        <f>MIN(IF(1=$E102,1E+99,IF(COUNTIF(Distance_Matrix!$E$8:$DQ$8,1)=0,1E+99,SUMIF(Distance_Matrix!$E$8:$DQ$8,1,Distance_Matrix!$E$101:$DQ$101)/COUNTIF(Distance_Matrix!$E$8:$DQ$8,1))),IF(2=$E102,1E+99,IF(COUNTIF(Distance_Matrix!$E$8:$DQ$8,2)=0,1E+99,SUMIF(Distance_Matrix!$E$8:$DQ$8,2,Distance_Matrix!$E$101:$DQ$101)/COUNTIF(Distance_Matrix!$E$8:$DQ$8,2))))</f>
        <v>2.3617045270003549</v>
      </c>
      <c r="I102" s="18">
        <f>IF(COUNTIF(Distance_Matrix!$E$8:$DQ$8,$E102)&lt;=1,0,(H102-G102)/MAX(G102,H102))</f>
        <v>0.36522542537515523</v>
      </c>
      <c r="X102" s="18">
        <f t="shared" si="90"/>
        <v>6.3444455343865602</v>
      </c>
      <c r="Y102" s="18">
        <f t="shared" si="90"/>
        <v>2.3044742649072281</v>
      </c>
      <c r="Z102" s="56">
        <f t="shared" si="78"/>
        <v>2</v>
      </c>
      <c r="AB102" s="18">
        <f t="shared" si="91"/>
        <v>3.8660722551432665</v>
      </c>
      <c r="AC102" s="18">
        <f t="shared" si="91"/>
        <v>0.96024486604900072</v>
      </c>
      <c r="AD102" s="56">
        <f t="shared" si="79"/>
        <v>2</v>
      </c>
      <c r="AF102" s="18">
        <f t="shared" si="92"/>
        <v>3.2725565487895807</v>
      </c>
      <c r="AG102" s="18">
        <f t="shared" si="92"/>
        <v>0.9848360352475114</v>
      </c>
      <c r="AH102" s="56">
        <f t="shared" si="80"/>
        <v>2</v>
      </c>
      <c r="AJ102" s="18">
        <f t="shared" si="93"/>
        <v>2.6631193899529055</v>
      </c>
      <c r="AK102" s="18">
        <f t="shared" si="93"/>
        <v>1.0871824562770867</v>
      </c>
      <c r="AL102" s="56">
        <f t="shared" si="81"/>
        <v>2</v>
      </c>
      <c r="AN102" s="18">
        <f t="shared" si="94"/>
        <v>2.4651881824091775</v>
      </c>
      <c r="AO102" s="18">
        <f t="shared" si="94"/>
        <v>1.1489890395086011</v>
      </c>
      <c r="AP102" s="56">
        <f t="shared" si="82"/>
        <v>2</v>
      </c>
      <c r="AR102" s="18">
        <f t="shared" si="95"/>
        <v>2.3469828923545539</v>
      </c>
      <c r="AS102" s="18">
        <f t="shared" si="95"/>
        <v>1.1828027573629134</v>
      </c>
      <c r="AT102" s="56">
        <f t="shared" si="83"/>
        <v>2</v>
      </c>
      <c r="AV102" s="18">
        <f t="shared" si="96"/>
        <v>2.3127410255112468</v>
      </c>
      <c r="AW102" s="18">
        <f t="shared" si="96"/>
        <v>1.1916886745618893</v>
      </c>
      <c r="AX102" s="56">
        <f t="shared" si="84"/>
        <v>2</v>
      </c>
      <c r="AZ102" s="18">
        <f t="shared" si="97"/>
        <v>2.2724662897317263</v>
      </c>
      <c r="BA102" s="18">
        <f t="shared" si="97"/>
        <v>1.2055514518522632</v>
      </c>
      <c r="BB102" s="56">
        <f t="shared" si="85"/>
        <v>2</v>
      </c>
      <c r="BD102" s="18">
        <f t="shared" si="98"/>
        <v>2.2724662897317263</v>
      </c>
      <c r="BE102" s="18">
        <f t="shared" si="98"/>
        <v>1.2055514518522632</v>
      </c>
      <c r="BF102" s="56">
        <f t="shared" si="86"/>
        <v>2</v>
      </c>
      <c r="BH102" s="18">
        <f t="shared" si="99"/>
        <v>2.2724662897317263</v>
      </c>
      <c r="BI102" s="18">
        <f t="shared" si="99"/>
        <v>1.2055514518522632</v>
      </c>
      <c r="BJ102" s="56">
        <f t="shared" si="87"/>
        <v>2</v>
      </c>
      <c r="BL102" s="18">
        <f t="shared" si="100"/>
        <v>2.2724662897317263</v>
      </c>
      <c r="BM102" s="18">
        <f t="shared" si="100"/>
        <v>1.2055514518522632</v>
      </c>
      <c r="BN102" s="56">
        <f t="shared" si="88"/>
        <v>2</v>
      </c>
      <c r="BP102" s="18">
        <f t="shared" si="101"/>
        <v>2.2724662897317263</v>
      </c>
      <c r="BQ102" s="18">
        <f t="shared" si="101"/>
        <v>1.2055514518522632</v>
      </c>
      <c r="BR102" s="56">
        <f t="shared" si="89"/>
        <v>2</v>
      </c>
    </row>
    <row r="103" spans="1:70" x14ac:dyDescent="0.25">
      <c r="A103" s="36" t="str">
        <f>KMeans_Data!A93</f>
        <v>Lakki Marwat</v>
      </c>
      <c r="B103" s="18">
        <f>KMeans_Data!H93</f>
        <v>-0.74475874463319425</v>
      </c>
      <c r="C103" s="18">
        <f>KMeans_Data!I93</f>
        <v>-0.14698313392952958</v>
      </c>
      <c r="D103" s="18">
        <f>KMeans_Data!J93</f>
        <v>-0.1820498150291911</v>
      </c>
      <c r="E103" s="56">
        <f t="shared" si="76"/>
        <v>2</v>
      </c>
      <c r="F103" s="38">
        <f t="shared" si="77"/>
        <v>0.32128996878121246</v>
      </c>
      <c r="G103" s="18">
        <f>IF(COUNTIF(Distance_Matrix!$E$8:$DQ$8,$E103)&lt;=1,0,SUMIF(Distance_Matrix!$E$8:$DQ$8,$E103,Distance_Matrix!$E$102:$DQ$102)/(COUNTIF(Distance_Matrix!$E$8:$DQ$8,$E103)-1))</f>
        <v>1.1118097708454429</v>
      </c>
      <c r="H103" s="18">
        <f>MIN(IF(1=$E103,1E+99,IF(COUNTIF(Distance_Matrix!$E$8:$DQ$8,1)=0,1E+99,SUMIF(Distance_Matrix!$E$8:$DQ$8,1,Distance_Matrix!$E$102:$DQ$102)/COUNTIF(Distance_Matrix!$E$8:$DQ$8,1))),IF(2=$E103,1E+99,IF(COUNTIF(Distance_Matrix!$E$8:$DQ$8,2)=0,1E+99,SUMIF(Distance_Matrix!$E$8:$DQ$8,2,Distance_Matrix!$E$102:$DQ$102)/COUNTIF(Distance_Matrix!$E$8:$DQ$8,2))))</f>
        <v>2.6716508725874175</v>
      </c>
      <c r="I103" s="18">
        <f>IF(COUNTIF(Distance_Matrix!$E$8:$DQ$8,$E103)&lt;=1,0,(H103-G103)/MAX(G103,H103))</f>
        <v>0.5838491539994195</v>
      </c>
      <c r="X103" s="18">
        <f t="shared" si="90"/>
        <v>6.7432716431257811</v>
      </c>
      <c r="Y103" s="18">
        <f t="shared" si="90"/>
        <v>1.7282967825727553</v>
      </c>
      <c r="Z103" s="56">
        <f t="shared" si="78"/>
        <v>2</v>
      </c>
      <c r="AB103" s="18">
        <f t="shared" si="91"/>
        <v>4.2211276153204418</v>
      </c>
      <c r="AC103" s="18">
        <f t="shared" si="91"/>
        <v>0.56497891105072651</v>
      </c>
      <c r="AD103" s="56">
        <f t="shared" si="79"/>
        <v>2</v>
      </c>
      <c r="AF103" s="18">
        <f t="shared" si="92"/>
        <v>3.6077706652737054</v>
      </c>
      <c r="AG103" s="18">
        <f t="shared" si="92"/>
        <v>0.52897712668202457</v>
      </c>
      <c r="AH103" s="56">
        <f t="shared" si="80"/>
        <v>2</v>
      </c>
      <c r="AJ103" s="18">
        <f t="shared" si="93"/>
        <v>3.0003036109177783</v>
      </c>
      <c r="AK103" s="18">
        <f t="shared" si="93"/>
        <v>0.52344461189577263</v>
      </c>
      <c r="AL103" s="56">
        <f t="shared" si="81"/>
        <v>2</v>
      </c>
      <c r="AN103" s="18">
        <f t="shared" si="94"/>
        <v>2.8081070333580693</v>
      </c>
      <c r="AO103" s="18">
        <f t="shared" si="94"/>
        <v>0.53404739290301018</v>
      </c>
      <c r="AP103" s="56">
        <f t="shared" si="82"/>
        <v>2</v>
      </c>
      <c r="AR103" s="18">
        <f t="shared" si="95"/>
        <v>2.6861382585857827</v>
      </c>
      <c r="AS103" s="18">
        <f t="shared" si="95"/>
        <v>0.54982245005309072</v>
      </c>
      <c r="AT103" s="56">
        <f t="shared" si="83"/>
        <v>2</v>
      </c>
      <c r="AV103" s="18">
        <f t="shared" si="96"/>
        <v>2.6479150403278782</v>
      </c>
      <c r="AW103" s="18">
        <f t="shared" si="96"/>
        <v>0.55478146399373962</v>
      </c>
      <c r="AX103" s="56">
        <f t="shared" si="84"/>
        <v>2</v>
      </c>
      <c r="AZ103" s="18">
        <f t="shared" si="97"/>
        <v>2.6064750792388218</v>
      </c>
      <c r="BA103" s="18">
        <f t="shared" si="97"/>
        <v>0.56682446028837929</v>
      </c>
      <c r="BB103" s="56">
        <f t="shared" si="85"/>
        <v>2</v>
      </c>
      <c r="BD103" s="18">
        <f t="shared" si="98"/>
        <v>2.6064750792388218</v>
      </c>
      <c r="BE103" s="18">
        <f t="shared" si="98"/>
        <v>0.56682446028837929</v>
      </c>
      <c r="BF103" s="56">
        <f t="shared" si="86"/>
        <v>2</v>
      </c>
      <c r="BH103" s="18">
        <f t="shared" si="99"/>
        <v>2.6064750792388218</v>
      </c>
      <c r="BI103" s="18">
        <f t="shared" si="99"/>
        <v>0.56682446028837929</v>
      </c>
      <c r="BJ103" s="56">
        <f t="shared" si="87"/>
        <v>2</v>
      </c>
      <c r="BL103" s="18">
        <f t="shared" si="100"/>
        <v>2.6064750792388218</v>
      </c>
      <c r="BM103" s="18">
        <f t="shared" si="100"/>
        <v>0.56682446028837929</v>
      </c>
      <c r="BN103" s="56">
        <f t="shared" si="88"/>
        <v>2</v>
      </c>
      <c r="BP103" s="18">
        <f t="shared" si="101"/>
        <v>2.6064750792388218</v>
      </c>
      <c r="BQ103" s="18">
        <f t="shared" si="101"/>
        <v>0.56682446028837929</v>
      </c>
      <c r="BR103" s="56">
        <f t="shared" si="89"/>
        <v>2</v>
      </c>
    </row>
    <row r="104" spans="1:70" x14ac:dyDescent="0.25">
      <c r="A104" s="36" t="str">
        <f>KMeans_Data!A94</f>
        <v>Taftan</v>
      </c>
      <c r="B104" s="18">
        <f>KMeans_Data!H94</f>
        <v>-0.74475874463319425</v>
      </c>
      <c r="C104" s="18">
        <f>KMeans_Data!I94</f>
        <v>-0.67265054538827607</v>
      </c>
      <c r="D104" s="18">
        <f>KMeans_Data!J94</f>
        <v>-1.1456441163335547</v>
      </c>
      <c r="E104" s="56">
        <f t="shared" si="76"/>
        <v>2</v>
      </c>
      <c r="F104" s="38">
        <f t="shared" si="77"/>
        <v>0.54636066214983925</v>
      </c>
      <c r="G104" s="18">
        <f>IF(COUNTIF(Distance_Matrix!$E$8:$DQ$8,$E104)&lt;=1,0,SUMIF(Distance_Matrix!$E$8:$DQ$8,$E104,Distance_Matrix!$E$103:$DQ$103)/(COUNTIF(Distance_Matrix!$E$8:$DQ$8,$E104)-1))</f>
        <v>1.111836856048074</v>
      </c>
      <c r="H104" s="18">
        <f>MIN(IF(1=$E104,1E+99,IF(COUNTIF(Distance_Matrix!$E$8:$DQ$8,1)=0,1E+99,SUMIF(Distance_Matrix!$E$8:$DQ$8,1,Distance_Matrix!$E$103:$DQ$103)/COUNTIF(Distance_Matrix!$E$8:$DQ$8,1))),IF(2=$E104,1E+99,IF(COUNTIF(Distance_Matrix!$E$8:$DQ$8,2)=0,1E+99,SUMIF(Distance_Matrix!$E$8:$DQ$8,2,Distance_Matrix!$E$103:$DQ$103)/COUNTIF(Distance_Matrix!$E$8:$DQ$8,2))))</f>
        <v>3.5130483332594782</v>
      </c>
      <c r="I104" s="18">
        <f>IF(COUNTIF(Distance_Matrix!$E$8:$DQ$8,$E104)&lt;=1,0,(H104-G104)/MAX(G104,H104))</f>
        <v>0.68351222340955131</v>
      </c>
      <c r="X104" s="18">
        <f t="shared" si="90"/>
        <v>7.595834527091335</v>
      </c>
      <c r="Y104" s="18">
        <f t="shared" si="90"/>
        <v>1.3349792371701343</v>
      </c>
      <c r="Z104" s="56">
        <f t="shared" si="78"/>
        <v>2</v>
      </c>
      <c r="AB104" s="18">
        <f t="shared" si="91"/>
        <v>5.059045243610953</v>
      </c>
      <c r="AC104" s="18">
        <f t="shared" si="91"/>
        <v>1.2093454021518308</v>
      </c>
      <c r="AD104" s="56">
        <f t="shared" si="79"/>
        <v>2</v>
      </c>
      <c r="AF104" s="18">
        <f t="shared" si="92"/>
        <v>4.4451957430178188</v>
      </c>
      <c r="AG104" s="18">
        <f t="shared" si="92"/>
        <v>1.1179458437239869</v>
      </c>
      <c r="AH104" s="56">
        <f t="shared" si="80"/>
        <v>2</v>
      </c>
      <c r="AJ104" s="18">
        <f t="shared" si="93"/>
        <v>3.8553297150536783</v>
      </c>
      <c r="AK104" s="18">
        <f t="shared" si="93"/>
        <v>0.92524238391220603</v>
      </c>
      <c r="AL104" s="56">
        <f t="shared" si="81"/>
        <v>2</v>
      </c>
      <c r="AN104" s="18">
        <f t="shared" si="94"/>
        <v>3.66405554570265</v>
      </c>
      <c r="AO104" s="18">
        <f t="shared" si="94"/>
        <v>0.82149821946632229</v>
      </c>
      <c r="AP104" s="56">
        <f t="shared" si="82"/>
        <v>2</v>
      </c>
      <c r="AR104" s="18">
        <f t="shared" si="95"/>
        <v>3.5412331256309471</v>
      </c>
      <c r="AS104" s="18">
        <f t="shared" si="95"/>
        <v>0.7696918165053962</v>
      </c>
      <c r="AT104" s="56">
        <f t="shared" si="83"/>
        <v>2</v>
      </c>
      <c r="AV104" s="18">
        <f t="shared" si="96"/>
        <v>3.5011557402338269</v>
      </c>
      <c r="AW104" s="18">
        <f t="shared" si="96"/>
        <v>0.75454602276156157</v>
      </c>
      <c r="AX104" s="56">
        <f t="shared" si="84"/>
        <v>2</v>
      </c>
      <c r="AZ104" s="18">
        <f t="shared" si="97"/>
        <v>3.4617050234102544</v>
      </c>
      <c r="BA104" s="18">
        <f t="shared" si="97"/>
        <v>0.73916213522463337</v>
      </c>
      <c r="BB104" s="56">
        <f t="shared" si="85"/>
        <v>2</v>
      </c>
      <c r="BD104" s="18">
        <f t="shared" si="98"/>
        <v>3.4617050234102544</v>
      </c>
      <c r="BE104" s="18">
        <f t="shared" si="98"/>
        <v>0.73916213522463337</v>
      </c>
      <c r="BF104" s="56">
        <f t="shared" si="86"/>
        <v>2</v>
      </c>
      <c r="BH104" s="18">
        <f t="shared" si="99"/>
        <v>3.4617050234102544</v>
      </c>
      <c r="BI104" s="18">
        <f t="shared" si="99"/>
        <v>0.73916213522463337</v>
      </c>
      <c r="BJ104" s="56">
        <f t="shared" si="87"/>
        <v>2</v>
      </c>
      <c r="BL104" s="18">
        <f t="shared" si="100"/>
        <v>3.4617050234102544</v>
      </c>
      <c r="BM104" s="18">
        <f t="shared" si="100"/>
        <v>0.73916213522463337</v>
      </c>
      <c r="BN104" s="56">
        <f t="shared" si="88"/>
        <v>2</v>
      </c>
      <c r="BP104" s="18">
        <f t="shared" si="101"/>
        <v>3.4617050234102544</v>
      </c>
      <c r="BQ104" s="18">
        <f t="shared" si="101"/>
        <v>0.73916213522463337</v>
      </c>
      <c r="BR104" s="56">
        <f t="shared" si="89"/>
        <v>2</v>
      </c>
    </row>
    <row r="105" spans="1:70" x14ac:dyDescent="0.25">
      <c r="A105" s="36" t="str">
        <f>KMeans_Data!A95</f>
        <v>Orakzai</v>
      </c>
      <c r="B105" s="18">
        <f>KMeans_Data!H95</f>
        <v>-0.78641857410320049</v>
      </c>
      <c r="C105" s="18">
        <f>KMeans_Data!I95</f>
        <v>-0.67265054538827607</v>
      </c>
      <c r="D105" s="18">
        <f>KMeans_Data!J95</f>
        <v>-0.39984522290956798</v>
      </c>
      <c r="E105" s="56">
        <f t="shared" si="76"/>
        <v>2</v>
      </c>
      <c r="F105" s="38">
        <f t="shared" si="77"/>
        <v>0.14911552505476469</v>
      </c>
      <c r="G105" s="18">
        <f>IF(COUNTIF(Distance_Matrix!$E$8:$DQ$8,$E105)&lt;=1,0,SUMIF(Distance_Matrix!$E$8:$DQ$8,$E105,Distance_Matrix!$E$104:$DQ$104)/(COUNTIF(Distance_Matrix!$E$8:$DQ$8,$E105)-1))</f>
        <v>1.0019402301419837</v>
      </c>
      <c r="H105" s="18">
        <f>MIN(IF(1=$E105,1E+99,IF(COUNTIF(Distance_Matrix!$E$8:$DQ$8,1)=0,1E+99,SUMIF(Distance_Matrix!$E$8:$DQ$8,1,Distance_Matrix!$E$104:$DQ$104)/COUNTIF(Distance_Matrix!$E$8:$DQ$8,1))),IF(2=$E105,1E+99,IF(COUNTIF(Distance_Matrix!$E$8:$DQ$8,2)=0,1E+99,SUMIF(Distance_Matrix!$E$8:$DQ$8,2,Distance_Matrix!$E$104:$DQ$104)/COUNTIF(Distance_Matrix!$E$8:$DQ$8,2))))</f>
        <v>3.0929609404252765</v>
      </c>
      <c r="I105" s="18">
        <f>IF(COUNTIF(Distance_Matrix!$E$8:$DQ$8,$E105)&lt;=1,0,(H105-G105)/MAX(G105,H105))</f>
        <v>0.67605791038401586</v>
      </c>
      <c r="X105" s="18">
        <f t="shared" si="90"/>
        <v>7.2131090036106817</v>
      </c>
      <c r="Y105" s="18">
        <f t="shared" si="90"/>
        <v>1.4929471121798834</v>
      </c>
      <c r="Z105" s="56">
        <f t="shared" si="78"/>
        <v>2</v>
      </c>
      <c r="AB105" s="18">
        <f t="shared" si="91"/>
        <v>4.6782765458858444</v>
      </c>
      <c r="AC105" s="18">
        <f t="shared" si="91"/>
        <v>0.78640401408476079</v>
      </c>
      <c r="AD105" s="56">
        <f t="shared" si="79"/>
        <v>2</v>
      </c>
      <c r="AF105" s="18">
        <f t="shared" si="92"/>
        <v>4.0640504632152696</v>
      </c>
      <c r="AG105" s="18">
        <f t="shared" si="92"/>
        <v>0.691226607649298</v>
      </c>
      <c r="AH105" s="56">
        <f t="shared" si="80"/>
        <v>2</v>
      </c>
      <c r="AJ105" s="18">
        <f t="shared" si="93"/>
        <v>3.4533972960284669</v>
      </c>
      <c r="AK105" s="18">
        <f t="shared" si="93"/>
        <v>0.5192526604209271</v>
      </c>
      <c r="AL105" s="56">
        <f t="shared" si="81"/>
        <v>2</v>
      </c>
      <c r="AN105" s="18">
        <f t="shared" si="94"/>
        <v>3.2509290419625603</v>
      </c>
      <c r="AO105" s="18">
        <f t="shared" si="94"/>
        <v>0.44232785494093335</v>
      </c>
      <c r="AP105" s="56">
        <f t="shared" si="82"/>
        <v>2</v>
      </c>
      <c r="AR105" s="18">
        <f t="shared" si="95"/>
        <v>3.1252815663099889</v>
      </c>
      <c r="AS105" s="18">
        <f t="shared" si="95"/>
        <v>0.40645428112959614</v>
      </c>
      <c r="AT105" s="56">
        <f t="shared" si="83"/>
        <v>2</v>
      </c>
      <c r="AV105" s="18">
        <f t="shared" si="96"/>
        <v>3.0860008670346648</v>
      </c>
      <c r="AW105" s="18">
        <f t="shared" si="96"/>
        <v>0.39333129879100553</v>
      </c>
      <c r="AX105" s="56">
        <f t="shared" si="84"/>
        <v>2</v>
      </c>
      <c r="AZ105" s="18">
        <f t="shared" si="97"/>
        <v>3.0453683251652066</v>
      </c>
      <c r="BA105" s="18">
        <f t="shared" si="97"/>
        <v>0.38615479416260612</v>
      </c>
      <c r="BB105" s="56">
        <f t="shared" si="85"/>
        <v>2</v>
      </c>
      <c r="BD105" s="18">
        <f t="shared" si="98"/>
        <v>3.0453683251652066</v>
      </c>
      <c r="BE105" s="18">
        <f t="shared" si="98"/>
        <v>0.38615479416260612</v>
      </c>
      <c r="BF105" s="56">
        <f t="shared" si="86"/>
        <v>2</v>
      </c>
      <c r="BH105" s="18">
        <f t="shared" si="99"/>
        <v>3.0453683251652066</v>
      </c>
      <c r="BI105" s="18">
        <f t="shared" si="99"/>
        <v>0.38615479416260612</v>
      </c>
      <c r="BJ105" s="56">
        <f t="shared" si="87"/>
        <v>2</v>
      </c>
      <c r="BL105" s="18">
        <f t="shared" si="100"/>
        <v>3.0453683251652066</v>
      </c>
      <c r="BM105" s="18">
        <f t="shared" si="100"/>
        <v>0.38615479416260612</v>
      </c>
      <c r="BN105" s="56">
        <f t="shared" si="88"/>
        <v>2</v>
      </c>
      <c r="BP105" s="18">
        <f t="shared" si="101"/>
        <v>3.0453683251652066</v>
      </c>
      <c r="BQ105" s="18">
        <f t="shared" si="101"/>
        <v>0.38615479416260612</v>
      </c>
      <c r="BR105" s="56">
        <f t="shared" si="89"/>
        <v>2</v>
      </c>
    </row>
    <row r="106" spans="1:70" x14ac:dyDescent="0.25">
      <c r="A106" s="36" t="str">
        <f>KMeans_Data!A96</f>
        <v>North Waziristan</v>
      </c>
      <c r="B106" s="18">
        <f>KMeans_Data!H96</f>
        <v>-0.8317053870146639</v>
      </c>
      <c r="C106" s="18">
        <f>KMeans_Data!I96</f>
        <v>-0.67265054538827607</v>
      </c>
      <c r="D106" s="18">
        <f>KMeans_Data!J96</f>
        <v>-0.31535907140676028</v>
      </c>
      <c r="E106" s="56">
        <f t="shared" si="76"/>
        <v>2</v>
      </c>
      <c r="F106" s="38">
        <f t="shared" si="77"/>
        <v>0.2042739563457964</v>
      </c>
      <c r="G106" s="18">
        <f>IF(COUNTIF(Distance_Matrix!$E$8:$DQ$8,$E106)&lt;=1,0,SUMIF(Distance_Matrix!$E$8:$DQ$8,$E106,Distance_Matrix!$E$105:$DQ$105)/(COUNTIF(Distance_Matrix!$E$8:$DQ$8,$E106)-1))</f>
        <v>1.0306015488789246</v>
      </c>
      <c r="H106" s="18">
        <f>MIN(IF(1=$E106,1E+99,IF(COUNTIF(Distance_Matrix!$E$8:$DQ$8,1)=0,1E+99,SUMIF(Distance_Matrix!$E$8:$DQ$8,1,Distance_Matrix!$E$105:$DQ$105)/COUNTIF(Distance_Matrix!$E$8:$DQ$8,1))),IF(2=$E106,1E+99,IF(COUNTIF(Distance_Matrix!$E$8:$DQ$8,2)=0,1E+99,SUMIF(Distance_Matrix!$E$8:$DQ$8,2,Distance_Matrix!$E$105:$DQ$105)/COUNTIF(Distance_Matrix!$E$8:$DQ$8,2))))</f>
        <v>3.0788160214450739</v>
      </c>
      <c r="I106" s="18">
        <f>IF(COUNTIF(Distance_Matrix!$E$8:$DQ$8,$E106)&lt;=1,0,(H106-G106)/MAX(G106,H106))</f>
        <v>0.66526043073038155</v>
      </c>
      <c r="X106" s="18">
        <f t="shared" si="90"/>
        <v>7.1964396719425361</v>
      </c>
      <c r="Y106" s="18">
        <f t="shared" si="90"/>
        <v>1.4989858616691543</v>
      </c>
      <c r="Z106" s="56">
        <f t="shared" si="78"/>
        <v>2</v>
      </c>
      <c r="AB106" s="18">
        <f t="shared" si="91"/>
        <v>4.6650444264042505</v>
      </c>
      <c r="AC106" s="18">
        <f t="shared" si="91"/>
        <v>0.80252218903386208</v>
      </c>
      <c r="AD106" s="56">
        <f t="shared" si="79"/>
        <v>2</v>
      </c>
      <c r="AF106" s="18">
        <f t="shared" si="92"/>
        <v>4.0517054743308076</v>
      </c>
      <c r="AG106" s="18">
        <f t="shared" si="92"/>
        <v>0.71223108652454714</v>
      </c>
      <c r="AH106" s="56">
        <f t="shared" si="80"/>
        <v>2</v>
      </c>
      <c r="AJ106" s="18">
        <f t="shared" si="93"/>
        <v>3.4393521973397743</v>
      </c>
      <c r="AK106" s="18">
        <f t="shared" si="93"/>
        <v>0.55881856544316766</v>
      </c>
      <c r="AL106" s="56">
        <f t="shared" si="81"/>
        <v>2</v>
      </c>
      <c r="AN106" s="18">
        <f t="shared" si="94"/>
        <v>3.2364162833794232</v>
      </c>
      <c r="AO106" s="18">
        <f t="shared" si="94"/>
        <v>0.49538541952357013</v>
      </c>
      <c r="AP106" s="56">
        <f t="shared" si="82"/>
        <v>2</v>
      </c>
      <c r="AR106" s="18">
        <f t="shared" si="95"/>
        <v>3.1109149654038379</v>
      </c>
      <c r="AS106" s="18">
        <f t="shared" si="95"/>
        <v>0.46723360090437277</v>
      </c>
      <c r="AT106" s="56">
        <f t="shared" si="83"/>
        <v>2</v>
      </c>
      <c r="AV106" s="18">
        <f t="shared" si="96"/>
        <v>3.0719395854925673</v>
      </c>
      <c r="AW106" s="18">
        <f t="shared" si="96"/>
        <v>0.45639912439656538</v>
      </c>
      <c r="AX106" s="56">
        <f t="shared" si="84"/>
        <v>2</v>
      </c>
      <c r="AZ106" s="18">
        <f t="shared" si="97"/>
        <v>3.0311733262535538</v>
      </c>
      <c r="BA106" s="18">
        <f t="shared" si="97"/>
        <v>0.45196676464735369</v>
      </c>
      <c r="BB106" s="56">
        <f t="shared" si="85"/>
        <v>2</v>
      </c>
      <c r="BD106" s="18">
        <f t="shared" si="98"/>
        <v>3.0311733262535538</v>
      </c>
      <c r="BE106" s="18">
        <f t="shared" si="98"/>
        <v>0.45196676464735369</v>
      </c>
      <c r="BF106" s="56">
        <f t="shared" si="86"/>
        <v>2</v>
      </c>
      <c r="BH106" s="18">
        <f t="shared" si="99"/>
        <v>3.0311733262535538</v>
      </c>
      <c r="BI106" s="18">
        <f t="shared" si="99"/>
        <v>0.45196676464735369</v>
      </c>
      <c r="BJ106" s="56">
        <f t="shared" si="87"/>
        <v>2</v>
      </c>
      <c r="BL106" s="18">
        <f t="shared" si="100"/>
        <v>3.0311733262535538</v>
      </c>
      <c r="BM106" s="18">
        <f t="shared" si="100"/>
        <v>0.45196676464735369</v>
      </c>
      <c r="BN106" s="56">
        <f t="shared" si="88"/>
        <v>2</v>
      </c>
      <c r="BP106" s="18">
        <f t="shared" si="101"/>
        <v>3.0311733262535538</v>
      </c>
      <c r="BQ106" s="18">
        <f t="shared" si="101"/>
        <v>0.45196676464735369</v>
      </c>
      <c r="BR106" s="56">
        <f t="shared" si="89"/>
        <v>2</v>
      </c>
    </row>
    <row r="107" spans="1:70" x14ac:dyDescent="0.25">
      <c r="A107" s="36" t="str">
        <f>KMeans_Data!A97</f>
        <v>Kasur</v>
      </c>
      <c r="B107" s="18">
        <f>KMeans_Data!H97</f>
        <v>-0.8317053870146639</v>
      </c>
      <c r="C107" s="18">
        <f>KMeans_Data!I97</f>
        <v>-0.67265054538827607</v>
      </c>
      <c r="D107" s="18">
        <f>KMeans_Data!J97</f>
        <v>-1.1456441163335547</v>
      </c>
      <c r="E107" s="56">
        <f t="shared" si="76"/>
        <v>2</v>
      </c>
      <c r="F107" s="38">
        <f t="shared" si="77"/>
        <v>0.60618226625169769</v>
      </c>
      <c r="G107" s="18">
        <f>IF(COUNTIF(Distance_Matrix!$E$8:$DQ$8,$E107)&lt;=1,0,SUMIF(Distance_Matrix!$E$8:$DQ$8,$E107,Distance_Matrix!$E$106:$DQ$106)/(COUNTIF(Distance_Matrix!$E$8:$DQ$8,$E107)-1))</f>
        <v>1.1261135071049229</v>
      </c>
      <c r="H107" s="18">
        <f>MIN(IF(1=$E107,1E+99,IF(COUNTIF(Distance_Matrix!$E$8:$DQ$8,1)=0,1E+99,SUMIF(Distance_Matrix!$E$8:$DQ$8,1,Distance_Matrix!$E$106:$DQ$106)/COUNTIF(Distance_Matrix!$E$8:$DQ$8,1))),IF(2=$E107,1E+99,IF(COUNTIF(Distance_Matrix!$E$8:$DQ$8,2)=0,1E+99,SUMIF(Distance_Matrix!$E$8:$DQ$8,2,Distance_Matrix!$E$106:$DQ$106)/COUNTIF(Distance_Matrix!$E$8:$DQ$8,2))))</f>
        <v>3.557570426463784</v>
      </c>
      <c r="I107" s="18">
        <f>IF(COUNTIF(Distance_Matrix!$E$8:$DQ$8,$E107)&lt;=1,0,(H107-G107)/MAX(G107,H107))</f>
        <v>0.68345995381340152</v>
      </c>
      <c r="X107" s="18">
        <f t="shared" si="90"/>
        <v>7.6421954132838588</v>
      </c>
      <c r="Y107" s="18">
        <f t="shared" si="90"/>
        <v>1.2480325947886648</v>
      </c>
      <c r="Z107" s="56">
        <f t="shared" si="78"/>
        <v>2</v>
      </c>
      <c r="AB107" s="18">
        <f t="shared" si="91"/>
        <v>5.1063018007760759</v>
      </c>
      <c r="AC107" s="18">
        <f t="shared" si="91"/>
        <v>1.2519981712461679</v>
      </c>
      <c r="AD107" s="56">
        <f t="shared" si="79"/>
        <v>2</v>
      </c>
      <c r="AF107" s="18">
        <f t="shared" si="92"/>
        <v>4.4919520540617803</v>
      </c>
      <c r="AG107" s="18">
        <f t="shared" si="92"/>
        <v>1.1599901225738558</v>
      </c>
      <c r="AH107" s="56">
        <f t="shared" si="80"/>
        <v>2</v>
      </c>
      <c r="AJ107" s="18">
        <f t="shared" si="93"/>
        <v>3.9005730030022074</v>
      </c>
      <c r="AK107" s="18">
        <f t="shared" si="93"/>
        <v>0.966971867020603</v>
      </c>
      <c r="AL107" s="56">
        <f t="shared" si="81"/>
        <v>2</v>
      </c>
      <c r="AN107" s="18">
        <f t="shared" si="94"/>
        <v>3.7097542578761509</v>
      </c>
      <c r="AO107" s="18">
        <f t="shared" si="94"/>
        <v>0.86197140833507391</v>
      </c>
      <c r="AP107" s="56">
        <f t="shared" si="82"/>
        <v>2</v>
      </c>
      <c r="AR107" s="18">
        <f t="shared" si="95"/>
        <v>3.5870211808527688</v>
      </c>
      <c r="AS107" s="18">
        <f t="shared" si="95"/>
        <v>0.80939347060508049</v>
      </c>
      <c r="AT107" s="56">
        <f t="shared" si="83"/>
        <v>2</v>
      </c>
      <c r="AV107" s="18">
        <f t="shared" si="96"/>
        <v>3.5470594958553354</v>
      </c>
      <c r="AW107" s="18">
        <f t="shared" si="96"/>
        <v>0.79373933710434774</v>
      </c>
      <c r="AX107" s="56">
        <f t="shared" si="84"/>
        <v>2</v>
      </c>
      <c r="AZ107" s="18">
        <f t="shared" si="97"/>
        <v>3.5073419877362872</v>
      </c>
      <c r="BA107" s="18">
        <f t="shared" si="97"/>
        <v>0.7785770779130976</v>
      </c>
      <c r="BB107" s="56">
        <f t="shared" si="85"/>
        <v>2</v>
      </c>
      <c r="BD107" s="18">
        <f t="shared" si="98"/>
        <v>3.5073419877362872</v>
      </c>
      <c r="BE107" s="18">
        <f t="shared" si="98"/>
        <v>0.7785770779130976</v>
      </c>
      <c r="BF107" s="56">
        <f t="shared" si="86"/>
        <v>2</v>
      </c>
      <c r="BH107" s="18">
        <f t="shared" si="99"/>
        <v>3.5073419877362872</v>
      </c>
      <c r="BI107" s="18">
        <f t="shared" si="99"/>
        <v>0.7785770779130976</v>
      </c>
      <c r="BJ107" s="56">
        <f t="shared" si="87"/>
        <v>2</v>
      </c>
      <c r="BL107" s="18">
        <f t="shared" si="100"/>
        <v>3.5073419877362872</v>
      </c>
      <c r="BM107" s="18">
        <f t="shared" si="100"/>
        <v>0.7785770779130976</v>
      </c>
      <c r="BN107" s="56">
        <f t="shared" si="88"/>
        <v>2</v>
      </c>
      <c r="BP107" s="18">
        <f t="shared" si="101"/>
        <v>3.5073419877362872</v>
      </c>
      <c r="BQ107" s="18">
        <f t="shared" si="101"/>
        <v>0.7785770779130976</v>
      </c>
      <c r="BR107" s="56">
        <f t="shared" si="89"/>
        <v>2</v>
      </c>
    </row>
    <row r="108" spans="1:70" x14ac:dyDescent="0.25">
      <c r="A108" s="36" t="str">
        <f>KMeans_Data!A98</f>
        <v>Rajanpur</v>
      </c>
      <c r="B108" s="18">
        <f>KMeans_Data!H98</f>
        <v>-0.88131147797298559</v>
      </c>
      <c r="C108" s="18">
        <f>KMeans_Data!I98</f>
        <v>-0.67265054538827607</v>
      </c>
      <c r="D108" s="18">
        <f>KMeans_Data!J98</f>
        <v>-1.1456441163335547</v>
      </c>
      <c r="E108" s="56">
        <f t="shared" si="76"/>
        <v>2</v>
      </c>
      <c r="F108" s="38">
        <f t="shared" si="77"/>
        <v>0.64708642444118292</v>
      </c>
      <c r="G108" s="18">
        <f>IF(COUNTIF(Distance_Matrix!$E$8:$DQ$8,$E108)&lt;=1,0,SUMIF(Distance_Matrix!$E$8:$DQ$8,$E108,Distance_Matrix!$E$107:$DQ$107)/(COUNTIF(Distance_Matrix!$E$8:$DQ$8,$E108)-1))</f>
        <v>1.1367945492975273</v>
      </c>
      <c r="H108" s="18">
        <f>MIN(IF(1=$E108,1E+99,IF(COUNTIF(Distance_Matrix!$E$8:$DQ$8,1)=0,1E+99,SUMIF(Distance_Matrix!$E$8:$DQ$8,1,Distance_Matrix!$E$107:$DQ$107)/COUNTIF(Distance_Matrix!$E$8:$DQ$8,1))),IF(2=$E108,1E+99,IF(COUNTIF(Distance_Matrix!$E$8:$DQ$8,2)=0,1E+99,SUMIF(Distance_Matrix!$E$8:$DQ$8,2,Distance_Matrix!$E$107:$DQ$107)/COUNTIF(Distance_Matrix!$E$8:$DQ$8,2))))</f>
        <v>3.583734217322291</v>
      </c>
      <c r="I108" s="18">
        <f>IF(COUNTIF(Distance_Matrix!$E$8:$DQ$8,$E108)&lt;=1,0,(H108-G108)/MAX(G108,H108))</f>
        <v>0.68279049718510598</v>
      </c>
      <c r="X108" s="18">
        <f t="shared" si="90"/>
        <v>7.6689619977801469</v>
      </c>
      <c r="Y108" s="18">
        <f t="shared" si="90"/>
        <v>1.198426503830343</v>
      </c>
      <c r="Z108" s="56">
        <f t="shared" si="78"/>
        <v>2</v>
      </c>
      <c r="AB108" s="18">
        <f t="shared" si="91"/>
        <v>5.1337281842320248</v>
      </c>
      <c r="AC108" s="18">
        <f t="shared" si="91"/>
        <v>1.278346509323232</v>
      </c>
      <c r="AD108" s="56">
        <f t="shared" si="79"/>
        <v>2</v>
      </c>
      <c r="AF108" s="18">
        <f t="shared" si="92"/>
        <v>4.5191609179349266</v>
      </c>
      <c r="AG108" s="18">
        <f t="shared" si="92"/>
        <v>1.186167542069724</v>
      </c>
      <c r="AH108" s="56">
        <f t="shared" si="80"/>
        <v>2</v>
      </c>
      <c r="AJ108" s="18">
        <f t="shared" si="93"/>
        <v>3.9270148628029777</v>
      </c>
      <c r="AK108" s="18">
        <f t="shared" si="93"/>
        <v>0.99340752585856251</v>
      </c>
      <c r="AL108" s="56">
        <f t="shared" si="81"/>
        <v>2</v>
      </c>
      <c r="AN108" s="18">
        <f t="shared" si="94"/>
        <v>3.7364830650770644</v>
      </c>
      <c r="AO108" s="18">
        <f t="shared" si="94"/>
        <v>0.88805527327478939</v>
      </c>
      <c r="AP108" s="56">
        <f t="shared" si="82"/>
        <v>2</v>
      </c>
      <c r="AR108" s="18">
        <f t="shared" si="95"/>
        <v>3.6138222213542539</v>
      </c>
      <c r="AS108" s="18">
        <f t="shared" si="95"/>
        <v>0.83526030632836967</v>
      </c>
      <c r="AT108" s="56">
        <f t="shared" si="83"/>
        <v>2</v>
      </c>
      <c r="AV108" s="18">
        <f t="shared" si="96"/>
        <v>3.5739327789022495</v>
      </c>
      <c r="AW108" s="18">
        <f t="shared" si="96"/>
        <v>0.81940065132035222</v>
      </c>
      <c r="AX108" s="56">
        <f t="shared" si="84"/>
        <v>2</v>
      </c>
      <c r="AZ108" s="18">
        <f t="shared" si="97"/>
        <v>3.5340738650626604</v>
      </c>
      <c r="BA108" s="18">
        <f t="shared" si="97"/>
        <v>0.80441682257470404</v>
      </c>
      <c r="BB108" s="56">
        <f t="shared" si="85"/>
        <v>2</v>
      </c>
      <c r="BD108" s="18">
        <f t="shared" si="98"/>
        <v>3.5340738650626604</v>
      </c>
      <c r="BE108" s="18">
        <f t="shared" si="98"/>
        <v>0.80441682257470404</v>
      </c>
      <c r="BF108" s="56">
        <f t="shared" si="86"/>
        <v>2</v>
      </c>
      <c r="BH108" s="18">
        <f t="shared" si="99"/>
        <v>3.5340738650626604</v>
      </c>
      <c r="BI108" s="18">
        <f t="shared" si="99"/>
        <v>0.80441682257470404</v>
      </c>
      <c r="BJ108" s="56">
        <f t="shared" si="87"/>
        <v>2</v>
      </c>
      <c r="BL108" s="18">
        <f t="shared" si="100"/>
        <v>3.5340738650626604</v>
      </c>
      <c r="BM108" s="18">
        <f t="shared" si="100"/>
        <v>0.80441682257470404</v>
      </c>
      <c r="BN108" s="56">
        <f t="shared" si="88"/>
        <v>2</v>
      </c>
      <c r="BP108" s="18">
        <f t="shared" si="101"/>
        <v>3.5340738650626604</v>
      </c>
      <c r="BQ108" s="18">
        <f t="shared" si="101"/>
        <v>0.80441682257470404</v>
      </c>
      <c r="BR108" s="56">
        <f t="shared" si="89"/>
        <v>2</v>
      </c>
    </row>
    <row r="109" spans="1:70" x14ac:dyDescent="0.25">
      <c r="A109" s="36" t="str">
        <f>KMeans_Data!A99</f>
        <v>Umerkot</v>
      </c>
      <c r="B109" s="18">
        <f>KMeans_Data!H99</f>
        <v>-0.88131147797298559</v>
      </c>
      <c r="C109" s="18">
        <f>KMeans_Data!I99</f>
        <v>-0.14698313392952958</v>
      </c>
      <c r="D109" s="18">
        <f>KMeans_Data!J99</f>
        <v>-0.82444601589876665</v>
      </c>
      <c r="E109" s="56">
        <f t="shared" si="76"/>
        <v>2</v>
      </c>
      <c r="F109" s="38">
        <f t="shared" si="77"/>
        <v>0.44100064766500124</v>
      </c>
      <c r="G109" s="18">
        <f>IF(COUNTIF(Distance_Matrix!$E$8:$DQ$8,$E109)&lt;=1,0,SUMIF(Distance_Matrix!$E$8:$DQ$8,$E109,Distance_Matrix!$E$108:$DQ$108)/(COUNTIF(Distance_Matrix!$E$8:$DQ$8,$E109)-1))</f>
        <v>1.1401901534600603</v>
      </c>
      <c r="H109" s="18">
        <f>MIN(IF(1=$E109,1E+99,IF(COUNTIF(Distance_Matrix!$E$8:$DQ$8,1)=0,1E+99,SUMIF(Distance_Matrix!$E$8:$DQ$8,1,Distance_Matrix!$E$108:$DQ$108)/COUNTIF(Distance_Matrix!$E$8:$DQ$8,1))),IF(2=$E109,1E+99,IF(COUNTIF(Distance_Matrix!$E$8:$DQ$8,2)=0,1E+99,SUMIF(Distance_Matrix!$E$8:$DQ$8,2,Distance_Matrix!$E$108:$DQ$108)/COUNTIF(Distance_Matrix!$E$8:$DQ$8,2))))</f>
        <v>3.1326065453472909</v>
      </c>
      <c r="I109" s="18">
        <f>IF(COUNTIF(Distance_Matrix!$E$8:$DQ$8,$E109)&lt;=1,0,(H109-G109)/MAX(G109,H109))</f>
        <v>0.63602510019857761</v>
      </c>
      <c r="X109" s="18">
        <f t="shared" si="90"/>
        <v>7.1703290216323134</v>
      </c>
      <c r="Y109" s="18">
        <f t="shared" si="90"/>
        <v>1.3474867466048319</v>
      </c>
      <c r="Z109" s="56">
        <f t="shared" si="78"/>
        <v>2</v>
      </c>
      <c r="AB109" s="18">
        <f t="shared" si="91"/>
        <v>4.6500688987975733</v>
      </c>
      <c r="AC109" s="18">
        <f t="shared" si="91"/>
        <v>0.95570139863265136</v>
      </c>
      <c r="AD109" s="56">
        <f t="shared" si="79"/>
        <v>2</v>
      </c>
      <c r="AF109" s="18">
        <f t="shared" si="92"/>
        <v>4.0369836379951591</v>
      </c>
      <c r="AG109" s="18">
        <f t="shared" si="92"/>
        <v>0.89086138826253991</v>
      </c>
      <c r="AH109" s="56">
        <f t="shared" si="80"/>
        <v>2</v>
      </c>
      <c r="AJ109" s="18">
        <f t="shared" si="93"/>
        <v>3.4477488856057756</v>
      </c>
      <c r="AK109" s="18">
        <f t="shared" si="93"/>
        <v>0.77112620949135524</v>
      </c>
      <c r="AL109" s="56">
        <f t="shared" si="81"/>
        <v>2</v>
      </c>
      <c r="AN109" s="18">
        <f t="shared" si="94"/>
        <v>3.2670093435618908</v>
      </c>
      <c r="AO109" s="18">
        <f t="shared" si="94"/>
        <v>0.70142874744520156</v>
      </c>
      <c r="AP109" s="56">
        <f t="shared" si="82"/>
        <v>2</v>
      </c>
      <c r="AR109" s="18">
        <f t="shared" si="95"/>
        <v>3.1480210032700864</v>
      </c>
      <c r="AS109" s="18">
        <f t="shared" si="95"/>
        <v>0.67344486865411424</v>
      </c>
      <c r="AT109" s="56">
        <f t="shared" si="83"/>
        <v>2</v>
      </c>
      <c r="AV109" s="18">
        <f t="shared" si="96"/>
        <v>3.1092680471345284</v>
      </c>
      <c r="AW109" s="18">
        <f t="shared" si="96"/>
        <v>0.66646459760076071</v>
      </c>
      <c r="AX109" s="56">
        <f t="shared" si="84"/>
        <v>2</v>
      </c>
      <c r="AZ109" s="18">
        <f t="shared" si="97"/>
        <v>3.0686964550755791</v>
      </c>
      <c r="BA109" s="18">
        <f t="shared" si="97"/>
        <v>0.66407879627721988</v>
      </c>
      <c r="BB109" s="56">
        <f t="shared" si="85"/>
        <v>2</v>
      </c>
      <c r="BD109" s="18">
        <f t="shared" si="98"/>
        <v>3.0686964550755791</v>
      </c>
      <c r="BE109" s="18">
        <f t="shared" si="98"/>
        <v>0.66407879627721988</v>
      </c>
      <c r="BF109" s="56">
        <f t="shared" si="86"/>
        <v>2</v>
      </c>
      <c r="BH109" s="18">
        <f t="shared" si="99"/>
        <v>3.0686964550755791</v>
      </c>
      <c r="BI109" s="18">
        <f t="shared" si="99"/>
        <v>0.66407879627721988</v>
      </c>
      <c r="BJ109" s="56">
        <f t="shared" si="87"/>
        <v>2</v>
      </c>
      <c r="BL109" s="18">
        <f t="shared" si="100"/>
        <v>3.0686964550755791</v>
      </c>
      <c r="BM109" s="18">
        <f t="shared" si="100"/>
        <v>0.66407879627721988</v>
      </c>
      <c r="BN109" s="56">
        <f t="shared" si="88"/>
        <v>2</v>
      </c>
      <c r="BP109" s="18">
        <f t="shared" si="101"/>
        <v>3.0686964550755791</v>
      </c>
      <c r="BQ109" s="18">
        <f t="shared" si="101"/>
        <v>0.66407879627721988</v>
      </c>
      <c r="BR109" s="56">
        <f t="shared" si="89"/>
        <v>2</v>
      </c>
    </row>
    <row r="110" spans="1:70" x14ac:dyDescent="0.25">
      <c r="A110" s="36" t="str">
        <f>KMeans_Data!A100</f>
        <v>Tando Allahyar</v>
      </c>
      <c r="B110" s="18">
        <f>KMeans_Data!H100</f>
        <v>-0.88131147797298559</v>
      </c>
      <c r="C110" s="18">
        <f>KMeans_Data!I100</f>
        <v>-0.67265054538827607</v>
      </c>
      <c r="D110" s="18">
        <f>KMeans_Data!J100</f>
        <v>0.26515989636960624</v>
      </c>
      <c r="E110" s="56">
        <f t="shared" si="76"/>
        <v>2</v>
      </c>
      <c r="F110" s="38">
        <f t="shared" si="77"/>
        <v>0.7831702208768978</v>
      </c>
      <c r="G110" s="18">
        <f>IF(COUNTIF(Distance_Matrix!$E$8:$DQ$8,$E110)&lt;=1,0,SUMIF(Distance_Matrix!$E$8:$DQ$8,$E110,Distance_Matrix!$E$109:$DQ$109)/(COUNTIF(Distance_Matrix!$E$8:$DQ$8,$E110)-1))</f>
        <v>1.2810671525245358</v>
      </c>
      <c r="H110" s="18">
        <f>MIN(IF(1=$E110,1E+99,IF(COUNTIF(Distance_Matrix!$E$8:$DQ$8,1)=0,1E+99,SUMIF(Distance_Matrix!$E$8:$DQ$8,1,Distance_Matrix!$E$109:$DQ$109)/COUNTIF(Distance_Matrix!$E$8:$DQ$8,1))),IF(2=$E110,1E+99,IF(COUNTIF(Distance_Matrix!$E$8:$DQ$8,2)=0,1E+99,SUMIF(Distance_Matrix!$E$8:$DQ$8,2,Distance_Matrix!$E$109:$DQ$109)/COUNTIF(Distance_Matrix!$E$8:$DQ$8,2))))</f>
        <v>2.8873119752726262</v>
      </c>
      <c r="I110" s="18">
        <f>IF(COUNTIF(Distance_Matrix!$E$8:$DQ$8,$E110)&lt;=1,0,(H110-G110)/MAX(G110,H110))</f>
        <v>0.55631148850703094</v>
      </c>
      <c r="X110" s="18">
        <f t="shared" si="90"/>
        <v>6.9565010417417197</v>
      </c>
      <c r="Y110" s="18">
        <f t="shared" si="90"/>
        <v>1.8511061685766055</v>
      </c>
      <c r="Z110" s="56">
        <f t="shared" si="78"/>
        <v>2</v>
      </c>
      <c r="AB110" s="18">
        <f t="shared" si="91"/>
        <v>4.4550919346601239</v>
      </c>
      <c r="AC110" s="18">
        <f t="shared" si="91"/>
        <v>0.94023793539926259</v>
      </c>
      <c r="AD110" s="56">
        <f t="shared" si="79"/>
        <v>2</v>
      </c>
      <c r="AF110" s="18">
        <f t="shared" si="92"/>
        <v>3.8536553735533339</v>
      </c>
      <c r="AG110" s="18">
        <f t="shared" si="92"/>
        <v>0.89530013127983743</v>
      </c>
      <c r="AH110" s="56">
        <f t="shared" si="80"/>
        <v>2</v>
      </c>
      <c r="AJ110" s="18">
        <f t="shared" si="93"/>
        <v>3.2385435806452803</v>
      </c>
      <c r="AK110" s="18">
        <f t="shared" si="93"/>
        <v>0.86468582445672104</v>
      </c>
      <c r="AL110" s="56">
        <f t="shared" si="81"/>
        <v>2</v>
      </c>
      <c r="AN110" s="18">
        <f t="shared" si="94"/>
        <v>3.032093745492626</v>
      </c>
      <c r="AO110" s="18">
        <f t="shared" si="94"/>
        <v>0.87301141260531123</v>
      </c>
      <c r="AP110" s="56">
        <f t="shared" si="82"/>
        <v>2</v>
      </c>
      <c r="AR110" s="18">
        <f t="shared" si="95"/>
        <v>2.9086326805634717</v>
      </c>
      <c r="AS110" s="18">
        <f t="shared" si="95"/>
        <v>0.88002180196567703</v>
      </c>
      <c r="AT110" s="56">
        <f t="shared" si="83"/>
        <v>2</v>
      </c>
      <c r="AV110" s="18">
        <f t="shared" si="96"/>
        <v>2.8719994254846428</v>
      </c>
      <c r="AW110" s="18">
        <f t="shared" si="96"/>
        <v>0.87967848373225821</v>
      </c>
      <c r="AX110" s="56">
        <f t="shared" si="84"/>
        <v>2</v>
      </c>
      <c r="AZ110" s="18">
        <f t="shared" si="97"/>
        <v>2.8316756934807592</v>
      </c>
      <c r="BA110" s="18">
        <f t="shared" si="97"/>
        <v>0.88496905080172028</v>
      </c>
      <c r="BB110" s="56">
        <f t="shared" si="85"/>
        <v>2</v>
      </c>
      <c r="BD110" s="18">
        <f t="shared" si="98"/>
        <v>2.8316756934807592</v>
      </c>
      <c r="BE110" s="18">
        <f t="shared" si="98"/>
        <v>0.88496905080172028</v>
      </c>
      <c r="BF110" s="56">
        <f t="shared" si="86"/>
        <v>2</v>
      </c>
      <c r="BH110" s="18">
        <f t="shared" si="99"/>
        <v>2.8316756934807592</v>
      </c>
      <c r="BI110" s="18">
        <f t="shared" si="99"/>
        <v>0.88496905080172028</v>
      </c>
      <c r="BJ110" s="56">
        <f t="shared" si="87"/>
        <v>2</v>
      </c>
      <c r="BL110" s="18">
        <f t="shared" si="100"/>
        <v>2.8316756934807592</v>
      </c>
      <c r="BM110" s="18">
        <f t="shared" si="100"/>
        <v>0.88496905080172028</v>
      </c>
      <c r="BN110" s="56">
        <f t="shared" si="88"/>
        <v>2</v>
      </c>
      <c r="BP110" s="18">
        <f t="shared" si="101"/>
        <v>2.8316756934807592</v>
      </c>
      <c r="BQ110" s="18">
        <f t="shared" si="101"/>
        <v>0.88496905080172028</v>
      </c>
      <c r="BR110" s="56">
        <f t="shared" si="89"/>
        <v>2</v>
      </c>
    </row>
    <row r="111" spans="1:70" x14ac:dyDescent="0.25">
      <c r="A111" s="36" t="str">
        <f>KMeans_Data!A101</f>
        <v>Mirpur</v>
      </c>
      <c r="B111" s="18">
        <f>KMeans_Data!H101</f>
        <v>-0.88131147797298559</v>
      </c>
      <c r="C111" s="18">
        <f>KMeans_Data!I101</f>
        <v>-0.67265054538827607</v>
      </c>
      <c r="D111" s="18">
        <f>KMeans_Data!J101</f>
        <v>-1.1456441163335547</v>
      </c>
      <c r="E111" s="56">
        <f t="shared" ref="E111:E131" si="102">BR111</f>
        <v>2</v>
      </c>
      <c r="F111" s="38">
        <f t="shared" ref="F111:F142" si="103">($B111-INDEX($L$8:$M$8,E111))^2+($C111-INDEX($L$9:$M$9,E111))^2+($D111-INDEX($L$10:$M$10,E111))^2</f>
        <v>0.64708642444118292</v>
      </c>
      <c r="G111" s="18">
        <f>IF(COUNTIF(Distance_Matrix!$E$8:$DQ$8,$E111)&lt;=1,0,SUMIF(Distance_Matrix!$E$8:$DQ$8,$E111,Distance_Matrix!$E$110:$DQ$110)/(COUNTIF(Distance_Matrix!$E$8:$DQ$8,$E111)-1))</f>
        <v>1.1367945492975273</v>
      </c>
      <c r="H111" s="18">
        <f>MIN(IF(1=$E111,1E+99,IF(COUNTIF(Distance_Matrix!$E$8:$DQ$8,1)=0,1E+99,SUMIF(Distance_Matrix!$E$8:$DQ$8,1,Distance_Matrix!$E$110:$DQ$110)/COUNTIF(Distance_Matrix!$E$8:$DQ$8,1))),IF(2=$E111,1E+99,IF(COUNTIF(Distance_Matrix!$E$8:$DQ$8,2)=0,1E+99,SUMIF(Distance_Matrix!$E$8:$DQ$8,2,Distance_Matrix!$E$110:$DQ$110)/COUNTIF(Distance_Matrix!$E$8:$DQ$8,2))))</f>
        <v>3.583734217322291</v>
      </c>
      <c r="I111" s="18">
        <f>IF(COUNTIF(Distance_Matrix!$E$8:$DQ$8,$E111)&lt;=1,0,(H111-G111)/MAX(G111,H111))</f>
        <v>0.68279049718510598</v>
      </c>
      <c r="X111" s="18">
        <f t="shared" si="90"/>
        <v>7.6689619977801469</v>
      </c>
      <c r="Y111" s="18">
        <f t="shared" si="90"/>
        <v>1.198426503830343</v>
      </c>
      <c r="Z111" s="56">
        <f t="shared" ref="Z111:Z142" si="104">MATCH(MIN(X111:Y111),X111:Y111,0)</f>
        <v>2</v>
      </c>
      <c r="AB111" s="18">
        <f t="shared" si="91"/>
        <v>5.1337281842320248</v>
      </c>
      <c r="AC111" s="18">
        <f t="shared" si="91"/>
        <v>1.278346509323232</v>
      </c>
      <c r="AD111" s="56">
        <f t="shared" ref="AD111:AD142" si="105">MATCH(MIN(AB111:AC111),AB111:AC111,0)</f>
        <v>2</v>
      </c>
      <c r="AF111" s="18">
        <f t="shared" si="92"/>
        <v>4.5191609179349266</v>
      </c>
      <c r="AG111" s="18">
        <f t="shared" si="92"/>
        <v>1.186167542069724</v>
      </c>
      <c r="AH111" s="56">
        <f t="shared" ref="AH111:AH142" si="106">MATCH(MIN(AF111:AG111),AF111:AG111,0)</f>
        <v>2</v>
      </c>
      <c r="AJ111" s="18">
        <f t="shared" si="93"/>
        <v>3.9270148628029777</v>
      </c>
      <c r="AK111" s="18">
        <f t="shared" si="93"/>
        <v>0.99340752585856251</v>
      </c>
      <c r="AL111" s="56">
        <f t="shared" ref="AL111:AL142" si="107">MATCH(MIN(AJ111:AK111),AJ111:AK111,0)</f>
        <v>2</v>
      </c>
      <c r="AN111" s="18">
        <f t="shared" si="94"/>
        <v>3.7364830650770644</v>
      </c>
      <c r="AO111" s="18">
        <f t="shared" si="94"/>
        <v>0.88805527327478939</v>
      </c>
      <c r="AP111" s="56">
        <f t="shared" ref="AP111:AP142" si="108">MATCH(MIN(AN111:AO111),AN111:AO111,0)</f>
        <v>2</v>
      </c>
      <c r="AR111" s="18">
        <f t="shared" si="95"/>
        <v>3.6138222213542539</v>
      </c>
      <c r="AS111" s="18">
        <f t="shared" si="95"/>
        <v>0.83526030632836967</v>
      </c>
      <c r="AT111" s="56">
        <f t="shared" ref="AT111:AT142" si="109">MATCH(MIN(AR111:AS111),AR111:AS111,0)</f>
        <v>2</v>
      </c>
      <c r="AV111" s="18">
        <f t="shared" si="96"/>
        <v>3.5739327789022495</v>
      </c>
      <c r="AW111" s="18">
        <f t="shared" si="96"/>
        <v>0.81940065132035222</v>
      </c>
      <c r="AX111" s="56">
        <f t="shared" ref="AX111:AX142" si="110">MATCH(MIN(AV111:AW111),AV111:AW111,0)</f>
        <v>2</v>
      </c>
      <c r="AZ111" s="18">
        <f t="shared" si="97"/>
        <v>3.5340738650626604</v>
      </c>
      <c r="BA111" s="18">
        <f t="shared" si="97"/>
        <v>0.80441682257470404</v>
      </c>
      <c r="BB111" s="56">
        <f t="shared" ref="BB111:BB142" si="111">MATCH(MIN(AZ111:BA111),AZ111:BA111,0)</f>
        <v>2</v>
      </c>
      <c r="BD111" s="18">
        <f t="shared" si="98"/>
        <v>3.5340738650626604</v>
      </c>
      <c r="BE111" s="18">
        <f t="shared" si="98"/>
        <v>0.80441682257470404</v>
      </c>
      <c r="BF111" s="56">
        <f t="shared" ref="BF111:BF142" si="112">MATCH(MIN(BD111:BE111),BD111:BE111,0)</f>
        <v>2</v>
      </c>
      <c r="BH111" s="18">
        <f t="shared" si="99"/>
        <v>3.5340738650626604</v>
      </c>
      <c r="BI111" s="18">
        <f t="shared" si="99"/>
        <v>0.80441682257470404</v>
      </c>
      <c r="BJ111" s="56">
        <f t="shared" ref="BJ111:BJ142" si="113">MATCH(MIN(BH111:BI111),BH111:BI111,0)</f>
        <v>2</v>
      </c>
      <c r="BL111" s="18">
        <f t="shared" si="100"/>
        <v>3.5340738650626604</v>
      </c>
      <c r="BM111" s="18">
        <f t="shared" si="100"/>
        <v>0.80441682257470404</v>
      </c>
      <c r="BN111" s="56">
        <f t="shared" ref="BN111:BN142" si="114">MATCH(MIN(BL111:BM111),BL111:BM111,0)</f>
        <v>2</v>
      </c>
      <c r="BP111" s="18">
        <f t="shared" si="101"/>
        <v>3.5340738650626604</v>
      </c>
      <c r="BQ111" s="18">
        <f t="shared" si="101"/>
        <v>0.80441682257470404</v>
      </c>
      <c r="BR111" s="56">
        <f t="shared" ref="BR111:BR142" si="115">MATCH(MIN(BP111:BQ111),BP111:BQ111,0)</f>
        <v>2</v>
      </c>
    </row>
    <row r="112" spans="1:70" x14ac:dyDescent="0.25">
      <c r="A112" s="36" t="str">
        <f>KMeans_Data!A102</f>
        <v>Tank</v>
      </c>
      <c r="B112" s="18">
        <f>KMeans_Data!H102</f>
        <v>-0.9361484674096654</v>
      </c>
      <c r="C112" s="18">
        <f>KMeans_Data!I102</f>
        <v>-0.67265054538827607</v>
      </c>
      <c r="D112" s="18">
        <f>KMeans_Data!J102</f>
        <v>-3.44812518432112E-2</v>
      </c>
      <c r="E112" s="56">
        <f t="shared" si="102"/>
        <v>2</v>
      </c>
      <c r="F112" s="38">
        <f t="shared" si="103"/>
        <v>0.47226201325099332</v>
      </c>
      <c r="G112" s="18">
        <f>IF(COUNTIF(Distance_Matrix!$E$8:$DQ$8,$E112)&lt;=1,0,SUMIF(Distance_Matrix!$E$8:$DQ$8,$E112,Distance_Matrix!$E$111:$DQ$111)/(COUNTIF(Distance_Matrix!$E$8:$DQ$8,$E112)-1))</f>
        <v>1.1578860192621006</v>
      </c>
      <c r="H112" s="18">
        <f>MIN(IF(1=$E112,1E+99,IF(COUNTIF(Distance_Matrix!$E$8:$DQ$8,1)=0,1E+99,SUMIF(Distance_Matrix!$E$8:$DQ$8,1,Distance_Matrix!$E$111:$DQ$111)/COUNTIF(Distance_Matrix!$E$8:$DQ$8,1))),IF(2=$E112,1E+99,IF(COUNTIF(Distance_Matrix!$E$8:$DQ$8,2)=0,1E+99,SUMIF(Distance_Matrix!$E$8:$DQ$8,2,Distance_Matrix!$E$111:$DQ$111)/COUNTIF(Distance_Matrix!$E$8:$DQ$8,2))))</f>
        <v>3.0247345570139292</v>
      </c>
      <c r="I112" s="18">
        <f>IF(COUNTIF(Distance_Matrix!$E$8:$DQ$8,$E112)&lt;=1,0,(H112-G112)/MAX(G112,H112))</f>
        <v>0.61719417111259312</v>
      </c>
      <c r="X112" s="18">
        <f t="shared" si="90"/>
        <v>7.1226294067257934</v>
      </c>
      <c r="Y112" s="18">
        <f t="shared" si="90"/>
        <v>1.5945155655726664</v>
      </c>
      <c r="Z112" s="56">
        <f t="shared" si="104"/>
        <v>2</v>
      </c>
      <c r="AB112" s="18">
        <f t="shared" si="91"/>
        <v>4.6057763123729156</v>
      </c>
      <c r="AC112" s="18">
        <f t="shared" si="91"/>
        <v>0.8887317052805066</v>
      </c>
      <c r="AD112" s="56">
        <f t="shared" si="105"/>
        <v>2</v>
      </c>
      <c r="AF112" s="18">
        <f t="shared" si="92"/>
        <v>3.9972422126632137</v>
      </c>
      <c r="AG112" s="18">
        <f t="shared" si="92"/>
        <v>0.81903595963674602</v>
      </c>
      <c r="AH112" s="56">
        <f t="shared" si="106"/>
        <v>2</v>
      </c>
      <c r="AJ112" s="18">
        <f t="shared" si="93"/>
        <v>3.3819409177839868</v>
      </c>
      <c r="AK112" s="18">
        <f t="shared" si="93"/>
        <v>0.72701194002363034</v>
      </c>
      <c r="AL112" s="56">
        <f t="shared" si="107"/>
        <v>2</v>
      </c>
      <c r="AN112" s="18">
        <f t="shared" si="94"/>
        <v>3.1778927534188197</v>
      </c>
      <c r="AO112" s="18">
        <f t="shared" si="94"/>
        <v>0.70072390304001808</v>
      </c>
      <c r="AP112" s="56">
        <f t="shared" si="108"/>
        <v>2</v>
      </c>
      <c r="AR112" s="18">
        <f t="shared" si="95"/>
        <v>3.0533859171490816</v>
      </c>
      <c r="AS112" s="18">
        <f t="shared" si="95"/>
        <v>0.69132955595247991</v>
      </c>
      <c r="AT112" s="56">
        <f t="shared" si="109"/>
        <v>2</v>
      </c>
      <c r="AV112" s="18">
        <f t="shared" si="96"/>
        <v>3.0155739078682502</v>
      </c>
      <c r="AW112" s="18">
        <f t="shared" si="96"/>
        <v>0.68601712357905698</v>
      </c>
      <c r="AX112" s="56">
        <f t="shared" si="110"/>
        <v>2</v>
      </c>
      <c r="AZ112" s="18">
        <f t="shared" si="97"/>
        <v>2.9747104669570024</v>
      </c>
      <c r="BA112" s="18">
        <f t="shared" si="97"/>
        <v>0.68721322255250106</v>
      </c>
      <c r="BB112" s="56">
        <f t="shared" si="111"/>
        <v>2</v>
      </c>
      <c r="BD112" s="18">
        <f t="shared" si="98"/>
        <v>2.9747104669570024</v>
      </c>
      <c r="BE112" s="18">
        <f t="shared" si="98"/>
        <v>0.68721322255250106</v>
      </c>
      <c r="BF112" s="56">
        <f t="shared" si="112"/>
        <v>2</v>
      </c>
      <c r="BH112" s="18">
        <f t="shared" si="99"/>
        <v>2.9747104669570024</v>
      </c>
      <c r="BI112" s="18">
        <f t="shared" si="99"/>
        <v>0.68721322255250106</v>
      </c>
      <c r="BJ112" s="56">
        <f t="shared" si="113"/>
        <v>2</v>
      </c>
      <c r="BL112" s="18">
        <f t="shared" si="100"/>
        <v>2.9747104669570024</v>
      </c>
      <c r="BM112" s="18">
        <f t="shared" si="100"/>
        <v>0.68721322255250106</v>
      </c>
      <c r="BN112" s="56">
        <f t="shared" si="114"/>
        <v>2</v>
      </c>
      <c r="BP112" s="18">
        <f t="shared" si="101"/>
        <v>2.9747104669570024</v>
      </c>
      <c r="BQ112" s="18">
        <f t="shared" si="101"/>
        <v>0.68721322255250106</v>
      </c>
      <c r="BR112" s="56">
        <f t="shared" si="115"/>
        <v>2</v>
      </c>
    </row>
    <row r="113" spans="1:70" x14ac:dyDescent="0.25">
      <c r="A113" s="36" t="str">
        <f>KMeans_Data!A103</f>
        <v>Sahiwal</v>
      </c>
      <c r="B113" s="18">
        <f>KMeans_Data!H103</f>
        <v>-0.9361484674096654</v>
      </c>
      <c r="C113" s="18">
        <f>KMeans_Data!I103</f>
        <v>-0.67265054538827607</v>
      </c>
      <c r="D113" s="18">
        <f>KMeans_Data!J103</f>
        <v>-1.1456441163335547</v>
      </c>
      <c r="E113" s="56">
        <f t="shared" si="102"/>
        <v>2</v>
      </c>
      <c r="F113" s="38">
        <f t="shared" si="103"/>
        <v>0.69803121758905995</v>
      </c>
      <c r="G113" s="18">
        <f>IF(COUNTIF(Distance_Matrix!$E$8:$DQ$8,$E113)&lt;=1,0,SUMIF(Distance_Matrix!$E$8:$DQ$8,$E113,Distance_Matrix!$E$112:$DQ$112)/(COUNTIF(Distance_Matrix!$E$8:$DQ$8,$E113)-1))</f>
        <v>1.1523821292793419</v>
      </c>
      <c r="H113" s="18">
        <f>MIN(IF(1=$E113,1E+99,IF(COUNTIF(Distance_Matrix!$E$8:$DQ$8,1)=0,1E+99,SUMIF(Distance_Matrix!$E$8:$DQ$8,1,Distance_Matrix!$E$112:$DQ$112)/COUNTIF(Distance_Matrix!$E$8:$DQ$8,1))),IF(2=$E113,1E+99,IF(COUNTIF(Distance_Matrix!$E$8:$DQ$8,2)=0,1E+99,SUMIF(Distance_Matrix!$E$8:$DQ$8,2,Distance_Matrix!$E$112:$DQ$112)/COUNTIF(Distance_Matrix!$E$8:$DQ$8,2))))</f>
        <v>3.6132810298082436</v>
      </c>
      <c r="I113" s="18">
        <f>IF(COUNTIF(Distance_Matrix!$E$8:$DQ$8,$E113)&lt;=1,0,(H113-G113)/MAX(G113,H113))</f>
        <v>0.68107043992077776</v>
      </c>
      <c r="X113" s="18">
        <f t="shared" si="90"/>
        <v>7.6988147546876338</v>
      </c>
      <c r="Y113" s="18">
        <f t="shared" si="90"/>
        <v>1.1435895143936632</v>
      </c>
      <c r="Z113" s="56">
        <f t="shared" si="104"/>
        <v>2</v>
      </c>
      <c r="AB113" s="18">
        <f t="shared" si="91"/>
        <v>5.1644316585999581</v>
      </c>
      <c r="AC113" s="18">
        <f t="shared" si="91"/>
        <v>1.3090446228415618</v>
      </c>
      <c r="AD113" s="56">
        <f t="shared" si="105"/>
        <v>2</v>
      </c>
      <c r="AF113" s="18">
        <f t="shared" si="92"/>
        <v>4.5496790034465437</v>
      </c>
      <c r="AG113" s="18">
        <f t="shared" si="92"/>
        <v>1.2168045902305222</v>
      </c>
      <c r="AH113" s="56">
        <f t="shared" si="106"/>
        <v>2</v>
      </c>
      <c r="AJ113" s="18">
        <f t="shared" si="93"/>
        <v>3.9567631226335416</v>
      </c>
      <c r="AK113" s="18">
        <f t="shared" si="93"/>
        <v>1.0246338580861427</v>
      </c>
      <c r="AL113" s="56">
        <f t="shared" si="107"/>
        <v>2</v>
      </c>
      <c r="AN113" s="18">
        <f t="shared" si="94"/>
        <v>3.7665699831419968</v>
      </c>
      <c r="AO113" s="18">
        <f t="shared" si="94"/>
        <v>0.91914658133833527</v>
      </c>
      <c r="AP113" s="56">
        <f t="shared" si="108"/>
        <v>2</v>
      </c>
      <c r="AR113" s="18">
        <f t="shared" si="95"/>
        <v>3.6440059062306047</v>
      </c>
      <c r="AS113" s="18">
        <f t="shared" si="95"/>
        <v>0.8662650347989268</v>
      </c>
      <c r="AT113" s="56">
        <f t="shared" si="109"/>
        <v>2</v>
      </c>
      <c r="AV113" s="18">
        <f t="shared" si="96"/>
        <v>3.6042012190376664</v>
      </c>
      <c r="AW113" s="18">
        <f t="shared" si="96"/>
        <v>0.85023828654141342</v>
      </c>
      <c r="AX113" s="56">
        <f t="shared" si="110"/>
        <v>2</v>
      </c>
      <c r="AZ113" s="18">
        <f t="shared" si="97"/>
        <v>3.5641947662660538</v>
      </c>
      <c r="BA113" s="18">
        <f t="shared" si="97"/>
        <v>0.8354826255458937</v>
      </c>
      <c r="BB113" s="56">
        <f t="shared" si="111"/>
        <v>2</v>
      </c>
      <c r="BD113" s="18">
        <f t="shared" si="98"/>
        <v>3.5641947662660538</v>
      </c>
      <c r="BE113" s="18">
        <f t="shared" si="98"/>
        <v>0.8354826255458937</v>
      </c>
      <c r="BF113" s="56">
        <f t="shared" si="112"/>
        <v>2</v>
      </c>
      <c r="BH113" s="18">
        <f t="shared" si="99"/>
        <v>3.5641947662660538</v>
      </c>
      <c r="BI113" s="18">
        <f t="shared" si="99"/>
        <v>0.8354826255458937</v>
      </c>
      <c r="BJ113" s="56">
        <f t="shared" si="113"/>
        <v>2</v>
      </c>
      <c r="BL113" s="18">
        <f t="shared" si="100"/>
        <v>3.5641947662660538</v>
      </c>
      <c r="BM113" s="18">
        <f t="shared" si="100"/>
        <v>0.8354826255458937</v>
      </c>
      <c r="BN113" s="56">
        <f t="shared" si="114"/>
        <v>2</v>
      </c>
      <c r="BP113" s="18">
        <f t="shared" si="101"/>
        <v>3.5641947662660538</v>
      </c>
      <c r="BQ113" s="18">
        <f t="shared" si="101"/>
        <v>0.8354826255458937</v>
      </c>
      <c r="BR113" s="56">
        <f t="shared" si="115"/>
        <v>2</v>
      </c>
    </row>
    <row r="114" spans="1:70" x14ac:dyDescent="0.25">
      <c r="A114" s="36" t="str">
        <f>KMeans_Data!A104</f>
        <v>Chiniot</v>
      </c>
      <c r="B114" s="18">
        <f>KMeans_Data!H104</f>
        <v>-0.9361484674096654</v>
      </c>
      <c r="C114" s="18">
        <f>KMeans_Data!I104</f>
        <v>-0.67265054538827607</v>
      </c>
      <c r="D114" s="18">
        <f>KMeans_Data!J104</f>
        <v>-1.1456441163335547</v>
      </c>
      <c r="E114" s="56">
        <f t="shared" si="102"/>
        <v>2</v>
      </c>
      <c r="F114" s="38">
        <f t="shared" si="103"/>
        <v>0.69803121758905995</v>
      </c>
      <c r="G114" s="18">
        <f>IF(COUNTIF(Distance_Matrix!$E$8:$DQ$8,$E114)&lt;=1,0,SUMIF(Distance_Matrix!$E$8:$DQ$8,$E114,Distance_Matrix!$E$113:$DQ$113)/(COUNTIF(Distance_Matrix!$E$8:$DQ$8,$E114)-1))</f>
        <v>1.1523821292793419</v>
      </c>
      <c r="H114" s="18">
        <f>MIN(IF(1=$E114,1E+99,IF(COUNTIF(Distance_Matrix!$E$8:$DQ$8,1)=0,1E+99,SUMIF(Distance_Matrix!$E$8:$DQ$8,1,Distance_Matrix!$E$113:$DQ$113)/COUNTIF(Distance_Matrix!$E$8:$DQ$8,1))),IF(2=$E114,1E+99,IF(COUNTIF(Distance_Matrix!$E$8:$DQ$8,2)=0,1E+99,SUMIF(Distance_Matrix!$E$8:$DQ$8,2,Distance_Matrix!$E$113:$DQ$113)/COUNTIF(Distance_Matrix!$E$8:$DQ$8,2))))</f>
        <v>3.6132810298082436</v>
      </c>
      <c r="I114" s="18">
        <f>IF(COUNTIF(Distance_Matrix!$E$8:$DQ$8,$E114)&lt;=1,0,(H114-G114)/MAX(G114,H114))</f>
        <v>0.68107043992077776</v>
      </c>
      <c r="X114" s="18">
        <f t="shared" si="90"/>
        <v>7.6988147546876338</v>
      </c>
      <c r="Y114" s="18">
        <f t="shared" si="90"/>
        <v>1.1435895143936632</v>
      </c>
      <c r="Z114" s="56">
        <f t="shared" si="104"/>
        <v>2</v>
      </c>
      <c r="AB114" s="18">
        <f t="shared" si="91"/>
        <v>5.1644316585999581</v>
      </c>
      <c r="AC114" s="18">
        <f t="shared" si="91"/>
        <v>1.3090446228415618</v>
      </c>
      <c r="AD114" s="56">
        <f t="shared" si="105"/>
        <v>2</v>
      </c>
      <c r="AF114" s="18">
        <f t="shared" si="92"/>
        <v>4.5496790034465437</v>
      </c>
      <c r="AG114" s="18">
        <f t="shared" si="92"/>
        <v>1.2168045902305222</v>
      </c>
      <c r="AH114" s="56">
        <f t="shared" si="106"/>
        <v>2</v>
      </c>
      <c r="AJ114" s="18">
        <f t="shared" si="93"/>
        <v>3.9567631226335416</v>
      </c>
      <c r="AK114" s="18">
        <f t="shared" si="93"/>
        <v>1.0246338580861427</v>
      </c>
      <c r="AL114" s="56">
        <f t="shared" si="107"/>
        <v>2</v>
      </c>
      <c r="AN114" s="18">
        <f t="shared" si="94"/>
        <v>3.7665699831419968</v>
      </c>
      <c r="AO114" s="18">
        <f t="shared" si="94"/>
        <v>0.91914658133833527</v>
      </c>
      <c r="AP114" s="56">
        <f t="shared" si="108"/>
        <v>2</v>
      </c>
      <c r="AR114" s="18">
        <f t="shared" si="95"/>
        <v>3.6440059062306047</v>
      </c>
      <c r="AS114" s="18">
        <f t="shared" si="95"/>
        <v>0.8662650347989268</v>
      </c>
      <c r="AT114" s="56">
        <f t="shared" si="109"/>
        <v>2</v>
      </c>
      <c r="AV114" s="18">
        <f t="shared" si="96"/>
        <v>3.6042012190376664</v>
      </c>
      <c r="AW114" s="18">
        <f t="shared" si="96"/>
        <v>0.85023828654141342</v>
      </c>
      <c r="AX114" s="56">
        <f t="shared" si="110"/>
        <v>2</v>
      </c>
      <c r="AZ114" s="18">
        <f t="shared" si="97"/>
        <v>3.5641947662660538</v>
      </c>
      <c r="BA114" s="18">
        <f t="shared" si="97"/>
        <v>0.8354826255458937</v>
      </c>
      <c r="BB114" s="56">
        <f t="shared" si="111"/>
        <v>2</v>
      </c>
      <c r="BD114" s="18">
        <f t="shared" si="98"/>
        <v>3.5641947662660538</v>
      </c>
      <c r="BE114" s="18">
        <f t="shared" si="98"/>
        <v>0.8354826255458937</v>
      </c>
      <c r="BF114" s="56">
        <f t="shared" si="112"/>
        <v>2</v>
      </c>
      <c r="BH114" s="18">
        <f t="shared" si="99"/>
        <v>3.5641947662660538</v>
      </c>
      <c r="BI114" s="18">
        <f t="shared" si="99"/>
        <v>0.8354826255458937</v>
      </c>
      <c r="BJ114" s="56">
        <f t="shared" si="113"/>
        <v>2</v>
      </c>
      <c r="BL114" s="18">
        <f t="shared" si="100"/>
        <v>3.5641947662660538</v>
      </c>
      <c r="BM114" s="18">
        <f t="shared" si="100"/>
        <v>0.8354826255458937</v>
      </c>
      <c r="BN114" s="56">
        <f t="shared" si="114"/>
        <v>2</v>
      </c>
      <c r="BP114" s="18">
        <f t="shared" si="101"/>
        <v>3.5641947662660538</v>
      </c>
      <c r="BQ114" s="18">
        <f t="shared" si="101"/>
        <v>0.8354826255458937</v>
      </c>
      <c r="BR114" s="56">
        <f t="shared" si="115"/>
        <v>2</v>
      </c>
    </row>
    <row r="115" spans="1:70" x14ac:dyDescent="0.25">
      <c r="A115" s="36" t="str">
        <f>KMeans_Data!A105</f>
        <v>South Waziristan</v>
      </c>
      <c r="B115" s="18">
        <f>KMeans_Data!H105</f>
        <v>-0.9361484674096654</v>
      </c>
      <c r="C115" s="18">
        <f>KMeans_Data!I105</f>
        <v>-0.67265054538827607</v>
      </c>
      <c r="D115" s="18">
        <f>KMeans_Data!J105</f>
        <v>-0.50324791546397885</v>
      </c>
      <c r="E115" s="56">
        <f t="shared" si="102"/>
        <v>2</v>
      </c>
      <c r="F115" s="38">
        <f t="shared" si="103"/>
        <v>0.26637342210495046</v>
      </c>
      <c r="G115" s="18">
        <f>IF(COUNTIF(Distance_Matrix!$E$8:$DQ$8,$E115)&lt;=1,0,SUMIF(Distance_Matrix!$E$8:$DQ$8,$E115,Distance_Matrix!$E$114:$DQ$114)/(COUNTIF(Distance_Matrix!$E$8:$DQ$8,$E115)-1))</f>
        <v>1.0449938384488775</v>
      </c>
      <c r="H115" s="18">
        <f>MIN(IF(1=$E115,1E+99,IF(COUNTIF(Distance_Matrix!$E$8:$DQ$8,1)=0,1E+99,SUMIF(Distance_Matrix!$E$8:$DQ$8,1,Distance_Matrix!$E$114:$DQ$114)/COUNTIF(Distance_Matrix!$E$8:$DQ$8,1))),IF(2=$E115,1E+99,IF(COUNTIF(Distance_Matrix!$E$8:$DQ$8,2)=0,1E+99,SUMIF(Distance_Matrix!$E$8:$DQ$8,2,Distance_Matrix!$E$114:$DQ$114)/COUNTIF(Distance_Matrix!$E$8:$DQ$8,2))))</f>
        <v>3.2365029915192283</v>
      </c>
      <c r="I115" s="18">
        <f>IF(COUNTIF(Distance_Matrix!$E$8:$DQ$8,$E115)&lt;=1,0,(H115-G115)/MAX(G115,H115))</f>
        <v>0.67712254826053697</v>
      </c>
      <c r="X115" s="18">
        <f t="shared" ref="X115:Y131" si="116">SQRT(($B115-X$8)^2+($C115-X$9)^2+($D115-X$10)^2)</f>
        <v>7.3507445801816038</v>
      </c>
      <c r="Y115" s="18">
        <f t="shared" si="116"/>
        <v>1.3116668236723832</v>
      </c>
      <c r="Z115" s="56">
        <f t="shared" si="104"/>
        <v>2</v>
      </c>
      <c r="AB115" s="18">
        <f t="shared" ref="AB115:AC131" si="117">SQRT(($B115-AB$8)^2+($C115-AB$9)^2+($D115-AB$10)^2)</f>
        <v>4.8181620304209209</v>
      </c>
      <c r="AC115" s="18">
        <f t="shared" si="117"/>
        <v>0.93723766915095752</v>
      </c>
      <c r="AD115" s="56">
        <f t="shared" si="105"/>
        <v>2</v>
      </c>
      <c r="AF115" s="18">
        <f t="shared" ref="AF115:AG131" si="118">SQRT(($B115-AF$8)^2+($C115-AF$9)^2+($D115-AF$10)^2)</f>
        <v>4.2034186852758584</v>
      </c>
      <c r="AG115" s="18">
        <f t="shared" si="118"/>
        <v>0.84339424217272729</v>
      </c>
      <c r="AH115" s="56">
        <f t="shared" si="106"/>
        <v>2</v>
      </c>
      <c r="AJ115" s="18">
        <f t="shared" ref="AJ115:AK131" si="119">SQRT(($B115-AJ$8)^2+($C115-AJ$9)^2+($D115-AJ$10)^2)</f>
        <v>3.5938877876376538</v>
      </c>
      <c r="AK115" s="18">
        <f t="shared" si="119"/>
        <v>0.6688387985515849</v>
      </c>
      <c r="AL115" s="56">
        <f t="shared" si="107"/>
        <v>2</v>
      </c>
      <c r="AN115" s="18">
        <f t="shared" ref="AN115:AO131" si="120">SQRT(($B115-AN$8)^2+($C115-AN$9)^2+($D115-AN$10)^2)</f>
        <v>3.3944799708500781</v>
      </c>
      <c r="AO115" s="18">
        <f t="shared" si="120"/>
        <v>0.58236134231511727</v>
      </c>
      <c r="AP115" s="56">
        <f t="shared" si="108"/>
        <v>2</v>
      </c>
      <c r="AR115" s="18">
        <f t="shared" ref="AR115:AS131" si="121">SQRT(($B115-AR$8)^2+($C115-AR$9)^2+($D115-AR$10)^2)</f>
        <v>3.2696769978773732</v>
      </c>
      <c r="AS115" s="18">
        <f t="shared" si="121"/>
        <v>0.54014188323229784</v>
      </c>
      <c r="AT115" s="56">
        <f t="shared" si="109"/>
        <v>2</v>
      </c>
      <c r="AV115" s="18">
        <f t="shared" ref="AV115:AW131" si="122">SQRT(($B115-AV$8)^2+($C115-AV$9)^2+($D115-AV$10)^2)</f>
        <v>3.230542340075957</v>
      </c>
      <c r="AW115" s="18">
        <f t="shared" si="122"/>
        <v>0.525278407003404</v>
      </c>
      <c r="AX115" s="56">
        <f t="shared" si="110"/>
        <v>2</v>
      </c>
      <c r="AZ115" s="18">
        <f t="shared" ref="AZ115:BA131" si="123">SQRT(($B115-AZ$8)^2+($C115-AZ$9)^2+($D115-AZ$10)^2)</f>
        <v>3.189655510067098</v>
      </c>
      <c r="BA115" s="18">
        <f t="shared" si="123"/>
        <v>0.51611376856750335</v>
      </c>
      <c r="BB115" s="56">
        <f t="shared" si="111"/>
        <v>2</v>
      </c>
      <c r="BD115" s="18">
        <f t="shared" ref="BD115:BE131" si="124">SQRT(($B115-BD$8)^2+($C115-BD$9)^2+($D115-BD$10)^2)</f>
        <v>3.189655510067098</v>
      </c>
      <c r="BE115" s="18">
        <f t="shared" si="124"/>
        <v>0.51611376856750335</v>
      </c>
      <c r="BF115" s="56">
        <f t="shared" si="112"/>
        <v>2</v>
      </c>
      <c r="BH115" s="18">
        <f t="shared" ref="BH115:BI131" si="125">SQRT(($B115-BH$8)^2+($C115-BH$9)^2+($D115-BH$10)^2)</f>
        <v>3.189655510067098</v>
      </c>
      <c r="BI115" s="18">
        <f t="shared" si="125"/>
        <v>0.51611376856750335</v>
      </c>
      <c r="BJ115" s="56">
        <f t="shared" si="113"/>
        <v>2</v>
      </c>
      <c r="BL115" s="18">
        <f t="shared" ref="BL115:BM131" si="126">SQRT(($B115-BL$8)^2+($C115-BL$9)^2+($D115-BL$10)^2)</f>
        <v>3.189655510067098</v>
      </c>
      <c r="BM115" s="18">
        <f t="shared" si="126"/>
        <v>0.51611376856750335</v>
      </c>
      <c r="BN115" s="56">
        <f t="shared" si="114"/>
        <v>2</v>
      </c>
      <c r="BP115" s="18">
        <f t="shared" ref="BP115:BQ131" si="127">SQRT(($B115-BP$8)^2+($C115-BP$9)^2+($D115-BP$10)^2)</f>
        <v>3.189655510067098</v>
      </c>
      <c r="BQ115" s="18">
        <f t="shared" si="127"/>
        <v>0.51611376856750335</v>
      </c>
      <c r="BR115" s="56">
        <f t="shared" si="115"/>
        <v>2</v>
      </c>
    </row>
    <row r="116" spans="1:70" x14ac:dyDescent="0.25">
      <c r="A116" s="36" t="str">
        <f>KMeans_Data!A106</f>
        <v>Toba Tek Singh</v>
      </c>
      <c r="B116" s="18">
        <f>KMeans_Data!H106</f>
        <v>-0.99745100604838388</v>
      </c>
      <c r="C116" s="18">
        <f>KMeans_Data!I106</f>
        <v>-0.67265054538827607</v>
      </c>
      <c r="D116" s="18">
        <f>KMeans_Data!J106</f>
        <v>-1.1456441163335547</v>
      </c>
      <c r="E116" s="56">
        <f t="shared" si="102"/>
        <v>2</v>
      </c>
      <c r="F116" s="38">
        <f t="shared" si="103"/>
        <v>0.76210229887139558</v>
      </c>
      <c r="G116" s="18">
        <f>IF(COUNTIF(Distance_Matrix!$E$8:$DQ$8,$E116)&lt;=1,0,SUMIF(Distance_Matrix!$E$8:$DQ$8,$E116,Distance_Matrix!$E$115:$DQ$115)/(COUNTIF(Distance_Matrix!$E$8:$DQ$8,$E116)-1))</f>
        <v>1.1741287550792294</v>
      </c>
      <c r="H116" s="18">
        <f>MIN(IF(1=$E116,1E+99,IF(COUNTIF(Distance_Matrix!$E$8:$DQ$8,1)=0,1E+99,SUMIF(Distance_Matrix!$E$8:$DQ$8,1,Distance_Matrix!$E$115:$DQ$115)/COUNTIF(Distance_Matrix!$E$8:$DQ$8,1))),IF(2=$E116,1E+99,IF(COUNTIF(Distance_Matrix!$E$8:$DQ$8,2)=0,1E+99,SUMIF(Distance_Matrix!$E$8:$DQ$8,2,Distance_Matrix!$E$115:$DQ$115)/COUNTIF(Distance_Matrix!$E$8:$DQ$8,2))))</f>
        <v>3.6470656080178037</v>
      </c>
      <c r="I116" s="18">
        <f>IF(COUNTIF(Distance_Matrix!$E$8:$DQ$8,$E116)&lt;=1,0,(H116-G116)/MAX(G116,H116))</f>
        <v>0.67806206927070511</v>
      </c>
      <c r="X116" s="18">
        <f t="shared" si="116"/>
        <v>7.7325112391913207</v>
      </c>
      <c r="Y116" s="18">
        <f t="shared" si="116"/>
        <v>1.0822869757549447</v>
      </c>
      <c r="Z116" s="56">
        <f t="shared" si="104"/>
        <v>2</v>
      </c>
      <c r="AB116" s="18">
        <f t="shared" si="117"/>
        <v>5.1992252840276887</v>
      </c>
      <c r="AC116" s="18">
        <f t="shared" si="117"/>
        <v>1.3451804532966456</v>
      </c>
      <c r="AD116" s="56">
        <f t="shared" si="105"/>
        <v>2</v>
      </c>
      <c r="AF116" s="18">
        <f t="shared" si="118"/>
        <v>4.5843313689246017</v>
      </c>
      <c r="AG116" s="18">
        <f t="shared" si="118"/>
        <v>1.2530096513852123</v>
      </c>
      <c r="AH116" s="56">
        <f t="shared" si="106"/>
        <v>2</v>
      </c>
      <c r="AJ116" s="18">
        <f t="shared" si="119"/>
        <v>3.9906484197702365</v>
      </c>
      <c r="AK116" s="18">
        <f t="shared" si="119"/>
        <v>1.0618098322722609</v>
      </c>
      <c r="AL116" s="56">
        <f t="shared" si="107"/>
        <v>2</v>
      </c>
      <c r="AN116" s="18">
        <f t="shared" si="120"/>
        <v>3.8008589975417153</v>
      </c>
      <c r="AO116" s="18">
        <f t="shared" si="120"/>
        <v>0.95643255236758218</v>
      </c>
      <c r="AP116" s="56">
        <f t="shared" si="108"/>
        <v>2</v>
      </c>
      <c r="AR116" s="18">
        <f t="shared" si="121"/>
        <v>3.678423015059348</v>
      </c>
      <c r="AS116" s="18">
        <f t="shared" si="121"/>
        <v>0.90360954019160467</v>
      </c>
      <c r="AT116" s="56">
        <f t="shared" si="109"/>
        <v>2</v>
      </c>
      <c r="AV116" s="18">
        <f t="shared" si="122"/>
        <v>3.6387187715221456</v>
      </c>
      <c r="AW116" s="18">
        <f t="shared" si="122"/>
        <v>0.88745882263461651</v>
      </c>
      <c r="AX116" s="56">
        <f t="shared" si="110"/>
        <v>2</v>
      </c>
      <c r="AZ116" s="18">
        <f t="shared" si="123"/>
        <v>3.5985579097875373</v>
      </c>
      <c r="BA116" s="18">
        <f t="shared" si="123"/>
        <v>0.87298470712343845</v>
      </c>
      <c r="BB116" s="56">
        <f t="shared" si="111"/>
        <v>2</v>
      </c>
      <c r="BD116" s="18">
        <f t="shared" si="124"/>
        <v>3.5985579097875373</v>
      </c>
      <c r="BE116" s="18">
        <f t="shared" si="124"/>
        <v>0.87298470712343845</v>
      </c>
      <c r="BF116" s="56">
        <f t="shared" si="112"/>
        <v>2</v>
      </c>
      <c r="BH116" s="18">
        <f t="shared" si="125"/>
        <v>3.5985579097875373</v>
      </c>
      <c r="BI116" s="18">
        <f t="shared" si="125"/>
        <v>0.87298470712343845</v>
      </c>
      <c r="BJ116" s="56">
        <f t="shared" si="113"/>
        <v>2</v>
      </c>
      <c r="BL116" s="18">
        <f t="shared" si="126"/>
        <v>3.5985579097875373</v>
      </c>
      <c r="BM116" s="18">
        <f t="shared" si="126"/>
        <v>0.87298470712343845</v>
      </c>
      <c r="BN116" s="56">
        <f t="shared" si="114"/>
        <v>2</v>
      </c>
      <c r="BP116" s="18">
        <f t="shared" si="127"/>
        <v>3.5985579097875373</v>
      </c>
      <c r="BQ116" s="18">
        <f t="shared" si="127"/>
        <v>0.87298470712343845</v>
      </c>
      <c r="BR116" s="56">
        <f t="shared" si="115"/>
        <v>2</v>
      </c>
    </row>
    <row r="117" spans="1:70" x14ac:dyDescent="0.25">
      <c r="A117" s="36" t="str">
        <f>KMeans_Data!A107</f>
        <v>Khanewal</v>
      </c>
      <c r="B117" s="18">
        <f>KMeans_Data!H107</f>
        <v>-0.99745100604838388</v>
      </c>
      <c r="C117" s="18">
        <f>KMeans_Data!I107</f>
        <v>-0.67265054538827607</v>
      </c>
      <c r="D117" s="18">
        <f>KMeans_Data!J107</f>
        <v>-1.1456441163335547</v>
      </c>
      <c r="E117" s="56">
        <f t="shared" si="102"/>
        <v>2</v>
      </c>
      <c r="F117" s="38">
        <f t="shared" si="103"/>
        <v>0.76210229887139558</v>
      </c>
      <c r="G117" s="18">
        <f>IF(COUNTIF(Distance_Matrix!$E$8:$DQ$8,$E117)&lt;=1,0,SUMIF(Distance_Matrix!$E$8:$DQ$8,$E117,Distance_Matrix!$E$116:$DQ$116)/(COUNTIF(Distance_Matrix!$E$8:$DQ$8,$E117)-1))</f>
        <v>1.1741287550792294</v>
      </c>
      <c r="H117" s="18">
        <f>MIN(IF(1=$E117,1E+99,IF(COUNTIF(Distance_Matrix!$E$8:$DQ$8,1)=0,1E+99,SUMIF(Distance_Matrix!$E$8:$DQ$8,1,Distance_Matrix!$E$116:$DQ$116)/COUNTIF(Distance_Matrix!$E$8:$DQ$8,1))),IF(2=$E117,1E+99,IF(COUNTIF(Distance_Matrix!$E$8:$DQ$8,2)=0,1E+99,SUMIF(Distance_Matrix!$E$8:$DQ$8,2,Distance_Matrix!$E$116:$DQ$116)/COUNTIF(Distance_Matrix!$E$8:$DQ$8,2))))</f>
        <v>3.6470656080178037</v>
      </c>
      <c r="I117" s="18">
        <f>IF(COUNTIF(Distance_Matrix!$E$8:$DQ$8,$E117)&lt;=1,0,(H117-G117)/MAX(G117,H117))</f>
        <v>0.67806206927070511</v>
      </c>
      <c r="X117" s="18">
        <f t="shared" si="116"/>
        <v>7.7325112391913207</v>
      </c>
      <c r="Y117" s="18">
        <f t="shared" si="116"/>
        <v>1.0822869757549447</v>
      </c>
      <c r="Z117" s="56">
        <f t="shared" si="104"/>
        <v>2</v>
      </c>
      <c r="AB117" s="18">
        <f t="shared" si="117"/>
        <v>5.1992252840276887</v>
      </c>
      <c r="AC117" s="18">
        <f t="shared" si="117"/>
        <v>1.3451804532966456</v>
      </c>
      <c r="AD117" s="56">
        <f t="shared" si="105"/>
        <v>2</v>
      </c>
      <c r="AF117" s="18">
        <f t="shared" si="118"/>
        <v>4.5843313689246017</v>
      </c>
      <c r="AG117" s="18">
        <f t="shared" si="118"/>
        <v>1.2530096513852123</v>
      </c>
      <c r="AH117" s="56">
        <f t="shared" si="106"/>
        <v>2</v>
      </c>
      <c r="AJ117" s="18">
        <f t="shared" si="119"/>
        <v>3.9906484197702365</v>
      </c>
      <c r="AK117" s="18">
        <f t="shared" si="119"/>
        <v>1.0618098322722609</v>
      </c>
      <c r="AL117" s="56">
        <f t="shared" si="107"/>
        <v>2</v>
      </c>
      <c r="AN117" s="18">
        <f t="shared" si="120"/>
        <v>3.8008589975417153</v>
      </c>
      <c r="AO117" s="18">
        <f t="shared" si="120"/>
        <v>0.95643255236758218</v>
      </c>
      <c r="AP117" s="56">
        <f t="shared" si="108"/>
        <v>2</v>
      </c>
      <c r="AR117" s="18">
        <f t="shared" si="121"/>
        <v>3.678423015059348</v>
      </c>
      <c r="AS117" s="18">
        <f t="shared" si="121"/>
        <v>0.90360954019160467</v>
      </c>
      <c r="AT117" s="56">
        <f t="shared" si="109"/>
        <v>2</v>
      </c>
      <c r="AV117" s="18">
        <f t="shared" si="122"/>
        <v>3.6387187715221456</v>
      </c>
      <c r="AW117" s="18">
        <f t="shared" si="122"/>
        <v>0.88745882263461651</v>
      </c>
      <c r="AX117" s="56">
        <f t="shared" si="110"/>
        <v>2</v>
      </c>
      <c r="AZ117" s="18">
        <f t="shared" si="123"/>
        <v>3.5985579097875373</v>
      </c>
      <c r="BA117" s="18">
        <f t="shared" si="123"/>
        <v>0.87298470712343845</v>
      </c>
      <c r="BB117" s="56">
        <f t="shared" si="111"/>
        <v>2</v>
      </c>
      <c r="BD117" s="18">
        <f t="shared" si="124"/>
        <v>3.5985579097875373</v>
      </c>
      <c r="BE117" s="18">
        <f t="shared" si="124"/>
        <v>0.87298470712343845</v>
      </c>
      <c r="BF117" s="56">
        <f t="shared" si="112"/>
        <v>2</v>
      </c>
      <c r="BH117" s="18">
        <f t="shared" si="125"/>
        <v>3.5985579097875373</v>
      </c>
      <c r="BI117" s="18">
        <f t="shared" si="125"/>
        <v>0.87298470712343845</v>
      </c>
      <c r="BJ117" s="56">
        <f t="shared" si="113"/>
        <v>2</v>
      </c>
      <c r="BL117" s="18">
        <f t="shared" si="126"/>
        <v>3.5985579097875373</v>
      </c>
      <c r="BM117" s="18">
        <f t="shared" si="126"/>
        <v>0.87298470712343845</v>
      </c>
      <c r="BN117" s="56">
        <f t="shared" si="114"/>
        <v>2</v>
      </c>
      <c r="BP117" s="18">
        <f t="shared" si="127"/>
        <v>3.5985579097875373</v>
      </c>
      <c r="BQ117" s="18">
        <f t="shared" si="127"/>
        <v>0.87298470712343845</v>
      </c>
      <c r="BR117" s="56">
        <f t="shared" si="115"/>
        <v>2</v>
      </c>
    </row>
    <row r="118" spans="1:70" x14ac:dyDescent="0.25">
      <c r="A118" s="36" t="str">
        <f>KMeans_Data!A108</f>
        <v>Tharparkar</v>
      </c>
      <c r="B118" s="18">
        <f>KMeans_Data!H108</f>
        <v>-0.99745100604838388</v>
      </c>
      <c r="C118" s="18">
        <f>KMeans_Data!I108</f>
        <v>-0.67265054538827607</v>
      </c>
      <c r="D118" s="18">
        <f>KMeans_Data!J108</f>
        <v>-0.63655717184154814</v>
      </c>
      <c r="E118" s="56">
        <f t="shared" si="102"/>
        <v>2</v>
      </c>
      <c r="F118" s="38">
        <f t="shared" si="103"/>
        <v>0.35215558737649955</v>
      </c>
      <c r="G118" s="18">
        <f>IF(COUNTIF(Distance_Matrix!$E$8:$DQ$8,$E118)&lt;=1,0,SUMIF(Distance_Matrix!$E$8:$DQ$8,$E118,Distance_Matrix!$E$117:$DQ$117)/(COUNTIF(Distance_Matrix!$E$8:$DQ$8,$E118)-1))</f>
        <v>1.0673855366700147</v>
      </c>
      <c r="H118" s="18">
        <f>MIN(IF(1=$E118,1E+99,IF(COUNTIF(Distance_Matrix!$E$8:$DQ$8,1)=0,1E+99,SUMIF(Distance_Matrix!$E$8:$DQ$8,1,Distance_Matrix!$E$117:$DQ$117)/COUNTIF(Distance_Matrix!$E$8:$DQ$8,1))),IF(2=$E118,1E+99,IF(COUNTIF(Distance_Matrix!$E$8:$DQ$8,2)=0,1E+99,SUMIF(Distance_Matrix!$E$8:$DQ$8,2,Distance_Matrix!$E$117:$DQ$117)/COUNTIF(Distance_Matrix!$E$8:$DQ$8,2))))</f>
        <v>3.3446583485637635</v>
      </c>
      <c r="I118" s="18">
        <f>IF(COUNTIF(Distance_Matrix!$E$8:$DQ$8,$E118)&lt;=1,0,(H118-G118)/MAX(G118,H118))</f>
        <v>0.68086858942457817</v>
      </c>
      <c r="X118" s="18">
        <f t="shared" si="116"/>
        <v>7.454703706650184</v>
      </c>
      <c r="Y118" s="18">
        <f t="shared" si="116"/>
        <v>1.1960412262714826</v>
      </c>
      <c r="Z118" s="56">
        <f t="shared" si="104"/>
        <v>2</v>
      </c>
      <c r="AB118" s="18">
        <f t="shared" si="117"/>
        <v>4.9218626735147692</v>
      </c>
      <c r="AC118" s="18">
        <f t="shared" si="117"/>
        <v>1.0391233246086415</v>
      </c>
      <c r="AD118" s="56">
        <f t="shared" si="105"/>
        <v>2</v>
      </c>
      <c r="AF118" s="18">
        <f t="shared" si="118"/>
        <v>4.3065457144729704</v>
      </c>
      <c r="AG118" s="18">
        <f t="shared" si="118"/>
        <v>0.94472837620897676</v>
      </c>
      <c r="AH118" s="56">
        <f t="shared" si="106"/>
        <v>2</v>
      </c>
      <c r="AJ118" s="18">
        <f t="shared" si="119"/>
        <v>3.6994666893662851</v>
      </c>
      <c r="AK118" s="18">
        <f t="shared" si="119"/>
        <v>0.76294234408500972</v>
      </c>
      <c r="AL118" s="56">
        <f t="shared" si="107"/>
        <v>2</v>
      </c>
      <c r="AN118" s="18">
        <f t="shared" si="120"/>
        <v>3.5024353110454429</v>
      </c>
      <c r="AO118" s="18">
        <f t="shared" si="120"/>
        <v>0.66794519645563211</v>
      </c>
      <c r="AP118" s="56">
        <f t="shared" si="108"/>
        <v>2</v>
      </c>
      <c r="AR118" s="18">
        <f t="shared" si="121"/>
        <v>3.3781644772822994</v>
      </c>
      <c r="AS118" s="18">
        <f t="shared" si="121"/>
        <v>0.62061524118965161</v>
      </c>
      <c r="AT118" s="56">
        <f t="shared" si="109"/>
        <v>2</v>
      </c>
      <c r="AV118" s="18">
        <f t="shared" si="122"/>
        <v>3.3389399600501806</v>
      </c>
      <c r="AW118" s="18">
        <f t="shared" si="122"/>
        <v>0.60455583492552178</v>
      </c>
      <c r="AX118" s="56">
        <f t="shared" si="110"/>
        <v>2</v>
      </c>
      <c r="AZ118" s="18">
        <f t="shared" si="123"/>
        <v>3.2980458873558702</v>
      </c>
      <c r="BA118" s="18">
        <f t="shared" si="123"/>
        <v>0.5934269857164397</v>
      </c>
      <c r="BB118" s="56">
        <f t="shared" si="111"/>
        <v>2</v>
      </c>
      <c r="BD118" s="18">
        <f t="shared" si="124"/>
        <v>3.2980458873558702</v>
      </c>
      <c r="BE118" s="18">
        <f t="shared" si="124"/>
        <v>0.5934269857164397</v>
      </c>
      <c r="BF118" s="56">
        <f t="shared" si="112"/>
        <v>2</v>
      </c>
      <c r="BH118" s="18">
        <f t="shared" si="125"/>
        <v>3.2980458873558702</v>
      </c>
      <c r="BI118" s="18">
        <f t="shared" si="125"/>
        <v>0.5934269857164397</v>
      </c>
      <c r="BJ118" s="56">
        <f t="shared" si="113"/>
        <v>2</v>
      </c>
      <c r="BL118" s="18">
        <f t="shared" si="126"/>
        <v>3.2980458873558702</v>
      </c>
      <c r="BM118" s="18">
        <f t="shared" si="126"/>
        <v>0.5934269857164397</v>
      </c>
      <c r="BN118" s="56">
        <f t="shared" si="114"/>
        <v>2</v>
      </c>
      <c r="BP118" s="18">
        <f t="shared" si="127"/>
        <v>3.2980458873558702</v>
      </c>
      <c r="BQ118" s="18">
        <f t="shared" si="127"/>
        <v>0.5934269857164397</v>
      </c>
      <c r="BR118" s="56">
        <f t="shared" si="115"/>
        <v>2</v>
      </c>
    </row>
    <row r="119" spans="1:70" x14ac:dyDescent="0.25">
      <c r="A119" s="36" t="str">
        <f>KMeans_Data!A109</f>
        <v>Chakwal</v>
      </c>
      <c r="B119" s="18">
        <f>KMeans_Data!H109</f>
        <v>-1.1471808993548489</v>
      </c>
      <c r="C119" s="18">
        <f>KMeans_Data!I109</f>
        <v>-0.67265054538827607</v>
      </c>
      <c r="D119" s="18">
        <f>KMeans_Data!J109</f>
        <v>-0.82444601589876665</v>
      </c>
      <c r="E119" s="56">
        <f t="shared" si="102"/>
        <v>2</v>
      </c>
      <c r="F119" s="38">
        <f t="shared" si="103"/>
        <v>0.63119503330772431</v>
      </c>
      <c r="G119" s="18">
        <f>IF(COUNTIF(Distance_Matrix!$E$8:$DQ$8,$E119)&lt;=1,0,SUMIF(Distance_Matrix!$E$8:$DQ$8,$E119,Distance_Matrix!$E$118:$DQ$118)/(COUNTIF(Distance_Matrix!$E$8:$DQ$8,$E119)-1))</f>
        <v>1.151417075754529</v>
      </c>
      <c r="H119" s="18">
        <f>MIN(IF(1=$E119,1E+99,IF(COUNTIF(Distance_Matrix!$E$8:$DQ$8,1)=0,1E+99,SUMIF(Distance_Matrix!$E$8:$DQ$8,1,Distance_Matrix!$E$118:$DQ$118)/COUNTIF(Distance_Matrix!$E$8:$DQ$8,1))),IF(2=$E119,1E+99,IF(COUNTIF(Distance_Matrix!$E$8:$DQ$8,2)=0,1E+99,SUMIF(Distance_Matrix!$E$8:$DQ$8,2,Distance_Matrix!$E$118:$DQ$118)/COUNTIF(Distance_Matrix!$E$8:$DQ$8,2))))</f>
        <v>3.5412085442188777</v>
      </c>
      <c r="I119" s="18">
        <f>IF(COUNTIF(Distance_Matrix!$E$8:$DQ$8,$E119)&lt;=1,0,(H119-G119)/MAX(G119,H119))</f>
        <v>0.67485194351678346</v>
      </c>
      <c r="X119" s="18">
        <f t="shared" si="116"/>
        <v>7.6400948807562985</v>
      </c>
      <c r="Y119" s="18">
        <f t="shared" si="116"/>
        <v>0.98632192095062787</v>
      </c>
      <c r="Z119" s="56">
        <f t="shared" si="104"/>
        <v>2</v>
      </c>
      <c r="AB119" s="18">
        <f t="shared" si="117"/>
        <v>5.110065425264704</v>
      </c>
      <c r="AC119" s="18">
        <f t="shared" si="117"/>
        <v>1.2468410337343034</v>
      </c>
      <c r="AD119" s="56">
        <f t="shared" si="105"/>
        <v>2</v>
      </c>
      <c r="AF119" s="18">
        <f t="shared" si="118"/>
        <v>4.4946833654724205</v>
      </c>
      <c r="AG119" s="18">
        <f t="shared" si="118"/>
        <v>1.1542177347298206</v>
      </c>
      <c r="AH119" s="56">
        <f t="shared" si="106"/>
        <v>2</v>
      </c>
      <c r="AJ119" s="18">
        <f t="shared" si="119"/>
        <v>3.8912069277237769</v>
      </c>
      <c r="AK119" s="18">
        <f t="shared" si="119"/>
        <v>0.97162601455998676</v>
      </c>
      <c r="AL119" s="56">
        <f t="shared" si="107"/>
        <v>2</v>
      </c>
      <c r="AN119" s="18">
        <f t="shared" si="120"/>
        <v>3.6981689672131153</v>
      </c>
      <c r="AO119" s="18">
        <f t="shared" si="120"/>
        <v>0.8724443132418499</v>
      </c>
      <c r="AP119" s="56">
        <f t="shared" si="108"/>
        <v>2</v>
      </c>
      <c r="AR119" s="18">
        <f t="shared" si="121"/>
        <v>3.5750209156048669</v>
      </c>
      <c r="AS119" s="18">
        <f t="shared" si="121"/>
        <v>0.82282713641592498</v>
      </c>
      <c r="AT119" s="56">
        <f t="shared" si="109"/>
        <v>2</v>
      </c>
      <c r="AV119" s="18">
        <f t="shared" si="122"/>
        <v>3.5358747867302531</v>
      </c>
      <c r="AW119" s="18">
        <f t="shared" si="122"/>
        <v>0.8065316807019286</v>
      </c>
      <c r="AX119" s="56">
        <f t="shared" si="110"/>
        <v>2</v>
      </c>
      <c r="AZ119" s="18">
        <f t="shared" si="123"/>
        <v>3.4949156487723618</v>
      </c>
      <c r="BA119" s="18">
        <f t="shared" si="123"/>
        <v>0.79447783688893692</v>
      </c>
      <c r="BB119" s="56">
        <f t="shared" si="111"/>
        <v>2</v>
      </c>
      <c r="BD119" s="18">
        <f t="shared" si="124"/>
        <v>3.4949156487723618</v>
      </c>
      <c r="BE119" s="18">
        <f t="shared" si="124"/>
        <v>0.79447783688893692</v>
      </c>
      <c r="BF119" s="56">
        <f t="shared" si="112"/>
        <v>2</v>
      </c>
      <c r="BH119" s="18">
        <f t="shared" si="125"/>
        <v>3.4949156487723618</v>
      </c>
      <c r="BI119" s="18">
        <f t="shared" si="125"/>
        <v>0.79447783688893692</v>
      </c>
      <c r="BJ119" s="56">
        <f t="shared" si="113"/>
        <v>2</v>
      </c>
      <c r="BL119" s="18">
        <f t="shared" si="126"/>
        <v>3.4949156487723618</v>
      </c>
      <c r="BM119" s="18">
        <f t="shared" si="126"/>
        <v>0.79447783688893692</v>
      </c>
      <c r="BN119" s="56">
        <f t="shared" si="114"/>
        <v>2</v>
      </c>
      <c r="BP119" s="18">
        <f t="shared" si="127"/>
        <v>3.4949156487723618</v>
      </c>
      <c r="BQ119" s="18">
        <f t="shared" si="127"/>
        <v>0.79447783688893692</v>
      </c>
      <c r="BR119" s="56">
        <f t="shared" si="115"/>
        <v>2</v>
      </c>
    </row>
    <row r="120" spans="1:70" x14ac:dyDescent="0.25">
      <c r="A120" s="36" t="str">
        <f>KMeans_Data!A110</f>
        <v>Pishin</v>
      </c>
      <c r="B120" s="18">
        <f>KMeans_Data!H110</f>
        <v>-1.3582133313000322</v>
      </c>
      <c r="C120" s="18">
        <f>KMeans_Data!I110</f>
        <v>-0.67265054538827607</v>
      </c>
      <c r="D120" s="18">
        <f>KMeans_Data!J110</f>
        <v>-1.1456441163335547</v>
      </c>
      <c r="E120" s="56">
        <f t="shared" si="102"/>
        <v>2</v>
      </c>
      <c r="F120" s="38">
        <f t="shared" si="103"/>
        <v>1.2914224586217269</v>
      </c>
      <c r="G120" s="18">
        <f>IF(COUNTIF(Distance_Matrix!$E$8:$DQ$8,$E120)&lt;=1,0,SUMIF(Distance_Matrix!$E$8:$DQ$8,$E120,Distance_Matrix!$E$119:$DQ$119)/(COUNTIF(Distance_Matrix!$E$8:$DQ$8,$E120)-1))</f>
        <v>1.344489561928176</v>
      </c>
      <c r="H120" s="18">
        <f>MIN(IF(1=$E120,1E+99,IF(COUNTIF(Distance_Matrix!$E$8:$DQ$8,1)=0,1E+99,SUMIF(Distance_Matrix!$E$8:$DQ$8,1,Distance_Matrix!$E$119:$DQ$119)/COUNTIF(Distance_Matrix!$E$8:$DQ$8,1))),IF(2=$E120,1E+99,IF(COUNTIF(Distance_Matrix!$E$8:$DQ$8,2)=0,1E+99,SUMIF(Distance_Matrix!$E$8:$DQ$8,2,Distance_Matrix!$E$119:$DQ$119)/COUNTIF(Distance_Matrix!$E$8:$DQ$8,2))))</f>
        <v>3.860729528608954</v>
      </c>
      <c r="I120" s="18">
        <f>IF(COUNTIF(Distance_Matrix!$E$8:$DQ$8,$E120)&lt;=1,0,(H120-G120)/MAX(G120,H120))</f>
        <v>0.65175245974493201</v>
      </c>
      <c r="X120" s="18">
        <f t="shared" si="116"/>
        <v>7.9375096538498271</v>
      </c>
      <c r="Y120" s="18">
        <f t="shared" si="116"/>
        <v>0.72152465050329639</v>
      </c>
      <c r="Z120" s="56">
        <f t="shared" si="104"/>
        <v>2</v>
      </c>
      <c r="AB120" s="18">
        <f t="shared" si="117"/>
        <v>5.4135254468500333</v>
      </c>
      <c r="AC120" s="18">
        <f t="shared" si="117"/>
        <v>1.5894075916651973</v>
      </c>
      <c r="AD120" s="56">
        <f t="shared" si="105"/>
        <v>2</v>
      </c>
      <c r="AF120" s="18">
        <f t="shared" si="118"/>
        <v>4.7990659801771818</v>
      </c>
      <c r="AG120" s="18">
        <f t="shared" si="118"/>
        <v>1.4995096280820597</v>
      </c>
      <c r="AH120" s="56">
        <f t="shared" si="106"/>
        <v>2</v>
      </c>
      <c r="AJ120" s="18">
        <f t="shared" si="119"/>
        <v>4.2026609538138082</v>
      </c>
      <c r="AK120" s="18">
        <f t="shared" si="119"/>
        <v>1.3176398218036478</v>
      </c>
      <c r="AL120" s="56">
        <f t="shared" si="107"/>
        <v>2</v>
      </c>
      <c r="AN120" s="18">
        <f t="shared" si="120"/>
        <v>4.0156965724174336</v>
      </c>
      <c r="AO120" s="18">
        <f t="shared" si="120"/>
        <v>1.2159684372977164</v>
      </c>
      <c r="AP120" s="56">
        <f t="shared" si="108"/>
        <v>2</v>
      </c>
      <c r="AR120" s="18">
        <f t="shared" si="121"/>
        <v>3.8943763605598472</v>
      </c>
      <c r="AS120" s="18">
        <f t="shared" si="121"/>
        <v>1.1652216754482203</v>
      </c>
      <c r="AT120" s="56">
        <f t="shared" si="109"/>
        <v>2</v>
      </c>
      <c r="AV120" s="18">
        <f t="shared" si="122"/>
        <v>3.8553628905664916</v>
      </c>
      <c r="AW120" s="18">
        <f t="shared" si="122"/>
        <v>1.1491192771853367</v>
      </c>
      <c r="AX120" s="56">
        <f t="shared" si="110"/>
        <v>2</v>
      </c>
      <c r="AZ120" s="18">
        <f t="shared" si="123"/>
        <v>3.8144952910283827</v>
      </c>
      <c r="BA120" s="18">
        <f t="shared" si="123"/>
        <v>1.1364076991211063</v>
      </c>
      <c r="BB120" s="56">
        <f t="shared" si="111"/>
        <v>2</v>
      </c>
      <c r="BD120" s="18">
        <f t="shared" si="124"/>
        <v>3.8144952910283827</v>
      </c>
      <c r="BE120" s="18">
        <f t="shared" si="124"/>
        <v>1.1364076991211063</v>
      </c>
      <c r="BF120" s="56">
        <f t="shared" si="112"/>
        <v>2</v>
      </c>
      <c r="BH120" s="18">
        <f t="shared" si="125"/>
        <v>3.8144952910283827</v>
      </c>
      <c r="BI120" s="18">
        <f t="shared" si="125"/>
        <v>1.1364076991211063</v>
      </c>
      <c r="BJ120" s="56">
        <f t="shared" si="113"/>
        <v>2</v>
      </c>
      <c r="BL120" s="18">
        <f t="shared" si="126"/>
        <v>3.8144952910283827</v>
      </c>
      <c r="BM120" s="18">
        <f t="shared" si="126"/>
        <v>1.1364076991211063</v>
      </c>
      <c r="BN120" s="56">
        <f t="shared" si="114"/>
        <v>2</v>
      </c>
      <c r="BP120" s="18">
        <f t="shared" si="127"/>
        <v>3.8144952910283827</v>
      </c>
      <c r="BQ120" s="18">
        <f t="shared" si="127"/>
        <v>1.1364076991211063</v>
      </c>
      <c r="BR120" s="56">
        <f t="shared" si="115"/>
        <v>2</v>
      </c>
    </row>
    <row r="121" spans="1:70" x14ac:dyDescent="0.25">
      <c r="A121" s="36" t="str">
        <f>KMeans_Data!A111</f>
        <v>Kohistan Lower</v>
      </c>
      <c r="B121" s="18">
        <f>KMeans_Data!H111</f>
        <v>-1.507943224606497</v>
      </c>
      <c r="C121" s="18">
        <f>KMeans_Data!I111</f>
        <v>-0.67265054538827607</v>
      </c>
      <c r="D121" s="18">
        <f>KMeans_Data!J111</f>
        <v>-1.1456441163335547</v>
      </c>
      <c r="E121" s="56">
        <f t="shared" si="102"/>
        <v>2</v>
      </c>
      <c r="F121" s="38">
        <f t="shared" si="103"/>
        <v>1.5875461194608691</v>
      </c>
      <c r="G121" s="18">
        <f>IF(COUNTIF(Distance_Matrix!$E$8:$DQ$8,$E121)&lt;=1,0,SUMIF(Distance_Matrix!$E$8:$DQ$8,$E121,Distance_Matrix!$E$120:$DQ$120)/(COUNTIF(Distance_Matrix!$E$8:$DQ$8,$E121)-1))</f>
        <v>1.4286285775175642</v>
      </c>
      <c r="H121" s="18">
        <f>MIN(IF(1=$E121,1E+99,IF(COUNTIF(Distance_Matrix!$E$8:$DQ$8,1)=0,1E+99,SUMIF(Distance_Matrix!$E$8:$DQ$8,1,Distance_Matrix!$E$120:$DQ$120)/COUNTIF(Distance_Matrix!$E$8:$DQ$8,1))),IF(2=$E121,1E+99,IF(COUNTIF(Distance_Matrix!$E$8:$DQ$8,2)=0,1E+99,SUMIF(Distance_Matrix!$E$8:$DQ$8,2,Distance_Matrix!$E$120:$DQ$120)/COUNTIF(Distance_Matrix!$E$8:$DQ$8,2))))</f>
        <v>3.9561320948712648</v>
      </c>
      <c r="I121" s="18">
        <f>IF(COUNTIF(Distance_Matrix!$E$8:$DQ$8,$E121)&lt;=1,0,(H121-G121)/MAX(G121,H121))</f>
        <v>0.63888248843620765</v>
      </c>
      <c r="X121" s="18">
        <f t="shared" si="116"/>
        <v>8.0258166331110399</v>
      </c>
      <c r="Y121" s="18">
        <f t="shared" si="116"/>
        <v>0.57179475719683159</v>
      </c>
      <c r="Z121" s="56">
        <f t="shared" si="104"/>
        <v>2</v>
      </c>
      <c r="AB121" s="18">
        <f t="shared" si="117"/>
        <v>5.5069609941642392</v>
      </c>
      <c r="AC121" s="18">
        <f t="shared" si="117"/>
        <v>1.7029716147468292</v>
      </c>
      <c r="AD121" s="56">
        <f t="shared" si="105"/>
        <v>2</v>
      </c>
      <c r="AF121" s="18">
        <f t="shared" si="118"/>
        <v>4.893234713544933</v>
      </c>
      <c r="AG121" s="18">
        <f t="shared" si="118"/>
        <v>1.6144863974682111</v>
      </c>
      <c r="AH121" s="56">
        <f t="shared" si="106"/>
        <v>2</v>
      </c>
      <c r="AJ121" s="18">
        <f t="shared" si="119"/>
        <v>4.2964811363223276</v>
      </c>
      <c r="AK121" s="18">
        <f t="shared" si="119"/>
        <v>1.4371006656694121</v>
      </c>
      <c r="AL121" s="56">
        <f t="shared" si="107"/>
        <v>2</v>
      </c>
      <c r="AN121" s="18">
        <f t="shared" si="120"/>
        <v>4.1108664736223393</v>
      </c>
      <c r="AO121" s="18">
        <f t="shared" si="120"/>
        <v>1.3375425130163625</v>
      </c>
      <c r="AP121" s="56">
        <f t="shared" si="108"/>
        <v>2</v>
      </c>
      <c r="AR121" s="18">
        <f t="shared" si="121"/>
        <v>3.9901558394052281</v>
      </c>
      <c r="AS121" s="18">
        <f t="shared" si="121"/>
        <v>1.2879475164535978</v>
      </c>
      <c r="AT121" s="56">
        <f t="shared" si="109"/>
        <v>2</v>
      </c>
      <c r="AV121" s="18">
        <f t="shared" si="122"/>
        <v>3.9514671406921296</v>
      </c>
      <c r="AW121" s="18">
        <f t="shared" si="122"/>
        <v>1.2720382075558856</v>
      </c>
      <c r="AX121" s="56">
        <f t="shared" si="110"/>
        <v>2</v>
      </c>
      <c r="AZ121" s="18">
        <f t="shared" si="123"/>
        <v>3.9103943209561893</v>
      </c>
      <c r="BA121" s="18">
        <f t="shared" si="123"/>
        <v>1.2599786186522648</v>
      </c>
      <c r="BB121" s="56">
        <f t="shared" si="111"/>
        <v>2</v>
      </c>
      <c r="BD121" s="18">
        <f t="shared" si="124"/>
        <v>3.9103943209561893</v>
      </c>
      <c r="BE121" s="18">
        <f t="shared" si="124"/>
        <v>1.2599786186522648</v>
      </c>
      <c r="BF121" s="56">
        <f t="shared" si="112"/>
        <v>2</v>
      </c>
      <c r="BH121" s="18">
        <f t="shared" si="125"/>
        <v>3.9103943209561893</v>
      </c>
      <c r="BI121" s="18">
        <f t="shared" si="125"/>
        <v>1.2599786186522648</v>
      </c>
      <c r="BJ121" s="56">
        <f t="shared" si="113"/>
        <v>2</v>
      </c>
      <c r="BL121" s="18">
        <f t="shared" si="126"/>
        <v>3.9103943209561893</v>
      </c>
      <c r="BM121" s="18">
        <f t="shared" si="126"/>
        <v>1.2599786186522648</v>
      </c>
      <c r="BN121" s="56">
        <f t="shared" si="114"/>
        <v>2</v>
      </c>
      <c r="BP121" s="18">
        <f t="shared" si="127"/>
        <v>3.9103943209561893</v>
      </c>
      <c r="BQ121" s="18">
        <f t="shared" si="127"/>
        <v>1.2599786186522648</v>
      </c>
      <c r="BR121" s="56">
        <f t="shared" si="115"/>
        <v>2</v>
      </c>
    </row>
    <row r="122" spans="1:70" x14ac:dyDescent="0.25">
      <c r="A122" s="36" t="str">
        <f>KMeans_Data!A112</f>
        <v>Bhambore</v>
      </c>
      <c r="B122" s="18">
        <f>KMeans_Data!H112</f>
        <v>-1.507943224606497</v>
      </c>
      <c r="C122" s="18">
        <f>KMeans_Data!I112</f>
        <v>-0.67265054538827607</v>
      </c>
      <c r="D122" s="18">
        <f>KMeans_Data!J112</f>
        <v>-1.1456441163335547</v>
      </c>
      <c r="E122" s="56">
        <f t="shared" si="102"/>
        <v>2</v>
      </c>
      <c r="F122" s="38">
        <f t="shared" si="103"/>
        <v>1.5875461194608691</v>
      </c>
      <c r="G122" s="18">
        <f>IF(COUNTIF(Distance_Matrix!$E$8:$DQ$8,$E122)&lt;=1,0,SUMIF(Distance_Matrix!$E$8:$DQ$8,$E122,Distance_Matrix!$E$121:$DQ$121)/(COUNTIF(Distance_Matrix!$E$8:$DQ$8,$E122)-1))</f>
        <v>1.4286285775175642</v>
      </c>
      <c r="H122" s="18">
        <f>MIN(IF(1=$E122,1E+99,IF(COUNTIF(Distance_Matrix!$E$8:$DQ$8,1)=0,1E+99,SUMIF(Distance_Matrix!$E$8:$DQ$8,1,Distance_Matrix!$E$121:$DQ$121)/COUNTIF(Distance_Matrix!$E$8:$DQ$8,1))),IF(2=$E122,1E+99,IF(COUNTIF(Distance_Matrix!$E$8:$DQ$8,2)=0,1E+99,SUMIF(Distance_Matrix!$E$8:$DQ$8,2,Distance_Matrix!$E$121:$DQ$121)/COUNTIF(Distance_Matrix!$E$8:$DQ$8,2))))</f>
        <v>3.9561320948712648</v>
      </c>
      <c r="I122" s="18">
        <f>IF(COUNTIF(Distance_Matrix!$E$8:$DQ$8,$E122)&lt;=1,0,(H122-G122)/MAX(G122,H122))</f>
        <v>0.63888248843620765</v>
      </c>
      <c r="X122" s="18">
        <f t="shared" si="116"/>
        <v>8.0258166331110399</v>
      </c>
      <c r="Y122" s="18">
        <f t="shared" si="116"/>
        <v>0.57179475719683159</v>
      </c>
      <c r="Z122" s="56">
        <f t="shared" si="104"/>
        <v>2</v>
      </c>
      <c r="AB122" s="18">
        <f t="shared" si="117"/>
        <v>5.5069609941642392</v>
      </c>
      <c r="AC122" s="18">
        <f t="shared" si="117"/>
        <v>1.7029716147468292</v>
      </c>
      <c r="AD122" s="56">
        <f t="shared" si="105"/>
        <v>2</v>
      </c>
      <c r="AF122" s="18">
        <f t="shared" si="118"/>
        <v>4.893234713544933</v>
      </c>
      <c r="AG122" s="18">
        <f t="shared" si="118"/>
        <v>1.6144863974682111</v>
      </c>
      <c r="AH122" s="56">
        <f t="shared" si="106"/>
        <v>2</v>
      </c>
      <c r="AJ122" s="18">
        <f t="shared" si="119"/>
        <v>4.2964811363223276</v>
      </c>
      <c r="AK122" s="18">
        <f t="shared" si="119"/>
        <v>1.4371006656694121</v>
      </c>
      <c r="AL122" s="56">
        <f t="shared" si="107"/>
        <v>2</v>
      </c>
      <c r="AN122" s="18">
        <f t="shared" si="120"/>
        <v>4.1108664736223393</v>
      </c>
      <c r="AO122" s="18">
        <f t="shared" si="120"/>
        <v>1.3375425130163625</v>
      </c>
      <c r="AP122" s="56">
        <f t="shared" si="108"/>
        <v>2</v>
      </c>
      <c r="AR122" s="18">
        <f t="shared" si="121"/>
        <v>3.9901558394052281</v>
      </c>
      <c r="AS122" s="18">
        <f t="shared" si="121"/>
        <v>1.2879475164535978</v>
      </c>
      <c r="AT122" s="56">
        <f t="shared" si="109"/>
        <v>2</v>
      </c>
      <c r="AV122" s="18">
        <f t="shared" si="122"/>
        <v>3.9514671406921296</v>
      </c>
      <c r="AW122" s="18">
        <f t="shared" si="122"/>
        <v>1.2720382075558856</v>
      </c>
      <c r="AX122" s="56">
        <f t="shared" si="110"/>
        <v>2</v>
      </c>
      <c r="AZ122" s="18">
        <f t="shared" si="123"/>
        <v>3.9103943209561893</v>
      </c>
      <c r="BA122" s="18">
        <f t="shared" si="123"/>
        <v>1.2599786186522648</v>
      </c>
      <c r="BB122" s="56">
        <f t="shared" si="111"/>
        <v>2</v>
      </c>
      <c r="BD122" s="18">
        <f t="shared" si="124"/>
        <v>3.9103943209561893</v>
      </c>
      <c r="BE122" s="18">
        <f t="shared" si="124"/>
        <v>1.2599786186522648</v>
      </c>
      <c r="BF122" s="56">
        <f t="shared" si="112"/>
        <v>2</v>
      </c>
      <c r="BH122" s="18">
        <f t="shared" si="125"/>
        <v>3.9103943209561893</v>
      </c>
      <c r="BI122" s="18">
        <f t="shared" si="125"/>
        <v>1.2599786186522648</v>
      </c>
      <c r="BJ122" s="56">
        <f t="shared" si="113"/>
        <v>2</v>
      </c>
      <c r="BL122" s="18">
        <f t="shared" si="126"/>
        <v>3.9103943209561893</v>
      </c>
      <c r="BM122" s="18">
        <f t="shared" si="126"/>
        <v>1.2599786186522648</v>
      </c>
      <c r="BN122" s="56">
        <f t="shared" si="114"/>
        <v>2</v>
      </c>
      <c r="BP122" s="18">
        <f t="shared" si="127"/>
        <v>3.9103943209561893</v>
      </c>
      <c r="BQ122" s="18">
        <f t="shared" si="127"/>
        <v>1.2599786186522648</v>
      </c>
      <c r="BR122" s="56">
        <f t="shared" si="115"/>
        <v>2</v>
      </c>
    </row>
    <row r="123" spans="1:70" x14ac:dyDescent="0.25">
      <c r="A123" s="36" t="str">
        <f>KMeans_Data!A113</f>
        <v>Jhang</v>
      </c>
      <c r="B123" s="18">
        <f>KMeans_Data!H113</f>
        <v>-1.507943224606497</v>
      </c>
      <c r="C123" s="18">
        <f>KMeans_Data!I113</f>
        <v>-0.67265054538827607</v>
      </c>
      <c r="D123" s="18">
        <f>KMeans_Data!J113</f>
        <v>-1.1456441163335547</v>
      </c>
      <c r="E123" s="56">
        <f t="shared" si="102"/>
        <v>2</v>
      </c>
      <c r="F123" s="38">
        <f t="shared" si="103"/>
        <v>1.5875461194608691</v>
      </c>
      <c r="G123" s="18">
        <f>IF(COUNTIF(Distance_Matrix!$E$8:$DQ$8,$E123)&lt;=1,0,SUMIF(Distance_Matrix!$E$8:$DQ$8,$E123,Distance_Matrix!$E$122:$DQ$122)/(COUNTIF(Distance_Matrix!$E$8:$DQ$8,$E123)-1))</f>
        <v>1.4286285775175642</v>
      </c>
      <c r="H123" s="18">
        <f>MIN(IF(1=$E123,1E+99,IF(COUNTIF(Distance_Matrix!$E$8:$DQ$8,1)=0,1E+99,SUMIF(Distance_Matrix!$E$8:$DQ$8,1,Distance_Matrix!$E$122:$DQ$122)/COUNTIF(Distance_Matrix!$E$8:$DQ$8,1))),IF(2=$E123,1E+99,IF(COUNTIF(Distance_Matrix!$E$8:$DQ$8,2)=0,1E+99,SUMIF(Distance_Matrix!$E$8:$DQ$8,2,Distance_Matrix!$E$122:$DQ$122)/COUNTIF(Distance_Matrix!$E$8:$DQ$8,2))))</f>
        <v>3.9561320948712648</v>
      </c>
      <c r="I123" s="18">
        <f>IF(COUNTIF(Distance_Matrix!$E$8:$DQ$8,$E123)&lt;=1,0,(H123-G123)/MAX(G123,H123))</f>
        <v>0.63888248843620765</v>
      </c>
      <c r="X123" s="18">
        <f t="shared" si="116"/>
        <v>8.0258166331110399</v>
      </c>
      <c r="Y123" s="18">
        <f t="shared" si="116"/>
        <v>0.57179475719683159</v>
      </c>
      <c r="Z123" s="56">
        <f t="shared" si="104"/>
        <v>2</v>
      </c>
      <c r="AB123" s="18">
        <f t="shared" si="117"/>
        <v>5.5069609941642392</v>
      </c>
      <c r="AC123" s="18">
        <f t="shared" si="117"/>
        <v>1.7029716147468292</v>
      </c>
      <c r="AD123" s="56">
        <f t="shared" si="105"/>
        <v>2</v>
      </c>
      <c r="AF123" s="18">
        <f t="shared" si="118"/>
        <v>4.893234713544933</v>
      </c>
      <c r="AG123" s="18">
        <f t="shared" si="118"/>
        <v>1.6144863974682111</v>
      </c>
      <c r="AH123" s="56">
        <f t="shared" si="106"/>
        <v>2</v>
      </c>
      <c r="AJ123" s="18">
        <f t="shared" si="119"/>
        <v>4.2964811363223276</v>
      </c>
      <c r="AK123" s="18">
        <f t="shared" si="119"/>
        <v>1.4371006656694121</v>
      </c>
      <c r="AL123" s="56">
        <f t="shared" si="107"/>
        <v>2</v>
      </c>
      <c r="AN123" s="18">
        <f t="shared" si="120"/>
        <v>4.1108664736223393</v>
      </c>
      <c r="AO123" s="18">
        <f t="shared" si="120"/>
        <v>1.3375425130163625</v>
      </c>
      <c r="AP123" s="56">
        <f t="shared" si="108"/>
        <v>2</v>
      </c>
      <c r="AR123" s="18">
        <f t="shared" si="121"/>
        <v>3.9901558394052281</v>
      </c>
      <c r="AS123" s="18">
        <f t="shared" si="121"/>
        <v>1.2879475164535978</v>
      </c>
      <c r="AT123" s="56">
        <f t="shared" si="109"/>
        <v>2</v>
      </c>
      <c r="AV123" s="18">
        <f t="shared" si="122"/>
        <v>3.9514671406921296</v>
      </c>
      <c r="AW123" s="18">
        <f t="shared" si="122"/>
        <v>1.2720382075558856</v>
      </c>
      <c r="AX123" s="56">
        <f t="shared" si="110"/>
        <v>2</v>
      </c>
      <c r="AZ123" s="18">
        <f t="shared" si="123"/>
        <v>3.9103943209561893</v>
      </c>
      <c r="BA123" s="18">
        <f t="shared" si="123"/>
        <v>1.2599786186522648</v>
      </c>
      <c r="BB123" s="56">
        <f t="shared" si="111"/>
        <v>2</v>
      </c>
      <c r="BD123" s="18">
        <f t="shared" si="124"/>
        <v>3.9103943209561893</v>
      </c>
      <c r="BE123" s="18">
        <f t="shared" si="124"/>
        <v>1.2599786186522648</v>
      </c>
      <c r="BF123" s="56">
        <f t="shared" si="112"/>
        <v>2</v>
      </c>
      <c r="BH123" s="18">
        <f t="shared" si="125"/>
        <v>3.9103943209561893</v>
      </c>
      <c r="BI123" s="18">
        <f t="shared" si="125"/>
        <v>1.2599786186522648</v>
      </c>
      <c r="BJ123" s="56">
        <f t="shared" si="113"/>
        <v>2</v>
      </c>
      <c r="BL123" s="18">
        <f t="shared" si="126"/>
        <v>3.9103943209561893</v>
      </c>
      <c r="BM123" s="18">
        <f t="shared" si="126"/>
        <v>1.2599786186522648</v>
      </c>
      <c r="BN123" s="56">
        <f t="shared" si="114"/>
        <v>2</v>
      </c>
      <c r="BP123" s="18">
        <f t="shared" si="127"/>
        <v>3.9103943209561893</v>
      </c>
      <c r="BQ123" s="18">
        <f t="shared" si="127"/>
        <v>1.2599786186522648</v>
      </c>
      <c r="BR123" s="56">
        <f t="shared" si="115"/>
        <v>2</v>
      </c>
    </row>
    <row r="124" spans="1:70" x14ac:dyDescent="0.25">
      <c r="A124" s="36" t="str">
        <f>KMeans_Data!A114</f>
        <v>Tor Ghar</v>
      </c>
      <c r="B124" s="18">
        <f>KMeans_Data!H114</f>
        <v>-1.507943224606497</v>
      </c>
      <c r="C124" s="18">
        <f>KMeans_Data!I114</f>
        <v>-0.67265054538827607</v>
      </c>
      <c r="D124" s="18">
        <f>KMeans_Data!J114</f>
        <v>-1.1456441163335547</v>
      </c>
      <c r="E124" s="56">
        <f t="shared" si="102"/>
        <v>2</v>
      </c>
      <c r="F124" s="38">
        <f t="shared" si="103"/>
        <v>1.5875461194608691</v>
      </c>
      <c r="G124" s="18">
        <f>IF(COUNTIF(Distance_Matrix!$E$8:$DQ$8,$E124)&lt;=1,0,SUMIF(Distance_Matrix!$E$8:$DQ$8,$E124,Distance_Matrix!$E$123:$DQ$123)/(COUNTIF(Distance_Matrix!$E$8:$DQ$8,$E124)-1))</f>
        <v>1.4286285775175642</v>
      </c>
      <c r="H124" s="18">
        <f>MIN(IF(1=$E124,1E+99,IF(COUNTIF(Distance_Matrix!$E$8:$DQ$8,1)=0,1E+99,SUMIF(Distance_Matrix!$E$8:$DQ$8,1,Distance_Matrix!$E$123:$DQ$123)/COUNTIF(Distance_Matrix!$E$8:$DQ$8,1))),IF(2=$E124,1E+99,IF(COUNTIF(Distance_Matrix!$E$8:$DQ$8,2)=0,1E+99,SUMIF(Distance_Matrix!$E$8:$DQ$8,2,Distance_Matrix!$E$123:$DQ$123)/COUNTIF(Distance_Matrix!$E$8:$DQ$8,2))))</f>
        <v>3.9561320948712648</v>
      </c>
      <c r="I124" s="18">
        <f>IF(COUNTIF(Distance_Matrix!$E$8:$DQ$8,$E124)&lt;=1,0,(H124-G124)/MAX(G124,H124))</f>
        <v>0.63888248843620765</v>
      </c>
      <c r="X124" s="18">
        <f t="shared" si="116"/>
        <v>8.0258166331110399</v>
      </c>
      <c r="Y124" s="18">
        <f t="shared" si="116"/>
        <v>0.57179475719683159</v>
      </c>
      <c r="Z124" s="56">
        <f t="shared" si="104"/>
        <v>2</v>
      </c>
      <c r="AB124" s="18">
        <f t="shared" si="117"/>
        <v>5.5069609941642392</v>
      </c>
      <c r="AC124" s="18">
        <f t="shared" si="117"/>
        <v>1.7029716147468292</v>
      </c>
      <c r="AD124" s="56">
        <f t="shared" si="105"/>
        <v>2</v>
      </c>
      <c r="AF124" s="18">
        <f t="shared" si="118"/>
        <v>4.893234713544933</v>
      </c>
      <c r="AG124" s="18">
        <f t="shared" si="118"/>
        <v>1.6144863974682111</v>
      </c>
      <c r="AH124" s="56">
        <f t="shared" si="106"/>
        <v>2</v>
      </c>
      <c r="AJ124" s="18">
        <f t="shared" si="119"/>
        <v>4.2964811363223276</v>
      </c>
      <c r="AK124" s="18">
        <f t="shared" si="119"/>
        <v>1.4371006656694121</v>
      </c>
      <c r="AL124" s="56">
        <f t="shared" si="107"/>
        <v>2</v>
      </c>
      <c r="AN124" s="18">
        <f t="shared" si="120"/>
        <v>4.1108664736223393</v>
      </c>
      <c r="AO124" s="18">
        <f t="shared" si="120"/>
        <v>1.3375425130163625</v>
      </c>
      <c r="AP124" s="56">
        <f t="shared" si="108"/>
        <v>2</v>
      </c>
      <c r="AR124" s="18">
        <f t="shared" si="121"/>
        <v>3.9901558394052281</v>
      </c>
      <c r="AS124" s="18">
        <f t="shared" si="121"/>
        <v>1.2879475164535978</v>
      </c>
      <c r="AT124" s="56">
        <f t="shared" si="109"/>
        <v>2</v>
      </c>
      <c r="AV124" s="18">
        <f t="shared" si="122"/>
        <v>3.9514671406921296</v>
      </c>
      <c r="AW124" s="18">
        <f t="shared" si="122"/>
        <v>1.2720382075558856</v>
      </c>
      <c r="AX124" s="56">
        <f t="shared" si="110"/>
        <v>2</v>
      </c>
      <c r="AZ124" s="18">
        <f t="shared" si="123"/>
        <v>3.9103943209561893</v>
      </c>
      <c r="BA124" s="18">
        <f t="shared" si="123"/>
        <v>1.2599786186522648</v>
      </c>
      <c r="BB124" s="56">
        <f t="shared" si="111"/>
        <v>2</v>
      </c>
      <c r="BD124" s="18">
        <f t="shared" si="124"/>
        <v>3.9103943209561893</v>
      </c>
      <c r="BE124" s="18">
        <f t="shared" si="124"/>
        <v>1.2599786186522648</v>
      </c>
      <c r="BF124" s="56">
        <f t="shared" si="112"/>
        <v>2</v>
      </c>
      <c r="BH124" s="18">
        <f t="shared" si="125"/>
        <v>3.9103943209561893</v>
      </c>
      <c r="BI124" s="18">
        <f t="shared" si="125"/>
        <v>1.2599786186522648</v>
      </c>
      <c r="BJ124" s="56">
        <f t="shared" si="113"/>
        <v>2</v>
      </c>
      <c r="BL124" s="18">
        <f t="shared" si="126"/>
        <v>3.9103943209561893</v>
      </c>
      <c r="BM124" s="18">
        <f t="shared" si="126"/>
        <v>1.2599786186522648</v>
      </c>
      <c r="BN124" s="56">
        <f t="shared" si="114"/>
        <v>2</v>
      </c>
      <c r="BP124" s="18">
        <f t="shared" si="127"/>
        <v>3.9103943209561893</v>
      </c>
      <c r="BQ124" s="18">
        <f t="shared" si="127"/>
        <v>1.2599786186522648</v>
      </c>
      <c r="BR124" s="56">
        <f t="shared" si="115"/>
        <v>2</v>
      </c>
    </row>
    <row r="125" spans="1:70" x14ac:dyDescent="0.25">
      <c r="A125" s="36" t="str">
        <f>KMeans_Data!A115</f>
        <v>Trarkhel</v>
      </c>
      <c r="B125" s="18">
        <f>KMeans_Data!H115</f>
        <v>-1.7189756565516803</v>
      </c>
      <c r="C125" s="18">
        <f>KMeans_Data!I115</f>
        <v>-0.67265054538827607</v>
      </c>
      <c r="D125" s="18">
        <f>KMeans_Data!J115</f>
        <v>-1.1456441163335547</v>
      </c>
      <c r="E125" s="56">
        <f t="shared" si="102"/>
        <v>2</v>
      </c>
      <c r="F125" s="38">
        <f t="shared" si="103"/>
        <v>2.0810415290140098</v>
      </c>
      <c r="G125" s="18">
        <f>IF(COUNTIF(Distance_Matrix!$E$8:$DQ$8,$E125)&lt;=1,0,SUMIF(Distance_Matrix!$E$8:$DQ$8,$E125,Distance_Matrix!$E$124:$DQ$124)/(COUNTIF(Distance_Matrix!$E$8:$DQ$8,$E125)-1))</f>
        <v>1.5745898184515046</v>
      </c>
      <c r="H125" s="18">
        <f>MIN(IF(1=$E125,1E+99,IF(COUNTIF(Distance_Matrix!$E$8:$DQ$8,1)=0,1E+99,SUMIF(Distance_Matrix!$E$8:$DQ$8,1,Distance_Matrix!$E$124:$DQ$124)/COUNTIF(Distance_Matrix!$E$8:$DQ$8,1))),IF(2=$E125,1E+99,IF(COUNTIF(Distance_Matrix!$E$8:$DQ$8,2)=0,1E+99,SUMIF(Distance_Matrix!$E$8:$DQ$8,2,Distance_Matrix!$E$124:$DQ$124)/COUNTIF(Distance_Matrix!$E$8:$DQ$8,2))))</f>
        <v>4.0964548971154624</v>
      </c>
      <c r="I125" s="18">
        <f>IF(COUNTIF(Distance_Matrix!$E$8:$DQ$8,$E125)&lt;=1,0,(H125-G125)/MAX(G125,H125))</f>
        <v>0.61562134626204257</v>
      </c>
      <c r="X125" s="18">
        <f t="shared" si="116"/>
        <v>8.153323730623006</v>
      </c>
      <c r="Y125" s="18">
        <f t="shared" si="116"/>
        <v>0.36076232525164831</v>
      </c>
      <c r="Z125" s="56">
        <f t="shared" si="104"/>
        <v>2</v>
      </c>
      <c r="AB125" s="18">
        <f t="shared" si="117"/>
        <v>5.6427715604970983</v>
      </c>
      <c r="AC125" s="18">
        <f t="shared" si="117"/>
        <v>1.8716894623832523</v>
      </c>
      <c r="AD125" s="56">
        <f t="shared" si="105"/>
        <v>2</v>
      </c>
      <c r="AF125" s="18">
        <f t="shared" si="118"/>
        <v>5.0305341043197185</v>
      </c>
      <c r="AG125" s="18">
        <f t="shared" si="118"/>
        <v>1.7853078092023944</v>
      </c>
      <c r="AH125" s="56">
        <f t="shared" si="106"/>
        <v>2</v>
      </c>
      <c r="AJ125" s="18">
        <f t="shared" si="119"/>
        <v>4.4339307939851338</v>
      </c>
      <c r="AK125" s="18">
        <f t="shared" si="119"/>
        <v>1.6140657330906329</v>
      </c>
      <c r="AL125" s="56">
        <f t="shared" si="107"/>
        <v>2</v>
      </c>
      <c r="AN125" s="18">
        <f t="shared" si="120"/>
        <v>4.2503420703395607</v>
      </c>
      <c r="AO125" s="18">
        <f t="shared" si="120"/>
        <v>1.5174630685529333</v>
      </c>
      <c r="AP125" s="56">
        <f t="shared" si="108"/>
        <v>2</v>
      </c>
      <c r="AR125" s="18">
        <f t="shared" si="121"/>
        <v>4.130597718042555</v>
      </c>
      <c r="AS125" s="18">
        <f t="shared" si="121"/>
        <v>1.4694460913505416</v>
      </c>
      <c r="AT125" s="56">
        <f t="shared" si="109"/>
        <v>2</v>
      </c>
      <c r="AV125" s="18">
        <f t="shared" si="122"/>
        <v>4.092391800442468</v>
      </c>
      <c r="AW125" s="18">
        <f t="shared" si="122"/>
        <v>1.4538452376947943</v>
      </c>
      <c r="AX125" s="56">
        <f t="shared" si="110"/>
        <v>2</v>
      </c>
      <c r="AZ125" s="18">
        <f t="shared" si="123"/>
        <v>4.0511021378265584</v>
      </c>
      <c r="BA125" s="18">
        <f t="shared" si="123"/>
        <v>1.4425815502126769</v>
      </c>
      <c r="BB125" s="56">
        <f t="shared" si="111"/>
        <v>2</v>
      </c>
      <c r="BD125" s="18">
        <f t="shared" si="124"/>
        <v>4.0511021378265584</v>
      </c>
      <c r="BE125" s="18">
        <f t="shared" si="124"/>
        <v>1.4425815502126769</v>
      </c>
      <c r="BF125" s="56">
        <f t="shared" si="112"/>
        <v>2</v>
      </c>
      <c r="BH125" s="18">
        <f t="shared" si="125"/>
        <v>4.0511021378265584</v>
      </c>
      <c r="BI125" s="18">
        <f t="shared" si="125"/>
        <v>1.4425815502126769</v>
      </c>
      <c r="BJ125" s="56">
        <f t="shared" si="113"/>
        <v>2</v>
      </c>
      <c r="BL125" s="18">
        <f t="shared" si="126"/>
        <v>4.0511021378265584</v>
      </c>
      <c r="BM125" s="18">
        <f t="shared" si="126"/>
        <v>1.4425815502126769</v>
      </c>
      <c r="BN125" s="56">
        <f t="shared" si="114"/>
        <v>2</v>
      </c>
      <c r="BP125" s="18">
        <f t="shared" si="127"/>
        <v>4.0511021378265584</v>
      </c>
      <c r="BQ125" s="18">
        <f t="shared" si="127"/>
        <v>1.4425815502126769</v>
      </c>
      <c r="BR125" s="56">
        <f t="shared" si="115"/>
        <v>2</v>
      </c>
    </row>
    <row r="126" spans="1:70" x14ac:dyDescent="0.25">
      <c r="A126" s="36" t="str">
        <f>KMeans_Data!A116</f>
        <v>Kohistan Upper</v>
      </c>
      <c r="B126" s="18">
        <f>KMeans_Data!H116</f>
        <v>-1.7189756565516803</v>
      </c>
      <c r="C126" s="18">
        <f>KMeans_Data!I116</f>
        <v>-0.67265054538827607</v>
      </c>
      <c r="D126" s="18">
        <f>KMeans_Data!J116</f>
        <v>-1.1456441163335547</v>
      </c>
      <c r="E126" s="56">
        <f t="shared" si="102"/>
        <v>2</v>
      </c>
      <c r="F126" s="38">
        <f t="shared" si="103"/>
        <v>2.0810415290140098</v>
      </c>
      <c r="G126" s="18">
        <f>IF(COUNTIF(Distance_Matrix!$E$8:$DQ$8,$E126)&lt;=1,0,SUMIF(Distance_Matrix!$E$8:$DQ$8,$E126,Distance_Matrix!$E$125:$DQ$125)/(COUNTIF(Distance_Matrix!$E$8:$DQ$8,$E126)-1))</f>
        <v>1.5745898184515046</v>
      </c>
      <c r="H126" s="18">
        <f>MIN(IF(1=$E126,1E+99,IF(COUNTIF(Distance_Matrix!$E$8:$DQ$8,1)=0,1E+99,SUMIF(Distance_Matrix!$E$8:$DQ$8,1,Distance_Matrix!$E$125:$DQ$125)/COUNTIF(Distance_Matrix!$E$8:$DQ$8,1))),IF(2=$E126,1E+99,IF(COUNTIF(Distance_Matrix!$E$8:$DQ$8,2)=0,1E+99,SUMIF(Distance_Matrix!$E$8:$DQ$8,2,Distance_Matrix!$E$125:$DQ$125)/COUNTIF(Distance_Matrix!$E$8:$DQ$8,2))))</f>
        <v>4.0964548971154624</v>
      </c>
      <c r="I126" s="18">
        <f>IF(COUNTIF(Distance_Matrix!$E$8:$DQ$8,$E126)&lt;=1,0,(H126-G126)/MAX(G126,H126))</f>
        <v>0.61562134626204257</v>
      </c>
      <c r="X126" s="18">
        <f t="shared" si="116"/>
        <v>8.153323730623006</v>
      </c>
      <c r="Y126" s="18">
        <f t="shared" si="116"/>
        <v>0.36076232525164831</v>
      </c>
      <c r="Z126" s="56">
        <f t="shared" si="104"/>
        <v>2</v>
      </c>
      <c r="AB126" s="18">
        <f t="shared" si="117"/>
        <v>5.6427715604970983</v>
      </c>
      <c r="AC126" s="18">
        <f t="shared" si="117"/>
        <v>1.8716894623832523</v>
      </c>
      <c r="AD126" s="56">
        <f t="shared" si="105"/>
        <v>2</v>
      </c>
      <c r="AF126" s="18">
        <f t="shared" si="118"/>
        <v>5.0305341043197185</v>
      </c>
      <c r="AG126" s="18">
        <f t="shared" si="118"/>
        <v>1.7853078092023944</v>
      </c>
      <c r="AH126" s="56">
        <f t="shared" si="106"/>
        <v>2</v>
      </c>
      <c r="AJ126" s="18">
        <f t="shared" si="119"/>
        <v>4.4339307939851338</v>
      </c>
      <c r="AK126" s="18">
        <f t="shared" si="119"/>
        <v>1.6140657330906329</v>
      </c>
      <c r="AL126" s="56">
        <f t="shared" si="107"/>
        <v>2</v>
      </c>
      <c r="AN126" s="18">
        <f t="shared" si="120"/>
        <v>4.2503420703395607</v>
      </c>
      <c r="AO126" s="18">
        <f t="shared" si="120"/>
        <v>1.5174630685529333</v>
      </c>
      <c r="AP126" s="56">
        <f t="shared" si="108"/>
        <v>2</v>
      </c>
      <c r="AR126" s="18">
        <f t="shared" si="121"/>
        <v>4.130597718042555</v>
      </c>
      <c r="AS126" s="18">
        <f t="shared" si="121"/>
        <v>1.4694460913505416</v>
      </c>
      <c r="AT126" s="56">
        <f t="shared" si="109"/>
        <v>2</v>
      </c>
      <c r="AV126" s="18">
        <f t="shared" si="122"/>
        <v>4.092391800442468</v>
      </c>
      <c r="AW126" s="18">
        <f t="shared" si="122"/>
        <v>1.4538452376947943</v>
      </c>
      <c r="AX126" s="56">
        <f t="shared" si="110"/>
        <v>2</v>
      </c>
      <c r="AZ126" s="18">
        <f t="shared" si="123"/>
        <v>4.0511021378265584</v>
      </c>
      <c r="BA126" s="18">
        <f t="shared" si="123"/>
        <v>1.4425815502126769</v>
      </c>
      <c r="BB126" s="56">
        <f t="shared" si="111"/>
        <v>2</v>
      </c>
      <c r="BD126" s="18">
        <f t="shared" si="124"/>
        <v>4.0511021378265584</v>
      </c>
      <c r="BE126" s="18">
        <f t="shared" si="124"/>
        <v>1.4425815502126769</v>
      </c>
      <c r="BF126" s="56">
        <f t="shared" si="112"/>
        <v>2</v>
      </c>
      <c r="BH126" s="18">
        <f t="shared" si="125"/>
        <v>4.0511021378265584</v>
      </c>
      <c r="BI126" s="18">
        <f t="shared" si="125"/>
        <v>1.4425815502126769</v>
      </c>
      <c r="BJ126" s="56">
        <f t="shared" si="113"/>
        <v>2</v>
      </c>
      <c r="BL126" s="18">
        <f t="shared" si="126"/>
        <v>4.0511021378265584</v>
      </c>
      <c r="BM126" s="18">
        <f t="shared" si="126"/>
        <v>1.4425815502126769</v>
      </c>
      <c r="BN126" s="56">
        <f t="shared" si="114"/>
        <v>2</v>
      </c>
      <c r="BP126" s="18">
        <f t="shared" si="127"/>
        <v>4.0511021378265584</v>
      </c>
      <c r="BQ126" s="18">
        <f t="shared" si="127"/>
        <v>1.4425815502126769</v>
      </c>
      <c r="BR126" s="56">
        <f t="shared" si="115"/>
        <v>2</v>
      </c>
    </row>
    <row r="127" spans="1:70" x14ac:dyDescent="0.25">
      <c r="A127" s="36" t="str">
        <f>KMeans_Data!A117</f>
        <v>Okara</v>
      </c>
      <c r="B127" s="18">
        <f>KMeans_Data!H117</f>
        <v>-1.7189756565516803</v>
      </c>
      <c r="C127" s="18">
        <f>KMeans_Data!I117</f>
        <v>-0.67265054538827607</v>
      </c>
      <c r="D127" s="18">
        <f>KMeans_Data!J117</f>
        <v>-1.1456441163335547</v>
      </c>
      <c r="E127" s="56">
        <f t="shared" si="102"/>
        <v>2</v>
      </c>
      <c r="F127" s="38">
        <f t="shared" si="103"/>
        <v>2.0810415290140098</v>
      </c>
      <c r="G127" s="18">
        <f>IF(COUNTIF(Distance_Matrix!$E$8:$DQ$8,$E127)&lt;=1,0,SUMIF(Distance_Matrix!$E$8:$DQ$8,$E127,Distance_Matrix!$E$126:$DQ$126)/(COUNTIF(Distance_Matrix!$E$8:$DQ$8,$E127)-1))</f>
        <v>1.5745898184515046</v>
      </c>
      <c r="H127" s="18">
        <f>MIN(IF(1=$E127,1E+99,IF(COUNTIF(Distance_Matrix!$E$8:$DQ$8,1)=0,1E+99,SUMIF(Distance_Matrix!$E$8:$DQ$8,1,Distance_Matrix!$E$126:$DQ$126)/COUNTIF(Distance_Matrix!$E$8:$DQ$8,1))),IF(2=$E127,1E+99,IF(COUNTIF(Distance_Matrix!$E$8:$DQ$8,2)=0,1E+99,SUMIF(Distance_Matrix!$E$8:$DQ$8,2,Distance_Matrix!$E$126:$DQ$126)/COUNTIF(Distance_Matrix!$E$8:$DQ$8,2))))</f>
        <v>4.0964548971154624</v>
      </c>
      <c r="I127" s="18">
        <f>IF(COUNTIF(Distance_Matrix!$E$8:$DQ$8,$E127)&lt;=1,0,(H127-G127)/MAX(G127,H127))</f>
        <v>0.61562134626204257</v>
      </c>
      <c r="X127" s="18">
        <f t="shared" si="116"/>
        <v>8.153323730623006</v>
      </c>
      <c r="Y127" s="18">
        <f t="shared" si="116"/>
        <v>0.36076232525164831</v>
      </c>
      <c r="Z127" s="56">
        <f t="shared" si="104"/>
        <v>2</v>
      </c>
      <c r="AB127" s="18">
        <f t="shared" si="117"/>
        <v>5.6427715604970983</v>
      </c>
      <c r="AC127" s="18">
        <f t="shared" si="117"/>
        <v>1.8716894623832523</v>
      </c>
      <c r="AD127" s="56">
        <f t="shared" si="105"/>
        <v>2</v>
      </c>
      <c r="AF127" s="18">
        <f t="shared" si="118"/>
        <v>5.0305341043197185</v>
      </c>
      <c r="AG127" s="18">
        <f t="shared" si="118"/>
        <v>1.7853078092023944</v>
      </c>
      <c r="AH127" s="56">
        <f t="shared" si="106"/>
        <v>2</v>
      </c>
      <c r="AJ127" s="18">
        <f t="shared" si="119"/>
        <v>4.4339307939851338</v>
      </c>
      <c r="AK127" s="18">
        <f t="shared" si="119"/>
        <v>1.6140657330906329</v>
      </c>
      <c r="AL127" s="56">
        <f t="shared" si="107"/>
        <v>2</v>
      </c>
      <c r="AN127" s="18">
        <f t="shared" si="120"/>
        <v>4.2503420703395607</v>
      </c>
      <c r="AO127" s="18">
        <f t="shared" si="120"/>
        <v>1.5174630685529333</v>
      </c>
      <c r="AP127" s="56">
        <f t="shared" si="108"/>
        <v>2</v>
      </c>
      <c r="AR127" s="18">
        <f t="shared" si="121"/>
        <v>4.130597718042555</v>
      </c>
      <c r="AS127" s="18">
        <f t="shared" si="121"/>
        <v>1.4694460913505416</v>
      </c>
      <c r="AT127" s="56">
        <f t="shared" si="109"/>
        <v>2</v>
      </c>
      <c r="AV127" s="18">
        <f t="shared" si="122"/>
        <v>4.092391800442468</v>
      </c>
      <c r="AW127" s="18">
        <f t="shared" si="122"/>
        <v>1.4538452376947943</v>
      </c>
      <c r="AX127" s="56">
        <f t="shared" si="110"/>
        <v>2</v>
      </c>
      <c r="AZ127" s="18">
        <f t="shared" si="123"/>
        <v>4.0511021378265584</v>
      </c>
      <c r="BA127" s="18">
        <f t="shared" si="123"/>
        <v>1.4425815502126769</v>
      </c>
      <c r="BB127" s="56">
        <f t="shared" si="111"/>
        <v>2</v>
      </c>
      <c r="BD127" s="18">
        <f t="shared" si="124"/>
        <v>4.0511021378265584</v>
      </c>
      <c r="BE127" s="18">
        <f t="shared" si="124"/>
        <v>1.4425815502126769</v>
      </c>
      <c r="BF127" s="56">
        <f t="shared" si="112"/>
        <v>2</v>
      </c>
      <c r="BH127" s="18">
        <f t="shared" si="125"/>
        <v>4.0511021378265584</v>
      </c>
      <c r="BI127" s="18">
        <f t="shared" si="125"/>
        <v>1.4425815502126769</v>
      </c>
      <c r="BJ127" s="56">
        <f t="shared" si="113"/>
        <v>2</v>
      </c>
      <c r="BL127" s="18">
        <f t="shared" si="126"/>
        <v>4.0511021378265584</v>
      </c>
      <c r="BM127" s="18">
        <f t="shared" si="126"/>
        <v>1.4425815502126769</v>
      </c>
      <c r="BN127" s="56">
        <f t="shared" si="114"/>
        <v>2</v>
      </c>
      <c r="BP127" s="18">
        <f t="shared" si="127"/>
        <v>4.0511021378265584</v>
      </c>
      <c r="BQ127" s="18">
        <f t="shared" si="127"/>
        <v>1.4425815502126769</v>
      </c>
      <c r="BR127" s="56">
        <f t="shared" si="115"/>
        <v>2</v>
      </c>
    </row>
    <row r="128" spans="1:70" x14ac:dyDescent="0.25">
      <c r="A128" s="36" t="str">
        <f>KMeans_Data!A118</f>
        <v>Ziarat</v>
      </c>
      <c r="B128" s="18">
        <f>KMeans_Data!H118</f>
        <v>-1.7189756565516803</v>
      </c>
      <c r="C128" s="18">
        <f>KMeans_Data!I118</f>
        <v>-0.67265054538827607</v>
      </c>
      <c r="D128" s="18">
        <f>KMeans_Data!J118</f>
        <v>-1.1456441163335547</v>
      </c>
      <c r="E128" s="56">
        <f t="shared" si="102"/>
        <v>2</v>
      </c>
      <c r="F128" s="38">
        <f t="shared" si="103"/>
        <v>2.0810415290140098</v>
      </c>
      <c r="G128" s="18">
        <f>IF(COUNTIF(Distance_Matrix!$E$8:$DQ$8,$E128)&lt;=1,0,SUMIF(Distance_Matrix!$E$8:$DQ$8,$E128,Distance_Matrix!$E$127:$DQ$127)/(COUNTIF(Distance_Matrix!$E$8:$DQ$8,$E128)-1))</f>
        <v>1.5745898184515046</v>
      </c>
      <c r="H128" s="18">
        <f>MIN(IF(1=$E128,1E+99,IF(COUNTIF(Distance_Matrix!$E$8:$DQ$8,1)=0,1E+99,SUMIF(Distance_Matrix!$E$8:$DQ$8,1,Distance_Matrix!$E$127:$DQ$127)/COUNTIF(Distance_Matrix!$E$8:$DQ$8,1))),IF(2=$E128,1E+99,IF(COUNTIF(Distance_Matrix!$E$8:$DQ$8,2)=0,1E+99,SUMIF(Distance_Matrix!$E$8:$DQ$8,2,Distance_Matrix!$E$127:$DQ$127)/COUNTIF(Distance_Matrix!$E$8:$DQ$8,2))))</f>
        <v>4.0964548971154624</v>
      </c>
      <c r="I128" s="18">
        <f>IF(COUNTIF(Distance_Matrix!$E$8:$DQ$8,$E128)&lt;=1,0,(H128-G128)/MAX(G128,H128))</f>
        <v>0.61562134626204257</v>
      </c>
      <c r="X128" s="18">
        <f t="shared" si="116"/>
        <v>8.153323730623006</v>
      </c>
      <c r="Y128" s="18">
        <f t="shared" si="116"/>
        <v>0.36076232525164831</v>
      </c>
      <c r="Z128" s="56">
        <f t="shared" si="104"/>
        <v>2</v>
      </c>
      <c r="AB128" s="18">
        <f t="shared" si="117"/>
        <v>5.6427715604970983</v>
      </c>
      <c r="AC128" s="18">
        <f t="shared" si="117"/>
        <v>1.8716894623832523</v>
      </c>
      <c r="AD128" s="56">
        <f t="shared" si="105"/>
        <v>2</v>
      </c>
      <c r="AF128" s="18">
        <f t="shared" si="118"/>
        <v>5.0305341043197185</v>
      </c>
      <c r="AG128" s="18">
        <f t="shared" si="118"/>
        <v>1.7853078092023944</v>
      </c>
      <c r="AH128" s="56">
        <f t="shared" si="106"/>
        <v>2</v>
      </c>
      <c r="AJ128" s="18">
        <f t="shared" si="119"/>
        <v>4.4339307939851338</v>
      </c>
      <c r="AK128" s="18">
        <f t="shared" si="119"/>
        <v>1.6140657330906329</v>
      </c>
      <c r="AL128" s="56">
        <f t="shared" si="107"/>
        <v>2</v>
      </c>
      <c r="AN128" s="18">
        <f t="shared" si="120"/>
        <v>4.2503420703395607</v>
      </c>
      <c r="AO128" s="18">
        <f t="shared" si="120"/>
        <v>1.5174630685529333</v>
      </c>
      <c r="AP128" s="56">
        <f t="shared" si="108"/>
        <v>2</v>
      </c>
      <c r="AR128" s="18">
        <f t="shared" si="121"/>
        <v>4.130597718042555</v>
      </c>
      <c r="AS128" s="18">
        <f t="shared" si="121"/>
        <v>1.4694460913505416</v>
      </c>
      <c r="AT128" s="56">
        <f t="shared" si="109"/>
        <v>2</v>
      </c>
      <c r="AV128" s="18">
        <f t="shared" si="122"/>
        <v>4.092391800442468</v>
      </c>
      <c r="AW128" s="18">
        <f t="shared" si="122"/>
        <v>1.4538452376947943</v>
      </c>
      <c r="AX128" s="56">
        <f t="shared" si="110"/>
        <v>2</v>
      </c>
      <c r="AZ128" s="18">
        <f t="shared" si="123"/>
        <v>4.0511021378265584</v>
      </c>
      <c r="BA128" s="18">
        <f t="shared" si="123"/>
        <v>1.4425815502126769</v>
      </c>
      <c r="BB128" s="56">
        <f t="shared" si="111"/>
        <v>2</v>
      </c>
      <c r="BD128" s="18">
        <f t="shared" si="124"/>
        <v>4.0511021378265584</v>
      </c>
      <c r="BE128" s="18">
        <f t="shared" si="124"/>
        <v>1.4425815502126769</v>
      </c>
      <c r="BF128" s="56">
        <f t="shared" si="112"/>
        <v>2</v>
      </c>
      <c r="BH128" s="18">
        <f t="shared" si="125"/>
        <v>4.0511021378265584</v>
      </c>
      <c r="BI128" s="18">
        <f t="shared" si="125"/>
        <v>1.4425815502126769</v>
      </c>
      <c r="BJ128" s="56">
        <f t="shared" si="113"/>
        <v>2</v>
      </c>
      <c r="BL128" s="18">
        <f t="shared" si="126"/>
        <v>4.0511021378265584</v>
      </c>
      <c r="BM128" s="18">
        <f t="shared" si="126"/>
        <v>1.4425815502126769</v>
      </c>
      <c r="BN128" s="56">
        <f t="shared" si="114"/>
        <v>2</v>
      </c>
      <c r="BP128" s="18">
        <f t="shared" si="127"/>
        <v>4.0511021378265584</v>
      </c>
      <c r="BQ128" s="18">
        <f t="shared" si="127"/>
        <v>1.4425815502126769</v>
      </c>
      <c r="BR128" s="56">
        <f t="shared" si="115"/>
        <v>2</v>
      </c>
    </row>
    <row r="129" spans="1:94" x14ac:dyDescent="0.25">
      <c r="A129" s="36" t="str">
        <f>KMeans_Data!A119</f>
        <v>Pakpatan</v>
      </c>
      <c r="B129" s="18">
        <f>KMeans_Data!H119</f>
        <v>-1.7189756565516803</v>
      </c>
      <c r="C129" s="18">
        <f>KMeans_Data!I119</f>
        <v>-0.67265054538827607</v>
      </c>
      <c r="D129" s="18">
        <f>KMeans_Data!J119</f>
        <v>-1.1456441163335547</v>
      </c>
      <c r="E129" s="56">
        <f t="shared" si="102"/>
        <v>2</v>
      </c>
      <c r="F129" s="38">
        <f t="shared" si="103"/>
        <v>2.0810415290140098</v>
      </c>
      <c r="G129" s="18">
        <f>IF(COUNTIF(Distance_Matrix!$E$8:$DQ$8,$E129)&lt;=1,0,SUMIF(Distance_Matrix!$E$8:$DQ$8,$E129,Distance_Matrix!$E$128:$DQ$128)/(COUNTIF(Distance_Matrix!$E$8:$DQ$8,$E129)-1))</f>
        <v>1.5745898184515046</v>
      </c>
      <c r="H129" s="18">
        <f>MIN(IF(1=$E129,1E+99,IF(COUNTIF(Distance_Matrix!$E$8:$DQ$8,1)=0,1E+99,SUMIF(Distance_Matrix!$E$8:$DQ$8,1,Distance_Matrix!$E$128:$DQ$128)/COUNTIF(Distance_Matrix!$E$8:$DQ$8,1))),IF(2=$E129,1E+99,IF(COUNTIF(Distance_Matrix!$E$8:$DQ$8,2)=0,1E+99,SUMIF(Distance_Matrix!$E$8:$DQ$8,2,Distance_Matrix!$E$128:$DQ$128)/COUNTIF(Distance_Matrix!$E$8:$DQ$8,2))))</f>
        <v>4.0964548971154624</v>
      </c>
      <c r="I129" s="18">
        <f>IF(COUNTIF(Distance_Matrix!$E$8:$DQ$8,$E129)&lt;=1,0,(H129-G129)/MAX(G129,H129))</f>
        <v>0.61562134626204257</v>
      </c>
      <c r="X129" s="18">
        <f t="shared" si="116"/>
        <v>8.153323730623006</v>
      </c>
      <c r="Y129" s="18">
        <f t="shared" si="116"/>
        <v>0.36076232525164831</v>
      </c>
      <c r="Z129" s="56">
        <f t="shared" si="104"/>
        <v>2</v>
      </c>
      <c r="AB129" s="18">
        <f t="shared" si="117"/>
        <v>5.6427715604970983</v>
      </c>
      <c r="AC129" s="18">
        <f t="shared" si="117"/>
        <v>1.8716894623832523</v>
      </c>
      <c r="AD129" s="56">
        <f t="shared" si="105"/>
        <v>2</v>
      </c>
      <c r="AF129" s="18">
        <f t="shared" si="118"/>
        <v>5.0305341043197185</v>
      </c>
      <c r="AG129" s="18">
        <f t="shared" si="118"/>
        <v>1.7853078092023944</v>
      </c>
      <c r="AH129" s="56">
        <f t="shared" si="106"/>
        <v>2</v>
      </c>
      <c r="AJ129" s="18">
        <f t="shared" si="119"/>
        <v>4.4339307939851338</v>
      </c>
      <c r="AK129" s="18">
        <f t="shared" si="119"/>
        <v>1.6140657330906329</v>
      </c>
      <c r="AL129" s="56">
        <f t="shared" si="107"/>
        <v>2</v>
      </c>
      <c r="AN129" s="18">
        <f t="shared" si="120"/>
        <v>4.2503420703395607</v>
      </c>
      <c r="AO129" s="18">
        <f t="shared" si="120"/>
        <v>1.5174630685529333</v>
      </c>
      <c r="AP129" s="56">
        <f t="shared" si="108"/>
        <v>2</v>
      </c>
      <c r="AR129" s="18">
        <f t="shared" si="121"/>
        <v>4.130597718042555</v>
      </c>
      <c r="AS129" s="18">
        <f t="shared" si="121"/>
        <v>1.4694460913505416</v>
      </c>
      <c r="AT129" s="56">
        <f t="shared" si="109"/>
        <v>2</v>
      </c>
      <c r="AV129" s="18">
        <f t="shared" si="122"/>
        <v>4.092391800442468</v>
      </c>
      <c r="AW129" s="18">
        <f t="shared" si="122"/>
        <v>1.4538452376947943</v>
      </c>
      <c r="AX129" s="56">
        <f t="shared" si="110"/>
        <v>2</v>
      </c>
      <c r="AZ129" s="18">
        <f t="shared" si="123"/>
        <v>4.0511021378265584</v>
      </c>
      <c r="BA129" s="18">
        <f t="shared" si="123"/>
        <v>1.4425815502126769</v>
      </c>
      <c r="BB129" s="56">
        <f t="shared" si="111"/>
        <v>2</v>
      </c>
      <c r="BD129" s="18">
        <f t="shared" si="124"/>
        <v>4.0511021378265584</v>
      </c>
      <c r="BE129" s="18">
        <f t="shared" si="124"/>
        <v>1.4425815502126769</v>
      </c>
      <c r="BF129" s="56">
        <f t="shared" si="112"/>
        <v>2</v>
      </c>
      <c r="BH129" s="18">
        <f t="shared" si="125"/>
        <v>4.0511021378265584</v>
      </c>
      <c r="BI129" s="18">
        <f t="shared" si="125"/>
        <v>1.4425815502126769</v>
      </c>
      <c r="BJ129" s="56">
        <f t="shared" si="113"/>
        <v>2</v>
      </c>
      <c r="BL129" s="18">
        <f t="shared" si="126"/>
        <v>4.0511021378265584</v>
      </c>
      <c r="BM129" s="18">
        <f t="shared" si="126"/>
        <v>1.4425815502126769</v>
      </c>
      <c r="BN129" s="56">
        <f t="shared" si="114"/>
        <v>2</v>
      </c>
      <c r="BP129" s="18">
        <f t="shared" si="127"/>
        <v>4.0511021378265584</v>
      </c>
      <c r="BQ129" s="18">
        <f t="shared" si="127"/>
        <v>1.4425815502126769</v>
      </c>
      <c r="BR129" s="56">
        <f t="shared" si="115"/>
        <v>2</v>
      </c>
    </row>
    <row r="130" spans="1:94" x14ac:dyDescent="0.25">
      <c r="A130" s="36" t="str">
        <f>KMeans_Data!A120</f>
        <v>Chitral</v>
      </c>
      <c r="B130" s="18">
        <f>KMeans_Data!H120</f>
        <v>-2.0797379818033286</v>
      </c>
      <c r="C130" s="18">
        <f>KMeans_Data!I120</f>
        <v>-0.67265054538827607</v>
      </c>
      <c r="D130" s="18">
        <f>KMeans_Data!J120</f>
        <v>-1.1456441163335547</v>
      </c>
      <c r="E130" s="56">
        <f t="shared" si="102"/>
        <v>2</v>
      </c>
      <c r="F130" s="38">
        <f t="shared" si="103"/>
        <v>3.1309595100482461</v>
      </c>
      <c r="G130" s="18">
        <f>IF(COUNTIF(Distance_Matrix!$E$8:$DQ$8,$E130)&lt;=1,0,SUMIF(Distance_Matrix!$E$8:$DQ$8,$E130,Distance_Matrix!$E$129:$DQ$129)/(COUNTIF(Distance_Matrix!$E$8:$DQ$8,$E130)-1))</f>
        <v>1.8811141192215293</v>
      </c>
      <c r="H130" s="18">
        <f>MIN(IF(1=$E130,1E+99,IF(COUNTIF(Distance_Matrix!$E$8:$DQ$8,1)=0,1E+99,SUMIF(Distance_Matrix!$E$8:$DQ$8,1,Distance_Matrix!$E$129:$DQ$129)/COUNTIF(Distance_Matrix!$E$8:$DQ$8,1))),IF(2=$E130,1E+99,IF(COUNTIF(Distance_Matrix!$E$8:$DQ$8,2)=0,1E+99,SUMIF(Distance_Matrix!$E$8:$DQ$8,2,Distance_Matrix!$E$129:$DQ$129)/COUNTIF(Distance_Matrix!$E$8:$DQ$8,2))))</f>
        <v>4.3502457799180752</v>
      </c>
      <c r="I130" s="18">
        <f>IF(COUNTIF(Distance_Matrix!$E$8:$DQ$8,$E130)&lt;=1,0,(H130-G130)/MAX(G130,H130))</f>
        <v>0.5675844045627797</v>
      </c>
      <c r="X130" s="18">
        <f t="shared" si="116"/>
        <v>8.3791178007212217</v>
      </c>
      <c r="Y130" s="18">
        <f t="shared" si="116"/>
        <v>0</v>
      </c>
      <c r="Z130" s="56">
        <f t="shared" si="104"/>
        <v>2</v>
      </c>
      <c r="AB130" s="18">
        <f t="shared" si="117"/>
        <v>5.8852173209541565</v>
      </c>
      <c r="AC130" s="18">
        <f t="shared" si="117"/>
        <v>2.1772747427442423</v>
      </c>
      <c r="AD130" s="56">
        <f t="shared" si="105"/>
        <v>2</v>
      </c>
      <c r="AF130" s="18">
        <f t="shared" si="118"/>
        <v>5.2765340307815283</v>
      </c>
      <c r="AG130" s="18">
        <f t="shared" si="118"/>
        <v>2.0943776481640706</v>
      </c>
      <c r="AH130" s="56">
        <f t="shared" si="106"/>
        <v>2</v>
      </c>
      <c r="AJ130" s="18">
        <f t="shared" si="119"/>
        <v>4.6816048946520503</v>
      </c>
      <c r="AK130" s="18">
        <f t="shared" si="119"/>
        <v>1.9324959487962732</v>
      </c>
      <c r="AL130" s="56">
        <f t="shared" si="107"/>
        <v>2</v>
      </c>
      <c r="AN130" s="18">
        <f t="shared" si="120"/>
        <v>4.5016991657277137</v>
      </c>
      <c r="AO130" s="18">
        <f t="shared" si="120"/>
        <v>1.8404097367113312</v>
      </c>
      <c r="AP130" s="56">
        <f t="shared" si="108"/>
        <v>2</v>
      </c>
      <c r="AR130" s="18">
        <f t="shared" si="121"/>
        <v>4.3838118903017866</v>
      </c>
      <c r="AS130" s="18">
        <f t="shared" si="121"/>
        <v>1.7947425967191961</v>
      </c>
      <c r="AT130" s="56">
        <f t="shared" si="109"/>
        <v>2</v>
      </c>
      <c r="AV130" s="18">
        <f t="shared" si="122"/>
        <v>4.3464718093348118</v>
      </c>
      <c r="AW130" s="18">
        <f t="shared" si="122"/>
        <v>1.7796504566286799</v>
      </c>
      <c r="AX130" s="56">
        <f t="shared" si="110"/>
        <v>2</v>
      </c>
      <c r="AZ130" s="18">
        <f t="shared" si="123"/>
        <v>4.3049717359780733</v>
      </c>
      <c r="BA130" s="18">
        <f t="shared" si="123"/>
        <v>1.769451754088889</v>
      </c>
      <c r="BB130" s="56">
        <f t="shared" si="111"/>
        <v>2</v>
      </c>
      <c r="BD130" s="18">
        <f t="shared" si="124"/>
        <v>4.3049717359780733</v>
      </c>
      <c r="BE130" s="18">
        <f t="shared" si="124"/>
        <v>1.769451754088889</v>
      </c>
      <c r="BF130" s="56">
        <f t="shared" si="112"/>
        <v>2</v>
      </c>
      <c r="BH130" s="18">
        <f t="shared" si="125"/>
        <v>4.3049717359780733</v>
      </c>
      <c r="BI130" s="18">
        <f t="shared" si="125"/>
        <v>1.769451754088889</v>
      </c>
      <c r="BJ130" s="56">
        <f t="shared" si="113"/>
        <v>2</v>
      </c>
      <c r="BL130" s="18">
        <f t="shared" si="126"/>
        <v>4.3049717359780733</v>
      </c>
      <c r="BM130" s="18">
        <f t="shared" si="126"/>
        <v>1.769451754088889</v>
      </c>
      <c r="BN130" s="56">
        <f t="shared" si="114"/>
        <v>2</v>
      </c>
      <c r="BP130" s="18">
        <f t="shared" si="127"/>
        <v>4.3049717359780733</v>
      </c>
      <c r="BQ130" s="18">
        <f t="shared" si="127"/>
        <v>1.769451754088889</v>
      </c>
      <c r="BR130" s="56">
        <f t="shared" si="115"/>
        <v>2</v>
      </c>
    </row>
    <row r="131" spans="1:94" x14ac:dyDescent="0.25">
      <c r="A131" s="36" t="str">
        <f>KMeans_Data!A121</f>
        <v>Kolai Pallas</v>
      </c>
      <c r="B131" s="18">
        <f>KMeans_Data!H121</f>
        <v>-2.0797379818033286</v>
      </c>
      <c r="C131" s="18">
        <f>KMeans_Data!I121</f>
        <v>-0.67265054538827607</v>
      </c>
      <c r="D131" s="18">
        <f>KMeans_Data!J121</f>
        <v>-1.1456441163335547</v>
      </c>
      <c r="E131" s="56">
        <f t="shared" si="102"/>
        <v>2</v>
      </c>
      <c r="F131" s="38">
        <f t="shared" si="103"/>
        <v>3.1309595100482461</v>
      </c>
      <c r="G131" s="18">
        <f>IF(COUNTIF(Distance_Matrix!$E$8:$DQ$8,$E131)&lt;=1,0,SUMIF(Distance_Matrix!$E$8:$DQ$8,$E131,Distance_Matrix!$E$130:$DQ$130)/(COUNTIF(Distance_Matrix!$E$8:$DQ$8,$E131)-1))</f>
        <v>1.8811141192215293</v>
      </c>
      <c r="H131" s="18">
        <f>MIN(IF(1=$E131,1E+99,IF(COUNTIF(Distance_Matrix!$E$8:$DQ$8,1)=0,1E+99,SUMIF(Distance_Matrix!$E$8:$DQ$8,1,Distance_Matrix!$E$130:$DQ$130)/COUNTIF(Distance_Matrix!$E$8:$DQ$8,1))),IF(2=$E131,1E+99,IF(COUNTIF(Distance_Matrix!$E$8:$DQ$8,2)=0,1E+99,SUMIF(Distance_Matrix!$E$8:$DQ$8,2,Distance_Matrix!$E$130:$DQ$130)/COUNTIF(Distance_Matrix!$E$8:$DQ$8,2))))</f>
        <v>4.3502457799180752</v>
      </c>
      <c r="I131" s="18">
        <f>IF(COUNTIF(Distance_Matrix!$E$8:$DQ$8,$E131)&lt;=1,0,(H131-G131)/MAX(G131,H131))</f>
        <v>0.5675844045627797</v>
      </c>
      <c r="X131" s="18">
        <f t="shared" si="116"/>
        <v>8.3791178007212217</v>
      </c>
      <c r="Y131" s="18">
        <f t="shared" si="116"/>
        <v>0</v>
      </c>
      <c r="Z131" s="56">
        <f t="shared" si="104"/>
        <v>2</v>
      </c>
      <c r="AB131" s="18">
        <f t="shared" si="117"/>
        <v>5.8852173209541565</v>
      </c>
      <c r="AC131" s="18">
        <f t="shared" si="117"/>
        <v>2.1772747427442423</v>
      </c>
      <c r="AD131" s="56">
        <f t="shared" si="105"/>
        <v>2</v>
      </c>
      <c r="AF131" s="18">
        <f t="shared" si="118"/>
        <v>5.2765340307815283</v>
      </c>
      <c r="AG131" s="18">
        <f t="shared" si="118"/>
        <v>2.0943776481640706</v>
      </c>
      <c r="AH131" s="56">
        <f t="shared" si="106"/>
        <v>2</v>
      </c>
      <c r="AJ131" s="18">
        <f t="shared" si="119"/>
        <v>4.6816048946520503</v>
      </c>
      <c r="AK131" s="18">
        <f t="shared" si="119"/>
        <v>1.9324959487962732</v>
      </c>
      <c r="AL131" s="56">
        <f t="shared" si="107"/>
        <v>2</v>
      </c>
      <c r="AN131" s="18">
        <f t="shared" si="120"/>
        <v>4.5016991657277137</v>
      </c>
      <c r="AO131" s="18">
        <f t="shared" si="120"/>
        <v>1.8404097367113312</v>
      </c>
      <c r="AP131" s="56">
        <f t="shared" si="108"/>
        <v>2</v>
      </c>
      <c r="AR131" s="18">
        <f t="shared" si="121"/>
        <v>4.3838118903017866</v>
      </c>
      <c r="AS131" s="18">
        <f t="shared" si="121"/>
        <v>1.7947425967191961</v>
      </c>
      <c r="AT131" s="56">
        <f t="shared" si="109"/>
        <v>2</v>
      </c>
      <c r="AV131" s="18">
        <f t="shared" si="122"/>
        <v>4.3464718093348118</v>
      </c>
      <c r="AW131" s="18">
        <f t="shared" si="122"/>
        <v>1.7796504566286799</v>
      </c>
      <c r="AX131" s="56">
        <f t="shared" si="110"/>
        <v>2</v>
      </c>
      <c r="AZ131" s="18">
        <f t="shared" si="123"/>
        <v>4.3049717359780733</v>
      </c>
      <c r="BA131" s="18">
        <f t="shared" si="123"/>
        <v>1.769451754088889</v>
      </c>
      <c r="BB131" s="56">
        <f t="shared" si="111"/>
        <v>2</v>
      </c>
      <c r="BD131" s="18">
        <f t="shared" si="124"/>
        <v>4.3049717359780733</v>
      </c>
      <c r="BE131" s="18">
        <f t="shared" si="124"/>
        <v>1.769451754088889</v>
      </c>
      <c r="BF131" s="56">
        <f t="shared" si="112"/>
        <v>2</v>
      </c>
      <c r="BH131" s="18">
        <f t="shared" si="125"/>
        <v>4.3049717359780733</v>
      </c>
      <c r="BI131" s="18">
        <f t="shared" si="125"/>
        <v>1.769451754088889</v>
      </c>
      <c r="BJ131" s="56">
        <f t="shared" si="113"/>
        <v>2</v>
      </c>
      <c r="BL131" s="18">
        <f t="shared" si="126"/>
        <v>4.3049717359780733</v>
      </c>
      <c r="BM131" s="18">
        <f t="shared" si="126"/>
        <v>1.769451754088889</v>
      </c>
      <c r="BN131" s="56">
        <f t="shared" si="114"/>
        <v>2</v>
      </c>
      <c r="BP131" s="18">
        <f t="shared" si="127"/>
        <v>4.3049717359780733</v>
      </c>
      <c r="BQ131" s="18">
        <f t="shared" si="127"/>
        <v>1.769451754088889</v>
      </c>
      <c r="BR131" s="56">
        <f t="shared" si="115"/>
        <v>2</v>
      </c>
    </row>
    <row r="135" spans="1:94" x14ac:dyDescent="0.25">
      <c r="A135" s="54" t="s">
        <v>501</v>
      </c>
      <c r="B135" s="55"/>
    </row>
    <row r="136" spans="1:94" x14ac:dyDescent="0.25">
      <c r="A136" s="48" t="s">
        <v>499</v>
      </c>
    </row>
    <row r="137" spans="1:94" x14ac:dyDescent="0.25">
      <c r="A137" s="48" t="s">
        <v>458</v>
      </c>
      <c r="B137" s="32" t="s">
        <v>91</v>
      </c>
    </row>
    <row r="138" spans="1:94" x14ac:dyDescent="0.25">
      <c r="A138" s="48" t="s">
        <v>459</v>
      </c>
      <c r="B138" s="32" t="s">
        <v>435</v>
      </c>
      <c r="L138" s="54" t="s">
        <v>462</v>
      </c>
      <c r="M138" s="55"/>
      <c r="N138" s="55"/>
      <c r="O138" s="55"/>
      <c r="X138" s="54" t="s">
        <v>463</v>
      </c>
      <c r="Y138" s="55"/>
      <c r="Z138" s="55"/>
      <c r="AA138" s="55"/>
      <c r="AD138" s="54" t="s">
        <v>464</v>
      </c>
      <c r="AE138" s="55"/>
      <c r="AF138" s="55"/>
      <c r="AG138" s="55"/>
      <c r="AJ138" s="54" t="s">
        <v>465</v>
      </c>
      <c r="AK138" s="55"/>
      <c r="AL138" s="55"/>
      <c r="AM138" s="55"/>
      <c r="AP138" s="54" t="s">
        <v>466</v>
      </c>
      <c r="AQ138" s="55"/>
      <c r="AR138" s="55"/>
      <c r="AS138" s="55"/>
      <c r="AV138" s="54" t="s">
        <v>467</v>
      </c>
      <c r="AW138" s="55"/>
      <c r="AX138" s="55"/>
      <c r="AY138" s="55"/>
      <c r="BB138" s="54" t="s">
        <v>468</v>
      </c>
      <c r="BC138" s="55"/>
      <c r="BD138" s="55"/>
      <c r="BE138" s="55"/>
      <c r="BH138" s="54" t="s">
        <v>469</v>
      </c>
      <c r="BI138" s="55"/>
      <c r="BJ138" s="55"/>
      <c r="BK138" s="55"/>
      <c r="BN138" s="54" t="s">
        <v>470</v>
      </c>
      <c r="BO138" s="55"/>
      <c r="BP138" s="55"/>
      <c r="BQ138" s="55"/>
      <c r="BT138" s="54" t="s">
        <v>471</v>
      </c>
      <c r="BU138" s="55"/>
      <c r="BV138" s="55"/>
      <c r="BW138" s="55"/>
      <c r="BZ138" s="54" t="s">
        <v>472</v>
      </c>
      <c r="CA138" s="55"/>
      <c r="CB138" s="55"/>
      <c r="CC138" s="55"/>
      <c r="CF138" s="54" t="s">
        <v>473</v>
      </c>
      <c r="CG138" s="55"/>
      <c r="CH138" s="55"/>
      <c r="CI138" s="55"/>
      <c r="CL138" s="54" t="s">
        <v>474</v>
      </c>
      <c r="CM138" s="55"/>
      <c r="CN138" s="55"/>
      <c r="CO138" s="55"/>
    </row>
    <row r="139" spans="1:94" x14ac:dyDescent="0.25">
      <c r="A139" s="48" t="s">
        <v>460</v>
      </c>
      <c r="B139" s="32" t="s">
        <v>104</v>
      </c>
      <c r="K139" s="40" t="s">
        <v>445</v>
      </c>
      <c r="L139" s="18">
        <f>IFERROR(AVERAGEIF($E$146:$E$262,1,$B$146:$B$262),0)</f>
        <v>2.483183704477069</v>
      </c>
      <c r="M139" s="18">
        <f>IFERROR(AVERAGEIF($E$146:$E$262,2,$B$146:$B$262),0)</f>
        <v>-1.2779762816873452</v>
      </c>
      <c r="N139" s="18">
        <f>IFERROR(AVERAGEIF($E$146:$E$262,3,$B$146:$B$262),0)</f>
        <v>0.6312365344078521</v>
      </c>
      <c r="O139" s="18">
        <f>IFERROR(AVERAGEIF($E$146:$E$262,4,$B$146:$B$262),0)</f>
        <v>-0.12868259097488574</v>
      </c>
      <c r="W139" s="40" t="s">
        <v>445</v>
      </c>
      <c r="X139" s="18">
        <f>INDEX($B$146:$B$262,MATCH($B$137,$A$146:$A$262,0))</f>
        <v>3.2743087782752069</v>
      </c>
      <c r="Y139" s="18">
        <f>INDEX($B$146:$B$262,MATCH($B$138,$A$146:$A$262,0))</f>
        <v>-2.0797379818033286</v>
      </c>
      <c r="Z139" s="18">
        <f>INDEX($B$146:$B$262,MATCH($B$139,$A$146:$A$262,0))</f>
        <v>1.0373368721320242</v>
      </c>
      <c r="AA139" s="18">
        <f>INDEX($B$146:$B$262,MATCH($B$140,$A$146:$A$262,0))</f>
        <v>0.64567305864807512</v>
      </c>
      <c r="AD139" s="18">
        <f>IFERROR(AVERAGEIF($AB$146:$AB$262,1,$B$146:$B$262),X139)</f>
        <v>2.8085564774337839</v>
      </c>
      <c r="AE139" s="18">
        <f>IFERROR(AVERAGEIF($AB$146:$AB$262,2,$B$146:$B$262),Y139)</f>
        <v>-1.2410107952816929</v>
      </c>
      <c r="AF139" s="18">
        <f>IFERROR(AVERAGEIF($AB$146:$AB$262,3,$B$146:$B$262),Z139)</f>
        <v>0.60764689011995232</v>
      </c>
      <c r="AG139" s="18">
        <f>IFERROR(AVERAGEIF($AB$146:$AB$262,4,$B$146:$B$262),AA139)</f>
        <v>-6.2255712309661024E-2</v>
      </c>
      <c r="AJ139" s="18">
        <f>IFERROR(AVERAGEIF($AH$146:$AH$262,1,$B$146:$B$262),AD139)</f>
        <v>2.6810699520435883</v>
      </c>
      <c r="AK139" s="18">
        <f>IFERROR(AVERAGEIF($AH$146:$AH$262,2,$B$146:$B$262),AE139)</f>
        <v>-1.2322742668111126</v>
      </c>
      <c r="AL139" s="18">
        <f>IFERROR(AVERAGEIF($AH$146:$AH$262,3,$B$146:$B$262),AF139)</f>
        <v>0.65393432209828939</v>
      </c>
      <c r="AM139" s="18">
        <f>IFERROR(AVERAGEIF($AH$146:$AH$262,4,$B$146:$B$262),AG139)</f>
        <v>-8.1547272374823274E-2</v>
      </c>
      <c r="AP139" s="18">
        <f>IFERROR(AVERAGEIF($AN$146:$AN$262,1,$B$146:$B$262),AJ139)</f>
        <v>2.483183704477069</v>
      </c>
      <c r="AQ139" s="18">
        <f>IFERROR(AVERAGEIF($AN$146:$AN$262,2,$B$146:$B$262),AK139)</f>
        <v>-1.2779762816873452</v>
      </c>
      <c r="AR139" s="18">
        <f>IFERROR(AVERAGEIF($AN$146:$AN$262,3,$B$146:$B$262),AL139)</f>
        <v>0.6312365344078521</v>
      </c>
      <c r="AS139" s="18">
        <f>IFERROR(AVERAGEIF($AN$146:$AN$262,4,$B$146:$B$262),AM139)</f>
        <v>-0.12868259097488574</v>
      </c>
      <c r="AV139" s="18">
        <f>IFERROR(AVERAGEIF($AT$146:$AT$262,1,$B$146:$B$262),AP139)</f>
        <v>2.483183704477069</v>
      </c>
      <c r="AW139" s="18">
        <f>IFERROR(AVERAGEIF($AT$146:$AT$262,2,$B$146:$B$262),AQ139)</f>
        <v>-1.2779762816873452</v>
      </c>
      <c r="AX139" s="18">
        <f>IFERROR(AVERAGEIF($AT$146:$AT$262,3,$B$146:$B$262),AR139)</f>
        <v>0.6312365344078521</v>
      </c>
      <c r="AY139" s="18">
        <f>IFERROR(AVERAGEIF($AT$146:$AT$262,4,$B$146:$B$262),AS139)</f>
        <v>-0.12868259097488574</v>
      </c>
      <c r="BB139" s="18">
        <f>IFERROR(AVERAGEIF($AZ$146:$AZ$262,1,$B$146:$B$262),AV139)</f>
        <v>2.483183704477069</v>
      </c>
      <c r="BC139" s="18">
        <f>IFERROR(AVERAGEIF($AZ$146:$AZ$262,2,$B$146:$B$262),AW139)</f>
        <v>-1.2779762816873452</v>
      </c>
      <c r="BD139" s="18">
        <f>IFERROR(AVERAGEIF($AZ$146:$AZ$262,3,$B$146:$B$262),AX139)</f>
        <v>0.6312365344078521</v>
      </c>
      <c r="BE139" s="18">
        <f>IFERROR(AVERAGEIF($AZ$146:$AZ$262,4,$B$146:$B$262),AY139)</f>
        <v>-0.12868259097488574</v>
      </c>
      <c r="BH139" s="18">
        <f>IFERROR(AVERAGEIF($BF$146:$BF$262,1,$B$146:$B$262),BB139)</f>
        <v>2.483183704477069</v>
      </c>
      <c r="BI139" s="18">
        <f>IFERROR(AVERAGEIF($BF$146:$BF$262,2,$B$146:$B$262),BC139)</f>
        <v>-1.2779762816873452</v>
      </c>
      <c r="BJ139" s="18">
        <f>IFERROR(AVERAGEIF($BF$146:$BF$262,3,$B$146:$B$262),BD139)</f>
        <v>0.6312365344078521</v>
      </c>
      <c r="BK139" s="18">
        <f>IFERROR(AVERAGEIF($BF$146:$BF$262,4,$B$146:$B$262),BE139)</f>
        <v>-0.12868259097488574</v>
      </c>
      <c r="BN139" s="18">
        <f>IFERROR(AVERAGEIF($BL$146:$BL$262,1,$B$146:$B$262),BH139)</f>
        <v>2.483183704477069</v>
      </c>
      <c r="BO139" s="18">
        <f>IFERROR(AVERAGEIF($BL$146:$BL$262,2,$B$146:$B$262),BI139)</f>
        <v>-1.2779762816873452</v>
      </c>
      <c r="BP139" s="18">
        <f>IFERROR(AVERAGEIF($BL$146:$BL$262,3,$B$146:$B$262),BJ139)</f>
        <v>0.6312365344078521</v>
      </c>
      <c r="BQ139" s="18">
        <f>IFERROR(AVERAGEIF($BL$146:$BL$262,4,$B$146:$B$262),BK139)</f>
        <v>-0.12868259097488574</v>
      </c>
      <c r="BT139" s="18">
        <f>IFERROR(AVERAGEIF($BR$146:$BR$262,1,$B$146:$B$262),BN139)</f>
        <v>2.483183704477069</v>
      </c>
      <c r="BU139" s="18">
        <f>IFERROR(AVERAGEIF($BR$146:$BR$262,2,$B$146:$B$262),BO139)</f>
        <v>-1.2779762816873452</v>
      </c>
      <c r="BV139" s="18">
        <f>IFERROR(AVERAGEIF($BR$146:$BR$262,3,$B$146:$B$262),BP139)</f>
        <v>0.6312365344078521</v>
      </c>
      <c r="BW139" s="18">
        <f>IFERROR(AVERAGEIF($BR$146:$BR$262,4,$B$146:$B$262),BQ139)</f>
        <v>-0.12868259097488574</v>
      </c>
      <c r="BZ139" s="18">
        <f>IFERROR(AVERAGEIF($BX$146:$BX$262,1,$B$146:$B$262),BT139)</f>
        <v>2.483183704477069</v>
      </c>
      <c r="CA139" s="18">
        <f>IFERROR(AVERAGEIF($BX$146:$BX$262,2,$B$146:$B$262),BU139)</f>
        <v>-1.2779762816873452</v>
      </c>
      <c r="CB139" s="18">
        <f>IFERROR(AVERAGEIF($BX$146:$BX$262,3,$B$146:$B$262),BV139)</f>
        <v>0.6312365344078521</v>
      </c>
      <c r="CC139" s="18">
        <f>IFERROR(AVERAGEIF($BX$146:$BX$262,4,$B$146:$B$262),BW139)</f>
        <v>-0.12868259097488574</v>
      </c>
      <c r="CF139" s="18">
        <f>IFERROR(AVERAGEIF($CD$146:$CD$262,1,$B$146:$B$262),BZ139)</f>
        <v>2.483183704477069</v>
      </c>
      <c r="CG139" s="18">
        <f>IFERROR(AVERAGEIF($CD$146:$CD$262,2,$B$146:$B$262),CA139)</f>
        <v>-1.2779762816873452</v>
      </c>
      <c r="CH139" s="18">
        <f>IFERROR(AVERAGEIF($CD$146:$CD$262,3,$B$146:$B$262),CB139)</f>
        <v>0.6312365344078521</v>
      </c>
      <c r="CI139" s="18">
        <f>IFERROR(AVERAGEIF($CD$146:$CD$262,4,$B$146:$B$262),CC139)</f>
        <v>-0.12868259097488574</v>
      </c>
      <c r="CL139" s="18">
        <f>IFERROR(AVERAGEIF($CJ$146:$CJ$262,1,$B$146:$B$262),CF139)</f>
        <v>2.483183704477069</v>
      </c>
      <c r="CM139" s="18">
        <f>IFERROR(AVERAGEIF($CJ$146:$CJ$262,2,$B$146:$B$262),CG139)</f>
        <v>-1.2779762816873452</v>
      </c>
      <c r="CN139" s="18">
        <f>IFERROR(AVERAGEIF($CJ$146:$CJ$262,3,$B$146:$B$262),CH139)</f>
        <v>0.6312365344078521</v>
      </c>
      <c r="CO139" s="18">
        <f>IFERROR(AVERAGEIF($CJ$146:$CJ$262,4,$B$146:$B$262),CI139)</f>
        <v>-0.12868259097488574</v>
      </c>
    </row>
    <row r="140" spans="1:94" x14ac:dyDescent="0.25">
      <c r="A140" s="48" t="s">
        <v>502</v>
      </c>
      <c r="B140" s="32" t="s">
        <v>346</v>
      </c>
      <c r="K140" s="40" t="s">
        <v>446</v>
      </c>
      <c r="L140" s="18">
        <f>IFERROR(AVERAGEIF($E$146:$E$262,1,$C$146:$C$262),0)</f>
        <v>3.0580462956850702</v>
      </c>
      <c r="M140" s="18">
        <f>IFERROR(AVERAGEIF($E$146:$E$262,2,$C$146:$C$262),0)</f>
        <v>-0.65162384892992609</v>
      </c>
      <c r="N140" s="18">
        <f>IFERROR(AVERAGEIF($E$146:$E$262,3,$C$146:$C$262),0)</f>
        <v>0.61725772783733579</v>
      </c>
      <c r="O140" s="18">
        <f>IFERROR(AVERAGEIF($E$146:$E$262,4,$C$146:$C$262),0)</f>
        <v>-0.50808607103762693</v>
      </c>
      <c r="W140" s="40" t="s">
        <v>446</v>
      </c>
      <c r="X140" s="18">
        <f>INDEX($C$146:$C$262,MATCH($B$137,$A$146:$A$262,0))</f>
        <v>4.0388517969113016</v>
      </c>
      <c r="Y140" s="18">
        <f>INDEX($C$146:$C$262,MATCH($B$138,$A$146:$A$262,0))</f>
        <v>-0.67265054538827607</v>
      </c>
      <c r="Z140" s="18">
        <f>INDEX($C$146:$C$262,MATCH($B$139,$A$146:$A$262,0))</f>
        <v>0.37868427752921691</v>
      </c>
      <c r="AA140" s="18">
        <f>INDEX($C$146:$C$262,MATCH($B$140,$A$146:$A$262,0))</f>
        <v>-0.14698313392952958</v>
      </c>
      <c r="AD140" s="18">
        <f>IFERROR(AVERAGEIF($AB$146:$AB$262,1,$C$146:$C$262),X140)</f>
        <v>3.5128956208973117</v>
      </c>
      <c r="AE140" s="18">
        <f>IFERROR(AVERAGEIF($AB$146:$AB$262,2,$C$146:$C$262),Y140)</f>
        <v>-0.65387670926474928</v>
      </c>
      <c r="AF140" s="18">
        <f>IFERROR(AVERAGEIF($AB$146:$AB$262,3,$C$146:$C$262),Z140)</f>
        <v>0.57676905446727789</v>
      </c>
      <c r="AG140" s="18">
        <f>IFERROR(AVERAGEIF($AB$146:$AB$262,4,$C$146:$C$262),AA140)</f>
        <v>-0.48914533253022024</v>
      </c>
      <c r="AJ140" s="18">
        <f>IFERROR(AVERAGEIF($AH$146:$AH$262,1,$C$146:$C$262),AD140)</f>
        <v>3.223474360805239</v>
      </c>
      <c r="AK140" s="18">
        <f>IFERROR(AVERAGEIF($AH$146:$AH$262,2,$C$146:$C$262),AE140)</f>
        <v>-0.65387670926474928</v>
      </c>
      <c r="AL140" s="18">
        <f>IFERROR(AVERAGEIF($AH$146:$AH$262,3,$C$146:$C$262),AF140)</f>
        <v>0.65972215526488553</v>
      </c>
      <c r="AM140" s="18">
        <f>IFERROR(AVERAGEIF($AH$146:$AH$262,4,$C$146:$C$262),AG140)</f>
        <v>-0.49735360531910638</v>
      </c>
      <c r="AP140" s="18">
        <f>IFERROR(AVERAGEIF($AN$146:$AN$262,1,$C$146:$C$262),AJ140)</f>
        <v>3.0580462956850702</v>
      </c>
      <c r="AQ140" s="18">
        <f>IFERROR(AVERAGEIF($AN$146:$AN$262,2,$C$146:$C$262),AK140)</f>
        <v>-0.65162384892992609</v>
      </c>
      <c r="AR140" s="18">
        <f>IFERROR(AVERAGEIF($AN$146:$AN$262,3,$C$146:$C$262),AL140)</f>
        <v>0.61725772783733579</v>
      </c>
      <c r="AS140" s="18">
        <f>IFERROR(AVERAGEIF($AN$146:$AN$262,4,$C$146:$C$262),AM140)</f>
        <v>-0.50808607103762693</v>
      </c>
      <c r="AV140" s="18">
        <f>IFERROR(AVERAGEIF($AT$146:$AT$262,1,$C$146:$C$262),AP140)</f>
        <v>3.0580462956850702</v>
      </c>
      <c r="AW140" s="18">
        <f>IFERROR(AVERAGEIF($AT$146:$AT$262,2,$C$146:$C$262),AQ140)</f>
        <v>-0.65162384892992609</v>
      </c>
      <c r="AX140" s="18">
        <f>IFERROR(AVERAGEIF($AT$146:$AT$262,3,$C$146:$C$262),AR140)</f>
        <v>0.61725772783733579</v>
      </c>
      <c r="AY140" s="18">
        <f>IFERROR(AVERAGEIF($AT$146:$AT$262,4,$C$146:$C$262),AS140)</f>
        <v>-0.50808607103762693</v>
      </c>
      <c r="BB140" s="18">
        <f>IFERROR(AVERAGEIF($AZ$146:$AZ$262,1,$C$146:$C$262),AV140)</f>
        <v>3.0580462956850702</v>
      </c>
      <c r="BC140" s="18">
        <f>IFERROR(AVERAGEIF($AZ$146:$AZ$262,2,$C$146:$C$262),AW140)</f>
        <v>-0.65162384892992609</v>
      </c>
      <c r="BD140" s="18">
        <f>IFERROR(AVERAGEIF($AZ$146:$AZ$262,3,$C$146:$C$262),AX140)</f>
        <v>0.61725772783733579</v>
      </c>
      <c r="BE140" s="18">
        <f>IFERROR(AVERAGEIF($AZ$146:$AZ$262,4,$C$146:$C$262),AY140)</f>
        <v>-0.50808607103762693</v>
      </c>
      <c r="BH140" s="18">
        <f>IFERROR(AVERAGEIF($BF$146:$BF$262,1,$C$146:$C$262),BB140)</f>
        <v>3.0580462956850702</v>
      </c>
      <c r="BI140" s="18">
        <f>IFERROR(AVERAGEIF($BF$146:$BF$262,2,$C$146:$C$262),BC140)</f>
        <v>-0.65162384892992609</v>
      </c>
      <c r="BJ140" s="18">
        <f>IFERROR(AVERAGEIF($BF$146:$BF$262,3,$C$146:$C$262),BD140)</f>
        <v>0.61725772783733579</v>
      </c>
      <c r="BK140" s="18">
        <f>IFERROR(AVERAGEIF($BF$146:$BF$262,4,$C$146:$C$262),BE140)</f>
        <v>-0.50808607103762693</v>
      </c>
      <c r="BN140" s="18">
        <f>IFERROR(AVERAGEIF($BL$146:$BL$262,1,$C$146:$C$262),BH140)</f>
        <v>3.0580462956850702</v>
      </c>
      <c r="BO140" s="18">
        <f>IFERROR(AVERAGEIF($BL$146:$BL$262,2,$C$146:$C$262),BI140)</f>
        <v>-0.65162384892992609</v>
      </c>
      <c r="BP140" s="18">
        <f>IFERROR(AVERAGEIF($BL$146:$BL$262,3,$C$146:$C$262),BJ140)</f>
        <v>0.61725772783733579</v>
      </c>
      <c r="BQ140" s="18">
        <f>IFERROR(AVERAGEIF($BL$146:$BL$262,4,$C$146:$C$262),BK140)</f>
        <v>-0.50808607103762693</v>
      </c>
      <c r="BT140" s="18">
        <f>IFERROR(AVERAGEIF($BR$146:$BR$262,1,$C$146:$C$262),BN140)</f>
        <v>3.0580462956850702</v>
      </c>
      <c r="BU140" s="18">
        <f>IFERROR(AVERAGEIF($BR$146:$BR$262,2,$C$146:$C$262),BO140)</f>
        <v>-0.65162384892992609</v>
      </c>
      <c r="BV140" s="18">
        <f>IFERROR(AVERAGEIF($BR$146:$BR$262,3,$C$146:$C$262),BP140)</f>
        <v>0.61725772783733579</v>
      </c>
      <c r="BW140" s="18">
        <f>IFERROR(AVERAGEIF($BR$146:$BR$262,4,$C$146:$C$262),BQ140)</f>
        <v>-0.50808607103762693</v>
      </c>
      <c r="BZ140" s="18">
        <f>IFERROR(AVERAGEIF($BX$146:$BX$262,1,$C$146:$C$262),BT140)</f>
        <v>3.0580462956850702</v>
      </c>
      <c r="CA140" s="18">
        <f>IFERROR(AVERAGEIF($BX$146:$BX$262,2,$C$146:$C$262),BU140)</f>
        <v>-0.65162384892992609</v>
      </c>
      <c r="CB140" s="18">
        <f>IFERROR(AVERAGEIF($BX$146:$BX$262,3,$C$146:$C$262),BV140)</f>
        <v>0.61725772783733579</v>
      </c>
      <c r="CC140" s="18">
        <f>IFERROR(AVERAGEIF($BX$146:$BX$262,4,$C$146:$C$262),BW140)</f>
        <v>-0.50808607103762693</v>
      </c>
      <c r="CF140" s="18">
        <f>IFERROR(AVERAGEIF($CD$146:$CD$262,1,$C$146:$C$262),BZ140)</f>
        <v>3.0580462956850702</v>
      </c>
      <c r="CG140" s="18">
        <f>IFERROR(AVERAGEIF($CD$146:$CD$262,2,$C$146:$C$262),CA140)</f>
        <v>-0.65162384892992609</v>
      </c>
      <c r="CH140" s="18">
        <f>IFERROR(AVERAGEIF($CD$146:$CD$262,3,$C$146:$C$262),CB140)</f>
        <v>0.61725772783733579</v>
      </c>
      <c r="CI140" s="18">
        <f>IFERROR(AVERAGEIF($CD$146:$CD$262,4,$C$146:$C$262),CC140)</f>
        <v>-0.50808607103762693</v>
      </c>
      <c r="CL140" s="18">
        <f>IFERROR(AVERAGEIF($CJ$146:$CJ$262,1,$C$146:$C$262),CF140)</f>
        <v>3.0580462956850702</v>
      </c>
      <c r="CM140" s="18">
        <f>IFERROR(AVERAGEIF($CJ$146:$CJ$262,2,$C$146:$C$262),CG140)</f>
        <v>-0.65162384892992609</v>
      </c>
      <c r="CN140" s="18">
        <f>IFERROR(AVERAGEIF($CJ$146:$CJ$262,3,$C$146:$C$262),CH140)</f>
        <v>0.61725772783733579</v>
      </c>
      <c r="CO140" s="18">
        <f>IFERROR(AVERAGEIF($CJ$146:$CJ$262,4,$C$146:$C$262),CI140)</f>
        <v>-0.50808607103762693</v>
      </c>
    </row>
    <row r="141" spans="1:94" x14ac:dyDescent="0.25">
      <c r="K141" s="40" t="s">
        <v>447</v>
      </c>
      <c r="L141" s="18">
        <f>IFERROR(AVERAGEIF($E$146:$E$262,1,$D$146:$D$262),0)</f>
        <v>2.1809094372686584</v>
      </c>
      <c r="M141" s="18">
        <f>IFERROR(AVERAGEIF($E$146:$E$262,2,$D$146:$D$262),0)</f>
        <v>-1.0738889424843081</v>
      </c>
      <c r="N141" s="18">
        <f>IFERROR(AVERAGEIF($E$146:$E$262,3,$D$146:$D$262),0)</f>
        <v>0.86866255308454232</v>
      </c>
      <c r="O141" s="18">
        <f>IFERROR(AVERAGEIF($E$146:$E$262,4,$D$146:$D$262),0)</f>
        <v>-0.3750764801149456</v>
      </c>
      <c r="W141" s="40" t="s">
        <v>447</v>
      </c>
      <c r="X141" s="18">
        <f>INDEX($D$146:$D$262,MATCH($B$137,$A$146:$A$262,0))</f>
        <v>3.2527128596020467</v>
      </c>
      <c r="Y141" s="18">
        <f>INDEX($D$146:$D$262,MATCH($B$138,$A$146:$A$262,0))</f>
        <v>-1.1456441163335547</v>
      </c>
      <c r="Z141" s="18">
        <f>INDEX($D$146:$D$262,MATCH($B$139,$A$146:$A$262,0))</f>
        <v>1.4704046399545831</v>
      </c>
      <c r="AA141" s="18">
        <f>INDEX($D$146:$D$262,MATCH($B$140,$A$146:$A$262,0))</f>
        <v>-1.1456441163335547</v>
      </c>
      <c r="AD141" s="18">
        <f>IFERROR(AVERAGEIF($AB$146:$AB$262,1,$D$146:$D$262),X141)</f>
        <v>2.4863759387272513</v>
      </c>
      <c r="AE141" s="18">
        <f>IFERROR(AVERAGEIF($AB$146:$AB$262,2,$D$146:$D$262),Y141)</f>
        <v>-0.93521803912728863</v>
      </c>
      <c r="AF141" s="18">
        <f>IFERROR(AVERAGEIF($AB$146:$AB$262,3,$D$146:$D$262),Z141)</f>
        <v>0.87970665403259396</v>
      </c>
      <c r="AG141" s="18">
        <f>IFERROR(AVERAGEIF($AB$146:$AB$262,4,$D$146:$D$262),AA141)</f>
        <v>-0.5139710662558683</v>
      </c>
      <c r="AJ141" s="18">
        <f>IFERROR(AVERAGEIF($AH$146:$AH$262,1,$D$146:$D$262),AD141)</f>
        <v>2.3284041037010081</v>
      </c>
      <c r="AK141" s="18">
        <f>IFERROR(AVERAGEIF($AH$146:$AH$262,2,$D$146:$D$262),AE141)</f>
        <v>-0.98560389672382986</v>
      </c>
      <c r="AL141" s="18">
        <f>IFERROR(AVERAGEIF($AH$146:$AH$262,3,$D$146:$D$262),AF141)</f>
        <v>0.88378817287460476</v>
      </c>
      <c r="AM141" s="18">
        <f>IFERROR(AVERAGEIF($AH$146:$AH$262,4,$D$146:$D$262),AG141)</f>
        <v>-0.38324047781462595</v>
      </c>
      <c r="AP141" s="18">
        <f>IFERROR(AVERAGEIF($AN$146:$AN$262,1,$D$146:$D$262),AJ141)</f>
        <v>2.1809094372686584</v>
      </c>
      <c r="AQ141" s="18">
        <f>IFERROR(AVERAGEIF($AN$146:$AN$262,2,$D$146:$D$262),AK141)</f>
        <v>-1.0738889424843081</v>
      </c>
      <c r="AR141" s="18">
        <f>IFERROR(AVERAGEIF($AN$146:$AN$262,3,$D$146:$D$262),AL141)</f>
        <v>0.86866255308454232</v>
      </c>
      <c r="AS141" s="18">
        <f>IFERROR(AVERAGEIF($AN$146:$AN$262,4,$D$146:$D$262),AM141)</f>
        <v>-0.3750764801149456</v>
      </c>
      <c r="AV141" s="18">
        <f>IFERROR(AVERAGEIF($AT$146:$AT$262,1,$D$146:$D$262),AP141)</f>
        <v>2.1809094372686584</v>
      </c>
      <c r="AW141" s="18">
        <f>IFERROR(AVERAGEIF($AT$146:$AT$262,2,$D$146:$D$262),AQ141)</f>
        <v>-1.0738889424843081</v>
      </c>
      <c r="AX141" s="18">
        <f>IFERROR(AVERAGEIF($AT$146:$AT$262,3,$D$146:$D$262),AR141)</f>
        <v>0.86866255308454232</v>
      </c>
      <c r="AY141" s="18">
        <f>IFERROR(AVERAGEIF($AT$146:$AT$262,4,$D$146:$D$262),AS141)</f>
        <v>-0.3750764801149456</v>
      </c>
      <c r="BB141" s="18">
        <f>IFERROR(AVERAGEIF($AZ$146:$AZ$262,1,$D$146:$D$262),AV141)</f>
        <v>2.1809094372686584</v>
      </c>
      <c r="BC141" s="18">
        <f>IFERROR(AVERAGEIF($AZ$146:$AZ$262,2,$D$146:$D$262),AW141)</f>
        <v>-1.0738889424843081</v>
      </c>
      <c r="BD141" s="18">
        <f>IFERROR(AVERAGEIF($AZ$146:$AZ$262,3,$D$146:$D$262),AX141)</f>
        <v>0.86866255308454232</v>
      </c>
      <c r="BE141" s="18">
        <f>IFERROR(AVERAGEIF($AZ$146:$AZ$262,4,$D$146:$D$262),AY141)</f>
        <v>-0.3750764801149456</v>
      </c>
      <c r="BH141" s="18">
        <f>IFERROR(AVERAGEIF($BF$146:$BF$262,1,$D$146:$D$262),BB141)</f>
        <v>2.1809094372686584</v>
      </c>
      <c r="BI141" s="18">
        <f>IFERROR(AVERAGEIF($BF$146:$BF$262,2,$D$146:$D$262),BC141)</f>
        <v>-1.0738889424843081</v>
      </c>
      <c r="BJ141" s="18">
        <f>IFERROR(AVERAGEIF($BF$146:$BF$262,3,$D$146:$D$262),BD141)</f>
        <v>0.86866255308454232</v>
      </c>
      <c r="BK141" s="18">
        <f>IFERROR(AVERAGEIF($BF$146:$BF$262,4,$D$146:$D$262),BE141)</f>
        <v>-0.3750764801149456</v>
      </c>
      <c r="BN141" s="18">
        <f>IFERROR(AVERAGEIF($BL$146:$BL$262,1,$D$146:$D$262),BH141)</f>
        <v>2.1809094372686584</v>
      </c>
      <c r="BO141" s="18">
        <f>IFERROR(AVERAGEIF($BL$146:$BL$262,2,$D$146:$D$262),BI141)</f>
        <v>-1.0738889424843081</v>
      </c>
      <c r="BP141" s="18">
        <f>IFERROR(AVERAGEIF($BL$146:$BL$262,3,$D$146:$D$262),BJ141)</f>
        <v>0.86866255308454232</v>
      </c>
      <c r="BQ141" s="18">
        <f>IFERROR(AVERAGEIF($BL$146:$BL$262,4,$D$146:$D$262),BK141)</f>
        <v>-0.3750764801149456</v>
      </c>
      <c r="BT141" s="18">
        <f>IFERROR(AVERAGEIF($BR$146:$BR$262,1,$D$146:$D$262),BN141)</f>
        <v>2.1809094372686584</v>
      </c>
      <c r="BU141" s="18">
        <f>IFERROR(AVERAGEIF($BR$146:$BR$262,2,$D$146:$D$262),BO141)</f>
        <v>-1.0738889424843081</v>
      </c>
      <c r="BV141" s="18">
        <f>IFERROR(AVERAGEIF($BR$146:$BR$262,3,$D$146:$D$262),BP141)</f>
        <v>0.86866255308454232</v>
      </c>
      <c r="BW141" s="18">
        <f>IFERROR(AVERAGEIF($BR$146:$BR$262,4,$D$146:$D$262),BQ141)</f>
        <v>-0.3750764801149456</v>
      </c>
      <c r="BZ141" s="18">
        <f>IFERROR(AVERAGEIF($BX$146:$BX$262,1,$D$146:$D$262),BT141)</f>
        <v>2.1809094372686584</v>
      </c>
      <c r="CA141" s="18">
        <f>IFERROR(AVERAGEIF($BX$146:$BX$262,2,$D$146:$D$262),BU141)</f>
        <v>-1.0738889424843081</v>
      </c>
      <c r="CB141" s="18">
        <f>IFERROR(AVERAGEIF($BX$146:$BX$262,3,$D$146:$D$262),BV141)</f>
        <v>0.86866255308454232</v>
      </c>
      <c r="CC141" s="18">
        <f>IFERROR(AVERAGEIF($BX$146:$BX$262,4,$D$146:$D$262),BW141)</f>
        <v>-0.3750764801149456</v>
      </c>
      <c r="CF141" s="18">
        <f>IFERROR(AVERAGEIF($CD$146:$CD$262,1,$D$146:$D$262),BZ141)</f>
        <v>2.1809094372686584</v>
      </c>
      <c r="CG141" s="18">
        <f>IFERROR(AVERAGEIF($CD$146:$CD$262,2,$D$146:$D$262),CA141)</f>
        <v>-1.0738889424843081</v>
      </c>
      <c r="CH141" s="18">
        <f>IFERROR(AVERAGEIF($CD$146:$CD$262,3,$D$146:$D$262),CB141)</f>
        <v>0.86866255308454232</v>
      </c>
      <c r="CI141" s="18">
        <f>IFERROR(AVERAGEIF($CD$146:$CD$262,4,$D$146:$D$262),CC141)</f>
        <v>-0.3750764801149456</v>
      </c>
      <c r="CL141" s="18">
        <f>IFERROR(AVERAGEIF($CJ$146:$CJ$262,1,$D$146:$D$262),CF141)</f>
        <v>2.1809094372686584</v>
      </c>
      <c r="CM141" s="18">
        <f>IFERROR(AVERAGEIF($CJ$146:$CJ$262,2,$D$146:$D$262),CG141)</f>
        <v>-1.0738889424843081</v>
      </c>
      <c r="CN141" s="18">
        <f>IFERROR(AVERAGEIF($CJ$146:$CJ$262,3,$D$146:$D$262),CH141)</f>
        <v>0.86866255308454232</v>
      </c>
      <c r="CO141" s="18">
        <f>IFERROR(AVERAGEIF($CJ$146:$CJ$262,4,$D$146:$D$262),CI141)</f>
        <v>-0.3750764801149456</v>
      </c>
    </row>
    <row r="142" spans="1:94" x14ac:dyDescent="0.25">
      <c r="K142" s="40" t="s">
        <v>475</v>
      </c>
      <c r="L142" s="16">
        <f>COUNTIF($E$146:$E$262,1)</f>
        <v>6</v>
      </c>
      <c r="M142" s="16">
        <f>COUNTIF($E$146:$E$262,2)</f>
        <v>25</v>
      </c>
      <c r="N142" s="16">
        <f>COUNTIF($E$146:$E$262,3)</f>
        <v>37</v>
      </c>
      <c r="O142" s="16">
        <f>COUNTIF($E$146:$E$262,4)</f>
        <v>49</v>
      </c>
      <c r="W142" s="40" t="s">
        <v>475</v>
      </c>
      <c r="X142" s="16">
        <f>COUNTIF($AB$146:$AB$262,1)</f>
        <v>4</v>
      </c>
      <c r="Y142" s="16">
        <f>COUNTIF($AB$146:$AB$262,2)</f>
        <v>28</v>
      </c>
      <c r="Z142" s="16">
        <f>COUNTIF($AB$146:$AB$262,3)</f>
        <v>43</v>
      </c>
      <c r="AA142" s="16">
        <f>COUNTIF($AB$146:$AB$262,4)</f>
        <v>42</v>
      </c>
      <c r="AD142" s="16">
        <f>COUNTIF($AH$146:$AH$262,1)</f>
        <v>5</v>
      </c>
      <c r="AE142" s="16">
        <f>COUNTIF($AH$146:$AH$262,2)</f>
        <v>28</v>
      </c>
      <c r="AF142" s="16">
        <f>COUNTIF($AH$146:$AH$262,3)</f>
        <v>38</v>
      </c>
      <c r="AG142" s="16">
        <f>COUNTIF($AH$146:$AH$262,4)</f>
        <v>46</v>
      </c>
      <c r="AJ142" s="16">
        <f>COUNTIF($AN$146:$AN$262,1)</f>
        <v>6</v>
      </c>
      <c r="AK142" s="16">
        <f>COUNTIF($AN$146:$AN$262,2)</f>
        <v>25</v>
      </c>
      <c r="AL142" s="16">
        <f>COUNTIF($AN$146:$AN$262,3)</f>
        <v>37</v>
      </c>
      <c r="AM142" s="16">
        <f>COUNTIF($AN$146:$AN$262,4)</f>
        <v>49</v>
      </c>
      <c r="AP142" s="16">
        <f>COUNTIF($AT$146:$AT$262,1)</f>
        <v>6</v>
      </c>
      <c r="AQ142" s="16">
        <f>COUNTIF($AT$146:$AT$262,2)</f>
        <v>25</v>
      </c>
      <c r="AR142" s="16">
        <f>COUNTIF($AT$146:$AT$262,3)</f>
        <v>37</v>
      </c>
      <c r="AS142" s="16">
        <f>COUNTIF($AT$146:$AT$262,4)</f>
        <v>49</v>
      </c>
      <c r="AV142" s="16">
        <f>COUNTIF($AZ$146:$AZ$262,1)</f>
        <v>6</v>
      </c>
      <c r="AW142" s="16">
        <f>COUNTIF($AZ$146:$AZ$262,2)</f>
        <v>25</v>
      </c>
      <c r="AX142" s="16">
        <f>COUNTIF($AZ$146:$AZ$262,3)</f>
        <v>37</v>
      </c>
      <c r="AY142" s="16">
        <f>COUNTIF($AZ$146:$AZ$262,4)</f>
        <v>49</v>
      </c>
      <c r="BB142" s="16">
        <f>COUNTIF($BF$146:$BF$262,1)</f>
        <v>6</v>
      </c>
      <c r="BC142" s="16">
        <f>COUNTIF($BF$146:$BF$262,2)</f>
        <v>25</v>
      </c>
      <c r="BD142" s="16">
        <f>COUNTIF($BF$146:$BF$262,3)</f>
        <v>37</v>
      </c>
      <c r="BE142" s="16">
        <f>COUNTIF($BF$146:$BF$262,4)</f>
        <v>49</v>
      </c>
      <c r="BH142" s="16">
        <f>COUNTIF($BL$146:$BL$262,1)</f>
        <v>6</v>
      </c>
      <c r="BI142" s="16">
        <f>COUNTIF($BL$146:$BL$262,2)</f>
        <v>25</v>
      </c>
      <c r="BJ142" s="16">
        <f>COUNTIF($BL$146:$BL$262,3)</f>
        <v>37</v>
      </c>
      <c r="BK142" s="16">
        <f>COUNTIF($BL$146:$BL$262,4)</f>
        <v>49</v>
      </c>
      <c r="BN142" s="16">
        <f>COUNTIF($BR$146:$BR$262,1)</f>
        <v>6</v>
      </c>
      <c r="BO142" s="16">
        <f>COUNTIF($BR$146:$BR$262,2)</f>
        <v>25</v>
      </c>
      <c r="BP142" s="16">
        <f>COUNTIF($BR$146:$BR$262,3)</f>
        <v>37</v>
      </c>
      <c r="BQ142" s="16">
        <f>COUNTIF($BR$146:$BR$262,4)</f>
        <v>49</v>
      </c>
      <c r="BT142" s="16">
        <f>COUNTIF($BX$146:$BX$262,1)</f>
        <v>6</v>
      </c>
      <c r="BU142" s="16">
        <f>COUNTIF($BX$146:$BX$262,2)</f>
        <v>25</v>
      </c>
      <c r="BV142" s="16">
        <f>COUNTIF($BX$146:$BX$262,3)</f>
        <v>37</v>
      </c>
      <c r="BW142" s="16">
        <f>COUNTIF($BX$146:$BX$262,4)</f>
        <v>49</v>
      </c>
      <c r="BZ142" s="16">
        <f>COUNTIF($CD$146:$CD$262,1)</f>
        <v>6</v>
      </c>
      <c r="CA142" s="16">
        <f>COUNTIF($CD$146:$CD$262,2)</f>
        <v>25</v>
      </c>
      <c r="CB142" s="16">
        <f>COUNTIF($CD$146:$CD$262,3)</f>
        <v>37</v>
      </c>
      <c r="CC142" s="16">
        <f>COUNTIF($CD$146:$CD$262,4)</f>
        <v>49</v>
      </c>
      <c r="CF142" s="16">
        <f>COUNTIF($CJ$146:$CJ$262,1)</f>
        <v>6</v>
      </c>
      <c r="CG142" s="16">
        <f>COUNTIF($CJ$146:$CJ$262,2)</f>
        <v>25</v>
      </c>
      <c r="CH142" s="16">
        <f>COUNTIF($CJ$146:$CJ$262,3)</f>
        <v>37</v>
      </c>
      <c r="CI142" s="16">
        <f>COUNTIF($CJ$146:$CJ$262,4)</f>
        <v>49</v>
      </c>
      <c r="CL142" s="16">
        <f>COUNTIF($CP$146:$CP$262,1)</f>
        <v>6</v>
      </c>
      <c r="CM142" s="16">
        <f>COUNTIF($CP$146:$CP$262,2)</f>
        <v>25</v>
      </c>
      <c r="CN142" s="16">
        <f>COUNTIF($CP$146:$CP$262,3)</f>
        <v>37</v>
      </c>
      <c r="CO142" s="16">
        <f>COUNTIF($CP$146:$CP$262,4)</f>
        <v>49</v>
      </c>
    </row>
    <row r="143" spans="1:94" x14ac:dyDescent="0.25">
      <c r="K143" s="40" t="s">
        <v>476</v>
      </c>
      <c r="L143" s="18">
        <f>SUMIF($E$146:$E$262,1,$F$146:$F$262)</f>
        <v>9.5051025912139231</v>
      </c>
      <c r="M143" s="18">
        <f>SUMIF($E$146:$E$262,2,$F$146:$F$262)</f>
        <v>5.4612417701049072</v>
      </c>
      <c r="N143" s="18">
        <f>SUMIF($E$146:$E$262,3,$F$146:$F$262)</f>
        <v>23.778643230576364</v>
      </c>
      <c r="O143" s="18">
        <f>SUMIF($E$146:$E$262,4,$F$146:$F$262)</f>
        <v>30.219077419281732</v>
      </c>
      <c r="W143" s="40" t="s">
        <v>477</v>
      </c>
      <c r="AB143" s="13" t="s">
        <v>478</v>
      </c>
      <c r="AH143" s="16">
        <f>SUMPRODUCT(--($AH$146:$AH$262&lt;&gt;$AB$146:$AB$262))</f>
        <v>9</v>
      </c>
      <c r="AN143" s="16">
        <f>SUMPRODUCT(--($AN$146:$AN$262&lt;&gt;$AH$146:$AH$262))</f>
        <v>4</v>
      </c>
      <c r="AT143" s="16">
        <f>SUMPRODUCT(--($AT$146:$AT$262&lt;&gt;$AN$146:$AN$262))</f>
        <v>0</v>
      </c>
      <c r="AZ143" s="16">
        <f>SUMPRODUCT(--($AZ$146:$AZ$262&lt;&gt;$AT$146:$AT$262))</f>
        <v>0</v>
      </c>
      <c r="BF143" s="16">
        <f>SUMPRODUCT(--($BF$146:$BF$262&lt;&gt;$AZ$146:$AZ$262))</f>
        <v>0</v>
      </c>
      <c r="BL143" s="16">
        <f>SUMPRODUCT(--($BL$146:$BL$262&lt;&gt;$BF$146:$BF$262))</f>
        <v>0</v>
      </c>
      <c r="BR143" s="16">
        <f>SUMPRODUCT(--($BR$146:$BR$262&lt;&gt;$BL$146:$BL$262))</f>
        <v>0</v>
      </c>
      <c r="BX143" s="16">
        <f>SUMPRODUCT(--($BX$146:$BX$262&lt;&gt;$BR$146:$BR$262))</f>
        <v>0</v>
      </c>
      <c r="CD143" s="16">
        <f>SUMPRODUCT(--($CD$146:$CD$262&lt;&gt;$BX$146:$BX$262))</f>
        <v>0</v>
      </c>
      <c r="CJ143" s="16">
        <f>SUMPRODUCT(--($CJ$146:$CJ$262&lt;&gt;$CD$146:$CD$262))</f>
        <v>0</v>
      </c>
      <c r="CP143" s="16">
        <f>SUMPRODUCT(--($CP$146:$CP$262&lt;&gt;$CJ$146:$CJ$262))</f>
        <v>0</v>
      </c>
    </row>
    <row r="144" spans="1:94" x14ac:dyDescent="0.25">
      <c r="K144" s="40" t="s">
        <v>270</v>
      </c>
      <c r="L144" s="57">
        <f>SUM($F$146:$F$262)</f>
        <v>68.964065011176899</v>
      </c>
      <c r="M144" s="40" t="s">
        <v>52</v>
      </c>
      <c r="N144" s="36" t="str">
        <f>IF(CP143=0,"Converged","Not converged: more iterations needed")</f>
        <v>Converged</v>
      </c>
    </row>
    <row r="145" spans="1:94" ht="31.5" customHeight="1" x14ac:dyDescent="0.25">
      <c r="A145" s="11" t="s">
        <v>89</v>
      </c>
      <c r="B145" s="11" t="s">
        <v>445</v>
      </c>
      <c r="C145" s="11" t="s">
        <v>446</v>
      </c>
      <c r="D145" s="11" t="s">
        <v>447</v>
      </c>
      <c r="E145" s="11" t="s">
        <v>451</v>
      </c>
      <c r="F145" s="11" t="s">
        <v>500</v>
      </c>
      <c r="G145" s="11" t="s">
        <v>481</v>
      </c>
      <c r="H145" s="11" t="s">
        <v>482</v>
      </c>
      <c r="I145" s="11" t="s">
        <v>483</v>
      </c>
      <c r="X145" s="11" t="s">
        <v>484</v>
      </c>
      <c r="Y145" s="11" t="s">
        <v>485</v>
      </c>
      <c r="Z145" s="11" t="s">
        <v>486</v>
      </c>
      <c r="AA145" s="11" t="s">
        <v>503</v>
      </c>
      <c r="AB145" s="11" t="s">
        <v>451</v>
      </c>
      <c r="AD145" s="11" t="s">
        <v>484</v>
      </c>
      <c r="AE145" s="11" t="s">
        <v>485</v>
      </c>
      <c r="AF145" s="11" t="s">
        <v>486</v>
      </c>
      <c r="AG145" s="11" t="s">
        <v>503</v>
      </c>
      <c r="AH145" s="11" t="s">
        <v>451</v>
      </c>
      <c r="AJ145" s="11" t="s">
        <v>484</v>
      </c>
      <c r="AK145" s="11" t="s">
        <v>485</v>
      </c>
      <c r="AL145" s="11" t="s">
        <v>486</v>
      </c>
      <c r="AM145" s="11" t="s">
        <v>503</v>
      </c>
      <c r="AN145" s="11" t="s">
        <v>451</v>
      </c>
      <c r="AP145" s="11" t="s">
        <v>484</v>
      </c>
      <c r="AQ145" s="11" t="s">
        <v>485</v>
      </c>
      <c r="AR145" s="11" t="s">
        <v>486</v>
      </c>
      <c r="AS145" s="11" t="s">
        <v>503</v>
      </c>
      <c r="AT145" s="11" t="s">
        <v>451</v>
      </c>
      <c r="AV145" s="11" t="s">
        <v>484</v>
      </c>
      <c r="AW145" s="11" t="s">
        <v>485</v>
      </c>
      <c r="AX145" s="11" t="s">
        <v>486</v>
      </c>
      <c r="AY145" s="11" t="s">
        <v>503</v>
      </c>
      <c r="AZ145" s="11" t="s">
        <v>451</v>
      </c>
      <c r="BB145" s="11" t="s">
        <v>484</v>
      </c>
      <c r="BC145" s="11" t="s">
        <v>485</v>
      </c>
      <c r="BD145" s="11" t="s">
        <v>486</v>
      </c>
      <c r="BE145" s="11" t="s">
        <v>503</v>
      </c>
      <c r="BF145" s="11" t="s">
        <v>451</v>
      </c>
      <c r="BH145" s="11" t="s">
        <v>484</v>
      </c>
      <c r="BI145" s="11" t="s">
        <v>485</v>
      </c>
      <c r="BJ145" s="11" t="s">
        <v>486</v>
      </c>
      <c r="BK145" s="11" t="s">
        <v>503</v>
      </c>
      <c r="BL145" s="11" t="s">
        <v>451</v>
      </c>
      <c r="BN145" s="11" t="s">
        <v>484</v>
      </c>
      <c r="BO145" s="11" t="s">
        <v>485</v>
      </c>
      <c r="BP145" s="11" t="s">
        <v>486</v>
      </c>
      <c r="BQ145" s="11" t="s">
        <v>503</v>
      </c>
      <c r="BR145" s="11" t="s">
        <v>451</v>
      </c>
      <c r="BT145" s="11" t="s">
        <v>484</v>
      </c>
      <c r="BU145" s="11" t="s">
        <v>485</v>
      </c>
      <c r="BV145" s="11" t="s">
        <v>486</v>
      </c>
      <c r="BW145" s="11" t="s">
        <v>503</v>
      </c>
      <c r="BX145" s="11" t="s">
        <v>451</v>
      </c>
      <c r="BZ145" s="11" t="s">
        <v>484</v>
      </c>
      <c r="CA145" s="11" t="s">
        <v>485</v>
      </c>
      <c r="CB145" s="11" t="s">
        <v>486</v>
      </c>
      <c r="CC145" s="11" t="s">
        <v>503</v>
      </c>
      <c r="CD145" s="11" t="s">
        <v>451</v>
      </c>
      <c r="CF145" s="11" t="s">
        <v>484</v>
      </c>
      <c r="CG145" s="11" t="s">
        <v>485</v>
      </c>
      <c r="CH145" s="11" t="s">
        <v>486</v>
      </c>
      <c r="CI145" s="11" t="s">
        <v>503</v>
      </c>
      <c r="CJ145" s="11" t="s">
        <v>451</v>
      </c>
      <c r="CL145" s="11" t="s">
        <v>484</v>
      </c>
      <c r="CM145" s="11" t="s">
        <v>485</v>
      </c>
      <c r="CN145" s="11" t="s">
        <v>486</v>
      </c>
      <c r="CO145" s="11" t="s">
        <v>503</v>
      </c>
      <c r="CP145" s="11" t="s">
        <v>451</v>
      </c>
    </row>
    <row r="146" spans="1:94" x14ac:dyDescent="0.25">
      <c r="A146" s="36" t="str">
        <f>KMeans_Data!A5</f>
        <v>Karachi</v>
      </c>
      <c r="B146" s="18">
        <f>KMeans_Data!H5</f>
        <v>3.2743087782752069</v>
      </c>
      <c r="C146" s="18">
        <f>KMeans_Data!I5</f>
        <v>4.0388517969113016</v>
      </c>
      <c r="D146" s="18">
        <f>KMeans_Data!J5</f>
        <v>3.2527128596020467</v>
      </c>
      <c r="E146" s="56">
        <f t="shared" ref="E146:E177" si="128">CP146</f>
        <v>1</v>
      </c>
      <c r="F146" s="38">
        <f t="shared" ref="F146:F177" si="129">($B146-INDEX($L$139:$O$139,E146))^2+($C146-INDEX($L$140:$O$140,E146))^2+($D146-INDEX($L$141:$O$141,E146))^2</f>
        <v>2.7366208897533113</v>
      </c>
      <c r="G146" s="18">
        <f>IF(COUNTIF(Distance_Matrix!$E$10:$DQ$10,$E146)&lt;=1,0,SUMIF(Distance_Matrix!$E$10:$DQ$10,$E146,Distance_Matrix!$E$14:$DQ$14)/(COUNTIF(Distance_Matrix!$E$10:$DQ$10,$E146)-1))</f>
        <v>2.1045387601258763</v>
      </c>
      <c r="H146" s="18">
        <f>MIN(IF(1=$E146,1E+99,IF(COUNTIF(Distance_Matrix!$E$10:$DQ$10,1)=0,1E+99,SUMIF(Distance_Matrix!$E$10:$DQ$10,1,Distance_Matrix!$E$14:$DQ$14)/COUNTIF(Distance_Matrix!$E$10:$DQ$10,1))),IF(2=$E146,1E+99,IF(COUNTIF(Distance_Matrix!$E$10:$DQ$10,2)=0,1E+99,SUMIF(Distance_Matrix!$E$10:$DQ$10,2,Distance_Matrix!$E$14:$DQ$14)/COUNTIF(Distance_Matrix!$E$10:$DQ$10,2))),IF(3=$E146,1E+99,IF(COUNTIF(Distance_Matrix!$E$10:$DQ$10,3)=0,1E+99,SUMIF(Distance_Matrix!$E$10:$DQ$10,3,Distance_Matrix!$E$14:$DQ$14)/COUNTIF(Distance_Matrix!$E$10:$DQ$10,3))),IF(4=$E146,1E+99,IF(COUNTIF(Distance_Matrix!$E$10:$DQ$10,4)=0,1E+99,SUMIF(Distance_Matrix!$E$10:$DQ$10,4,Distance_Matrix!$E$14:$DQ$14)/COUNTIF(Distance_Matrix!$E$10:$DQ$10,4))))</f>
        <v>4.9643172152281148</v>
      </c>
      <c r="I146" s="18">
        <f>IF(COUNTIF(Distance_Matrix!$E$10:$DQ$10,$E146)&lt;=1,0,(H146-G146)/MAX(G146,H146))</f>
        <v>0.57606682472462212</v>
      </c>
      <c r="X146" s="18">
        <f t="shared" ref="X146:AA165" si="130">SQRT(($B146-X$139)^2+($C146-X$140)^2+($D146-X$141)^2)</f>
        <v>0</v>
      </c>
      <c r="Y146" s="18">
        <f t="shared" si="130"/>
        <v>8.3791178007212217</v>
      </c>
      <c r="Z146" s="18">
        <f t="shared" si="130"/>
        <v>4.6451579272007946</v>
      </c>
      <c r="AA146" s="18">
        <f t="shared" si="130"/>
        <v>6.6163799696290333</v>
      </c>
      <c r="AB146" s="56">
        <f t="shared" ref="AB146:AB177" si="131">MATCH(MIN(X146:AA146),X146:AA146,0)</f>
        <v>1</v>
      </c>
      <c r="AD146" s="18">
        <f t="shared" ref="AD146:AG165" si="132">SQRT(($B146-AD$139)^2+($C146-AD$140)^2+($D146-AD$141)^2)</f>
        <v>1.0396284822580617</v>
      </c>
      <c r="AE146" s="18">
        <f t="shared" si="132"/>
        <v>7.7426466338426723</v>
      </c>
      <c r="AF146" s="18">
        <f t="shared" si="132"/>
        <v>4.9727518531432482</v>
      </c>
      <c r="AG146" s="18">
        <f t="shared" si="132"/>
        <v>6.7692930503398152</v>
      </c>
      <c r="AH146" s="56">
        <f t="shared" ref="AH146:AH177" si="133">MATCH(MIN(AD146:AG146),AD146:AG146,0)</f>
        <v>1</v>
      </c>
      <c r="AJ146" s="18">
        <f t="shared" ref="AJ146:AM165" si="134">SQRT(($B146-AJ$139)^2+($C146-AJ$140)^2+($D146-AJ$141)^2)</f>
        <v>1.367888644771529</v>
      </c>
      <c r="AK146" s="18">
        <f t="shared" si="134"/>
        <v>7.7649417577912008</v>
      </c>
      <c r="AL146" s="18">
        <f t="shared" si="134"/>
        <v>4.8884234265276794</v>
      </c>
      <c r="AM146" s="18">
        <f t="shared" si="134"/>
        <v>6.7126064949302808</v>
      </c>
      <c r="AN146" s="56">
        <f t="shared" ref="AN146:AN177" si="135">MATCH(MIN(AJ146:AM146),AJ146:AM146,0)</f>
        <v>1</v>
      </c>
      <c r="AP146" s="18">
        <f t="shared" ref="AP146:AS165" si="136">SQRT(($B146-AP$139)^2+($C146-AP$140)^2+($D146-AP$141)^2)</f>
        <v>1.6542735232582644</v>
      </c>
      <c r="AQ146" s="18">
        <f t="shared" si="136"/>
        <v>7.8385804968249717</v>
      </c>
      <c r="AR146" s="18">
        <f t="shared" si="136"/>
        <v>4.9372900182013169</v>
      </c>
      <c r="AS146" s="18">
        <f t="shared" si="136"/>
        <v>6.7391282616925183</v>
      </c>
      <c r="AT146" s="56">
        <f t="shared" ref="AT146:AT177" si="137">MATCH(MIN(AP146:AS146),AP146:AS146,0)</f>
        <v>1</v>
      </c>
      <c r="AV146" s="18">
        <f t="shared" ref="AV146:AY165" si="138">SQRT(($B146-AV$139)^2+($C146-AV$140)^2+($D146-AV$141)^2)</f>
        <v>1.6542735232582644</v>
      </c>
      <c r="AW146" s="18">
        <f t="shared" si="138"/>
        <v>7.8385804968249717</v>
      </c>
      <c r="AX146" s="18">
        <f t="shared" si="138"/>
        <v>4.9372900182013169</v>
      </c>
      <c r="AY146" s="18">
        <f t="shared" si="138"/>
        <v>6.7391282616925183</v>
      </c>
      <c r="AZ146" s="56">
        <f t="shared" ref="AZ146:AZ177" si="139">MATCH(MIN(AV146:AY146),AV146:AY146,0)</f>
        <v>1</v>
      </c>
      <c r="BB146" s="18">
        <f t="shared" ref="BB146:BE165" si="140">SQRT(($B146-BB$139)^2+($C146-BB$140)^2+($D146-BB$141)^2)</f>
        <v>1.6542735232582644</v>
      </c>
      <c r="BC146" s="18">
        <f t="shared" si="140"/>
        <v>7.8385804968249717</v>
      </c>
      <c r="BD146" s="18">
        <f t="shared" si="140"/>
        <v>4.9372900182013169</v>
      </c>
      <c r="BE146" s="18">
        <f t="shared" si="140"/>
        <v>6.7391282616925183</v>
      </c>
      <c r="BF146" s="56">
        <f t="shared" ref="BF146:BF177" si="141">MATCH(MIN(BB146:BE146),BB146:BE146,0)</f>
        <v>1</v>
      </c>
      <c r="BH146" s="18">
        <f t="shared" ref="BH146:BK165" si="142">SQRT(($B146-BH$139)^2+($C146-BH$140)^2+($D146-BH$141)^2)</f>
        <v>1.6542735232582644</v>
      </c>
      <c r="BI146" s="18">
        <f t="shared" si="142"/>
        <v>7.8385804968249717</v>
      </c>
      <c r="BJ146" s="18">
        <f t="shared" si="142"/>
        <v>4.9372900182013169</v>
      </c>
      <c r="BK146" s="18">
        <f t="shared" si="142"/>
        <v>6.7391282616925183</v>
      </c>
      <c r="BL146" s="56">
        <f t="shared" ref="BL146:BL177" si="143">MATCH(MIN(BH146:BK146),BH146:BK146,0)</f>
        <v>1</v>
      </c>
      <c r="BN146" s="18">
        <f t="shared" ref="BN146:BQ165" si="144">SQRT(($B146-BN$139)^2+($C146-BN$140)^2+($D146-BN$141)^2)</f>
        <v>1.6542735232582644</v>
      </c>
      <c r="BO146" s="18">
        <f t="shared" si="144"/>
        <v>7.8385804968249717</v>
      </c>
      <c r="BP146" s="18">
        <f t="shared" si="144"/>
        <v>4.9372900182013169</v>
      </c>
      <c r="BQ146" s="18">
        <f t="shared" si="144"/>
        <v>6.7391282616925183</v>
      </c>
      <c r="BR146" s="56">
        <f t="shared" ref="BR146:BR177" si="145">MATCH(MIN(BN146:BQ146),BN146:BQ146,0)</f>
        <v>1</v>
      </c>
      <c r="BT146" s="18">
        <f t="shared" ref="BT146:BW165" si="146">SQRT(($B146-BT$139)^2+($C146-BT$140)^2+($D146-BT$141)^2)</f>
        <v>1.6542735232582644</v>
      </c>
      <c r="BU146" s="18">
        <f t="shared" si="146"/>
        <v>7.8385804968249717</v>
      </c>
      <c r="BV146" s="18">
        <f t="shared" si="146"/>
        <v>4.9372900182013169</v>
      </c>
      <c r="BW146" s="18">
        <f t="shared" si="146"/>
        <v>6.7391282616925183</v>
      </c>
      <c r="BX146" s="56">
        <f t="shared" ref="BX146:BX177" si="147">MATCH(MIN(BT146:BW146),BT146:BW146,0)</f>
        <v>1</v>
      </c>
      <c r="BZ146" s="18">
        <f t="shared" ref="BZ146:CC165" si="148">SQRT(($B146-BZ$139)^2+($C146-BZ$140)^2+($D146-BZ$141)^2)</f>
        <v>1.6542735232582644</v>
      </c>
      <c r="CA146" s="18">
        <f t="shared" si="148"/>
        <v>7.8385804968249717</v>
      </c>
      <c r="CB146" s="18">
        <f t="shared" si="148"/>
        <v>4.9372900182013169</v>
      </c>
      <c r="CC146" s="18">
        <f t="shared" si="148"/>
        <v>6.7391282616925183</v>
      </c>
      <c r="CD146" s="56">
        <f t="shared" ref="CD146:CD177" si="149">MATCH(MIN(BZ146:CC146),BZ146:CC146,0)</f>
        <v>1</v>
      </c>
      <c r="CF146" s="18">
        <f t="shared" ref="CF146:CI165" si="150">SQRT(($B146-CF$139)^2+($C146-CF$140)^2+($D146-CF$141)^2)</f>
        <v>1.6542735232582644</v>
      </c>
      <c r="CG146" s="18">
        <f t="shared" si="150"/>
        <v>7.8385804968249717</v>
      </c>
      <c r="CH146" s="18">
        <f t="shared" si="150"/>
        <v>4.9372900182013169</v>
      </c>
      <c r="CI146" s="18">
        <f t="shared" si="150"/>
        <v>6.7391282616925183</v>
      </c>
      <c r="CJ146" s="56">
        <f t="shared" ref="CJ146:CJ177" si="151">MATCH(MIN(CF146:CI146),CF146:CI146,0)</f>
        <v>1</v>
      </c>
      <c r="CL146" s="18">
        <f t="shared" ref="CL146:CO165" si="152">SQRT(($B146-CL$139)^2+($C146-CL$140)^2+($D146-CL$141)^2)</f>
        <v>1.6542735232582644</v>
      </c>
      <c r="CM146" s="18">
        <f t="shared" si="152"/>
        <v>7.8385804968249717</v>
      </c>
      <c r="CN146" s="18">
        <f t="shared" si="152"/>
        <v>4.9372900182013169</v>
      </c>
      <c r="CO146" s="18">
        <f t="shared" si="152"/>
        <v>6.7391282616925183</v>
      </c>
      <c r="CP146" s="56">
        <f t="shared" ref="CP146:CP177" si="153">MATCH(MIN(CL146:CO146),CL146:CO146,0)</f>
        <v>1</v>
      </c>
    </row>
    <row r="147" spans="1:94" x14ac:dyDescent="0.25">
      <c r="A147" s="36" t="str">
        <f>KMeans_Data!A6</f>
        <v>Lahore</v>
      </c>
      <c r="B147" s="18">
        <f>KMeans_Data!H6</f>
        <v>3.2501513961754349</v>
      </c>
      <c r="C147" s="18">
        <f>KMeans_Data!I6</f>
        <v>4.1568410370911772</v>
      </c>
      <c r="D147" s="18">
        <f>KMeans_Data!J6</f>
        <v>2.680512898820258</v>
      </c>
      <c r="E147" s="56">
        <f t="shared" si="128"/>
        <v>1</v>
      </c>
      <c r="F147" s="38">
        <f t="shared" si="129"/>
        <v>2.0451929426451736</v>
      </c>
      <c r="G147" s="18">
        <f>IF(COUNTIF(Distance_Matrix!$E$10:$DQ$10,$E147)&lt;=1,0,SUMIF(Distance_Matrix!$E$10:$DQ$10,$E147,Distance_Matrix!$E$15:$DQ$15)/(COUNTIF(Distance_Matrix!$E$10:$DQ$10,$E147)-1))</f>
        <v>1.9215633074953202</v>
      </c>
      <c r="H147" s="18">
        <f>MIN(IF(1=$E147,1E+99,IF(COUNTIF(Distance_Matrix!$E$10:$DQ$10,1)=0,1E+99,SUMIF(Distance_Matrix!$E$10:$DQ$10,1,Distance_Matrix!$E$15:$DQ$15)/COUNTIF(Distance_Matrix!$E$10:$DQ$10,1))),IF(2=$E147,1E+99,IF(COUNTIF(Distance_Matrix!$E$10:$DQ$10,2)=0,1E+99,SUMIF(Distance_Matrix!$E$10:$DQ$10,2,Distance_Matrix!$E$15:$DQ$15)/COUNTIF(Distance_Matrix!$E$10:$DQ$10,2))),IF(3=$E147,1E+99,IF(COUNTIF(Distance_Matrix!$E$10:$DQ$10,3)=0,1E+99,SUMIF(Distance_Matrix!$E$10:$DQ$10,3,Distance_Matrix!$E$15:$DQ$15)/COUNTIF(Distance_Matrix!$E$10:$DQ$10,3))),IF(4=$E147,1E+99,IF(COUNTIF(Distance_Matrix!$E$10:$DQ$10,4)=0,1E+99,SUMIF(Distance_Matrix!$E$10:$DQ$10,4,Distance_Matrix!$E$15:$DQ$15)/COUNTIF(Distance_Matrix!$E$10:$DQ$10,4))))</f>
        <v>4.7882339500492312</v>
      </c>
      <c r="I147" s="18">
        <f>IF(COUNTIF(Distance_Matrix!$E$10:$DQ$10,$E147)&lt;=1,0,(H147-G147)/MAX(G147,H147))</f>
        <v>0.59869059708839767</v>
      </c>
      <c r="X147" s="18">
        <f t="shared" si="130"/>
        <v>0.58473740689887399</v>
      </c>
      <c r="Y147" s="18">
        <f t="shared" si="130"/>
        <v>8.1468513691696547</v>
      </c>
      <c r="Z147" s="18">
        <f t="shared" si="130"/>
        <v>4.5426180354302428</v>
      </c>
      <c r="AA147" s="18">
        <f t="shared" si="130"/>
        <v>6.3202600745793749</v>
      </c>
      <c r="AB147" s="56">
        <f t="shared" si="131"/>
        <v>1</v>
      </c>
      <c r="AD147" s="18">
        <f t="shared" si="132"/>
        <v>0.80458742879173173</v>
      </c>
      <c r="AE147" s="18">
        <f t="shared" si="132"/>
        <v>7.5091313266388466</v>
      </c>
      <c r="AF147" s="18">
        <f t="shared" si="132"/>
        <v>4.8002758875462979</v>
      </c>
      <c r="AG147" s="18">
        <f t="shared" si="132"/>
        <v>6.5392628026543562</v>
      </c>
      <c r="AH147" s="56">
        <f t="shared" si="133"/>
        <v>1</v>
      </c>
      <c r="AJ147" s="18">
        <f t="shared" si="134"/>
        <v>1.1484805814886803</v>
      </c>
      <c r="AK147" s="18">
        <f t="shared" si="134"/>
        <v>7.528317037550603</v>
      </c>
      <c r="AL147" s="18">
        <f t="shared" si="134"/>
        <v>4.7115181534384591</v>
      </c>
      <c r="AM147" s="18">
        <f t="shared" si="134"/>
        <v>6.492174407723641</v>
      </c>
      <c r="AN147" s="56">
        <f t="shared" si="135"/>
        <v>1</v>
      </c>
      <c r="AP147" s="18">
        <f t="shared" si="136"/>
        <v>1.4301024238302562</v>
      </c>
      <c r="AQ147" s="18">
        <f t="shared" si="136"/>
        <v>7.5974211422769002</v>
      </c>
      <c r="AR147" s="18">
        <f t="shared" si="136"/>
        <v>4.7613198518560091</v>
      </c>
      <c r="AS147" s="18">
        <f t="shared" si="136"/>
        <v>6.5203290169698276</v>
      </c>
      <c r="AT147" s="56">
        <f t="shared" si="137"/>
        <v>1</v>
      </c>
      <c r="AV147" s="18">
        <f t="shared" si="138"/>
        <v>1.4301024238302562</v>
      </c>
      <c r="AW147" s="18">
        <f t="shared" si="138"/>
        <v>7.5974211422769002</v>
      </c>
      <c r="AX147" s="18">
        <f t="shared" si="138"/>
        <v>4.7613198518560091</v>
      </c>
      <c r="AY147" s="18">
        <f t="shared" si="138"/>
        <v>6.5203290169698276</v>
      </c>
      <c r="AZ147" s="56">
        <f t="shared" si="139"/>
        <v>1</v>
      </c>
      <c r="BB147" s="18">
        <f t="shared" si="140"/>
        <v>1.4301024238302562</v>
      </c>
      <c r="BC147" s="18">
        <f t="shared" si="140"/>
        <v>7.5974211422769002</v>
      </c>
      <c r="BD147" s="18">
        <f t="shared" si="140"/>
        <v>4.7613198518560091</v>
      </c>
      <c r="BE147" s="18">
        <f t="shared" si="140"/>
        <v>6.5203290169698276</v>
      </c>
      <c r="BF147" s="56">
        <f t="shared" si="141"/>
        <v>1</v>
      </c>
      <c r="BH147" s="18">
        <f t="shared" si="142"/>
        <v>1.4301024238302562</v>
      </c>
      <c r="BI147" s="18">
        <f t="shared" si="142"/>
        <v>7.5974211422769002</v>
      </c>
      <c r="BJ147" s="18">
        <f t="shared" si="142"/>
        <v>4.7613198518560091</v>
      </c>
      <c r="BK147" s="18">
        <f t="shared" si="142"/>
        <v>6.5203290169698276</v>
      </c>
      <c r="BL147" s="56">
        <f t="shared" si="143"/>
        <v>1</v>
      </c>
      <c r="BN147" s="18">
        <f t="shared" si="144"/>
        <v>1.4301024238302562</v>
      </c>
      <c r="BO147" s="18">
        <f t="shared" si="144"/>
        <v>7.5974211422769002</v>
      </c>
      <c r="BP147" s="18">
        <f t="shared" si="144"/>
        <v>4.7613198518560091</v>
      </c>
      <c r="BQ147" s="18">
        <f t="shared" si="144"/>
        <v>6.5203290169698276</v>
      </c>
      <c r="BR147" s="56">
        <f t="shared" si="145"/>
        <v>1</v>
      </c>
      <c r="BT147" s="18">
        <f t="shared" si="146"/>
        <v>1.4301024238302562</v>
      </c>
      <c r="BU147" s="18">
        <f t="shared" si="146"/>
        <v>7.5974211422769002</v>
      </c>
      <c r="BV147" s="18">
        <f t="shared" si="146"/>
        <v>4.7613198518560091</v>
      </c>
      <c r="BW147" s="18">
        <f t="shared" si="146"/>
        <v>6.5203290169698276</v>
      </c>
      <c r="BX147" s="56">
        <f t="shared" si="147"/>
        <v>1</v>
      </c>
      <c r="BZ147" s="18">
        <f t="shared" si="148"/>
        <v>1.4301024238302562</v>
      </c>
      <c r="CA147" s="18">
        <f t="shared" si="148"/>
        <v>7.5974211422769002</v>
      </c>
      <c r="CB147" s="18">
        <f t="shared" si="148"/>
        <v>4.7613198518560091</v>
      </c>
      <c r="CC147" s="18">
        <f t="shared" si="148"/>
        <v>6.5203290169698276</v>
      </c>
      <c r="CD147" s="56">
        <f t="shared" si="149"/>
        <v>1</v>
      </c>
      <c r="CF147" s="18">
        <f t="shared" si="150"/>
        <v>1.4301024238302562</v>
      </c>
      <c r="CG147" s="18">
        <f t="shared" si="150"/>
        <v>7.5974211422769002</v>
      </c>
      <c r="CH147" s="18">
        <f t="shared" si="150"/>
        <v>4.7613198518560091</v>
      </c>
      <c r="CI147" s="18">
        <f t="shared" si="150"/>
        <v>6.5203290169698276</v>
      </c>
      <c r="CJ147" s="56">
        <f t="shared" si="151"/>
        <v>1</v>
      </c>
      <c r="CL147" s="18">
        <f t="shared" si="152"/>
        <v>1.4301024238302562</v>
      </c>
      <c r="CM147" s="18">
        <f t="shared" si="152"/>
        <v>7.5974211422769002</v>
      </c>
      <c r="CN147" s="18">
        <f t="shared" si="152"/>
        <v>4.7613198518560091</v>
      </c>
      <c r="CO147" s="18">
        <f t="shared" si="152"/>
        <v>6.5203290169698276</v>
      </c>
      <c r="CP147" s="56">
        <f t="shared" si="153"/>
        <v>1</v>
      </c>
    </row>
    <row r="148" spans="1:94" x14ac:dyDescent="0.25">
      <c r="A148" s="36" t="str">
        <f>KMeans_Data!A7</f>
        <v>Quetta</v>
      </c>
      <c r="B148" s="18">
        <f>KMeans_Data!H7</f>
        <v>2.3645319122764876</v>
      </c>
      <c r="C148" s="18">
        <f>KMeans_Data!I7</f>
        <v>2.2941407285360271</v>
      </c>
      <c r="D148" s="18">
        <f>KMeans_Data!J7</f>
        <v>2.3723555668164944</v>
      </c>
      <c r="E148" s="56">
        <f t="shared" si="128"/>
        <v>1</v>
      </c>
      <c r="F148" s="38">
        <f t="shared" si="129"/>
        <v>0.63428158383255806</v>
      </c>
      <c r="G148" s="18">
        <f>IF(COUNTIF(Distance_Matrix!$E$10:$DQ$10,$E148)&lt;=1,0,SUMIF(Distance_Matrix!$E$10:$DQ$10,$E148,Distance_Matrix!$E$16:$DQ$16)/(COUNTIF(Distance_Matrix!$E$10:$DQ$10,$E148)-1))</f>
        <v>1.5438208661543509</v>
      </c>
      <c r="H148" s="18">
        <f>MIN(IF(1=$E148,1E+99,IF(COUNTIF(Distance_Matrix!$E$10:$DQ$10,1)=0,1E+99,SUMIF(Distance_Matrix!$E$10:$DQ$10,1,Distance_Matrix!$E$16:$DQ$16)/COUNTIF(Distance_Matrix!$E$10:$DQ$10,1))),IF(2=$E148,1E+99,IF(COUNTIF(Distance_Matrix!$E$10:$DQ$10,2)=0,1E+99,SUMIF(Distance_Matrix!$E$10:$DQ$10,2,Distance_Matrix!$E$16:$DQ$16)/COUNTIF(Distance_Matrix!$E$10:$DQ$10,2))),IF(3=$E148,1E+99,IF(COUNTIF(Distance_Matrix!$E$10:$DQ$10,3)=0,1E+99,SUMIF(Distance_Matrix!$E$10:$DQ$10,3,Distance_Matrix!$E$16:$DQ$16)/COUNTIF(Distance_Matrix!$E$10:$DQ$10,3))),IF(4=$E148,1E+99,IF(COUNTIF(Distance_Matrix!$E$10:$DQ$10,4)=0,1E+99,SUMIF(Distance_Matrix!$E$10:$DQ$10,4,Distance_Matrix!$E$16:$DQ$16)/COUNTIF(Distance_Matrix!$E$10:$DQ$10,4))))</f>
        <v>2.8930793658875151</v>
      </c>
      <c r="I148" s="18">
        <f>IF(COUNTIF(Distance_Matrix!$E$10:$DQ$10,$E148)&lt;=1,0,(H148-G148)/MAX(G148,H148))</f>
        <v>0.46637451970462962</v>
      </c>
      <c r="X148" s="18">
        <f t="shared" si="130"/>
        <v>2.1556297504391493</v>
      </c>
      <c r="Y148" s="18">
        <f t="shared" si="130"/>
        <v>6.3976329314131073</v>
      </c>
      <c r="Z148" s="18">
        <f t="shared" si="130"/>
        <v>2.4987868185891187</v>
      </c>
      <c r="AA148" s="18">
        <f t="shared" si="130"/>
        <v>4.6140961456431953</v>
      </c>
      <c r="AB148" s="56">
        <f t="shared" si="131"/>
        <v>1</v>
      </c>
      <c r="AD148" s="18">
        <f t="shared" si="132"/>
        <v>1.3021220938638434</v>
      </c>
      <c r="AE148" s="18">
        <f t="shared" si="132"/>
        <v>5.7123364911688626</v>
      </c>
      <c r="AF148" s="18">
        <f t="shared" si="132"/>
        <v>2.8747193297444933</v>
      </c>
      <c r="AG148" s="18">
        <f t="shared" si="132"/>
        <v>4.6868817891379546</v>
      </c>
      <c r="AH148" s="56">
        <f t="shared" si="133"/>
        <v>1</v>
      </c>
      <c r="AJ148" s="18">
        <f t="shared" si="134"/>
        <v>0.98274567503310706</v>
      </c>
      <c r="AK148" s="18">
        <f t="shared" si="134"/>
        <v>5.7361758395537548</v>
      </c>
      <c r="AL148" s="18">
        <f t="shared" si="134"/>
        <v>2.7952282687616199</v>
      </c>
      <c r="AM148" s="18">
        <f t="shared" si="134"/>
        <v>4.6226673636242106</v>
      </c>
      <c r="AN148" s="56">
        <f t="shared" si="135"/>
        <v>1</v>
      </c>
      <c r="AP148" s="18">
        <f t="shared" si="136"/>
        <v>0.79641797056103525</v>
      </c>
      <c r="AQ148" s="18">
        <f t="shared" si="136"/>
        <v>5.8156681565261916</v>
      </c>
      <c r="AR148" s="18">
        <f t="shared" si="136"/>
        <v>2.8420665271100365</v>
      </c>
      <c r="AS148" s="18">
        <f t="shared" si="136"/>
        <v>4.6494060317397183</v>
      </c>
      <c r="AT148" s="56">
        <f t="shared" si="137"/>
        <v>1</v>
      </c>
      <c r="AV148" s="18">
        <f t="shared" si="138"/>
        <v>0.79641797056103525</v>
      </c>
      <c r="AW148" s="18">
        <f t="shared" si="138"/>
        <v>5.8156681565261916</v>
      </c>
      <c r="AX148" s="18">
        <f t="shared" si="138"/>
        <v>2.8420665271100365</v>
      </c>
      <c r="AY148" s="18">
        <f t="shared" si="138"/>
        <v>4.6494060317397183</v>
      </c>
      <c r="AZ148" s="56">
        <f t="shared" si="139"/>
        <v>1</v>
      </c>
      <c r="BB148" s="18">
        <f t="shared" si="140"/>
        <v>0.79641797056103525</v>
      </c>
      <c r="BC148" s="18">
        <f t="shared" si="140"/>
        <v>5.8156681565261916</v>
      </c>
      <c r="BD148" s="18">
        <f t="shared" si="140"/>
        <v>2.8420665271100365</v>
      </c>
      <c r="BE148" s="18">
        <f t="shared" si="140"/>
        <v>4.6494060317397183</v>
      </c>
      <c r="BF148" s="56">
        <f t="shared" si="141"/>
        <v>1</v>
      </c>
      <c r="BH148" s="18">
        <f t="shared" si="142"/>
        <v>0.79641797056103525</v>
      </c>
      <c r="BI148" s="18">
        <f t="shared" si="142"/>
        <v>5.8156681565261916</v>
      </c>
      <c r="BJ148" s="18">
        <f t="shared" si="142"/>
        <v>2.8420665271100365</v>
      </c>
      <c r="BK148" s="18">
        <f t="shared" si="142"/>
        <v>4.6494060317397183</v>
      </c>
      <c r="BL148" s="56">
        <f t="shared" si="143"/>
        <v>1</v>
      </c>
      <c r="BN148" s="18">
        <f t="shared" si="144"/>
        <v>0.79641797056103525</v>
      </c>
      <c r="BO148" s="18">
        <f t="shared" si="144"/>
        <v>5.8156681565261916</v>
      </c>
      <c r="BP148" s="18">
        <f t="shared" si="144"/>
        <v>2.8420665271100365</v>
      </c>
      <c r="BQ148" s="18">
        <f t="shared" si="144"/>
        <v>4.6494060317397183</v>
      </c>
      <c r="BR148" s="56">
        <f t="shared" si="145"/>
        <v>1</v>
      </c>
      <c r="BT148" s="18">
        <f t="shared" si="146"/>
        <v>0.79641797056103525</v>
      </c>
      <c r="BU148" s="18">
        <f t="shared" si="146"/>
        <v>5.8156681565261916</v>
      </c>
      <c r="BV148" s="18">
        <f t="shared" si="146"/>
        <v>2.8420665271100365</v>
      </c>
      <c r="BW148" s="18">
        <f t="shared" si="146"/>
        <v>4.6494060317397183</v>
      </c>
      <c r="BX148" s="56">
        <f t="shared" si="147"/>
        <v>1</v>
      </c>
      <c r="BZ148" s="18">
        <f t="shared" si="148"/>
        <v>0.79641797056103525</v>
      </c>
      <c r="CA148" s="18">
        <f t="shared" si="148"/>
        <v>5.8156681565261916</v>
      </c>
      <c r="CB148" s="18">
        <f t="shared" si="148"/>
        <v>2.8420665271100365</v>
      </c>
      <c r="CC148" s="18">
        <f t="shared" si="148"/>
        <v>4.6494060317397183</v>
      </c>
      <c r="CD148" s="56">
        <f t="shared" si="149"/>
        <v>1</v>
      </c>
      <c r="CF148" s="18">
        <f t="shared" si="150"/>
        <v>0.79641797056103525</v>
      </c>
      <c r="CG148" s="18">
        <f t="shared" si="150"/>
        <v>5.8156681565261916</v>
      </c>
      <c r="CH148" s="18">
        <f t="shared" si="150"/>
        <v>2.8420665271100365</v>
      </c>
      <c r="CI148" s="18">
        <f t="shared" si="150"/>
        <v>4.6494060317397183</v>
      </c>
      <c r="CJ148" s="56">
        <f t="shared" si="151"/>
        <v>1</v>
      </c>
      <c r="CL148" s="18">
        <f t="shared" si="152"/>
        <v>0.79641797056103525</v>
      </c>
      <c r="CM148" s="18">
        <f t="shared" si="152"/>
        <v>5.8156681565261916</v>
      </c>
      <c r="CN148" s="18">
        <f t="shared" si="152"/>
        <v>2.8420665271100365</v>
      </c>
      <c r="CO148" s="18">
        <f t="shared" si="152"/>
        <v>4.6494060317397183</v>
      </c>
      <c r="CP148" s="56">
        <f t="shared" si="153"/>
        <v>1</v>
      </c>
    </row>
    <row r="149" spans="1:94" x14ac:dyDescent="0.25">
      <c r="A149" s="36" t="str">
        <f>KMeans_Data!A8</f>
        <v>Peshawar</v>
      </c>
      <c r="B149" s="18">
        <f>KMeans_Data!H8</f>
        <v>2.3452338230080074</v>
      </c>
      <c r="C149" s="18">
        <f>KMeans_Data!I8</f>
        <v>3.5617489210507416</v>
      </c>
      <c r="D149" s="18">
        <f>KMeans_Data!J8</f>
        <v>1.6399224296702051</v>
      </c>
      <c r="E149" s="56">
        <f t="shared" si="128"/>
        <v>1</v>
      </c>
      <c r="F149" s="38">
        <f t="shared" si="129"/>
        <v>0.56541344698792695</v>
      </c>
      <c r="G149" s="18">
        <f>IF(COUNTIF(Distance_Matrix!$E$10:$DQ$10,$E149)&lt;=1,0,SUMIF(Distance_Matrix!$E$10:$DQ$10,$E149,Distance_Matrix!$E$17:$DQ$17)/(COUNTIF(Distance_Matrix!$E$10:$DQ$10,$E149)-1))</f>
        <v>1.5973436818684328</v>
      </c>
      <c r="H149" s="18">
        <f>MIN(IF(1=$E149,1E+99,IF(COUNTIF(Distance_Matrix!$E$10:$DQ$10,1)=0,1E+99,SUMIF(Distance_Matrix!$E$10:$DQ$10,1,Distance_Matrix!$E$17:$DQ$17)/COUNTIF(Distance_Matrix!$E$10:$DQ$10,1))),IF(2=$E149,1E+99,IF(COUNTIF(Distance_Matrix!$E$10:$DQ$10,2)=0,1E+99,SUMIF(Distance_Matrix!$E$10:$DQ$10,2,Distance_Matrix!$E$17:$DQ$17)/COUNTIF(Distance_Matrix!$E$10:$DQ$10,2))),IF(3=$E149,1E+99,IF(COUNTIF(Distance_Matrix!$E$10:$DQ$10,3)=0,1E+99,SUMIF(Distance_Matrix!$E$10:$DQ$10,3,Distance_Matrix!$E$17:$DQ$17)/COUNTIF(Distance_Matrix!$E$10:$DQ$10,3))),IF(4=$E149,1E+99,IF(COUNTIF(Distance_Matrix!$E$10:$DQ$10,4)=0,1E+99,SUMIF(Distance_Matrix!$E$10:$DQ$10,4,Distance_Matrix!$E$17:$DQ$17)/COUNTIF(Distance_Matrix!$E$10:$DQ$10,4))))</f>
        <v>3.5283272334182949</v>
      </c>
      <c r="I149" s="18">
        <f>IF(COUNTIF(Distance_Matrix!$E$10:$DQ$10,$E149)&lt;=1,0,(H149-G149)/MAX(G149,H149))</f>
        <v>0.54728017664027639</v>
      </c>
      <c r="X149" s="18">
        <f t="shared" si="130"/>
        <v>1.9214318612792127</v>
      </c>
      <c r="Y149" s="18">
        <f t="shared" si="130"/>
        <v>6.7282906668016098</v>
      </c>
      <c r="Z149" s="18">
        <f t="shared" si="130"/>
        <v>3.4454653154512496</v>
      </c>
      <c r="AA149" s="18">
        <f t="shared" si="130"/>
        <v>4.939896884511378</v>
      </c>
      <c r="AB149" s="56">
        <f t="shared" si="131"/>
        <v>1</v>
      </c>
      <c r="AD149" s="18">
        <f t="shared" si="132"/>
        <v>0.96619773857891822</v>
      </c>
      <c r="AE149" s="18">
        <f t="shared" si="132"/>
        <v>6.1044244897634119</v>
      </c>
      <c r="AF149" s="18">
        <f t="shared" si="132"/>
        <v>3.5365578149918946</v>
      </c>
      <c r="AG149" s="18">
        <f t="shared" si="132"/>
        <v>5.1812167787260153</v>
      </c>
      <c r="AH149" s="56">
        <f t="shared" si="133"/>
        <v>1</v>
      </c>
      <c r="AJ149" s="18">
        <f t="shared" si="134"/>
        <v>0.83739035052426325</v>
      </c>
      <c r="AK149" s="18">
        <f t="shared" si="134"/>
        <v>6.1207395042006389</v>
      </c>
      <c r="AL149" s="18">
        <f t="shared" si="134"/>
        <v>3.4429627307618089</v>
      </c>
      <c r="AM149" s="18">
        <f t="shared" si="134"/>
        <v>5.1438087012166438</v>
      </c>
      <c r="AN149" s="56">
        <f t="shared" si="135"/>
        <v>1</v>
      </c>
      <c r="AP149" s="18">
        <f t="shared" si="136"/>
        <v>0.75193978946982643</v>
      </c>
      <c r="AQ149" s="18">
        <f t="shared" si="136"/>
        <v>6.1842488408226446</v>
      </c>
      <c r="AR149" s="18">
        <f t="shared" si="136"/>
        <v>3.4932301512312245</v>
      </c>
      <c r="AS149" s="18">
        <f t="shared" si="136"/>
        <v>5.1714639989693687</v>
      </c>
      <c r="AT149" s="56">
        <f t="shared" si="137"/>
        <v>1</v>
      </c>
      <c r="AV149" s="18">
        <f t="shared" si="138"/>
        <v>0.75193978946982643</v>
      </c>
      <c r="AW149" s="18">
        <f t="shared" si="138"/>
        <v>6.1842488408226446</v>
      </c>
      <c r="AX149" s="18">
        <f t="shared" si="138"/>
        <v>3.4932301512312245</v>
      </c>
      <c r="AY149" s="18">
        <f t="shared" si="138"/>
        <v>5.1714639989693687</v>
      </c>
      <c r="AZ149" s="56">
        <f t="shared" si="139"/>
        <v>1</v>
      </c>
      <c r="BB149" s="18">
        <f t="shared" si="140"/>
        <v>0.75193978946982643</v>
      </c>
      <c r="BC149" s="18">
        <f t="shared" si="140"/>
        <v>6.1842488408226446</v>
      </c>
      <c r="BD149" s="18">
        <f t="shared" si="140"/>
        <v>3.4932301512312245</v>
      </c>
      <c r="BE149" s="18">
        <f t="shared" si="140"/>
        <v>5.1714639989693687</v>
      </c>
      <c r="BF149" s="56">
        <f t="shared" si="141"/>
        <v>1</v>
      </c>
      <c r="BH149" s="18">
        <f t="shared" si="142"/>
        <v>0.75193978946982643</v>
      </c>
      <c r="BI149" s="18">
        <f t="shared" si="142"/>
        <v>6.1842488408226446</v>
      </c>
      <c r="BJ149" s="18">
        <f t="shared" si="142"/>
        <v>3.4932301512312245</v>
      </c>
      <c r="BK149" s="18">
        <f t="shared" si="142"/>
        <v>5.1714639989693687</v>
      </c>
      <c r="BL149" s="56">
        <f t="shared" si="143"/>
        <v>1</v>
      </c>
      <c r="BN149" s="18">
        <f t="shared" si="144"/>
        <v>0.75193978946982643</v>
      </c>
      <c r="BO149" s="18">
        <f t="shared" si="144"/>
        <v>6.1842488408226446</v>
      </c>
      <c r="BP149" s="18">
        <f t="shared" si="144"/>
        <v>3.4932301512312245</v>
      </c>
      <c r="BQ149" s="18">
        <f t="shared" si="144"/>
        <v>5.1714639989693687</v>
      </c>
      <c r="BR149" s="56">
        <f t="shared" si="145"/>
        <v>1</v>
      </c>
      <c r="BT149" s="18">
        <f t="shared" si="146"/>
        <v>0.75193978946982643</v>
      </c>
      <c r="BU149" s="18">
        <f t="shared" si="146"/>
        <v>6.1842488408226446</v>
      </c>
      <c r="BV149" s="18">
        <f t="shared" si="146"/>
        <v>3.4932301512312245</v>
      </c>
      <c r="BW149" s="18">
        <f t="shared" si="146"/>
        <v>5.1714639989693687</v>
      </c>
      <c r="BX149" s="56">
        <f t="shared" si="147"/>
        <v>1</v>
      </c>
      <c r="BZ149" s="18">
        <f t="shared" si="148"/>
        <v>0.75193978946982643</v>
      </c>
      <c r="CA149" s="18">
        <f t="shared" si="148"/>
        <v>6.1842488408226446</v>
      </c>
      <c r="CB149" s="18">
        <f t="shared" si="148"/>
        <v>3.4932301512312245</v>
      </c>
      <c r="CC149" s="18">
        <f t="shared" si="148"/>
        <v>5.1714639989693687</v>
      </c>
      <c r="CD149" s="56">
        <f t="shared" si="149"/>
        <v>1</v>
      </c>
      <c r="CF149" s="18">
        <f t="shared" si="150"/>
        <v>0.75193978946982643</v>
      </c>
      <c r="CG149" s="18">
        <f t="shared" si="150"/>
        <v>6.1842488408226446</v>
      </c>
      <c r="CH149" s="18">
        <f t="shared" si="150"/>
        <v>3.4932301512312245</v>
      </c>
      <c r="CI149" s="18">
        <f t="shared" si="150"/>
        <v>5.1714639989693687</v>
      </c>
      <c r="CJ149" s="56">
        <f t="shared" si="151"/>
        <v>1</v>
      </c>
      <c r="CL149" s="18">
        <f t="shared" si="152"/>
        <v>0.75193978946982643</v>
      </c>
      <c r="CM149" s="18">
        <f t="shared" si="152"/>
        <v>6.1842488408226446</v>
      </c>
      <c r="CN149" s="18">
        <f t="shared" si="152"/>
        <v>3.4932301512312245</v>
      </c>
      <c r="CO149" s="18">
        <f t="shared" si="152"/>
        <v>5.1714639989693687</v>
      </c>
      <c r="CP149" s="56">
        <f t="shared" si="153"/>
        <v>1</v>
      </c>
    </row>
    <row r="150" spans="1:94" x14ac:dyDescent="0.25">
      <c r="A150" s="36" t="str">
        <f>KMeans_Data!A9</f>
        <v>Islamabad</v>
      </c>
      <c r="B150" s="18">
        <f>KMeans_Data!H9</f>
        <v>2.1711238504828065</v>
      </c>
      <c r="C150" s="18">
        <f>KMeans_Data!I9</f>
        <v>2.0657893204369486</v>
      </c>
      <c r="D150" s="18">
        <f>KMeans_Data!J9</f>
        <v>1.6965167635960359</v>
      </c>
      <c r="E150" s="56">
        <f t="shared" si="128"/>
        <v>1</v>
      </c>
      <c r="F150" s="38">
        <f t="shared" si="129"/>
        <v>1.3165915197111837</v>
      </c>
      <c r="G150" s="18">
        <f>IF(COUNTIF(Distance_Matrix!$E$10:$DQ$10,$E150)&lt;=1,0,SUMIF(Distance_Matrix!$E$10:$DQ$10,$E150,Distance_Matrix!$E$18:$DQ$18)/(COUNTIF(Distance_Matrix!$E$10:$DQ$10,$E150)-1))</f>
        <v>1.6565732366708956</v>
      </c>
      <c r="H150" s="18">
        <f>MIN(IF(1=$E150,1E+99,IF(COUNTIF(Distance_Matrix!$E$10:$DQ$10,1)=0,1E+99,SUMIF(Distance_Matrix!$E$10:$DQ$10,1,Distance_Matrix!$E$18:$DQ$18)/COUNTIF(Distance_Matrix!$E$10:$DQ$10,1))),IF(2=$E150,1E+99,IF(COUNTIF(Distance_Matrix!$E$10:$DQ$10,2)=0,1E+99,SUMIF(Distance_Matrix!$E$10:$DQ$10,2,Distance_Matrix!$E$18:$DQ$18)/COUNTIF(Distance_Matrix!$E$10:$DQ$10,2))),IF(3=$E150,1E+99,IF(COUNTIF(Distance_Matrix!$E$10:$DQ$10,3)=0,1E+99,SUMIF(Distance_Matrix!$E$10:$DQ$10,3,Distance_Matrix!$E$18:$DQ$18)/COUNTIF(Distance_Matrix!$E$10:$DQ$10,3))),IF(4=$E150,1E+99,IF(COUNTIF(Distance_Matrix!$E$10:$DQ$10,4)=0,1E+99,SUMIF(Distance_Matrix!$E$10:$DQ$10,4,Distance_Matrix!$E$18:$DQ$18)/COUNTIF(Distance_Matrix!$E$10:$DQ$10,4))))</f>
        <v>2.3341427136492165</v>
      </c>
      <c r="I150" s="18">
        <f>IF(COUNTIF(Distance_Matrix!$E$10:$DQ$10,$E150)&lt;=1,0,(H150-G150)/MAX(G150,H150))</f>
        <v>0.29028622500935414</v>
      </c>
      <c r="X150" s="18">
        <f t="shared" si="130"/>
        <v>2.7444013573462209</v>
      </c>
      <c r="Y150" s="18">
        <f t="shared" si="130"/>
        <v>5.8005825296542461</v>
      </c>
      <c r="Z150" s="18">
        <f t="shared" si="130"/>
        <v>2.0452195555832495</v>
      </c>
      <c r="AA150" s="18">
        <f t="shared" si="130"/>
        <v>3.9116800125412099</v>
      </c>
      <c r="AB150" s="56">
        <f t="shared" si="131"/>
        <v>3</v>
      </c>
      <c r="AD150" s="18">
        <f t="shared" si="132"/>
        <v>1.7675730579731821</v>
      </c>
      <c r="AE150" s="18">
        <f t="shared" si="132"/>
        <v>5.0956132335377458</v>
      </c>
      <c r="AF150" s="18">
        <f t="shared" si="132"/>
        <v>2.3084237724341041</v>
      </c>
      <c r="AG150" s="18">
        <f t="shared" si="132"/>
        <v>4.0499298510412407</v>
      </c>
      <c r="AH150" s="56">
        <f t="shared" si="133"/>
        <v>1</v>
      </c>
      <c r="AJ150" s="18">
        <f t="shared" si="134"/>
        <v>1.4140584463785455</v>
      </c>
      <c r="AK150" s="18">
        <f t="shared" si="134"/>
        <v>5.1160016902291838</v>
      </c>
      <c r="AL150" s="18">
        <f t="shared" si="134"/>
        <v>2.2224798537198662</v>
      </c>
      <c r="AM150" s="18">
        <f t="shared" si="134"/>
        <v>3.9962005741466546</v>
      </c>
      <c r="AN150" s="56">
        <f t="shared" si="135"/>
        <v>1</v>
      </c>
      <c r="AP150" s="18">
        <f t="shared" si="136"/>
        <v>1.1474282198513264</v>
      </c>
      <c r="AQ150" s="18">
        <f t="shared" si="136"/>
        <v>5.1918950134866186</v>
      </c>
      <c r="AR150" s="18">
        <f t="shared" si="136"/>
        <v>2.2704271216732117</v>
      </c>
      <c r="AS150" s="18">
        <f t="shared" si="136"/>
        <v>4.0255984358102186</v>
      </c>
      <c r="AT150" s="56">
        <f t="shared" si="137"/>
        <v>1</v>
      </c>
      <c r="AV150" s="18">
        <f t="shared" si="138"/>
        <v>1.1474282198513264</v>
      </c>
      <c r="AW150" s="18">
        <f t="shared" si="138"/>
        <v>5.1918950134866186</v>
      </c>
      <c r="AX150" s="18">
        <f t="shared" si="138"/>
        <v>2.2704271216732117</v>
      </c>
      <c r="AY150" s="18">
        <f t="shared" si="138"/>
        <v>4.0255984358102186</v>
      </c>
      <c r="AZ150" s="56">
        <f t="shared" si="139"/>
        <v>1</v>
      </c>
      <c r="BB150" s="18">
        <f t="shared" si="140"/>
        <v>1.1474282198513264</v>
      </c>
      <c r="BC150" s="18">
        <f t="shared" si="140"/>
        <v>5.1918950134866186</v>
      </c>
      <c r="BD150" s="18">
        <f t="shared" si="140"/>
        <v>2.2704271216732117</v>
      </c>
      <c r="BE150" s="18">
        <f t="shared" si="140"/>
        <v>4.0255984358102186</v>
      </c>
      <c r="BF150" s="56">
        <f t="shared" si="141"/>
        <v>1</v>
      </c>
      <c r="BH150" s="18">
        <f t="shared" si="142"/>
        <v>1.1474282198513264</v>
      </c>
      <c r="BI150" s="18">
        <f t="shared" si="142"/>
        <v>5.1918950134866186</v>
      </c>
      <c r="BJ150" s="18">
        <f t="shared" si="142"/>
        <v>2.2704271216732117</v>
      </c>
      <c r="BK150" s="18">
        <f t="shared" si="142"/>
        <v>4.0255984358102186</v>
      </c>
      <c r="BL150" s="56">
        <f t="shared" si="143"/>
        <v>1</v>
      </c>
      <c r="BN150" s="18">
        <f t="shared" si="144"/>
        <v>1.1474282198513264</v>
      </c>
      <c r="BO150" s="18">
        <f t="shared" si="144"/>
        <v>5.1918950134866186</v>
      </c>
      <c r="BP150" s="18">
        <f t="shared" si="144"/>
        <v>2.2704271216732117</v>
      </c>
      <c r="BQ150" s="18">
        <f t="shared" si="144"/>
        <v>4.0255984358102186</v>
      </c>
      <c r="BR150" s="56">
        <f t="shared" si="145"/>
        <v>1</v>
      </c>
      <c r="BT150" s="18">
        <f t="shared" si="146"/>
        <v>1.1474282198513264</v>
      </c>
      <c r="BU150" s="18">
        <f t="shared" si="146"/>
        <v>5.1918950134866186</v>
      </c>
      <c r="BV150" s="18">
        <f t="shared" si="146"/>
        <v>2.2704271216732117</v>
      </c>
      <c r="BW150" s="18">
        <f t="shared" si="146"/>
        <v>4.0255984358102186</v>
      </c>
      <c r="BX150" s="56">
        <f t="shared" si="147"/>
        <v>1</v>
      </c>
      <c r="BZ150" s="18">
        <f t="shared" si="148"/>
        <v>1.1474282198513264</v>
      </c>
      <c r="CA150" s="18">
        <f t="shared" si="148"/>
        <v>5.1918950134866186</v>
      </c>
      <c r="CB150" s="18">
        <f t="shared" si="148"/>
        <v>2.2704271216732117</v>
      </c>
      <c r="CC150" s="18">
        <f t="shared" si="148"/>
        <v>4.0255984358102186</v>
      </c>
      <c r="CD150" s="56">
        <f t="shared" si="149"/>
        <v>1</v>
      </c>
      <c r="CF150" s="18">
        <f t="shared" si="150"/>
        <v>1.1474282198513264</v>
      </c>
      <c r="CG150" s="18">
        <f t="shared" si="150"/>
        <v>5.1918950134866186</v>
      </c>
      <c r="CH150" s="18">
        <f t="shared" si="150"/>
        <v>2.2704271216732117</v>
      </c>
      <c r="CI150" s="18">
        <f t="shared" si="150"/>
        <v>4.0255984358102186</v>
      </c>
      <c r="CJ150" s="56">
        <f t="shared" si="151"/>
        <v>1</v>
      </c>
      <c r="CL150" s="18">
        <f t="shared" si="152"/>
        <v>1.1474282198513264</v>
      </c>
      <c r="CM150" s="18">
        <f t="shared" si="152"/>
        <v>5.1918950134866186</v>
      </c>
      <c r="CN150" s="18">
        <f t="shared" si="152"/>
        <v>2.2704271216732117</v>
      </c>
      <c r="CO150" s="18">
        <f t="shared" si="152"/>
        <v>4.0255984358102186</v>
      </c>
      <c r="CP150" s="56">
        <f t="shared" si="153"/>
        <v>1</v>
      </c>
    </row>
    <row r="151" spans="1:94" x14ac:dyDescent="0.25">
      <c r="A151" s="36" t="str">
        <f>KMeans_Data!A10</f>
        <v>Swat</v>
      </c>
      <c r="B151" s="18">
        <f>KMeans_Data!H10</f>
        <v>1.4937524666444724</v>
      </c>
      <c r="C151" s="18">
        <f>KMeans_Data!I10</f>
        <v>2.2309059700842244</v>
      </c>
      <c r="D151" s="18">
        <f>KMeans_Data!J10</f>
        <v>1.4434361051069102</v>
      </c>
      <c r="E151" s="56">
        <f t="shared" si="128"/>
        <v>1</v>
      </c>
      <c r="F151" s="38">
        <f t="shared" si="129"/>
        <v>2.2070022082837699</v>
      </c>
      <c r="G151" s="18">
        <f>IF(COUNTIF(Distance_Matrix!$E$10:$DQ$10,$E151)&lt;=1,0,SUMIF(Distance_Matrix!$E$10:$DQ$10,$E151,Distance_Matrix!$E$19:$DQ$19)/(COUNTIF(Distance_Matrix!$E$10:$DQ$10,$E151)-1))</f>
        <v>1.9220689422187032</v>
      </c>
      <c r="H151" s="18">
        <f>MIN(IF(1=$E151,1E+99,IF(COUNTIF(Distance_Matrix!$E$10:$DQ$10,1)=0,1E+99,SUMIF(Distance_Matrix!$E$10:$DQ$10,1,Distance_Matrix!$E$19:$DQ$19)/COUNTIF(Distance_Matrix!$E$10:$DQ$10,1))),IF(2=$E151,1E+99,IF(COUNTIF(Distance_Matrix!$E$10:$DQ$10,2)=0,1E+99,SUMIF(Distance_Matrix!$E$10:$DQ$10,2,Distance_Matrix!$E$19:$DQ$19)/COUNTIF(Distance_Matrix!$E$10:$DQ$10,2))),IF(3=$E151,1E+99,IF(COUNTIF(Distance_Matrix!$E$10:$DQ$10,3)=0,1E+99,SUMIF(Distance_Matrix!$E$10:$DQ$10,3,Distance_Matrix!$E$19:$DQ$19)/COUNTIF(Distance_Matrix!$E$10:$DQ$10,3))),IF(4=$E151,1E+99,IF(COUNTIF(Distance_Matrix!$E$10:$DQ$10,4)=0,1E+99,SUMIF(Distance_Matrix!$E$10:$DQ$10,4,Distance_Matrix!$E$19:$DQ$19)/COUNTIF(Distance_Matrix!$E$10:$DQ$10,4))))</f>
        <v>1.9841212014545888</v>
      </c>
      <c r="I151" s="18">
        <f>IF(COUNTIF(Distance_Matrix!$E$10:$DQ$10,$E151)&lt;=1,0,(H151-G151)/MAX(G151,H151))</f>
        <v>3.1274429803176441E-2</v>
      </c>
      <c r="X151" s="18">
        <f t="shared" si="130"/>
        <v>3.1164934246659244</v>
      </c>
      <c r="Y151" s="18">
        <f t="shared" si="130"/>
        <v>5.2824057792586023</v>
      </c>
      <c r="Z151" s="18">
        <f t="shared" si="130"/>
        <v>1.9078175214514932</v>
      </c>
      <c r="AA151" s="18">
        <f t="shared" si="130"/>
        <v>3.6162040410227214</v>
      </c>
      <c r="AB151" s="56">
        <f t="shared" si="131"/>
        <v>3</v>
      </c>
      <c r="AD151" s="18">
        <f t="shared" si="132"/>
        <v>2.1118547649238444</v>
      </c>
      <c r="AE151" s="18">
        <f t="shared" si="132"/>
        <v>4.6323748492253314</v>
      </c>
      <c r="AF151" s="18">
        <f t="shared" si="132"/>
        <v>1.9593730942225238</v>
      </c>
      <c r="AG151" s="18">
        <f t="shared" si="132"/>
        <v>3.6947643194565374</v>
      </c>
      <c r="AH151" s="56">
        <f t="shared" si="133"/>
        <v>3</v>
      </c>
      <c r="AJ151" s="18">
        <f t="shared" si="134"/>
        <v>1.7827179193379497</v>
      </c>
      <c r="AK151" s="18">
        <f t="shared" si="134"/>
        <v>4.6533244233644675</v>
      </c>
      <c r="AL151" s="18">
        <f t="shared" si="134"/>
        <v>1.8673829023291231</v>
      </c>
      <c r="AM151" s="18">
        <f t="shared" si="134"/>
        <v>3.6416640313362412</v>
      </c>
      <c r="AN151" s="56">
        <f t="shared" si="135"/>
        <v>1</v>
      </c>
      <c r="AP151" s="18">
        <f t="shared" si="136"/>
        <v>1.485598266114958</v>
      </c>
      <c r="AQ151" s="18">
        <f t="shared" si="136"/>
        <v>4.7252919282373389</v>
      </c>
      <c r="AR151" s="18">
        <f t="shared" si="136"/>
        <v>1.9178527105001804</v>
      </c>
      <c r="AS151" s="18">
        <f t="shared" si="136"/>
        <v>3.6662461646937254</v>
      </c>
      <c r="AT151" s="56">
        <f t="shared" si="137"/>
        <v>1</v>
      </c>
      <c r="AV151" s="18">
        <f t="shared" si="138"/>
        <v>1.485598266114958</v>
      </c>
      <c r="AW151" s="18">
        <f t="shared" si="138"/>
        <v>4.7252919282373389</v>
      </c>
      <c r="AX151" s="18">
        <f t="shared" si="138"/>
        <v>1.9178527105001804</v>
      </c>
      <c r="AY151" s="18">
        <f t="shared" si="138"/>
        <v>3.6662461646937254</v>
      </c>
      <c r="AZ151" s="56">
        <f t="shared" si="139"/>
        <v>1</v>
      </c>
      <c r="BB151" s="18">
        <f t="shared" si="140"/>
        <v>1.485598266114958</v>
      </c>
      <c r="BC151" s="18">
        <f t="shared" si="140"/>
        <v>4.7252919282373389</v>
      </c>
      <c r="BD151" s="18">
        <f t="shared" si="140"/>
        <v>1.9178527105001804</v>
      </c>
      <c r="BE151" s="18">
        <f t="shared" si="140"/>
        <v>3.6662461646937254</v>
      </c>
      <c r="BF151" s="56">
        <f t="shared" si="141"/>
        <v>1</v>
      </c>
      <c r="BH151" s="18">
        <f t="shared" si="142"/>
        <v>1.485598266114958</v>
      </c>
      <c r="BI151" s="18">
        <f t="shared" si="142"/>
        <v>4.7252919282373389</v>
      </c>
      <c r="BJ151" s="18">
        <f t="shared" si="142"/>
        <v>1.9178527105001804</v>
      </c>
      <c r="BK151" s="18">
        <f t="shared" si="142"/>
        <v>3.6662461646937254</v>
      </c>
      <c r="BL151" s="56">
        <f t="shared" si="143"/>
        <v>1</v>
      </c>
      <c r="BN151" s="18">
        <f t="shared" si="144"/>
        <v>1.485598266114958</v>
      </c>
      <c r="BO151" s="18">
        <f t="shared" si="144"/>
        <v>4.7252919282373389</v>
      </c>
      <c r="BP151" s="18">
        <f t="shared" si="144"/>
        <v>1.9178527105001804</v>
      </c>
      <c r="BQ151" s="18">
        <f t="shared" si="144"/>
        <v>3.6662461646937254</v>
      </c>
      <c r="BR151" s="56">
        <f t="shared" si="145"/>
        <v>1</v>
      </c>
      <c r="BT151" s="18">
        <f t="shared" si="146"/>
        <v>1.485598266114958</v>
      </c>
      <c r="BU151" s="18">
        <f t="shared" si="146"/>
        <v>4.7252919282373389</v>
      </c>
      <c r="BV151" s="18">
        <f t="shared" si="146"/>
        <v>1.9178527105001804</v>
      </c>
      <c r="BW151" s="18">
        <f t="shared" si="146"/>
        <v>3.6662461646937254</v>
      </c>
      <c r="BX151" s="56">
        <f t="shared" si="147"/>
        <v>1</v>
      </c>
      <c r="BZ151" s="18">
        <f t="shared" si="148"/>
        <v>1.485598266114958</v>
      </c>
      <c r="CA151" s="18">
        <f t="shared" si="148"/>
        <v>4.7252919282373389</v>
      </c>
      <c r="CB151" s="18">
        <f t="shared" si="148"/>
        <v>1.9178527105001804</v>
      </c>
      <c r="CC151" s="18">
        <f t="shared" si="148"/>
        <v>3.6662461646937254</v>
      </c>
      <c r="CD151" s="56">
        <f t="shared" si="149"/>
        <v>1</v>
      </c>
      <c r="CF151" s="18">
        <f t="shared" si="150"/>
        <v>1.485598266114958</v>
      </c>
      <c r="CG151" s="18">
        <f t="shared" si="150"/>
        <v>4.7252919282373389</v>
      </c>
      <c r="CH151" s="18">
        <f t="shared" si="150"/>
        <v>1.9178527105001804</v>
      </c>
      <c r="CI151" s="18">
        <f t="shared" si="150"/>
        <v>3.6662461646937254</v>
      </c>
      <c r="CJ151" s="56">
        <f t="shared" si="151"/>
        <v>1</v>
      </c>
      <c r="CL151" s="18">
        <f t="shared" si="152"/>
        <v>1.485598266114958</v>
      </c>
      <c r="CM151" s="18">
        <f t="shared" si="152"/>
        <v>4.7252919282373389</v>
      </c>
      <c r="CN151" s="18">
        <f t="shared" si="152"/>
        <v>1.9178527105001804</v>
      </c>
      <c r="CO151" s="18">
        <f t="shared" si="152"/>
        <v>3.6662461646937254</v>
      </c>
      <c r="CP151" s="56">
        <f t="shared" si="153"/>
        <v>1</v>
      </c>
    </row>
    <row r="152" spans="1:94" x14ac:dyDescent="0.25">
      <c r="A152" s="36" t="str">
        <f>KMeans_Data!A11</f>
        <v>Multan</v>
      </c>
      <c r="B152" s="18">
        <f>KMeans_Data!H11</f>
        <v>1.3394801285719993</v>
      </c>
      <c r="C152" s="18">
        <f>KMeans_Data!I11</f>
        <v>0.16051258962499582</v>
      </c>
      <c r="D152" s="18">
        <f>KMeans_Data!J11</f>
        <v>-0.82444601589876665</v>
      </c>
      <c r="E152" s="56">
        <f t="shared" si="128"/>
        <v>4</v>
      </c>
      <c r="F152" s="38">
        <f t="shared" si="129"/>
        <v>2.804458919797725</v>
      </c>
      <c r="G152" s="18">
        <f>IF(COUNTIF(Distance_Matrix!$E$10:$DQ$10,$E152)&lt;=1,0,SUMIF(Distance_Matrix!$E$10:$DQ$10,$E152,Distance_Matrix!$E$20:$DQ$20)/(COUNTIF(Distance_Matrix!$E$10:$DQ$10,$E152)-1))</f>
        <v>1.8160688427368303</v>
      </c>
      <c r="H152" s="18">
        <f>MIN(IF(1=$E152,1E+99,IF(COUNTIF(Distance_Matrix!$E$10:$DQ$10,1)=0,1E+99,SUMIF(Distance_Matrix!$E$10:$DQ$10,1,Distance_Matrix!$E$20:$DQ$20)/COUNTIF(Distance_Matrix!$E$10:$DQ$10,1))),IF(2=$E152,1E+99,IF(COUNTIF(Distance_Matrix!$E$10:$DQ$10,2)=0,1E+99,SUMIF(Distance_Matrix!$E$10:$DQ$10,2,Distance_Matrix!$E$20:$DQ$20)/COUNTIF(Distance_Matrix!$E$10:$DQ$10,2))),IF(3=$E152,1E+99,IF(COUNTIF(Distance_Matrix!$E$10:$DQ$10,3)=0,1E+99,SUMIF(Distance_Matrix!$E$10:$DQ$10,3,Distance_Matrix!$E$20:$DQ$20)/COUNTIF(Distance_Matrix!$E$10:$DQ$10,3))),IF(4=$E152,1E+99,IF(COUNTIF(Distance_Matrix!$E$10:$DQ$10,4)=0,1E+99,SUMIF(Distance_Matrix!$E$10:$DQ$10,4,Distance_Matrix!$E$20:$DQ$20)/COUNTIF(Distance_Matrix!$E$10:$DQ$10,4))))</f>
        <v>2.0309961594185961</v>
      </c>
      <c r="I152" s="18">
        <f>IF(COUNTIF(Distance_Matrix!$E$10:$DQ$10,$E152)&lt;=1,0,(H152-G152)/MAX(G152,H152))</f>
        <v>0.10582359581777448</v>
      </c>
      <c r="X152" s="18">
        <f t="shared" si="130"/>
        <v>5.9504874931858787</v>
      </c>
      <c r="Y152" s="18">
        <f t="shared" si="130"/>
        <v>3.5338904221249825</v>
      </c>
      <c r="Z152" s="18">
        <f t="shared" si="130"/>
        <v>2.3249148297272479</v>
      </c>
      <c r="AA152" s="18">
        <f t="shared" si="130"/>
        <v>0.82406922646320091</v>
      </c>
      <c r="AB152" s="56">
        <f t="shared" si="131"/>
        <v>4</v>
      </c>
      <c r="AD152" s="18">
        <f t="shared" si="132"/>
        <v>4.9354026504816488</v>
      </c>
      <c r="AE152" s="18">
        <f t="shared" si="132"/>
        <v>2.7082159772380696</v>
      </c>
      <c r="AF152" s="18">
        <f t="shared" si="132"/>
        <v>1.9007855365244102</v>
      </c>
      <c r="AG152" s="18">
        <f t="shared" si="132"/>
        <v>1.5758532538872418</v>
      </c>
      <c r="AH152" s="56">
        <f t="shared" si="133"/>
        <v>4</v>
      </c>
      <c r="AJ152" s="18">
        <f t="shared" si="134"/>
        <v>4.5958744481126175</v>
      </c>
      <c r="AK152" s="18">
        <f t="shared" si="134"/>
        <v>2.702428993122763</v>
      </c>
      <c r="AL152" s="18">
        <f t="shared" si="134"/>
        <v>1.9071568595409962</v>
      </c>
      <c r="AM152" s="18">
        <f t="shared" si="134"/>
        <v>1.6268894035944881</v>
      </c>
      <c r="AN152" s="56">
        <f t="shared" si="135"/>
        <v>4</v>
      </c>
      <c r="AP152" s="18">
        <f t="shared" si="136"/>
        <v>4.3285009930893459</v>
      </c>
      <c r="AQ152" s="18">
        <f t="shared" si="136"/>
        <v>2.7518839779431046</v>
      </c>
      <c r="AR152" s="18">
        <f t="shared" si="136"/>
        <v>1.8912540115806409</v>
      </c>
      <c r="AS152" s="18">
        <f t="shared" si="136"/>
        <v>1.6746518801821844</v>
      </c>
      <c r="AT152" s="56">
        <f t="shared" si="137"/>
        <v>4</v>
      </c>
      <c r="AV152" s="18">
        <f t="shared" si="138"/>
        <v>4.3285009930893459</v>
      </c>
      <c r="AW152" s="18">
        <f t="shared" si="138"/>
        <v>2.7518839779431046</v>
      </c>
      <c r="AX152" s="18">
        <f t="shared" si="138"/>
        <v>1.8912540115806409</v>
      </c>
      <c r="AY152" s="18">
        <f t="shared" si="138"/>
        <v>1.6746518801821844</v>
      </c>
      <c r="AZ152" s="56">
        <f t="shared" si="139"/>
        <v>4</v>
      </c>
      <c r="BB152" s="18">
        <f t="shared" si="140"/>
        <v>4.3285009930893459</v>
      </c>
      <c r="BC152" s="18">
        <f t="shared" si="140"/>
        <v>2.7518839779431046</v>
      </c>
      <c r="BD152" s="18">
        <f t="shared" si="140"/>
        <v>1.8912540115806409</v>
      </c>
      <c r="BE152" s="18">
        <f t="shared" si="140"/>
        <v>1.6746518801821844</v>
      </c>
      <c r="BF152" s="56">
        <f t="shared" si="141"/>
        <v>4</v>
      </c>
      <c r="BH152" s="18">
        <f t="shared" si="142"/>
        <v>4.3285009930893459</v>
      </c>
      <c r="BI152" s="18">
        <f t="shared" si="142"/>
        <v>2.7518839779431046</v>
      </c>
      <c r="BJ152" s="18">
        <f t="shared" si="142"/>
        <v>1.8912540115806409</v>
      </c>
      <c r="BK152" s="18">
        <f t="shared" si="142"/>
        <v>1.6746518801821844</v>
      </c>
      <c r="BL152" s="56">
        <f t="shared" si="143"/>
        <v>4</v>
      </c>
      <c r="BN152" s="18">
        <f t="shared" si="144"/>
        <v>4.3285009930893459</v>
      </c>
      <c r="BO152" s="18">
        <f t="shared" si="144"/>
        <v>2.7518839779431046</v>
      </c>
      <c r="BP152" s="18">
        <f t="shared" si="144"/>
        <v>1.8912540115806409</v>
      </c>
      <c r="BQ152" s="18">
        <f t="shared" si="144"/>
        <v>1.6746518801821844</v>
      </c>
      <c r="BR152" s="56">
        <f t="shared" si="145"/>
        <v>4</v>
      </c>
      <c r="BT152" s="18">
        <f t="shared" si="146"/>
        <v>4.3285009930893459</v>
      </c>
      <c r="BU152" s="18">
        <f t="shared" si="146"/>
        <v>2.7518839779431046</v>
      </c>
      <c r="BV152" s="18">
        <f t="shared" si="146"/>
        <v>1.8912540115806409</v>
      </c>
      <c r="BW152" s="18">
        <f t="shared" si="146"/>
        <v>1.6746518801821844</v>
      </c>
      <c r="BX152" s="56">
        <f t="shared" si="147"/>
        <v>4</v>
      </c>
      <c r="BZ152" s="18">
        <f t="shared" si="148"/>
        <v>4.3285009930893459</v>
      </c>
      <c r="CA152" s="18">
        <f t="shared" si="148"/>
        <v>2.7518839779431046</v>
      </c>
      <c r="CB152" s="18">
        <f t="shared" si="148"/>
        <v>1.8912540115806409</v>
      </c>
      <c r="CC152" s="18">
        <f t="shared" si="148"/>
        <v>1.6746518801821844</v>
      </c>
      <c r="CD152" s="56">
        <f t="shared" si="149"/>
        <v>4</v>
      </c>
      <c r="CF152" s="18">
        <f t="shared" si="150"/>
        <v>4.3285009930893459</v>
      </c>
      <c r="CG152" s="18">
        <f t="shared" si="150"/>
        <v>2.7518839779431046</v>
      </c>
      <c r="CH152" s="18">
        <f t="shared" si="150"/>
        <v>1.8912540115806409</v>
      </c>
      <c r="CI152" s="18">
        <f t="shared" si="150"/>
        <v>1.6746518801821844</v>
      </c>
      <c r="CJ152" s="56">
        <f t="shared" si="151"/>
        <v>4</v>
      </c>
      <c r="CL152" s="18">
        <f t="shared" si="152"/>
        <v>4.3285009930893459</v>
      </c>
      <c r="CM152" s="18">
        <f t="shared" si="152"/>
        <v>2.7518839779431046</v>
      </c>
      <c r="CN152" s="18">
        <f t="shared" si="152"/>
        <v>1.8912540115806409</v>
      </c>
      <c r="CO152" s="18">
        <f t="shared" si="152"/>
        <v>1.6746518801821844</v>
      </c>
      <c r="CP152" s="56">
        <f t="shared" si="153"/>
        <v>4</v>
      </c>
    </row>
    <row r="153" spans="1:94" x14ac:dyDescent="0.25">
      <c r="A153" s="36" t="str">
        <f>KMeans_Data!A12</f>
        <v>Sukkur</v>
      </c>
      <c r="B153" s="18">
        <f>KMeans_Data!H12</f>
        <v>1.3163443189252899</v>
      </c>
      <c r="C153" s="18">
        <f>KMeans_Data!I12</f>
        <v>0.68618000108374222</v>
      </c>
      <c r="D153" s="18">
        <f>KMeans_Data!J12</f>
        <v>1.7238403519091188</v>
      </c>
      <c r="E153" s="56">
        <f t="shared" si="128"/>
        <v>3</v>
      </c>
      <c r="F153" s="38">
        <f t="shared" si="129"/>
        <v>1.205452023758292</v>
      </c>
      <c r="G153" s="18">
        <f>IF(COUNTIF(Distance_Matrix!$E$10:$DQ$10,$E153)&lt;=1,0,SUMIF(Distance_Matrix!$E$10:$DQ$10,$E153,Distance_Matrix!$E$21:$DQ$21)/(COUNTIF(Distance_Matrix!$E$10:$DQ$10,$E153)-1))</f>
        <v>1.308359383035417</v>
      </c>
      <c r="H153" s="18">
        <f>MIN(IF(1=$E153,1E+99,IF(COUNTIF(Distance_Matrix!$E$10:$DQ$10,1)=0,1E+99,SUMIF(Distance_Matrix!$E$10:$DQ$10,1,Distance_Matrix!$E$21:$DQ$21)/COUNTIF(Distance_Matrix!$E$10:$DQ$10,1))),IF(2=$E153,1E+99,IF(COUNTIF(Distance_Matrix!$E$10:$DQ$10,2)=0,1E+99,SUMIF(Distance_Matrix!$E$10:$DQ$10,2,Distance_Matrix!$E$21:$DQ$21)/COUNTIF(Distance_Matrix!$E$10:$DQ$10,2))),IF(3=$E153,1E+99,IF(COUNTIF(Distance_Matrix!$E$10:$DQ$10,3)=0,1E+99,SUMIF(Distance_Matrix!$E$10:$DQ$10,3,Distance_Matrix!$E$21:$DQ$21)/COUNTIF(Distance_Matrix!$E$10:$DQ$10,3))),IF(4=$E153,1E+99,IF(COUNTIF(Distance_Matrix!$E$10:$DQ$10,4)=0,1E+99,SUMIF(Distance_Matrix!$E$10:$DQ$10,4,Distance_Matrix!$E$21:$DQ$21)/COUNTIF(Distance_Matrix!$E$10:$DQ$10,4))))</f>
        <v>2.7572890670115924</v>
      </c>
      <c r="I153" s="18">
        <f>IF(COUNTIF(Distance_Matrix!$E$10:$DQ$10,$E153)&lt;=1,0,(H153-G153)/MAX(G153,H153))</f>
        <v>0.52549067172944464</v>
      </c>
      <c r="X153" s="18">
        <f t="shared" si="130"/>
        <v>4.1727070517104679</v>
      </c>
      <c r="Y153" s="18">
        <f t="shared" si="130"/>
        <v>4.6490575992165946</v>
      </c>
      <c r="Z153" s="18">
        <f t="shared" si="130"/>
        <v>0.48644468900823695</v>
      </c>
      <c r="AA153" s="18">
        <f t="shared" si="130"/>
        <v>3.0623360139594267</v>
      </c>
      <c r="AB153" s="56">
        <f t="shared" si="131"/>
        <v>3</v>
      </c>
      <c r="AD153" s="18">
        <f t="shared" si="132"/>
        <v>3.2861039001319883</v>
      </c>
      <c r="AE153" s="18">
        <f t="shared" si="132"/>
        <v>3.925099832367549</v>
      </c>
      <c r="AF153" s="18">
        <f t="shared" si="132"/>
        <v>1.1076030429379939</v>
      </c>
      <c r="AG153" s="18">
        <f t="shared" si="132"/>
        <v>2.8791887102490121</v>
      </c>
      <c r="AH153" s="56">
        <f t="shared" si="133"/>
        <v>3</v>
      </c>
      <c r="AJ153" s="18">
        <f t="shared" si="134"/>
        <v>2.943779212431759</v>
      </c>
      <c r="AK153" s="18">
        <f t="shared" si="134"/>
        <v>3.9537699501818775</v>
      </c>
      <c r="AL153" s="18">
        <f t="shared" si="134"/>
        <v>1.070128349779762</v>
      </c>
      <c r="AM153" s="18">
        <f t="shared" si="134"/>
        <v>2.7918886656709287</v>
      </c>
      <c r="AN153" s="56">
        <f t="shared" si="135"/>
        <v>3</v>
      </c>
      <c r="AP153" s="18">
        <f t="shared" si="136"/>
        <v>2.6825689217487207</v>
      </c>
      <c r="AQ153" s="18">
        <f t="shared" si="136"/>
        <v>4.0432051301636474</v>
      </c>
      <c r="AR153" s="18">
        <f t="shared" si="136"/>
        <v>1.0979307918800219</v>
      </c>
      <c r="AS153" s="18">
        <f t="shared" si="136"/>
        <v>2.814218557452457</v>
      </c>
      <c r="AT153" s="56">
        <f t="shared" si="137"/>
        <v>3</v>
      </c>
      <c r="AV153" s="18">
        <f t="shared" si="138"/>
        <v>2.6825689217487207</v>
      </c>
      <c r="AW153" s="18">
        <f t="shared" si="138"/>
        <v>4.0432051301636474</v>
      </c>
      <c r="AX153" s="18">
        <f t="shared" si="138"/>
        <v>1.0979307918800219</v>
      </c>
      <c r="AY153" s="18">
        <f t="shared" si="138"/>
        <v>2.814218557452457</v>
      </c>
      <c r="AZ153" s="56">
        <f t="shared" si="139"/>
        <v>3</v>
      </c>
      <c r="BB153" s="18">
        <f t="shared" si="140"/>
        <v>2.6825689217487207</v>
      </c>
      <c r="BC153" s="18">
        <f t="shared" si="140"/>
        <v>4.0432051301636474</v>
      </c>
      <c r="BD153" s="18">
        <f t="shared" si="140"/>
        <v>1.0979307918800219</v>
      </c>
      <c r="BE153" s="18">
        <f t="shared" si="140"/>
        <v>2.814218557452457</v>
      </c>
      <c r="BF153" s="56">
        <f t="shared" si="141"/>
        <v>3</v>
      </c>
      <c r="BH153" s="18">
        <f t="shared" si="142"/>
        <v>2.6825689217487207</v>
      </c>
      <c r="BI153" s="18">
        <f t="shared" si="142"/>
        <v>4.0432051301636474</v>
      </c>
      <c r="BJ153" s="18">
        <f t="shared" si="142"/>
        <v>1.0979307918800219</v>
      </c>
      <c r="BK153" s="18">
        <f t="shared" si="142"/>
        <v>2.814218557452457</v>
      </c>
      <c r="BL153" s="56">
        <f t="shared" si="143"/>
        <v>3</v>
      </c>
      <c r="BN153" s="18">
        <f t="shared" si="144"/>
        <v>2.6825689217487207</v>
      </c>
      <c r="BO153" s="18">
        <f t="shared" si="144"/>
        <v>4.0432051301636474</v>
      </c>
      <c r="BP153" s="18">
        <f t="shared" si="144"/>
        <v>1.0979307918800219</v>
      </c>
      <c r="BQ153" s="18">
        <f t="shared" si="144"/>
        <v>2.814218557452457</v>
      </c>
      <c r="BR153" s="56">
        <f t="shared" si="145"/>
        <v>3</v>
      </c>
      <c r="BT153" s="18">
        <f t="shared" si="146"/>
        <v>2.6825689217487207</v>
      </c>
      <c r="BU153" s="18">
        <f t="shared" si="146"/>
        <v>4.0432051301636474</v>
      </c>
      <c r="BV153" s="18">
        <f t="shared" si="146"/>
        <v>1.0979307918800219</v>
      </c>
      <c r="BW153" s="18">
        <f t="shared" si="146"/>
        <v>2.814218557452457</v>
      </c>
      <c r="BX153" s="56">
        <f t="shared" si="147"/>
        <v>3</v>
      </c>
      <c r="BZ153" s="18">
        <f t="shared" si="148"/>
        <v>2.6825689217487207</v>
      </c>
      <c r="CA153" s="18">
        <f t="shared" si="148"/>
        <v>4.0432051301636474</v>
      </c>
      <c r="CB153" s="18">
        <f t="shared" si="148"/>
        <v>1.0979307918800219</v>
      </c>
      <c r="CC153" s="18">
        <f t="shared" si="148"/>
        <v>2.814218557452457</v>
      </c>
      <c r="CD153" s="56">
        <f t="shared" si="149"/>
        <v>3</v>
      </c>
      <c r="CF153" s="18">
        <f t="shared" si="150"/>
        <v>2.6825689217487207</v>
      </c>
      <c r="CG153" s="18">
        <f t="shared" si="150"/>
        <v>4.0432051301636474</v>
      </c>
      <c r="CH153" s="18">
        <f t="shared" si="150"/>
        <v>1.0979307918800219</v>
      </c>
      <c r="CI153" s="18">
        <f t="shared" si="150"/>
        <v>2.814218557452457</v>
      </c>
      <c r="CJ153" s="56">
        <f t="shared" si="151"/>
        <v>3</v>
      </c>
      <c r="CL153" s="18">
        <f t="shared" si="152"/>
        <v>2.6825689217487207</v>
      </c>
      <c r="CM153" s="18">
        <f t="shared" si="152"/>
        <v>4.0432051301636474</v>
      </c>
      <c r="CN153" s="18">
        <f t="shared" si="152"/>
        <v>1.0979307918800219</v>
      </c>
      <c r="CO153" s="18">
        <f t="shared" si="152"/>
        <v>2.814218557452457</v>
      </c>
      <c r="CP153" s="56">
        <f t="shared" si="153"/>
        <v>3</v>
      </c>
    </row>
    <row r="154" spans="1:94" x14ac:dyDescent="0.25">
      <c r="A154" s="36" t="str">
        <f>KMeans_Data!A13</f>
        <v>Hyderabad</v>
      </c>
      <c r="B154" s="18">
        <f>KMeans_Data!H13</f>
        <v>1.2591276453149129</v>
      </c>
      <c r="C154" s="18">
        <f>KMeans_Data!I13</f>
        <v>1.2118474125424887</v>
      </c>
      <c r="D154" s="18">
        <f>KMeans_Data!J13</f>
        <v>1.6955104854445937</v>
      </c>
      <c r="E154" s="56">
        <f t="shared" si="128"/>
        <v>3</v>
      </c>
      <c r="F154" s="38">
        <f t="shared" si="129"/>
        <v>1.4314616435619683</v>
      </c>
      <c r="G154" s="18">
        <f>IF(COUNTIF(Distance_Matrix!$E$10:$DQ$10,$E154)&lt;=1,0,SUMIF(Distance_Matrix!$E$10:$DQ$10,$E154,Distance_Matrix!$E$22:$DQ$22)/(COUNTIF(Distance_Matrix!$E$10:$DQ$10,$E154)-1))</f>
        <v>1.37349745384661</v>
      </c>
      <c r="H154" s="18">
        <f>MIN(IF(1=$E154,1E+99,IF(COUNTIF(Distance_Matrix!$E$10:$DQ$10,1)=0,1E+99,SUMIF(Distance_Matrix!$E$10:$DQ$10,1,Distance_Matrix!$E$22:$DQ$22)/COUNTIF(Distance_Matrix!$E$10:$DQ$10,1))),IF(2=$E154,1E+99,IF(COUNTIF(Distance_Matrix!$E$10:$DQ$10,2)=0,1E+99,SUMIF(Distance_Matrix!$E$10:$DQ$10,2,Distance_Matrix!$E$22:$DQ$22)/COUNTIF(Distance_Matrix!$E$10:$DQ$10,2))),IF(3=$E154,1E+99,IF(COUNTIF(Distance_Matrix!$E$10:$DQ$10,3)=0,1E+99,SUMIF(Distance_Matrix!$E$10:$DQ$10,3,Distance_Matrix!$E$22:$DQ$22)/COUNTIF(Distance_Matrix!$E$10:$DQ$10,3))),IF(4=$E154,1E+99,IF(COUNTIF(Distance_Matrix!$E$10:$DQ$10,4)=0,1E+99,SUMIF(Distance_Matrix!$E$10:$DQ$10,4,Distance_Matrix!$E$22:$DQ$22)/COUNTIF(Distance_Matrix!$E$10:$DQ$10,4))))</f>
        <v>2.3494674413704284</v>
      </c>
      <c r="I154" s="18">
        <f>IF(COUNTIF(Distance_Matrix!$E$10:$DQ$10,$E154)&lt;=1,0,(H154-G154)/MAX(G154,H154))</f>
        <v>0.41540051602270417</v>
      </c>
      <c r="X154" s="18">
        <f t="shared" si="130"/>
        <v>3.8049688595258218</v>
      </c>
      <c r="Y154" s="18">
        <f t="shared" si="130"/>
        <v>4.7719509323338665</v>
      </c>
      <c r="Z154" s="18">
        <f t="shared" si="130"/>
        <v>0.8910805790095413</v>
      </c>
      <c r="AA154" s="18">
        <f t="shared" si="130"/>
        <v>3.2085676641039029</v>
      </c>
      <c r="AB154" s="56">
        <f t="shared" si="131"/>
        <v>3</v>
      </c>
      <c r="AD154" s="18">
        <f t="shared" si="132"/>
        <v>2.8846179518560464</v>
      </c>
      <c r="AE154" s="18">
        <f t="shared" si="132"/>
        <v>4.0807292596836628</v>
      </c>
      <c r="AF154" s="18">
        <f t="shared" si="132"/>
        <v>1.2220014675242417</v>
      </c>
      <c r="AG154" s="18">
        <f t="shared" si="132"/>
        <v>3.0856505025523977</v>
      </c>
      <c r="AH154" s="56">
        <f t="shared" si="133"/>
        <v>3</v>
      </c>
      <c r="AJ154" s="18">
        <f t="shared" si="134"/>
        <v>2.5434459370451474</v>
      </c>
      <c r="AK154" s="18">
        <f t="shared" si="134"/>
        <v>4.1080876714974055</v>
      </c>
      <c r="AL154" s="18">
        <f t="shared" si="134"/>
        <v>1.1532538189461203</v>
      </c>
      <c r="AM154" s="18">
        <f t="shared" si="134"/>
        <v>3.0066564355829928</v>
      </c>
      <c r="AN154" s="56">
        <f t="shared" si="135"/>
        <v>3</v>
      </c>
      <c r="AP154" s="18">
        <f t="shared" si="136"/>
        <v>2.2676806861902765</v>
      </c>
      <c r="AQ154" s="18">
        <f t="shared" si="136"/>
        <v>4.1927311707473924</v>
      </c>
      <c r="AR154" s="18">
        <f t="shared" si="136"/>
        <v>1.1964370620981148</v>
      </c>
      <c r="AS154" s="18">
        <f t="shared" si="136"/>
        <v>3.028451555140983</v>
      </c>
      <c r="AT154" s="56">
        <f t="shared" si="137"/>
        <v>3</v>
      </c>
      <c r="AV154" s="18">
        <f t="shared" si="138"/>
        <v>2.2676806861902765</v>
      </c>
      <c r="AW154" s="18">
        <f t="shared" si="138"/>
        <v>4.1927311707473924</v>
      </c>
      <c r="AX154" s="18">
        <f t="shared" si="138"/>
        <v>1.1964370620981148</v>
      </c>
      <c r="AY154" s="18">
        <f t="shared" si="138"/>
        <v>3.028451555140983</v>
      </c>
      <c r="AZ154" s="56">
        <f t="shared" si="139"/>
        <v>3</v>
      </c>
      <c r="BB154" s="18">
        <f t="shared" si="140"/>
        <v>2.2676806861902765</v>
      </c>
      <c r="BC154" s="18">
        <f t="shared" si="140"/>
        <v>4.1927311707473924</v>
      </c>
      <c r="BD154" s="18">
        <f t="shared" si="140"/>
        <v>1.1964370620981148</v>
      </c>
      <c r="BE154" s="18">
        <f t="shared" si="140"/>
        <v>3.028451555140983</v>
      </c>
      <c r="BF154" s="56">
        <f t="shared" si="141"/>
        <v>3</v>
      </c>
      <c r="BH154" s="18">
        <f t="shared" si="142"/>
        <v>2.2676806861902765</v>
      </c>
      <c r="BI154" s="18">
        <f t="shared" si="142"/>
        <v>4.1927311707473924</v>
      </c>
      <c r="BJ154" s="18">
        <f t="shared" si="142"/>
        <v>1.1964370620981148</v>
      </c>
      <c r="BK154" s="18">
        <f t="shared" si="142"/>
        <v>3.028451555140983</v>
      </c>
      <c r="BL154" s="56">
        <f t="shared" si="143"/>
        <v>3</v>
      </c>
      <c r="BN154" s="18">
        <f t="shared" si="144"/>
        <v>2.2676806861902765</v>
      </c>
      <c r="BO154" s="18">
        <f t="shared" si="144"/>
        <v>4.1927311707473924</v>
      </c>
      <c r="BP154" s="18">
        <f t="shared" si="144"/>
        <v>1.1964370620981148</v>
      </c>
      <c r="BQ154" s="18">
        <f t="shared" si="144"/>
        <v>3.028451555140983</v>
      </c>
      <c r="BR154" s="56">
        <f t="shared" si="145"/>
        <v>3</v>
      </c>
      <c r="BT154" s="18">
        <f t="shared" si="146"/>
        <v>2.2676806861902765</v>
      </c>
      <c r="BU154" s="18">
        <f t="shared" si="146"/>
        <v>4.1927311707473924</v>
      </c>
      <c r="BV154" s="18">
        <f t="shared" si="146"/>
        <v>1.1964370620981148</v>
      </c>
      <c r="BW154" s="18">
        <f t="shared" si="146"/>
        <v>3.028451555140983</v>
      </c>
      <c r="BX154" s="56">
        <f t="shared" si="147"/>
        <v>3</v>
      </c>
      <c r="BZ154" s="18">
        <f t="shared" si="148"/>
        <v>2.2676806861902765</v>
      </c>
      <c r="CA154" s="18">
        <f t="shared" si="148"/>
        <v>4.1927311707473924</v>
      </c>
      <c r="CB154" s="18">
        <f t="shared" si="148"/>
        <v>1.1964370620981148</v>
      </c>
      <c r="CC154" s="18">
        <f t="shared" si="148"/>
        <v>3.028451555140983</v>
      </c>
      <c r="CD154" s="56">
        <f t="shared" si="149"/>
        <v>3</v>
      </c>
      <c r="CF154" s="18">
        <f t="shared" si="150"/>
        <v>2.2676806861902765</v>
      </c>
      <c r="CG154" s="18">
        <f t="shared" si="150"/>
        <v>4.1927311707473924</v>
      </c>
      <c r="CH154" s="18">
        <f t="shared" si="150"/>
        <v>1.1964370620981148</v>
      </c>
      <c r="CI154" s="18">
        <f t="shared" si="150"/>
        <v>3.028451555140983</v>
      </c>
      <c r="CJ154" s="56">
        <f t="shared" si="151"/>
        <v>3</v>
      </c>
      <c r="CL154" s="18">
        <f t="shared" si="152"/>
        <v>2.2676806861902765</v>
      </c>
      <c r="CM154" s="18">
        <f t="shared" si="152"/>
        <v>4.1927311707473924</v>
      </c>
      <c r="CN154" s="18">
        <f t="shared" si="152"/>
        <v>1.1964370620981148</v>
      </c>
      <c r="CO154" s="18">
        <f t="shared" si="152"/>
        <v>3.028451555140983</v>
      </c>
      <c r="CP154" s="56">
        <f t="shared" si="153"/>
        <v>3</v>
      </c>
    </row>
    <row r="155" spans="1:94" x14ac:dyDescent="0.25">
      <c r="A155" s="36" t="str">
        <f>KMeans_Data!A14</f>
        <v>Raiwind</v>
      </c>
      <c r="B155" s="18">
        <f>KMeans_Data!H14</f>
        <v>1.2015385972262329</v>
      </c>
      <c r="C155" s="18">
        <f>KMeans_Data!I14</f>
        <v>-0.14698313392952958</v>
      </c>
      <c r="D155" s="18">
        <f>KMeans_Data!J14</f>
        <v>-0.82444601589876665</v>
      </c>
      <c r="E155" s="56">
        <f t="shared" si="128"/>
        <v>4</v>
      </c>
      <c r="F155" s="38">
        <f t="shared" si="129"/>
        <v>2.1018167204178568</v>
      </c>
      <c r="G155" s="18">
        <f>IF(COUNTIF(Distance_Matrix!$E$10:$DQ$10,$E155)&lt;=1,0,SUMIF(Distance_Matrix!$E$10:$DQ$10,$E155,Distance_Matrix!$E$23:$DQ$23)/(COUNTIF(Distance_Matrix!$E$10:$DQ$10,$E155)-1))</f>
        <v>1.6070449916132636</v>
      </c>
      <c r="H155" s="18">
        <f>MIN(IF(1=$E155,1E+99,IF(COUNTIF(Distance_Matrix!$E$10:$DQ$10,1)=0,1E+99,SUMIF(Distance_Matrix!$E$10:$DQ$10,1,Distance_Matrix!$E$23:$DQ$23)/COUNTIF(Distance_Matrix!$E$10:$DQ$10,1))),IF(2=$E155,1E+99,IF(COUNTIF(Distance_Matrix!$E$10:$DQ$10,2)=0,1E+99,SUMIF(Distance_Matrix!$E$10:$DQ$10,2,Distance_Matrix!$E$23:$DQ$23)/COUNTIF(Distance_Matrix!$E$10:$DQ$10,2))),IF(3=$E155,1E+99,IF(COUNTIF(Distance_Matrix!$E$10:$DQ$10,3)=0,1E+99,SUMIF(Distance_Matrix!$E$10:$DQ$10,3,Distance_Matrix!$E$23:$DQ$23)/COUNTIF(Distance_Matrix!$E$10:$DQ$10,3))),IF(4=$E155,1E+99,IF(COUNTIF(Distance_Matrix!$E$10:$DQ$10,4)=0,1E+99,SUMIF(Distance_Matrix!$E$10:$DQ$10,4,Distance_Matrix!$E$23:$DQ$23)/COUNTIF(Distance_Matrix!$E$10:$DQ$10,4))))</f>
        <v>2.072961806073129</v>
      </c>
      <c r="I155" s="18">
        <f>IF(COUNTIF(Distance_Matrix!$E$10:$DQ$10,$E155)&lt;=1,0,(H155-G155)/MAX(G155,H155))</f>
        <v>0.22475899608708416</v>
      </c>
      <c r="X155" s="18">
        <f t="shared" si="130"/>
        <v>6.2000657083427848</v>
      </c>
      <c r="Y155" s="18">
        <f t="shared" si="130"/>
        <v>3.3386030664456947</v>
      </c>
      <c r="Z155" s="18">
        <f t="shared" si="130"/>
        <v>2.3600059251332826</v>
      </c>
      <c r="AA155" s="18">
        <f t="shared" si="130"/>
        <v>0.64199276997619037</v>
      </c>
      <c r="AB155" s="56">
        <f t="shared" si="131"/>
        <v>4</v>
      </c>
      <c r="AD155" s="18">
        <f t="shared" si="132"/>
        <v>5.190256350371655</v>
      </c>
      <c r="AE155" s="18">
        <f t="shared" si="132"/>
        <v>2.497050074124886</v>
      </c>
      <c r="AF155" s="18">
        <f t="shared" si="132"/>
        <v>1.9443921704257516</v>
      </c>
      <c r="AG155" s="18">
        <f t="shared" si="132"/>
        <v>1.3456023637473018</v>
      </c>
      <c r="AH155" s="56">
        <f t="shared" si="133"/>
        <v>4</v>
      </c>
      <c r="AJ155" s="18">
        <f t="shared" si="134"/>
        <v>4.8465926825308694</v>
      </c>
      <c r="AK155" s="18">
        <f t="shared" si="134"/>
        <v>2.4912563128714424</v>
      </c>
      <c r="AL155" s="18">
        <f t="shared" si="134"/>
        <v>1.9669031266045776</v>
      </c>
      <c r="AM155" s="18">
        <f t="shared" si="134"/>
        <v>1.4013319174370391</v>
      </c>
      <c r="AN155" s="56">
        <f t="shared" si="135"/>
        <v>4</v>
      </c>
      <c r="AP155" s="18">
        <f t="shared" si="136"/>
        <v>4.5767880905192539</v>
      </c>
      <c r="AQ155" s="18">
        <f t="shared" si="136"/>
        <v>2.5426124477815115</v>
      </c>
      <c r="AR155" s="18">
        <f t="shared" si="136"/>
        <v>1.9431739922131959</v>
      </c>
      <c r="AS155" s="18">
        <f t="shared" si="136"/>
        <v>1.4497643672051872</v>
      </c>
      <c r="AT155" s="56">
        <f t="shared" si="137"/>
        <v>4</v>
      </c>
      <c r="AV155" s="18">
        <f t="shared" si="138"/>
        <v>4.5767880905192539</v>
      </c>
      <c r="AW155" s="18">
        <f t="shared" si="138"/>
        <v>2.5426124477815115</v>
      </c>
      <c r="AX155" s="18">
        <f t="shared" si="138"/>
        <v>1.9431739922131959</v>
      </c>
      <c r="AY155" s="18">
        <f t="shared" si="138"/>
        <v>1.4497643672051872</v>
      </c>
      <c r="AZ155" s="56">
        <f t="shared" si="139"/>
        <v>4</v>
      </c>
      <c r="BB155" s="18">
        <f t="shared" si="140"/>
        <v>4.5767880905192539</v>
      </c>
      <c r="BC155" s="18">
        <f t="shared" si="140"/>
        <v>2.5426124477815115</v>
      </c>
      <c r="BD155" s="18">
        <f t="shared" si="140"/>
        <v>1.9431739922131959</v>
      </c>
      <c r="BE155" s="18">
        <f t="shared" si="140"/>
        <v>1.4497643672051872</v>
      </c>
      <c r="BF155" s="56">
        <f t="shared" si="141"/>
        <v>4</v>
      </c>
      <c r="BH155" s="18">
        <f t="shared" si="142"/>
        <v>4.5767880905192539</v>
      </c>
      <c r="BI155" s="18">
        <f t="shared" si="142"/>
        <v>2.5426124477815115</v>
      </c>
      <c r="BJ155" s="18">
        <f t="shared" si="142"/>
        <v>1.9431739922131959</v>
      </c>
      <c r="BK155" s="18">
        <f t="shared" si="142"/>
        <v>1.4497643672051872</v>
      </c>
      <c r="BL155" s="56">
        <f t="shared" si="143"/>
        <v>4</v>
      </c>
      <c r="BN155" s="18">
        <f t="shared" si="144"/>
        <v>4.5767880905192539</v>
      </c>
      <c r="BO155" s="18">
        <f t="shared" si="144"/>
        <v>2.5426124477815115</v>
      </c>
      <c r="BP155" s="18">
        <f t="shared" si="144"/>
        <v>1.9431739922131959</v>
      </c>
      <c r="BQ155" s="18">
        <f t="shared" si="144"/>
        <v>1.4497643672051872</v>
      </c>
      <c r="BR155" s="56">
        <f t="shared" si="145"/>
        <v>4</v>
      </c>
      <c r="BT155" s="18">
        <f t="shared" si="146"/>
        <v>4.5767880905192539</v>
      </c>
      <c r="BU155" s="18">
        <f t="shared" si="146"/>
        <v>2.5426124477815115</v>
      </c>
      <c r="BV155" s="18">
        <f t="shared" si="146"/>
        <v>1.9431739922131959</v>
      </c>
      <c r="BW155" s="18">
        <f t="shared" si="146"/>
        <v>1.4497643672051872</v>
      </c>
      <c r="BX155" s="56">
        <f t="shared" si="147"/>
        <v>4</v>
      </c>
      <c r="BZ155" s="18">
        <f t="shared" si="148"/>
        <v>4.5767880905192539</v>
      </c>
      <c r="CA155" s="18">
        <f t="shared" si="148"/>
        <v>2.5426124477815115</v>
      </c>
      <c r="CB155" s="18">
        <f t="shared" si="148"/>
        <v>1.9431739922131959</v>
      </c>
      <c r="CC155" s="18">
        <f t="shared" si="148"/>
        <v>1.4497643672051872</v>
      </c>
      <c r="CD155" s="56">
        <f t="shared" si="149"/>
        <v>4</v>
      </c>
      <c r="CF155" s="18">
        <f t="shared" si="150"/>
        <v>4.5767880905192539</v>
      </c>
      <c r="CG155" s="18">
        <f t="shared" si="150"/>
        <v>2.5426124477815115</v>
      </c>
      <c r="CH155" s="18">
        <f t="shared" si="150"/>
        <v>1.9431739922131959</v>
      </c>
      <c r="CI155" s="18">
        <f t="shared" si="150"/>
        <v>1.4497643672051872</v>
      </c>
      <c r="CJ155" s="56">
        <f t="shared" si="151"/>
        <v>4</v>
      </c>
      <c r="CL155" s="18">
        <f t="shared" si="152"/>
        <v>4.5767880905192539</v>
      </c>
      <c r="CM155" s="18">
        <f t="shared" si="152"/>
        <v>2.5426124477815115</v>
      </c>
      <c r="CN155" s="18">
        <f t="shared" si="152"/>
        <v>1.9431739922131959</v>
      </c>
      <c r="CO155" s="18">
        <f t="shared" si="152"/>
        <v>1.4497643672051872</v>
      </c>
      <c r="CP155" s="56">
        <f t="shared" si="153"/>
        <v>4</v>
      </c>
    </row>
    <row r="156" spans="1:94" x14ac:dyDescent="0.25">
      <c r="A156" s="36" t="str">
        <f>KMeans_Data!A15</f>
        <v>Malakand</v>
      </c>
      <c r="B156" s="18">
        <f>KMeans_Data!H15</f>
        <v>1.1410679551279186</v>
      </c>
      <c r="C156" s="18">
        <f>KMeans_Data!I15</f>
        <v>1.4759954658056031</v>
      </c>
      <c r="D156" s="18">
        <f>KMeans_Data!J15</f>
        <v>0.98834987138399455</v>
      </c>
      <c r="E156" s="56">
        <f t="shared" si="128"/>
        <v>3</v>
      </c>
      <c r="F156" s="38">
        <f t="shared" si="129"/>
        <v>1.0116836343260125</v>
      </c>
      <c r="G156" s="18">
        <f>IF(COUNTIF(Distance_Matrix!$E$10:$DQ$10,$E156)&lt;=1,0,SUMIF(Distance_Matrix!$E$10:$DQ$10,$E156,Distance_Matrix!$E$24:$DQ$24)/(COUNTIF(Distance_Matrix!$E$10:$DQ$10,$E156)-1))</f>
        <v>1.1890570301913719</v>
      </c>
      <c r="H156" s="18">
        <f>MIN(IF(1=$E156,1E+99,IF(COUNTIF(Distance_Matrix!$E$10:$DQ$10,1)=0,1E+99,SUMIF(Distance_Matrix!$E$10:$DQ$10,1,Distance_Matrix!$E$24:$DQ$24)/COUNTIF(Distance_Matrix!$E$10:$DQ$10,1))),IF(2=$E156,1E+99,IF(COUNTIF(Distance_Matrix!$E$10:$DQ$10,2)=0,1E+99,SUMIF(Distance_Matrix!$E$10:$DQ$10,2,Distance_Matrix!$E$24:$DQ$24)/COUNTIF(Distance_Matrix!$E$10:$DQ$10,2))),IF(3=$E156,1E+99,IF(COUNTIF(Distance_Matrix!$E$10:$DQ$10,3)=0,1E+99,SUMIF(Distance_Matrix!$E$10:$DQ$10,3,Distance_Matrix!$E$24:$DQ$24)/COUNTIF(Distance_Matrix!$E$10:$DQ$10,3))),IF(4=$E156,1E+99,IF(COUNTIF(Distance_Matrix!$E$10:$DQ$10,4)=0,1E+99,SUMIF(Distance_Matrix!$E$10:$DQ$10,4,Distance_Matrix!$E$24:$DQ$24)/COUNTIF(Distance_Matrix!$E$10:$DQ$10,4))))</f>
        <v>2.4475405401805741</v>
      </c>
      <c r="I156" s="18">
        <f>IF(COUNTIF(Distance_Matrix!$E$10:$DQ$10,$E156)&lt;=1,0,(H156-G156)/MAX(G156,H156))</f>
        <v>0.51418290701585445</v>
      </c>
      <c r="X156" s="18">
        <f t="shared" si="130"/>
        <v>4.0306685209580886</v>
      </c>
      <c r="Y156" s="18">
        <f t="shared" si="130"/>
        <v>4.4208823671757642</v>
      </c>
      <c r="Z156" s="18">
        <f t="shared" si="130"/>
        <v>1.2030082216667015</v>
      </c>
      <c r="AA156" s="18">
        <f t="shared" si="130"/>
        <v>2.7264273286246112</v>
      </c>
      <c r="AB156" s="56">
        <f t="shared" si="131"/>
        <v>3</v>
      </c>
      <c r="AD156" s="18">
        <f t="shared" si="132"/>
        <v>3.0287889184085324</v>
      </c>
      <c r="AE156" s="18">
        <f t="shared" si="132"/>
        <v>3.7297142198351705</v>
      </c>
      <c r="AF156" s="18">
        <f t="shared" si="132"/>
        <v>1.051165790976428</v>
      </c>
      <c r="AG156" s="18">
        <f t="shared" si="132"/>
        <v>2.7507697841823298</v>
      </c>
      <c r="AH156" s="56">
        <f t="shared" si="133"/>
        <v>3</v>
      </c>
      <c r="AJ156" s="18">
        <f t="shared" si="134"/>
        <v>2.6871981662177689</v>
      </c>
      <c r="AK156" s="18">
        <f t="shared" si="134"/>
        <v>3.750413612283916</v>
      </c>
      <c r="AL156" s="18">
        <f t="shared" si="134"/>
        <v>0.95631294183698923</v>
      </c>
      <c r="AM156" s="18">
        <f t="shared" si="134"/>
        <v>2.6963224282427962</v>
      </c>
      <c r="AN156" s="56">
        <f t="shared" si="135"/>
        <v>3</v>
      </c>
      <c r="AP156" s="18">
        <f t="shared" si="136"/>
        <v>2.3929809508553053</v>
      </c>
      <c r="AQ156" s="18">
        <f t="shared" si="136"/>
        <v>3.8250971090326282</v>
      </c>
      <c r="AR156" s="18">
        <f t="shared" si="136"/>
        <v>1.0058248527084686</v>
      </c>
      <c r="AS156" s="18">
        <f t="shared" si="136"/>
        <v>2.7217232427512306</v>
      </c>
      <c r="AT156" s="56">
        <f t="shared" si="137"/>
        <v>3</v>
      </c>
      <c r="AV156" s="18">
        <f t="shared" si="138"/>
        <v>2.3929809508553053</v>
      </c>
      <c r="AW156" s="18">
        <f t="shared" si="138"/>
        <v>3.8250971090326282</v>
      </c>
      <c r="AX156" s="18">
        <f t="shared" si="138"/>
        <v>1.0058248527084686</v>
      </c>
      <c r="AY156" s="18">
        <f t="shared" si="138"/>
        <v>2.7217232427512306</v>
      </c>
      <c r="AZ156" s="56">
        <f t="shared" si="139"/>
        <v>3</v>
      </c>
      <c r="BB156" s="18">
        <f t="shared" si="140"/>
        <v>2.3929809508553053</v>
      </c>
      <c r="BC156" s="18">
        <f t="shared" si="140"/>
        <v>3.8250971090326282</v>
      </c>
      <c r="BD156" s="18">
        <f t="shared" si="140"/>
        <v>1.0058248527084686</v>
      </c>
      <c r="BE156" s="18">
        <f t="shared" si="140"/>
        <v>2.7217232427512306</v>
      </c>
      <c r="BF156" s="56">
        <f t="shared" si="141"/>
        <v>3</v>
      </c>
      <c r="BH156" s="18">
        <f t="shared" si="142"/>
        <v>2.3929809508553053</v>
      </c>
      <c r="BI156" s="18">
        <f t="shared" si="142"/>
        <v>3.8250971090326282</v>
      </c>
      <c r="BJ156" s="18">
        <f t="shared" si="142"/>
        <v>1.0058248527084686</v>
      </c>
      <c r="BK156" s="18">
        <f t="shared" si="142"/>
        <v>2.7217232427512306</v>
      </c>
      <c r="BL156" s="56">
        <f t="shared" si="143"/>
        <v>3</v>
      </c>
      <c r="BN156" s="18">
        <f t="shared" si="144"/>
        <v>2.3929809508553053</v>
      </c>
      <c r="BO156" s="18">
        <f t="shared" si="144"/>
        <v>3.8250971090326282</v>
      </c>
      <c r="BP156" s="18">
        <f t="shared" si="144"/>
        <v>1.0058248527084686</v>
      </c>
      <c r="BQ156" s="18">
        <f t="shared" si="144"/>
        <v>2.7217232427512306</v>
      </c>
      <c r="BR156" s="56">
        <f t="shared" si="145"/>
        <v>3</v>
      </c>
      <c r="BT156" s="18">
        <f t="shared" si="146"/>
        <v>2.3929809508553053</v>
      </c>
      <c r="BU156" s="18">
        <f t="shared" si="146"/>
        <v>3.8250971090326282</v>
      </c>
      <c r="BV156" s="18">
        <f t="shared" si="146"/>
        <v>1.0058248527084686</v>
      </c>
      <c r="BW156" s="18">
        <f t="shared" si="146"/>
        <v>2.7217232427512306</v>
      </c>
      <c r="BX156" s="56">
        <f t="shared" si="147"/>
        <v>3</v>
      </c>
      <c r="BZ156" s="18">
        <f t="shared" si="148"/>
        <v>2.3929809508553053</v>
      </c>
      <c r="CA156" s="18">
        <f t="shared" si="148"/>
        <v>3.8250971090326282</v>
      </c>
      <c r="CB156" s="18">
        <f t="shared" si="148"/>
        <v>1.0058248527084686</v>
      </c>
      <c r="CC156" s="18">
        <f t="shared" si="148"/>
        <v>2.7217232427512306</v>
      </c>
      <c r="CD156" s="56">
        <f t="shared" si="149"/>
        <v>3</v>
      </c>
      <c r="CF156" s="18">
        <f t="shared" si="150"/>
        <v>2.3929809508553053</v>
      </c>
      <c r="CG156" s="18">
        <f t="shared" si="150"/>
        <v>3.8250971090326282</v>
      </c>
      <c r="CH156" s="18">
        <f t="shared" si="150"/>
        <v>1.0058248527084686</v>
      </c>
      <c r="CI156" s="18">
        <f t="shared" si="150"/>
        <v>2.7217232427512306</v>
      </c>
      <c r="CJ156" s="56">
        <f t="shared" si="151"/>
        <v>3</v>
      </c>
      <c r="CL156" s="18">
        <f t="shared" si="152"/>
        <v>2.3929809508553053</v>
      </c>
      <c r="CM156" s="18">
        <f t="shared" si="152"/>
        <v>3.8250971090326282</v>
      </c>
      <c r="CN156" s="18">
        <f t="shared" si="152"/>
        <v>1.0058248527084686</v>
      </c>
      <c r="CO156" s="18">
        <f t="shared" si="152"/>
        <v>2.7217232427512306</v>
      </c>
      <c r="CP156" s="56">
        <f t="shared" si="153"/>
        <v>3</v>
      </c>
    </row>
    <row r="157" spans="1:94" x14ac:dyDescent="0.25">
      <c r="A157" s="36" t="str">
        <f>KMeans_Data!A16</f>
        <v>Mardan</v>
      </c>
      <c r="B157" s="18">
        <f>KMeans_Data!H16</f>
        <v>1.126985701234098</v>
      </c>
      <c r="C157" s="18">
        <f>KMeans_Data!I16</f>
        <v>1.7684733170772808</v>
      </c>
      <c r="D157" s="18">
        <f>KMeans_Data!J16</f>
        <v>1.1668769645807604</v>
      </c>
      <c r="E157" s="56">
        <f t="shared" si="128"/>
        <v>3</v>
      </c>
      <c r="F157" s="38">
        <f t="shared" si="129"/>
        <v>1.6599964045420261</v>
      </c>
      <c r="G157" s="18">
        <f>IF(COUNTIF(Distance_Matrix!$E$10:$DQ$10,$E157)&lt;=1,0,SUMIF(Distance_Matrix!$E$10:$DQ$10,$E157,Distance_Matrix!$E$25:$DQ$25)/(COUNTIF(Distance_Matrix!$E$10:$DQ$10,$E157)-1))</f>
        <v>1.4287739028721329</v>
      </c>
      <c r="H157" s="18">
        <f>MIN(IF(1=$E157,1E+99,IF(COUNTIF(Distance_Matrix!$E$10:$DQ$10,1)=0,1E+99,SUMIF(Distance_Matrix!$E$10:$DQ$10,1,Distance_Matrix!$E$25:$DQ$25)/COUNTIF(Distance_Matrix!$E$10:$DQ$10,1))),IF(2=$E157,1E+99,IF(COUNTIF(Distance_Matrix!$E$10:$DQ$10,2)=0,1E+99,SUMIF(Distance_Matrix!$E$10:$DQ$10,2,Distance_Matrix!$E$25:$DQ$25)/COUNTIF(Distance_Matrix!$E$10:$DQ$10,2))),IF(3=$E157,1E+99,IF(COUNTIF(Distance_Matrix!$E$10:$DQ$10,3)=0,1E+99,SUMIF(Distance_Matrix!$E$10:$DQ$10,3,Distance_Matrix!$E$25:$DQ$25)/COUNTIF(Distance_Matrix!$E$10:$DQ$10,3))),IF(4=$E157,1E+99,IF(COUNTIF(Distance_Matrix!$E$10:$DQ$10,4)=0,1E+99,SUMIF(Distance_Matrix!$E$10:$DQ$10,4,Distance_Matrix!$E$25:$DQ$25)/COUNTIF(Distance_Matrix!$E$10:$DQ$10,4))))</f>
        <v>2.1962820159161893</v>
      </c>
      <c r="I157" s="18">
        <f>IF(COUNTIF(Distance_Matrix!$E$10:$DQ$10,$E157)&lt;=1,0,(H157-G157)/MAX(G157,H157))</f>
        <v>0.34945790544293415</v>
      </c>
      <c r="X157" s="18">
        <f t="shared" si="130"/>
        <v>3.757169974840902</v>
      </c>
      <c r="Y157" s="18">
        <f t="shared" si="130"/>
        <v>4.6464950490584824</v>
      </c>
      <c r="Z157" s="18">
        <f t="shared" si="130"/>
        <v>1.4253699648600497</v>
      </c>
      <c r="AA157" s="18">
        <f t="shared" si="130"/>
        <v>3.0411164110059743</v>
      </c>
      <c r="AB157" s="56">
        <f t="shared" si="131"/>
        <v>3</v>
      </c>
      <c r="AD157" s="18">
        <f t="shared" si="132"/>
        <v>2.7589430933252754</v>
      </c>
      <c r="AE157" s="18">
        <f t="shared" si="132"/>
        <v>3.9867267855026931</v>
      </c>
      <c r="AF157" s="18">
        <f t="shared" si="132"/>
        <v>1.3312920932359793</v>
      </c>
      <c r="AG157" s="18">
        <f t="shared" si="132"/>
        <v>3.055550230238496</v>
      </c>
      <c r="AH157" s="56">
        <f t="shared" si="133"/>
        <v>3</v>
      </c>
      <c r="AJ157" s="18">
        <f t="shared" si="134"/>
        <v>2.4251497254347845</v>
      </c>
      <c r="AK157" s="18">
        <f t="shared" si="134"/>
        <v>4.0083738729343192</v>
      </c>
      <c r="AL157" s="18">
        <f t="shared" si="134"/>
        <v>1.2382431143003696</v>
      </c>
      <c r="AM157" s="18">
        <f t="shared" si="134"/>
        <v>2.9995645810308402</v>
      </c>
      <c r="AN157" s="56">
        <f t="shared" si="135"/>
        <v>3</v>
      </c>
      <c r="AP157" s="18">
        <f t="shared" si="136"/>
        <v>2.1285049557896549</v>
      </c>
      <c r="AQ157" s="18">
        <f t="shared" si="136"/>
        <v>4.0818799936400252</v>
      </c>
      <c r="AR157" s="18">
        <f t="shared" si="136"/>
        <v>1.2884084773634588</v>
      </c>
      <c r="AS157" s="18">
        <f t="shared" si="136"/>
        <v>3.0227546928723976</v>
      </c>
      <c r="AT157" s="56">
        <f t="shared" si="137"/>
        <v>3</v>
      </c>
      <c r="AV157" s="18">
        <f t="shared" si="138"/>
        <v>2.1285049557896549</v>
      </c>
      <c r="AW157" s="18">
        <f t="shared" si="138"/>
        <v>4.0818799936400252</v>
      </c>
      <c r="AX157" s="18">
        <f t="shared" si="138"/>
        <v>1.2884084773634588</v>
      </c>
      <c r="AY157" s="18">
        <f t="shared" si="138"/>
        <v>3.0227546928723976</v>
      </c>
      <c r="AZ157" s="56">
        <f t="shared" si="139"/>
        <v>3</v>
      </c>
      <c r="BB157" s="18">
        <f t="shared" si="140"/>
        <v>2.1285049557896549</v>
      </c>
      <c r="BC157" s="18">
        <f t="shared" si="140"/>
        <v>4.0818799936400252</v>
      </c>
      <c r="BD157" s="18">
        <f t="shared" si="140"/>
        <v>1.2884084773634588</v>
      </c>
      <c r="BE157" s="18">
        <f t="shared" si="140"/>
        <v>3.0227546928723976</v>
      </c>
      <c r="BF157" s="56">
        <f t="shared" si="141"/>
        <v>3</v>
      </c>
      <c r="BH157" s="18">
        <f t="shared" si="142"/>
        <v>2.1285049557896549</v>
      </c>
      <c r="BI157" s="18">
        <f t="shared" si="142"/>
        <v>4.0818799936400252</v>
      </c>
      <c r="BJ157" s="18">
        <f t="shared" si="142"/>
        <v>1.2884084773634588</v>
      </c>
      <c r="BK157" s="18">
        <f t="shared" si="142"/>
        <v>3.0227546928723976</v>
      </c>
      <c r="BL157" s="56">
        <f t="shared" si="143"/>
        <v>3</v>
      </c>
      <c r="BN157" s="18">
        <f t="shared" si="144"/>
        <v>2.1285049557896549</v>
      </c>
      <c r="BO157" s="18">
        <f t="shared" si="144"/>
        <v>4.0818799936400252</v>
      </c>
      <c r="BP157" s="18">
        <f t="shared" si="144"/>
        <v>1.2884084773634588</v>
      </c>
      <c r="BQ157" s="18">
        <f t="shared" si="144"/>
        <v>3.0227546928723976</v>
      </c>
      <c r="BR157" s="56">
        <f t="shared" si="145"/>
        <v>3</v>
      </c>
      <c r="BT157" s="18">
        <f t="shared" si="146"/>
        <v>2.1285049557896549</v>
      </c>
      <c r="BU157" s="18">
        <f t="shared" si="146"/>
        <v>4.0818799936400252</v>
      </c>
      <c r="BV157" s="18">
        <f t="shared" si="146"/>
        <v>1.2884084773634588</v>
      </c>
      <c r="BW157" s="18">
        <f t="shared" si="146"/>
        <v>3.0227546928723976</v>
      </c>
      <c r="BX157" s="56">
        <f t="shared" si="147"/>
        <v>3</v>
      </c>
      <c r="BZ157" s="18">
        <f t="shared" si="148"/>
        <v>2.1285049557896549</v>
      </c>
      <c r="CA157" s="18">
        <f t="shared" si="148"/>
        <v>4.0818799936400252</v>
      </c>
      <c r="CB157" s="18">
        <f t="shared" si="148"/>
        <v>1.2884084773634588</v>
      </c>
      <c r="CC157" s="18">
        <f t="shared" si="148"/>
        <v>3.0227546928723976</v>
      </c>
      <c r="CD157" s="56">
        <f t="shared" si="149"/>
        <v>3</v>
      </c>
      <c r="CF157" s="18">
        <f t="shared" si="150"/>
        <v>2.1285049557896549</v>
      </c>
      <c r="CG157" s="18">
        <f t="shared" si="150"/>
        <v>4.0818799936400252</v>
      </c>
      <c r="CH157" s="18">
        <f t="shared" si="150"/>
        <v>1.2884084773634588</v>
      </c>
      <c r="CI157" s="18">
        <f t="shared" si="150"/>
        <v>3.0227546928723976</v>
      </c>
      <c r="CJ157" s="56">
        <f t="shared" si="151"/>
        <v>3</v>
      </c>
      <c r="CL157" s="18">
        <f t="shared" si="152"/>
        <v>2.1285049557896549</v>
      </c>
      <c r="CM157" s="18">
        <f t="shared" si="152"/>
        <v>4.0818799936400252</v>
      </c>
      <c r="CN157" s="18">
        <f t="shared" si="152"/>
        <v>1.2884084773634588</v>
      </c>
      <c r="CO157" s="18">
        <f t="shared" si="152"/>
        <v>3.0227546928723976</v>
      </c>
      <c r="CP157" s="56">
        <f t="shared" si="153"/>
        <v>3</v>
      </c>
    </row>
    <row r="158" spans="1:94" x14ac:dyDescent="0.25">
      <c r="A158" s="36" t="str">
        <f>KMeans_Data!A17</f>
        <v>Gilgit</v>
      </c>
      <c r="B158" s="18">
        <f>KMeans_Data!H17</f>
        <v>1.0425286360551109</v>
      </c>
      <c r="C158" s="18">
        <f>KMeans_Data!I17</f>
        <v>0.99367572463826759</v>
      </c>
      <c r="D158" s="18">
        <f>KMeans_Data!J17</f>
        <v>1.0804955511041037</v>
      </c>
      <c r="E158" s="56">
        <f t="shared" si="128"/>
        <v>3</v>
      </c>
      <c r="F158" s="38">
        <f t="shared" si="129"/>
        <v>0.3557249202430009</v>
      </c>
      <c r="G158" s="18">
        <f>IF(COUNTIF(Distance_Matrix!$E$10:$DQ$10,$E158)&lt;=1,0,SUMIF(Distance_Matrix!$E$10:$DQ$10,$E158,Distance_Matrix!$E$26:$DQ$26)/(COUNTIF(Distance_Matrix!$E$10:$DQ$10,$E158)-1))</f>
        <v>0.91975233305841719</v>
      </c>
      <c r="H158" s="18">
        <f>MIN(IF(1=$E158,1E+99,IF(COUNTIF(Distance_Matrix!$E$10:$DQ$10,1)=0,1E+99,SUMIF(Distance_Matrix!$E$10:$DQ$10,1,Distance_Matrix!$E$26:$DQ$26)/COUNTIF(Distance_Matrix!$E$10:$DQ$10,1))),IF(2=$E158,1E+99,IF(COUNTIF(Distance_Matrix!$E$10:$DQ$10,2)=0,1E+99,SUMIF(Distance_Matrix!$E$10:$DQ$10,2,Distance_Matrix!$E$26:$DQ$26)/COUNTIF(Distance_Matrix!$E$10:$DQ$10,2))),IF(3=$E158,1E+99,IF(COUNTIF(Distance_Matrix!$E$10:$DQ$10,3)=0,1E+99,SUMIF(Distance_Matrix!$E$10:$DQ$10,3,Distance_Matrix!$E$26:$DQ$26)/COUNTIF(Distance_Matrix!$E$10:$DQ$10,3))),IF(4=$E158,1E+99,IF(COUNTIF(Distance_Matrix!$E$10:$DQ$10,4)=0,1E+99,SUMIF(Distance_Matrix!$E$10:$DQ$10,4,Distance_Matrix!$E$26:$DQ$26)/COUNTIF(Distance_Matrix!$E$10:$DQ$10,4))))</f>
        <v>2.4877914447537681</v>
      </c>
      <c r="I158" s="18">
        <f>IF(COUNTIF(Distance_Matrix!$E$10:$DQ$10,$E158)&lt;=1,0,(H158-G158)/MAX(G158,H158))</f>
        <v>0.63029363454160015</v>
      </c>
      <c r="X158" s="18">
        <f t="shared" si="130"/>
        <v>4.3557396558667527</v>
      </c>
      <c r="Y158" s="18">
        <f t="shared" si="130"/>
        <v>4.1810154137617337</v>
      </c>
      <c r="Z158" s="18">
        <f t="shared" si="130"/>
        <v>0.72819676736314098</v>
      </c>
      <c r="AA158" s="18">
        <f t="shared" si="130"/>
        <v>2.5326458101929115</v>
      </c>
      <c r="AB158" s="56">
        <f t="shared" si="131"/>
        <v>3</v>
      </c>
      <c r="AD158" s="18">
        <f t="shared" si="132"/>
        <v>3.3825763681749232</v>
      </c>
      <c r="AE158" s="18">
        <f t="shared" si="132"/>
        <v>3.462958653344463</v>
      </c>
      <c r="AF158" s="18">
        <f t="shared" si="132"/>
        <v>0.63501927983949236</v>
      </c>
      <c r="AG158" s="18">
        <f t="shared" si="132"/>
        <v>2.4416450474729934</v>
      </c>
      <c r="AH158" s="56">
        <f t="shared" si="133"/>
        <v>3</v>
      </c>
      <c r="AJ158" s="18">
        <f t="shared" si="134"/>
        <v>3.0354728392291435</v>
      </c>
      <c r="AK158" s="18">
        <f t="shared" si="134"/>
        <v>3.4868215035563899</v>
      </c>
      <c r="AL158" s="18">
        <f t="shared" si="134"/>
        <v>0.54883906565287266</v>
      </c>
      <c r="AM158" s="18">
        <f t="shared" si="134"/>
        <v>2.37260158329638</v>
      </c>
      <c r="AN158" s="56">
        <f t="shared" si="135"/>
        <v>3</v>
      </c>
      <c r="AP158" s="18">
        <f t="shared" si="136"/>
        <v>2.7473666667625123</v>
      </c>
      <c r="AQ158" s="18">
        <f t="shared" si="136"/>
        <v>3.5683506422806603</v>
      </c>
      <c r="AR158" s="18">
        <f t="shared" si="136"/>
        <v>0.5964267936997808</v>
      </c>
      <c r="AS158" s="18">
        <f t="shared" si="136"/>
        <v>2.3970219371837098</v>
      </c>
      <c r="AT158" s="56">
        <f t="shared" si="137"/>
        <v>3</v>
      </c>
      <c r="AV158" s="18">
        <f t="shared" si="138"/>
        <v>2.7473666667625123</v>
      </c>
      <c r="AW158" s="18">
        <f t="shared" si="138"/>
        <v>3.5683506422806603</v>
      </c>
      <c r="AX158" s="18">
        <f t="shared" si="138"/>
        <v>0.5964267936997808</v>
      </c>
      <c r="AY158" s="18">
        <f t="shared" si="138"/>
        <v>2.3970219371837098</v>
      </c>
      <c r="AZ158" s="56">
        <f t="shared" si="139"/>
        <v>3</v>
      </c>
      <c r="BB158" s="18">
        <f t="shared" si="140"/>
        <v>2.7473666667625123</v>
      </c>
      <c r="BC158" s="18">
        <f t="shared" si="140"/>
        <v>3.5683506422806603</v>
      </c>
      <c r="BD158" s="18">
        <f t="shared" si="140"/>
        <v>0.5964267936997808</v>
      </c>
      <c r="BE158" s="18">
        <f t="shared" si="140"/>
        <v>2.3970219371837098</v>
      </c>
      <c r="BF158" s="56">
        <f t="shared" si="141"/>
        <v>3</v>
      </c>
      <c r="BH158" s="18">
        <f t="shared" si="142"/>
        <v>2.7473666667625123</v>
      </c>
      <c r="BI158" s="18">
        <f t="shared" si="142"/>
        <v>3.5683506422806603</v>
      </c>
      <c r="BJ158" s="18">
        <f t="shared" si="142"/>
        <v>0.5964267936997808</v>
      </c>
      <c r="BK158" s="18">
        <f t="shared" si="142"/>
        <v>2.3970219371837098</v>
      </c>
      <c r="BL158" s="56">
        <f t="shared" si="143"/>
        <v>3</v>
      </c>
      <c r="BN158" s="18">
        <f t="shared" si="144"/>
        <v>2.7473666667625123</v>
      </c>
      <c r="BO158" s="18">
        <f t="shared" si="144"/>
        <v>3.5683506422806603</v>
      </c>
      <c r="BP158" s="18">
        <f t="shared" si="144"/>
        <v>0.5964267936997808</v>
      </c>
      <c r="BQ158" s="18">
        <f t="shared" si="144"/>
        <v>2.3970219371837098</v>
      </c>
      <c r="BR158" s="56">
        <f t="shared" si="145"/>
        <v>3</v>
      </c>
      <c r="BT158" s="18">
        <f t="shared" si="146"/>
        <v>2.7473666667625123</v>
      </c>
      <c r="BU158" s="18">
        <f t="shared" si="146"/>
        <v>3.5683506422806603</v>
      </c>
      <c r="BV158" s="18">
        <f t="shared" si="146"/>
        <v>0.5964267936997808</v>
      </c>
      <c r="BW158" s="18">
        <f t="shared" si="146"/>
        <v>2.3970219371837098</v>
      </c>
      <c r="BX158" s="56">
        <f t="shared" si="147"/>
        <v>3</v>
      </c>
      <c r="BZ158" s="18">
        <f t="shared" si="148"/>
        <v>2.7473666667625123</v>
      </c>
      <c r="CA158" s="18">
        <f t="shared" si="148"/>
        <v>3.5683506422806603</v>
      </c>
      <c r="CB158" s="18">
        <f t="shared" si="148"/>
        <v>0.5964267936997808</v>
      </c>
      <c r="CC158" s="18">
        <f t="shared" si="148"/>
        <v>2.3970219371837098</v>
      </c>
      <c r="CD158" s="56">
        <f t="shared" si="149"/>
        <v>3</v>
      </c>
      <c r="CF158" s="18">
        <f t="shared" si="150"/>
        <v>2.7473666667625123</v>
      </c>
      <c r="CG158" s="18">
        <f t="shared" si="150"/>
        <v>3.5683506422806603</v>
      </c>
      <c r="CH158" s="18">
        <f t="shared" si="150"/>
        <v>0.5964267936997808</v>
      </c>
      <c r="CI158" s="18">
        <f t="shared" si="150"/>
        <v>2.3970219371837098</v>
      </c>
      <c r="CJ158" s="56">
        <f t="shared" si="151"/>
        <v>3</v>
      </c>
      <c r="CL158" s="18">
        <f t="shared" si="152"/>
        <v>2.7473666667625123</v>
      </c>
      <c r="CM158" s="18">
        <f t="shared" si="152"/>
        <v>3.5683506422806603</v>
      </c>
      <c r="CN158" s="18">
        <f t="shared" si="152"/>
        <v>0.5964267936997808</v>
      </c>
      <c r="CO158" s="18">
        <f t="shared" si="152"/>
        <v>2.3970219371837098</v>
      </c>
      <c r="CP158" s="56">
        <f t="shared" si="153"/>
        <v>3</v>
      </c>
    </row>
    <row r="159" spans="1:94" x14ac:dyDescent="0.25">
      <c r="A159" s="36" t="str">
        <f>KMeans_Data!A18</f>
        <v>Larkana</v>
      </c>
      <c r="B159" s="18">
        <f>KMeans_Data!H18</f>
        <v>1.0373368721320242</v>
      </c>
      <c r="C159" s="18">
        <f>KMeans_Data!I18</f>
        <v>0.37868427752921691</v>
      </c>
      <c r="D159" s="18">
        <f>KMeans_Data!J18</f>
        <v>1.4704046399545831</v>
      </c>
      <c r="E159" s="56">
        <f t="shared" si="128"/>
        <v>3</v>
      </c>
      <c r="F159" s="38">
        <f t="shared" si="129"/>
        <v>0.58392831460231887</v>
      </c>
      <c r="G159" s="18">
        <f>IF(COUNTIF(Distance_Matrix!$E$10:$DQ$10,$E159)&lt;=1,0,SUMIF(Distance_Matrix!$E$10:$DQ$10,$E159,Distance_Matrix!$E$27:$DQ$27)/(COUNTIF(Distance_Matrix!$E$10:$DQ$10,$E159)-1))</f>
        <v>1.0602926904558356</v>
      </c>
      <c r="H159" s="18">
        <f>MIN(IF(1=$E159,1E+99,IF(COUNTIF(Distance_Matrix!$E$10:$DQ$10,1)=0,1E+99,SUMIF(Distance_Matrix!$E$10:$DQ$10,1,Distance_Matrix!$E$27:$DQ$27)/COUNTIF(Distance_Matrix!$E$10:$DQ$10,1))),IF(2=$E159,1E+99,IF(COUNTIF(Distance_Matrix!$E$10:$DQ$10,2)=0,1E+99,SUMIF(Distance_Matrix!$E$10:$DQ$10,2,Distance_Matrix!$E$27:$DQ$27)/COUNTIF(Distance_Matrix!$E$10:$DQ$10,2))),IF(3=$E159,1E+99,IF(COUNTIF(Distance_Matrix!$E$10:$DQ$10,3)=0,1E+99,SUMIF(Distance_Matrix!$E$10:$DQ$10,3,Distance_Matrix!$E$27:$DQ$27)/COUNTIF(Distance_Matrix!$E$10:$DQ$10,3))),IF(4=$E159,1E+99,IF(COUNTIF(Distance_Matrix!$E$10:$DQ$10,4)=0,1E+99,SUMIF(Distance_Matrix!$E$10:$DQ$10,4,Distance_Matrix!$E$27:$DQ$27)/COUNTIF(Distance_Matrix!$E$10:$DQ$10,4))))</f>
        <v>2.4427615635594604</v>
      </c>
      <c r="I159" s="18">
        <f>IF(COUNTIF(Distance_Matrix!$E$10:$DQ$10,$E159)&lt;=1,0,(H159-G159)/MAX(G159,H159))</f>
        <v>0.56594507369322022</v>
      </c>
      <c r="X159" s="18">
        <f t="shared" si="130"/>
        <v>4.6451579272007946</v>
      </c>
      <c r="Y159" s="18">
        <f t="shared" si="130"/>
        <v>4.2029955567656474</v>
      </c>
      <c r="Z159" s="18">
        <f t="shared" si="130"/>
        <v>0</v>
      </c>
      <c r="AA159" s="18">
        <f t="shared" si="130"/>
        <v>2.6969311940684069</v>
      </c>
      <c r="AB159" s="56">
        <f t="shared" si="131"/>
        <v>3</v>
      </c>
      <c r="AD159" s="18">
        <f t="shared" si="132"/>
        <v>3.740681397156457</v>
      </c>
      <c r="AE159" s="18">
        <f t="shared" si="132"/>
        <v>3.4704568516510181</v>
      </c>
      <c r="AF159" s="18">
        <f t="shared" si="132"/>
        <v>0.75683232625756058</v>
      </c>
      <c r="AG159" s="18">
        <f t="shared" si="132"/>
        <v>2.4289872431227972</v>
      </c>
      <c r="AH159" s="56">
        <f t="shared" si="133"/>
        <v>3</v>
      </c>
      <c r="AJ159" s="18">
        <f t="shared" si="134"/>
        <v>3.3957108439456833</v>
      </c>
      <c r="AK159" s="18">
        <f t="shared" si="134"/>
        <v>3.4998992622218328</v>
      </c>
      <c r="AL159" s="18">
        <f t="shared" si="134"/>
        <v>0.75504879547214332</v>
      </c>
      <c r="AM159" s="18">
        <f t="shared" si="134"/>
        <v>2.3356678538790181</v>
      </c>
      <c r="AN159" s="56">
        <f t="shared" si="135"/>
        <v>3</v>
      </c>
      <c r="AP159" s="18">
        <f t="shared" si="136"/>
        <v>3.1263830465803006</v>
      </c>
      <c r="AQ159" s="18">
        <f t="shared" si="136"/>
        <v>3.5910499396884572</v>
      </c>
      <c r="AR159" s="18">
        <f t="shared" si="136"/>
        <v>0.76415202322726261</v>
      </c>
      <c r="AS159" s="18">
        <f t="shared" si="136"/>
        <v>2.3562180722451327</v>
      </c>
      <c r="AT159" s="56">
        <f t="shared" si="137"/>
        <v>3</v>
      </c>
      <c r="AV159" s="18">
        <f t="shared" si="138"/>
        <v>3.1263830465803006</v>
      </c>
      <c r="AW159" s="18">
        <f t="shared" si="138"/>
        <v>3.5910499396884572</v>
      </c>
      <c r="AX159" s="18">
        <f t="shared" si="138"/>
        <v>0.76415202322726261</v>
      </c>
      <c r="AY159" s="18">
        <f t="shared" si="138"/>
        <v>2.3562180722451327</v>
      </c>
      <c r="AZ159" s="56">
        <f t="shared" si="139"/>
        <v>3</v>
      </c>
      <c r="BB159" s="18">
        <f t="shared" si="140"/>
        <v>3.1263830465803006</v>
      </c>
      <c r="BC159" s="18">
        <f t="shared" si="140"/>
        <v>3.5910499396884572</v>
      </c>
      <c r="BD159" s="18">
        <f t="shared" si="140"/>
        <v>0.76415202322726261</v>
      </c>
      <c r="BE159" s="18">
        <f t="shared" si="140"/>
        <v>2.3562180722451327</v>
      </c>
      <c r="BF159" s="56">
        <f t="shared" si="141"/>
        <v>3</v>
      </c>
      <c r="BH159" s="18">
        <f t="shared" si="142"/>
        <v>3.1263830465803006</v>
      </c>
      <c r="BI159" s="18">
        <f t="shared" si="142"/>
        <v>3.5910499396884572</v>
      </c>
      <c r="BJ159" s="18">
        <f t="shared" si="142"/>
        <v>0.76415202322726261</v>
      </c>
      <c r="BK159" s="18">
        <f t="shared" si="142"/>
        <v>2.3562180722451327</v>
      </c>
      <c r="BL159" s="56">
        <f t="shared" si="143"/>
        <v>3</v>
      </c>
      <c r="BN159" s="18">
        <f t="shared" si="144"/>
        <v>3.1263830465803006</v>
      </c>
      <c r="BO159" s="18">
        <f t="shared" si="144"/>
        <v>3.5910499396884572</v>
      </c>
      <c r="BP159" s="18">
        <f t="shared" si="144"/>
        <v>0.76415202322726261</v>
      </c>
      <c r="BQ159" s="18">
        <f t="shared" si="144"/>
        <v>2.3562180722451327</v>
      </c>
      <c r="BR159" s="56">
        <f t="shared" si="145"/>
        <v>3</v>
      </c>
      <c r="BT159" s="18">
        <f t="shared" si="146"/>
        <v>3.1263830465803006</v>
      </c>
      <c r="BU159" s="18">
        <f t="shared" si="146"/>
        <v>3.5910499396884572</v>
      </c>
      <c r="BV159" s="18">
        <f t="shared" si="146"/>
        <v>0.76415202322726261</v>
      </c>
      <c r="BW159" s="18">
        <f t="shared" si="146"/>
        <v>2.3562180722451327</v>
      </c>
      <c r="BX159" s="56">
        <f t="shared" si="147"/>
        <v>3</v>
      </c>
      <c r="BZ159" s="18">
        <f t="shared" si="148"/>
        <v>3.1263830465803006</v>
      </c>
      <c r="CA159" s="18">
        <f t="shared" si="148"/>
        <v>3.5910499396884572</v>
      </c>
      <c r="CB159" s="18">
        <f t="shared" si="148"/>
        <v>0.76415202322726261</v>
      </c>
      <c r="CC159" s="18">
        <f t="shared" si="148"/>
        <v>2.3562180722451327</v>
      </c>
      <c r="CD159" s="56">
        <f t="shared" si="149"/>
        <v>3</v>
      </c>
      <c r="CF159" s="18">
        <f t="shared" si="150"/>
        <v>3.1263830465803006</v>
      </c>
      <c r="CG159" s="18">
        <f t="shared" si="150"/>
        <v>3.5910499396884572</v>
      </c>
      <c r="CH159" s="18">
        <f t="shared" si="150"/>
        <v>0.76415202322726261</v>
      </c>
      <c r="CI159" s="18">
        <f t="shared" si="150"/>
        <v>2.3562180722451327</v>
      </c>
      <c r="CJ159" s="56">
        <f t="shared" si="151"/>
        <v>3</v>
      </c>
      <c r="CL159" s="18">
        <f t="shared" si="152"/>
        <v>3.1263830465803006</v>
      </c>
      <c r="CM159" s="18">
        <f t="shared" si="152"/>
        <v>3.5910499396884572</v>
      </c>
      <c r="CN159" s="18">
        <f t="shared" si="152"/>
        <v>0.76415202322726261</v>
      </c>
      <c r="CO159" s="18">
        <f t="shared" si="152"/>
        <v>2.3562180722451327</v>
      </c>
      <c r="CP159" s="56">
        <f t="shared" si="153"/>
        <v>3</v>
      </c>
    </row>
    <row r="160" spans="1:94" x14ac:dyDescent="0.25">
      <c r="A160" s="36" t="str">
        <f>KMeans_Data!A19</f>
        <v>Ghotki</v>
      </c>
      <c r="B160" s="18">
        <f>KMeans_Data!H19</f>
        <v>1.0078177751973447</v>
      </c>
      <c r="C160" s="18">
        <f>KMeans_Data!I19</f>
        <v>-0.14698313392952958</v>
      </c>
      <c r="D160" s="18">
        <f>KMeans_Data!J19</f>
        <v>1.1668769645807604</v>
      </c>
      <c r="E160" s="56">
        <f t="shared" si="128"/>
        <v>3</v>
      </c>
      <c r="F160" s="38">
        <f t="shared" si="129"/>
        <v>0.81480936093275047</v>
      </c>
      <c r="G160" s="18">
        <f>IF(COUNTIF(Distance_Matrix!$E$10:$DQ$10,$E160)&lt;=1,0,SUMIF(Distance_Matrix!$E$10:$DQ$10,$E160,Distance_Matrix!$E$28:$DQ$28)/(COUNTIF(Distance_Matrix!$E$10:$DQ$10,$E160)-1))</f>
        <v>1.1644705552502315</v>
      </c>
      <c r="H160" s="18">
        <f>MIN(IF(1=$E160,1E+99,IF(COUNTIF(Distance_Matrix!$E$10:$DQ$10,1)=0,1E+99,SUMIF(Distance_Matrix!$E$10:$DQ$10,1,Distance_Matrix!$E$28:$DQ$28)/COUNTIF(Distance_Matrix!$E$10:$DQ$10,1))),IF(2=$E160,1E+99,IF(COUNTIF(Distance_Matrix!$E$10:$DQ$10,2)=0,1E+99,SUMIF(Distance_Matrix!$E$10:$DQ$10,2,Distance_Matrix!$E$28:$DQ$28)/COUNTIF(Distance_Matrix!$E$10:$DQ$10,2))),IF(3=$E160,1E+99,IF(COUNTIF(Distance_Matrix!$E$10:$DQ$10,3)=0,1E+99,SUMIF(Distance_Matrix!$E$10:$DQ$10,3,Distance_Matrix!$E$28:$DQ$28)/COUNTIF(Distance_Matrix!$E$10:$DQ$10,3))),IF(4=$E160,1E+99,IF(COUNTIF(Distance_Matrix!$E$10:$DQ$10,4)=0,1E+99,SUMIF(Distance_Matrix!$E$10:$DQ$10,4,Distance_Matrix!$E$28:$DQ$28)/COUNTIF(Distance_Matrix!$E$10:$DQ$10,4))))</f>
        <v>2.0572606814267509</v>
      </c>
      <c r="I160" s="18">
        <f>IF(COUNTIF(Distance_Matrix!$E$10:$DQ$10,$E160)&lt;=1,0,(H160-G160)/MAX(G160,H160))</f>
        <v>0.43397034427224451</v>
      </c>
      <c r="X160" s="18">
        <f t="shared" si="130"/>
        <v>5.1970094204493611</v>
      </c>
      <c r="Y160" s="18">
        <f t="shared" si="130"/>
        <v>3.8932095409482974</v>
      </c>
      <c r="Z160" s="18">
        <f t="shared" si="130"/>
        <v>0.60772251420480949</v>
      </c>
      <c r="AA160" s="18">
        <f t="shared" si="130"/>
        <v>2.3407055657210845</v>
      </c>
      <c r="AB160" s="56">
        <f t="shared" si="131"/>
        <v>3</v>
      </c>
      <c r="AD160" s="18">
        <f t="shared" si="132"/>
        <v>4.2870094374212293</v>
      </c>
      <c r="AE160" s="18">
        <f t="shared" si="132"/>
        <v>3.1197715366246386</v>
      </c>
      <c r="AF160" s="18">
        <f t="shared" si="132"/>
        <v>0.87545459889883603</v>
      </c>
      <c r="AG160" s="18">
        <f t="shared" si="132"/>
        <v>2.0217275636405705</v>
      </c>
      <c r="AH160" s="56">
        <f t="shared" si="133"/>
        <v>3</v>
      </c>
      <c r="AJ160" s="18">
        <f t="shared" si="134"/>
        <v>3.9381343128501003</v>
      </c>
      <c r="AK160" s="18">
        <f t="shared" si="134"/>
        <v>3.1477177941594912</v>
      </c>
      <c r="AL160" s="18">
        <f t="shared" si="134"/>
        <v>0.92528167926378369</v>
      </c>
      <c r="AM160" s="18">
        <f t="shared" si="134"/>
        <v>1.9267433039489406</v>
      </c>
      <c r="AN160" s="56">
        <f t="shared" si="135"/>
        <v>3</v>
      </c>
      <c r="AP160" s="18">
        <f t="shared" si="136"/>
        <v>3.6711279091909406</v>
      </c>
      <c r="AQ160" s="18">
        <f t="shared" si="136"/>
        <v>3.2404549945942192</v>
      </c>
      <c r="AR160" s="18">
        <f t="shared" si="136"/>
        <v>0.90266791287424775</v>
      </c>
      <c r="AS160" s="18">
        <f t="shared" si="136"/>
        <v>1.9492687960121513</v>
      </c>
      <c r="AT160" s="56">
        <f t="shared" si="137"/>
        <v>3</v>
      </c>
      <c r="AV160" s="18">
        <f t="shared" si="138"/>
        <v>3.6711279091909406</v>
      </c>
      <c r="AW160" s="18">
        <f t="shared" si="138"/>
        <v>3.2404549945942192</v>
      </c>
      <c r="AX160" s="18">
        <f t="shared" si="138"/>
        <v>0.90266791287424775</v>
      </c>
      <c r="AY160" s="18">
        <f t="shared" si="138"/>
        <v>1.9492687960121513</v>
      </c>
      <c r="AZ160" s="56">
        <f t="shared" si="139"/>
        <v>3</v>
      </c>
      <c r="BB160" s="18">
        <f t="shared" si="140"/>
        <v>3.6711279091909406</v>
      </c>
      <c r="BC160" s="18">
        <f t="shared" si="140"/>
        <v>3.2404549945942192</v>
      </c>
      <c r="BD160" s="18">
        <f t="shared" si="140"/>
        <v>0.90266791287424775</v>
      </c>
      <c r="BE160" s="18">
        <f t="shared" si="140"/>
        <v>1.9492687960121513</v>
      </c>
      <c r="BF160" s="56">
        <f t="shared" si="141"/>
        <v>3</v>
      </c>
      <c r="BH160" s="18">
        <f t="shared" si="142"/>
        <v>3.6711279091909406</v>
      </c>
      <c r="BI160" s="18">
        <f t="shared" si="142"/>
        <v>3.2404549945942192</v>
      </c>
      <c r="BJ160" s="18">
        <f t="shared" si="142"/>
        <v>0.90266791287424775</v>
      </c>
      <c r="BK160" s="18">
        <f t="shared" si="142"/>
        <v>1.9492687960121513</v>
      </c>
      <c r="BL160" s="56">
        <f t="shared" si="143"/>
        <v>3</v>
      </c>
      <c r="BN160" s="18">
        <f t="shared" si="144"/>
        <v>3.6711279091909406</v>
      </c>
      <c r="BO160" s="18">
        <f t="shared" si="144"/>
        <v>3.2404549945942192</v>
      </c>
      <c r="BP160" s="18">
        <f t="shared" si="144"/>
        <v>0.90266791287424775</v>
      </c>
      <c r="BQ160" s="18">
        <f t="shared" si="144"/>
        <v>1.9492687960121513</v>
      </c>
      <c r="BR160" s="56">
        <f t="shared" si="145"/>
        <v>3</v>
      </c>
      <c r="BT160" s="18">
        <f t="shared" si="146"/>
        <v>3.6711279091909406</v>
      </c>
      <c r="BU160" s="18">
        <f t="shared" si="146"/>
        <v>3.2404549945942192</v>
      </c>
      <c r="BV160" s="18">
        <f t="shared" si="146"/>
        <v>0.90266791287424775</v>
      </c>
      <c r="BW160" s="18">
        <f t="shared" si="146"/>
        <v>1.9492687960121513</v>
      </c>
      <c r="BX160" s="56">
        <f t="shared" si="147"/>
        <v>3</v>
      </c>
      <c r="BZ160" s="18">
        <f t="shared" si="148"/>
        <v>3.6711279091909406</v>
      </c>
      <c r="CA160" s="18">
        <f t="shared" si="148"/>
        <v>3.2404549945942192</v>
      </c>
      <c r="CB160" s="18">
        <f t="shared" si="148"/>
        <v>0.90266791287424775</v>
      </c>
      <c r="CC160" s="18">
        <f t="shared" si="148"/>
        <v>1.9492687960121513</v>
      </c>
      <c r="CD160" s="56">
        <f t="shared" si="149"/>
        <v>3</v>
      </c>
      <c r="CF160" s="18">
        <f t="shared" si="150"/>
        <v>3.6711279091909406</v>
      </c>
      <c r="CG160" s="18">
        <f t="shared" si="150"/>
        <v>3.2404549945942192</v>
      </c>
      <c r="CH160" s="18">
        <f t="shared" si="150"/>
        <v>0.90266791287424775</v>
      </c>
      <c r="CI160" s="18">
        <f t="shared" si="150"/>
        <v>1.9492687960121513</v>
      </c>
      <c r="CJ160" s="56">
        <f t="shared" si="151"/>
        <v>3</v>
      </c>
      <c r="CL160" s="18">
        <f t="shared" si="152"/>
        <v>3.6711279091909406</v>
      </c>
      <c r="CM160" s="18">
        <f t="shared" si="152"/>
        <v>3.2404549945942192</v>
      </c>
      <c r="CN160" s="18">
        <f t="shared" si="152"/>
        <v>0.90266791287424775</v>
      </c>
      <c r="CO160" s="18">
        <f t="shared" si="152"/>
        <v>1.9492687960121513</v>
      </c>
      <c r="CP160" s="56">
        <f t="shared" si="153"/>
        <v>3</v>
      </c>
    </row>
    <row r="161" spans="1:94" x14ac:dyDescent="0.25">
      <c r="A161" s="36" t="str">
        <f>KMeans_Data!A20</f>
        <v>Dir Lower</v>
      </c>
      <c r="B161" s="18">
        <f>KMeans_Data!H20</f>
        <v>0.97062552695729998</v>
      </c>
      <c r="C161" s="18">
        <f>KMeans_Data!I20</f>
        <v>0.99367572463826759</v>
      </c>
      <c r="D161" s="18">
        <f>KMeans_Data!J20</f>
        <v>0.99752622880062936</v>
      </c>
      <c r="E161" s="56">
        <f t="shared" si="128"/>
        <v>3</v>
      </c>
      <c r="F161" s="38">
        <f t="shared" si="129"/>
        <v>0.27348124349841635</v>
      </c>
      <c r="G161" s="18">
        <f>IF(COUNTIF(Distance_Matrix!$E$10:$DQ$10,$E161)&lt;=1,0,SUMIF(Distance_Matrix!$E$10:$DQ$10,$E161,Distance_Matrix!$E$29:$DQ$29)/(COUNTIF(Distance_Matrix!$E$10:$DQ$10,$E161)-1))</f>
        <v>0.87788744552054898</v>
      </c>
      <c r="H161" s="18">
        <f>MIN(IF(1=$E161,1E+99,IF(COUNTIF(Distance_Matrix!$E$10:$DQ$10,1)=0,1E+99,SUMIF(Distance_Matrix!$E$10:$DQ$10,1,Distance_Matrix!$E$29:$DQ$29)/COUNTIF(Distance_Matrix!$E$10:$DQ$10,1))),IF(2=$E161,1E+99,IF(COUNTIF(Distance_Matrix!$E$10:$DQ$10,2)=0,1E+99,SUMIF(Distance_Matrix!$E$10:$DQ$10,2,Distance_Matrix!$E$29:$DQ$29)/COUNTIF(Distance_Matrix!$E$10:$DQ$10,2))),IF(3=$E161,1E+99,IF(COUNTIF(Distance_Matrix!$E$10:$DQ$10,3)=0,1E+99,SUMIF(Distance_Matrix!$E$10:$DQ$10,3,Distance_Matrix!$E$29:$DQ$29)/COUNTIF(Distance_Matrix!$E$10:$DQ$10,3))),IF(4=$E161,1E+99,IF(COUNTIF(Distance_Matrix!$E$10:$DQ$10,4)=0,1E+99,SUMIF(Distance_Matrix!$E$10:$DQ$10,4,Distance_Matrix!$E$29:$DQ$29)/COUNTIF(Distance_Matrix!$E$10:$DQ$10,4))))</f>
        <v>2.4071673358209447</v>
      </c>
      <c r="I161" s="18">
        <f>IF(COUNTIF(Distance_Matrix!$E$10:$DQ$10,$E161)&lt;=1,0,(H161-G161)/MAX(G161,H161))</f>
        <v>0.63530269273068518</v>
      </c>
      <c r="X161" s="18">
        <f t="shared" si="130"/>
        <v>4.4346274447006611</v>
      </c>
      <c r="Y161" s="18">
        <f t="shared" si="130"/>
        <v>4.0834470612488181</v>
      </c>
      <c r="Z161" s="18">
        <f t="shared" si="130"/>
        <v>0.77863911751709047</v>
      </c>
      <c r="AA161" s="18">
        <f t="shared" si="130"/>
        <v>2.449464404018157</v>
      </c>
      <c r="AB161" s="56">
        <f t="shared" si="131"/>
        <v>3</v>
      </c>
      <c r="AD161" s="18">
        <f t="shared" si="132"/>
        <v>3.4555943805914788</v>
      </c>
      <c r="AE161" s="18">
        <f t="shared" si="132"/>
        <v>3.3676794160838406</v>
      </c>
      <c r="AF161" s="18">
        <f t="shared" si="132"/>
        <v>0.56519564279272549</v>
      </c>
      <c r="AG161" s="18">
        <f t="shared" si="132"/>
        <v>2.3558917663965455</v>
      </c>
      <c r="AH161" s="56">
        <f t="shared" si="133"/>
        <v>3</v>
      </c>
      <c r="AJ161" s="18">
        <f t="shared" si="134"/>
        <v>3.1094787355857894</v>
      </c>
      <c r="AK161" s="18">
        <f t="shared" si="134"/>
        <v>3.3911652302132564</v>
      </c>
      <c r="AL161" s="18">
        <f t="shared" si="134"/>
        <v>0.47408295803382938</v>
      </c>
      <c r="AM161" s="18">
        <f t="shared" si="134"/>
        <v>2.288395236960755</v>
      </c>
      <c r="AN161" s="56">
        <f t="shared" si="135"/>
        <v>3</v>
      </c>
      <c r="AP161" s="18">
        <f t="shared" si="136"/>
        <v>2.8195485300079715</v>
      </c>
      <c r="AQ161" s="18">
        <f t="shared" si="136"/>
        <v>3.4718844439947962</v>
      </c>
      <c r="AR161" s="18">
        <f t="shared" si="136"/>
        <v>0.52295434169573196</v>
      </c>
      <c r="AS161" s="18">
        <f t="shared" si="136"/>
        <v>2.3125321674791177</v>
      </c>
      <c r="AT161" s="56">
        <f t="shared" si="137"/>
        <v>3</v>
      </c>
      <c r="AV161" s="18">
        <f t="shared" si="138"/>
        <v>2.8195485300079715</v>
      </c>
      <c r="AW161" s="18">
        <f t="shared" si="138"/>
        <v>3.4718844439947962</v>
      </c>
      <c r="AX161" s="18">
        <f t="shared" si="138"/>
        <v>0.52295434169573196</v>
      </c>
      <c r="AY161" s="18">
        <f t="shared" si="138"/>
        <v>2.3125321674791177</v>
      </c>
      <c r="AZ161" s="56">
        <f t="shared" si="139"/>
        <v>3</v>
      </c>
      <c r="BB161" s="18">
        <f t="shared" si="140"/>
        <v>2.8195485300079715</v>
      </c>
      <c r="BC161" s="18">
        <f t="shared" si="140"/>
        <v>3.4718844439947962</v>
      </c>
      <c r="BD161" s="18">
        <f t="shared" si="140"/>
        <v>0.52295434169573196</v>
      </c>
      <c r="BE161" s="18">
        <f t="shared" si="140"/>
        <v>2.3125321674791177</v>
      </c>
      <c r="BF161" s="56">
        <f t="shared" si="141"/>
        <v>3</v>
      </c>
      <c r="BH161" s="18">
        <f t="shared" si="142"/>
        <v>2.8195485300079715</v>
      </c>
      <c r="BI161" s="18">
        <f t="shared" si="142"/>
        <v>3.4718844439947962</v>
      </c>
      <c r="BJ161" s="18">
        <f t="shared" si="142"/>
        <v>0.52295434169573196</v>
      </c>
      <c r="BK161" s="18">
        <f t="shared" si="142"/>
        <v>2.3125321674791177</v>
      </c>
      <c r="BL161" s="56">
        <f t="shared" si="143"/>
        <v>3</v>
      </c>
      <c r="BN161" s="18">
        <f t="shared" si="144"/>
        <v>2.8195485300079715</v>
      </c>
      <c r="BO161" s="18">
        <f t="shared" si="144"/>
        <v>3.4718844439947962</v>
      </c>
      <c r="BP161" s="18">
        <f t="shared" si="144"/>
        <v>0.52295434169573196</v>
      </c>
      <c r="BQ161" s="18">
        <f t="shared" si="144"/>
        <v>2.3125321674791177</v>
      </c>
      <c r="BR161" s="56">
        <f t="shared" si="145"/>
        <v>3</v>
      </c>
      <c r="BT161" s="18">
        <f t="shared" si="146"/>
        <v>2.8195485300079715</v>
      </c>
      <c r="BU161" s="18">
        <f t="shared" si="146"/>
        <v>3.4718844439947962</v>
      </c>
      <c r="BV161" s="18">
        <f t="shared" si="146"/>
        <v>0.52295434169573196</v>
      </c>
      <c r="BW161" s="18">
        <f t="shared" si="146"/>
        <v>2.3125321674791177</v>
      </c>
      <c r="BX161" s="56">
        <f t="shared" si="147"/>
        <v>3</v>
      </c>
      <c r="BZ161" s="18">
        <f t="shared" si="148"/>
        <v>2.8195485300079715</v>
      </c>
      <c r="CA161" s="18">
        <f t="shared" si="148"/>
        <v>3.4718844439947962</v>
      </c>
      <c r="CB161" s="18">
        <f t="shared" si="148"/>
        <v>0.52295434169573196</v>
      </c>
      <c r="CC161" s="18">
        <f t="shared" si="148"/>
        <v>2.3125321674791177</v>
      </c>
      <c r="CD161" s="56">
        <f t="shared" si="149"/>
        <v>3</v>
      </c>
      <c r="CF161" s="18">
        <f t="shared" si="150"/>
        <v>2.8195485300079715</v>
      </c>
      <c r="CG161" s="18">
        <f t="shared" si="150"/>
        <v>3.4718844439947962</v>
      </c>
      <c r="CH161" s="18">
        <f t="shared" si="150"/>
        <v>0.52295434169573196</v>
      </c>
      <c r="CI161" s="18">
        <f t="shared" si="150"/>
        <v>2.3125321674791177</v>
      </c>
      <c r="CJ161" s="56">
        <f t="shared" si="151"/>
        <v>3</v>
      </c>
      <c r="CL161" s="18">
        <f t="shared" si="152"/>
        <v>2.8195485300079715</v>
      </c>
      <c r="CM161" s="18">
        <f t="shared" si="152"/>
        <v>3.4718844439947962</v>
      </c>
      <c r="CN161" s="18">
        <f t="shared" si="152"/>
        <v>0.52295434169573196</v>
      </c>
      <c r="CO161" s="18">
        <f t="shared" si="152"/>
        <v>2.3125321674791177</v>
      </c>
      <c r="CP161" s="56">
        <f t="shared" si="153"/>
        <v>3</v>
      </c>
    </row>
    <row r="162" spans="1:94" x14ac:dyDescent="0.25">
      <c r="A162" s="36" t="str">
        <f>KMeans_Data!A21</f>
        <v>Khairpur</v>
      </c>
      <c r="B162" s="18">
        <f>KMeans_Data!H21</f>
        <v>0.88016218188859063</v>
      </c>
      <c r="C162" s="18">
        <f>KMeans_Data!I21</f>
        <v>0.37868427752921691</v>
      </c>
      <c r="D162" s="18">
        <f>KMeans_Data!J21</f>
        <v>1.5832083798719481</v>
      </c>
      <c r="E162" s="56">
        <f t="shared" si="128"/>
        <v>3</v>
      </c>
      <c r="F162" s="38">
        <f t="shared" si="129"/>
        <v>0.62945700774492264</v>
      </c>
      <c r="G162" s="18">
        <f>IF(COUNTIF(Distance_Matrix!$E$10:$DQ$10,$E162)&lt;=1,0,SUMIF(Distance_Matrix!$E$10:$DQ$10,$E162,Distance_Matrix!$E$30:$DQ$30)/(COUNTIF(Distance_Matrix!$E$10:$DQ$10,$E162)-1))</f>
        <v>1.0848926731028714</v>
      </c>
      <c r="H162" s="18">
        <f>MIN(IF(1=$E162,1E+99,IF(COUNTIF(Distance_Matrix!$E$10:$DQ$10,1)=0,1E+99,SUMIF(Distance_Matrix!$E$10:$DQ$10,1,Distance_Matrix!$E$30:$DQ$30)/COUNTIF(Distance_Matrix!$E$10:$DQ$10,1))),IF(2=$E162,1E+99,IF(COUNTIF(Distance_Matrix!$E$10:$DQ$10,2)=0,1E+99,SUMIF(Distance_Matrix!$E$10:$DQ$10,2,Distance_Matrix!$E$30:$DQ$30)/COUNTIF(Distance_Matrix!$E$10:$DQ$10,2))),IF(3=$E162,1E+99,IF(COUNTIF(Distance_Matrix!$E$10:$DQ$10,3)=0,1E+99,SUMIF(Distance_Matrix!$E$10:$DQ$10,3,Distance_Matrix!$E$30:$DQ$30)/COUNTIF(Distance_Matrix!$E$10:$DQ$10,3))),IF(4=$E162,1E+99,IF(COUNTIF(Distance_Matrix!$E$10:$DQ$10,4)=0,1E+99,SUMIF(Distance_Matrix!$E$10:$DQ$10,4,Distance_Matrix!$E$30:$DQ$30)/COUNTIF(Distance_Matrix!$E$10:$DQ$10,4))))</f>
        <v>2.457639561924573</v>
      </c>
      <c r="I162" s="18">
        <f>IF(COUNTIF(Distance_Matrix!$E$10:$DQ$10,$E162)&lt;=1,0,(H162-G162)/MAX(G162,H162))</f>
        <v>0.55856314737491697</v>
      </c>
      <c r="X162" s="18">
        <f t="shared" si="130"/>
        <v>4.6814537702265193</v>
      </c>
      <c r="Y162" s="18">
        <f t="shared" si="130"/>
        <v>4.160883299847451</v>
      </c>
      <c r="Z162" s="18">
        <f t="shared" si="130"/>
        <v>0.19346464016058282</v>
      </c>
      <c r="AA162" s="18">
        <f t="shared" si="130"/>
        <v>2.7888971516416392</v>
      </c>
      <c r="AB162" s="56">
        <f t="shared" si="131"/>
        <v>3</v>
      </c>
      <c r="AD162" s="18">
        <f t="shared" si="132"/>
        <v>3.7891551754127364</v>
      </c>
      <c r="AE162" s="18">
        <f t="shared" si="132"/>
        <v>3.4508011560273499</v>
      </c>
      <c r="AF162" s="18">
        <f t="shared" si="132"/>
        <v>0.78001079566971199</v>
      </c>
      <c r="AG162" s="18">
        <f t="shared" si="132"/>
        <v>2.4575274868578694</v>
      </c>
      <c r="AH162" s="56">
        <f t="shared" si="133"/>
        <v>3</v>
      </c>
      <c r="AJ162" s="18">
        <f t="shared" si="134"/>
        <v>3.448393260827912</v>
      </c>
      <c r="AK162" s="18">
        <f t="shared" si="134"/>
        <v>3.4824368556562697</v>
      </c>
      <c r="AL162" s="18">
        <f t="shared" si="134"/>
        <v>0.78698790284455789</v>
      </c>
      <c r="AM162" s="18">
        <f t="shared" si="134"/>
        <v>2.3578058776120305</v>
      </c>
      <c r="AN162" s="56">
        <f t="shared" si="135"/>
        <v>3</v>
      </c>
      <c r="AP162" s="18">
        <f t="shared" si="136"/>
        <v>3.1789786693576976</v>
      </c>
      <c r="AQ162" s="18">
        <f t="shared" si="136"/>
        <v>3.5748094556054926</v>
      </c>
      <c r="AR162" s="18">
        <f t="shared" si="136"/>
        <v>0.7933832666151478</v>
      </c>
      <c r="AS162" s="18">
        <f t="shared" si="136"/>
        <v>2.3746597692480513</v>
      </c>
      <c r="AT162" s="56">
        <f t="shared" si="137"/>
        <v>3</v>
      </c>
      <c r="AV162" s="18">
        <f t="shared" si="138"/>
        <v>3.1789786693576976</v>
      </c>
      <c r="AW162" s="18">
        <f t="shared" si="138"/>
        <v>3.5748094556054926</v>
      </c>
      <c r="AX162" s="18">
        <f t="shared" si="138"/>
        <v>0.7933832666151478</v>
      </c>
      <c r="AY162" s="18">
        <f t="shared" si="138"/>
        <v>2.3746597692480513</v>
      </c>
      <c r="AZ162" s="56">
        <f t="shared" si="139"/>
        <v>3</v>
      </c>
      <c r="BB162" s="18">
        <f t="shared" si="140"/>
        <v>3.1789786693576976</v>
      </c>
      <c r="BC162" s="18">
        <f t="shared" si="140"/>
        <v>3.5748094556054926</v>
      </c>
      <c r="BD162" s="18">
        <f t="shared" si="140"/>
        <v>0.7933832666151478</v>
      </c>
      <c r="BE162" s="18">
        <f t="shared" si="140"/>
        <v>2.3746597692480513</v>
      </c>
      <c r="BF162" s="56">
        <f t="shared" si="141"/>
        <v>3</v>
      </c>
      <c r="BH162" s="18">
        <f t="shared" si="142"/>
        <v>3.1789786693576976</v>
      </c>
      <c r="BI162" s="18">
        <f t="shared" si="142"/>
        <v>3.5748094556054926</v>
      </c>
      <c r="BJ162" s="18">
        <f t="shared" si="142"/>
        <v>0.7933832666151478</v>
      </c>
      <c r="BK162" s="18">
        <f t="shared" si="142"/>
        <v>2.3746597692480513</v>
      </c>
      <c r="BL162" s="56">
        <f t="shared" si="143"/>
        <v>3</v>
      </c>
      <c r="BN162" s="18">
        <f t="shared" si="144"/>
        <v>3.1789786693576976</v>
      </c>
      <c r="BO162" s="18">
        <f t="shared" si="144"/>
        <v>3.5748094556054926</v>
      </c>
      <c r="BP162" s="18">
        <f t="shared" si="144"/>
        <v>0.7933832666151478</v>
      </c>
      <c r="BQ162" s="18">
        <f t="shared" si="144"/>
        <v>2.3746597692480513</v>
      </c>
      <c r="BR162" s="56">
        <f t="shared" si="145"/>
        <v>3</v>
      </c>
      <c r="BT162" s="18">
        <f t="shared" si="146"/>
        <v>3.1789786693576976</v>
      </c>
      <c r="BU162" s="18">
        <f t="shared" si="146"/>
        <v>3.5748094556054926</v>
      </c>
      <c r="BV162" s="18">
        <f t="shared" si="146"/>
        <v>0.7933832666151478</v>
      </c>
      <c r="BW162" s="18">
        <f t="shared" si="146"/>
        <v>2.3746597692480513</v>
      </c>
      <c r="BX162" s="56">
        <f t="shared" si="147"/>
        <v>3</v>
      </c>
      <c r="BZ162" s="18">
        <f t="shared" si="148"/>
        <v>3.1789786693576976</v>
      </c>
      <c r="CA162" s="18">
        <f t="shared" si="148"/>
        <v>3.5748094556054926</v>
      </c>
      <c r="CB162" s="18">
        <f t="shared" si="148"/>
        <v>0.7933832666151478</v>
      </c>
      <c r="CC162" s="18">
        <f t="shared" si="148"/>
        <v>2.3746597692480513</v>
      </c>
      <c r="CD162" s="56">
        <f t="shared" si="149"/>
        <v>3</v>
      </c>
      <c r="CF162" s="18">
        <f t="shared" si="150"/>
        <v>3.1789786693576976</v>
      </c>
      <c r="CG162" s="18">
        <f t="shared" si="150"/>
        <v>3.5748094556054926</v>
      </c>
      <c r="CH162" s="18">
        <f t="shared" si="150"/>
        <v>0.7933832666151478</v>
      </c>
      <c r="CI162" s="18">
        <f t="shared" si="150"/>
        <v>2.3746597692480513</v>
      </c>
      <c r="CJ162" s="56">
        <f t="shared" si="151"/>
        <v>3</v>
      </c>
      <c r="CL162" s="18">
        <f t="shared" si="152"/>
        <v>3.1789786693576976</v>
      </c>
      <c r="CM162" s="18">
        <f t="shared" si="152"/>
        <v>3.5748094556054926</v>
      </c>
      <c r="CN162" s="18">
        <f t="shared" si="152"/>
        <v>0.7933832666151478</v>
      </c>
      <c r="CO162" s="18">
        <f t="shared" si="152"/>
        <v>2.3746597692480513</v>
      </c>
      <c r="CP162" s="56">
        <f t="shared" si="153"/>
        <v>3</v>
      </c>
    </row>
    <row r="163" spans="1:94" x14ac:dyDescent="0.25">
      <c r="A163" s="36" t="str">
        <f>KMeans_Data!A22</f>
        <v>Abbottabad</v>
      </c>
      <c r="B163" s="18">
        <f>KMeans_Data!H22</f>
        <v>0.85300106201847159</v>
      </c>
      <c r="C163" s="18">
        <f>KMeans_Data!I22</f>
        <v>1.3810745208577742</v>
      </c>
      <c r="D163" s="18">
        <f>KMeans_Data!J22</f>
        <v>0.61832866607444492</v>
      </c>
      <c r="E163" s="56">
        <f t="shared" si="128"/>
        <v>3</v>
      </c>
      <c r="F163" s="38">
        <f t="shared" si="129"/>
        <v>0.69526265399197262</v>
      </c>
      <c r="G163" s="18">
        <f>IF(COUNTIF(Distance_Matrix!$E$10:$DQ$10,$E163)&lt;=1,0,SUMIF(Distance_Matrix!$E$10:$DQ$10,$E163,Distance_Matrix!$E$31:$DQ$31)/(COUNTIF(Distance_Matrix!$E$10:$DQ$10,$E163)-1))</f>
        <v>1.0636914927984453</v>
      </c>
      <c r="H163" s="18">
        <f>MIN(IF(1=$E163,1E+99,IF(COUNTIF(Distance_Matrix!$E$10:$DQ$10,1)=0,1E+99,SUMIF(Distance_Matrix!$E$10:$DQ$10,1,Distance_Matrix!$E$31:$DQ$31)/COUNTIF(Distance_Matrix!$E$10:$DQ$10,1))),IF(2=$E163,1E+99,IF(COUNTIF(Distance_Matrix!$E$10:$DQ$10,2)=0,1E+99,SUMIF(Distance_Matrix!$E$10:$DQ$10,2,Distance_Matrix!$E$31:$DQ$31)/COUNTIF(Distance_Matrix!$E$10:$DQ$10,2))),IF(3=$E163,1E+99,IF(COUNTIF(Distance_Matrix!$E$10:$DQ$10,3)=0,1E+99,SUMIF(Distance_Matrix!$E$10:$DQ$10,3,Distance_Matrix!$E$31:$DQ$31)/COUNTIF(Distance_Matrix!$E$10:$DQ$10,3))),IF(4=$E163,1E+99,IF(COUNTIF(Distance_Matrix!$E$10:$DQ$10,4)=0,1E+99,SUMIF(Distance_Matrix!$E$10:$DQ$10,4,Distance_Matrix!$E$31:$DQ$31)/COUNTIF(Distance_Matrix!$E$10:$DQ$10,4))))</f>
        <v>2.448258465573252</v>
      </c>
      <c r="I163" s="18">
        <f>IF(COUNTIF(Distance_Matrix!$E$10:$DQ$10,$E163)&lt;=1,0,(H163-G163)/MAX(G163,H163))</f>
        <v>0.56553137352294003</v>
      </c>
      <c r="X163" s="18">
        <f t="shared" si="130"/>
        <v>4.4571842215707198</v>
      </c>
      <c r="Y163" s="18">
        <f t="shared" si="130"/>
        <v>3.9912836185819178</v>
      </c>
      <c r="Z163" s="18">
        <f t="shared" si="130"/>
        <v>1.3284575100748572</v>
      </c>
      <c r="AA163" s="18">
        <f t="shared" si="130"/>
        <v>2.3429778220059725</v>
      </c>
      <c r="AB163" s="56">
        <f t="shared" si="131"/>
        <v>3</v>
      </c>
      <c r="AD163" s="18">
        <f t="shared" si="132"/>
        <v>3.4436113018457131</v>
      </c>
      <c r="AE163" s="18">
        <f t="shared" si="132"/>
        <v>3.3074793321703488</v>
      </c>
      <c r="AF163" s="18">
        <f t="shared" si="132"/>
        <v>0.88058185623069263</v>
      </c>
      <c r="AG163" s="18">
        <f t="shared" si="132"/>
        <v>2.3701307868544825</v>
      </c>
      <c r="AH163" s="56">
        <f t="shared" si="133"/>
        <v>3</v>
      </c>
      <c r="AJ163" s="18">
        <f t="shared" si="134"/>
        <v>3.1081555687078772</v>
      </c>
      <c r="AK163" s="18">
        <f t="shared" si="134"/>
        <v>3.3259584140525784</v>
      </c>
      <c r="AL163" s="18">
        <f t="shared" si="134"/>
        <v>0.79400601511543356</v>
      </c>
      <c r="AM163" s="18">
        <f t="shared" si="134"/>
        <v>2.324868504780508</v>
      </c>
      <c r="AN163" s="56">
        <f t="shared" si="135"/>
        <v>3</v>
      </c>
      <c r="AP163" s="18">
        <f t="shared" si="136"/>
        <v>2.8127190488647473</v>
      </c>
      <c r="AQ163" s="18">
        <f t="shared" si="136"/>
        <v>3.3965464131440011</v>
      </c>
      <c r="AR163" s="18">
        <f t="shared" si="136"/>
        <v>0.83382411454213334</v>
      </c>
      <c r="AS163" s="18">
        <f t="shared" si="136"/>
        <v>2.3493582785519389</v>
      </c>
      <c r="AT163" s="56">
        <f t="shared" si="137"/>
        <v>3</v>
      </c>
      <c r="AV163" s="18">
        <f t="shared" si="138"/>
        <v>2.8127190488647473</v>
      </c>
      <c r="AW163" s="18">
        <f t="shared" si="138"/>
        <v>3.3965464131440011</v>
      </c>
      <c r="AX163" s="18">
        <f t="shared" si="138"/>
        <v>0.83382411454213334</v>
      </c>
      <c r="AY163" s="18">
        <f t="shared" si="138"/>
        <v>2.3493582785519389</v>
      </c>
      <c r="AZ163" s="56">
        <f t="shared" si="139"/>
        <v>3</v>
      </c>
      <c r="BB163" s="18">
        <f t="shared" si="140"/>
        <v>2.8127190488647473</v>
      </c>
      <c r="BC163" s="18">
        <f t="shared" si="140"/>
        <v>3.3965464131440011</v>
      </c>
      <c r="BD163" s="18">
        <f t="shared" si="140"/>
        <v>0.83382411454213334</v>
      </c>
      <c r="BE163" s="18">
        <f t="shared" si="140"/>
        <v>2.3493582785519389</v>
      </c>
      <c r="BF163" s="56">
        <f t="shared" si="141"/>
        <v>3</v>
      </c>
      <c r="BH163" s="18">
        <f t="shared" si="142"/>
        <v>2.8127190488647473</v>
      </c>
      <c r="BI163" s="18">
        <f t="shared" si="142"/>
        <v>3.3965464131440011</v>
      </c>
      <c r="BJ163" s="18">
        <f t="shared" si="142"/>
        <v>0.83382411454213334</v>
      </c>
      <c r="BK163" s="18">
        <f t="shared" si="142"/>
        <v>2.3493582785519389</v>
      </c>
      <c r="BL163" s="56">
        <f t="shared" si="143"/>
        <v>3</v>
      </c>
      <c r="BN163" s="18">
        <f t="shared" si="144"/>
        <v>2.8127190488647473</v>
      </c>
      <c r="BO163" s="18">
        <f t="shared" si="144"/>
        <v>3.3965464131440011</v>
      </c>
      <c r="BP163" s="18">
        <f t="shared" si="144"/>
        <v>0.83382411454213334</v>
      </c>
      <c r="BQ163" s="18">
        <f t="shared" si="144"/>
        <v>2.3493582785519389</v>
      </c>
      <c r="BR163" s="56">
        <f t="shared" si="145"/>
        <v>3</v>
      </c>
      <c r="BT163" s="18">
        <f t="shared" si="146"/>
        <v>2.8127190488647473</v>
      </c>
      <c r="BU163" s="18">
        <f t="shared" si="146"/>
        <v>3.3965464131440011</v>
      </c>
      <c r="BV163" s="18">
        <f t="shared" si="146"/>
        <v>0.83382411454213334</v>
      </c>
      <c r="BW163" s="18">
        <f t="shared" si="146"/>
        <v>2.3493582785519389</v>
      </c>
      <c r="BX163" s="56">
        <f t="shared" si="147"/>
        <v>3</v>
      </c>
      <c r="BZ163" s="18">
        <f t="shared" si="148"/>
        <v>2.8127190488647473</v>
      </c>
      <c r="CA163" s="18">
        <f t="shared" si="148"/>
        <v>3.3965464131440011</v>
      </c>
      <c r="CB163" s="18">
        <f t="shared" si="148"/>
        <v>0.83382411454213334</v>
      </c>
      <c r="CC163" s="18">
        <f t="shared" si="148"/>
        <v>2.3493582785519389</v>
      </c>
      <c r="CD163" s="56">
        <f t="shared" si="149"/>
        <v>3</v>
      </c>
      <c r="CF163" s="18">
        <f t="shared" si="150"/>
        <v>2.8127190488647473</v>
      </c>
      <c r="CG163" s="18">
        <f t="shared" si="150"/>
        <v>3.3965464131440011</v>
      </c>
      <c r="CH163" s="18">
        <f t="shared" si="150"/>
        <v>0.83382411454213334</v>
      </c>
      <c r="CI163" s="18">
        <f t="shared" si="150"/>
        <v>2.3493582785519389</v>
      </c>
      <c r="CJ163" s="56">
        <f t="shared" si="151"/>
        <v>3</v>
      </c>
      <c r="CL163" s="18">
        <f t="shared" si="152"/>
        <v>2.8127190488647473</v>
      </c>
      <c r="CM163" s="18">
        <f t="shared" si="152"/>
        <v>3.3965464131440011</v>
      </c>
      <c r="CN163" s="18">
        <f t="shared" si="152"/>
        <v>0.83382411454213334</v>
      </c>
      <c r="CO163" s="18">
        <f t="shared" si="152"/>
        <v>2.3493582785519389</v>
      </c>
      <c r="CP163" s="56">
        <f t="shared" si="153"/>
        <v>3</v>
      </c>
    </row>
    <row r="164" spans="1:94" x14ac:dyDescent="0.25">
      <c r="A164" s="36" t="str">
        <f>KMeans_Data!A23</f>
        <v>Nowshera</v>
      </c>
      <c r="B164" s="18">
        <f>KMeans_Data!H23</f>
        <v>0.85113891327863989</v>
      </c>
      <c r="C164" s="18">
        <f>KMeans_Data!I23</f>
        <v>1.3810745208577742</v>
      </c>
      <c r="D164" s="18">
        <f>KMeans_Data!J23</f>
        <v>0.9343491606149037</v>
      </c>
      <c r="E164" s="56">
        <f t="shared" si="128"/>
        <v>3</v>
      </c>
      <c r="F164" s="38">
        <f t="shared" si="129"/>
        <v>0.63608787994190652</v>
      </c>
      <c r="G164" s="18">
        <f>IF(COUNTIF(Distance_Matrix!$E$10:$DQ$10,$E164)&lt;=1,0,SUMIF(Distance_Matrix!$E$10:$DQ$10,$E164,Distance_Matrix!$E$32:$DQ$32)/(COUNTIF(Distance_Matrix!$E$10:$DQ$10,$E164)-1))</f>
        <v>1.0300829862895318</v>
      </c>
      <c r="H164" s="18">
        <f>MIN(IF(1=$E164,1E+99,IF(COUNTIF(Distance_Matrix!$E$10:$DQ$10,1)=0,1E+99,SUMIF(Distance_Matrix!$E$10:$DQ$10,1,Distance_Matrix!$E$32:$DQ$32)/COUNTIF(Distance_Matrix!$E$10:$DQ$10,1))),IF(2=$E164,1E+99,IF(COUNTIF(Distance_Matrix!$E$10:$DQ$10,2)=0,1E+99,SUMIF(Distance_Matrix!$E$10:$DQ$10,2,Distance_Matrix!$E$32:$DQ$32)/COUNTIF(Distance_Matrix!$E$10:$DQ$10,2))),IF(3=$E164,1E+99,IF(COUNTIF(Distance_Matrix!$E$10:$DQ$10,3)=0,1E+99,SUMIF(Distance_Matrix!$E$10:$DQ$10,3,Distance_Matrix!$E$32:$DQ$32)/COUNTIF(Distance_Matrix!$E$10:$DQ$10,3))),IF(4=$E164,1E+99,IF(COUNTIF(Distance_Matrix!$E$10:$DQ$10,4)=0,1E+99,SUMIF(Distance_Matrix!$E$10:$DQ$10,4,Distance_Matrix!$E$32:$DQ$32)/COUNTIF(Distance_Matrix!$E$10:$DQ$10,4))))</f>
        <v>2.5885170695731503</v>
      </c>
      <c r="I164" s="18">
        <f>IF(COUNTIF(Distance_Matrix!$E$10:$DQ$10,$E164)&lt;=1,0,(H164-G164)/MAX(G164,H164))</f>
        <v>0.60205671486671175</v>
      </c>
      <c r="X164" s="18">
        <f t="shared" si="130"/>
        <v>4.2790585979296116</v>
      </c>
      <c r="Y164" s="18">
        <f t="shared" si="130"/>
        <v>4.1393475396496306</v>
      </c>
      <c r="Z164" s="18">
        <f t="shared" si="130"/>
        <v>1.1518729776896166</v>
      </c>
      <c r="AA164" s="18">
        <f t="shared" si="130"/>
        <v>2.589121172506982</v>
      </c>
      <c r="AB164" s="56">
        <f t="shared" si="131"/>
        <v>3</v>
      </c>
      <c r="AD164" s="18">
        <f t="shared" si="132"/>
        <v>3.2840419977543887</v>
      </c>
      <c r="AE164" s="18">
        <f t="shared" si="132"/>
        <v>3.4660349718890777</v>
      </c>
      <c r="AF164" s="18">
        <f t="shared" si="132"/>
        <v>0.84212911844511251</v>
      </c>
      <c r="AG164" s="18">
        <f t="shared" si="132"/>
        <v>2.5356741749726455</v>
      </c>
      <c r="AH164" s="56">
        <f t="shared" si="133"/>
        <v>3</v>
      </c>
      <c r="AJ164" s="18">
        <f t="shared" si="134"/>
        <v>2.9472824705508986</v>
      </c>
      <c r="AK164" s="18">
        <f t="shared" si="134"/>
        <v>3.4882455088960151</v>
      </c>
      <c r="AL164" s="18">
        <f t="shared" si="134"/>
        <v>0.74953005250646243</v>
      </c>
      <c r="AM164" s="18">
        <f t="shared" si="134"/>
        <v>2.476779804790497</v>
      </c>
      <c r="AN164" s="56">
        <f t="shared" si="135"/>
        <v>3</v>
      </c>
      <c r="AP164" s="18">
        <f t="shared" si="136"/>
        <v>2.6513613592598846</v>
      </c>
      <c r="AQ164" s="18">
        <f t="shared" si="136"/>
        <v>3.5634273466302271</v>
      </c>
      <c r="AR164" s="18">
        <f t="shared" si="136"/>
        <v>0.7975511770049033</v>
      </c>
      <c r="AS164" s="18">
        <f t="shared" si="136"/>
        <v>2.498714355577484</v>
      </c>
      <c r="AT164" s="56">
        <f t="shared" si="137"/>
        <v>3</v>
      </c>
      <c r="AV164" s="18">
        <f t="shared" si="138"/>
        <v>2.6513613592598846</v>
      </c>
      <c r="AW164" s="18">
        <f t="shared" si="138"/>
        <v>3.5634273466302271</v>
      </c>
      <c r="AX164" s="18">
        <f t="shared" si="138"/>
        <v>0.7975511770049033</v>
      </c>
      <c r="AY164" s="18">
        <f t="shared" si="138"/>
        <v>2.498714355577484</v>
      </c>
      <c r="AZ164" s="56">
        <f t="shared" si="139"/>
        <v>3</v>
      </c>
      <c r="BB164" s="18">
        <f t="shared" si="140"/>
        <v>2.6513613592598846</v>
      </c>
      <c r="BC164" s="18">
        <f t="shared" si="140"/>
        <v>3.5634273466302271</v>
      </c>
      <c r="BD164" s="18">
        <f t="shared" si="140"/>
        <v>0.7975511770049033</v>
      </c>
      <c r="BE164" s="18">
        <f t="shared" si="140"/>
        <v>2.498714355577484</v>
      </c>
      <c r="BF164" s="56">
        <f t="shared" si="141"/>
        <v>3</v>
      </c>
      <c r="BH164" s="18">
        <f t="shared" si="142"/>
        <v>2.6513613592598846</v>
      </c>
      <c r="BI164" s="18">
        <f t="shared" si="142"/>
        <v>3.5634273466302271</v>
      </c>
      <c r="BJ164" s="18">
        <f t="shared" si="142"/>
        <v>0.7975511770049033</v>
      </c>
      <c r="BK164" s="18">
        <f t="shared" si="142"/>
        <v>2.498714355577484</v>
      </c>
      <c r="BL164" s="56">
        <f t="shared" si="143"/>
        <v>3</v>
      </c>
      <c r="BN164" s="18">
        <f t="shared" si="144"/>
        <v>2.6513613592598846</v>
      </c>
      <c r="BO164" s="18">
        <f t="shared" si="144"/>
        <v>3.5634273466302271</v>
      </c>
      <c r="BP164" s="18">
        <f t="shared" si="144"/>
        <v>0.7975511770049033</v>
      </c>
      <c r="BQ164" s="18">
        <f t="shared" si="144"/>
        <v>2.498714355577484</v>
      </c>
      <c r="BR164" s="56">
        <f t="shared" si="145"/>
        <v>3</v>
      </c>
      <c r="BT164" s="18">
        <f t="shared" si="146"/>
        <v>2.6513613592598846</v>
      </c>
      <c r="BU164" s="18">
        <f t="shared" si="146"/>
        <v>3.5634273466302271</v>
      </c>
      <c r="BV164" s="18">
        <f t="shared" si="146"/>
        <v>0.7975511770049033</v>
      </c>
      <c r="BW164" s="18">
        <f t="shared" si="146"/>
        <v>2.498714355577484</v>
      </c>
      <c r="BX164" s="56">
        <f t="shared" si="147"/>
        <v>3</v>
      </c>
      <c r="BZ164" s="18">
        <f t="shared" si="148"/>
        <v>2.6513613592598846</v>
      </c>
      <c r="CA164" s="18">
        <f t="shared" si="148"/>
        <v>3.5634273466302271</v>
      </c>
      <c r="CB164" s="18">
        <f t="shared" si="148"/>
        <v>0.7975511770049033</v>
      </c>
      <c r="CC164" s="18">
        <f t="shared" si="148"/>
        <v>2.498714355577484</v>
      </c>
      <c r="CD164" s="56">
        <f t="shared" si="149"/>
        <v>3</v>
      </c>
      <c r="CF164" s="18">
        <f t="shared" si="150"/>
        <v>2.6513613592598846</v>
      </c>
      <c r="CG164" s="18">
        <f t="shared" si="150"/>
        <v>3.5634273466302271</v>
      </c>
      <c r="CH164" s="18">
        <f t="shared" si="150"/>
        <v>0.7975511770049033</v>
      </c>
      <c r="CI164" s="18">
        <f t="shared" si="150"/>
        <v>2.498714355577484</v>
      </c>
      <c r="CJ164" s="56">
        <f t="shared" si="151"/>
        <v>3</v>
      </c>
      <c r="CL164" s="18">
        <f t="shared" si="152"/>
        <v>2.6513613592598846</v>
      </c>
      <c r="CM164" s="18">
        <f t="shared" si="152"/>
        <v>3.5634273466302271</v>
      </c>
      <c r="CN164" s="18">
        <f t="shared" si="152"/>
        <v>0.7975511770049033</v>
      </c>
      <c r="CO164" s="18">
        <f t="shared" si="152"/>
        <v>2.498714355577484</v>
      </c>
      <c r="CP164" s="56">
        <f t="shared" si="153"/>
        <v>3</v>
      </c>
    </row>
    <row r="165" spans="1:94" x14ac:dyDescent="0.25">
      <c r="A165" s="36" t="str">
        <f>KMeans_Data!A24</f>
        <v>Muzaffarabad</v>
      </c>
      <c r="B165" s="18">
        <f>KMeans_Data!H24</f>
        <v>0.84172690240795967</v>
      </c>
      <c r="C165" s="18">
        <f>KMeans_Data!I24</f>
        <v>0.80308444953571578</v>
      </c>
      <c r="D165" s="18">
        <f>KMeans_Data!J24</f>
        <v>1.0367093535020828</v>
      </c>
      <c r="E165" s="56">
        <f t="shared" si="128"/>
        <v>3</v>
      </c>
      <c r="F165" s="38">
        <f t="shared" si="129"/>
        <v>0.10707749264856056</v>
      </c>
      <c r="G165" s="18">
        <f>IF(COUNTIF(Distance_Matrix!$E$10:$DQ$10,$E165)&lt;=1,0,SUMIF(Distance_Matrix!$E$10:$DQ$10,$E165,Distance_Matrix!$E$33:$DQ$33)/(COUNTIF(Distance_Matrix!$E$10:$DQ$10,$E165)-1))</f>
        <v>0.80392764595919952</v>
      </c>
      <c r="H165" s="18">
        <f>MIN(IF(1=$E165,1E+99,IF(COUNTIF(Distance_Matrix!$E$10:$DQ$10,1)=0,1E+99,SUMIF(Distance_Matrix!$E$10:$DQ$10,1,Distance_Matrix!$E$33:$DQ$33)/COUNTIF(Distance_Matrix!$E$10:$DQ$10,1))),IF(2=$E165,1E+99,IF(COUNTIF(Distance_Matrix!$E$10:$DQ$10,2)=0,1E+99,SUMIF(Distance_Matrix!$E$10:$DQ$10,2,Distance_Matrix!$E$33:$DQ$33)/COUNTIF(Distance_Matrix!$E$10:$DQ$10,2))),IF(3=$E165,1E+99,IF(COUNTIF(Distance_Matrix!$E$10:$DQ$10,3)=0,1E+99,SUMIF(Distance_Matrix!$E$10:$DQ$10,3,Distance_Matrix!$E$33:$DQ$33)/COUNTIF(Distance_Matrix!$E$10:$DQ$10,3))),IF(4=$E165,1E+99,IF(COUNTIF(Distance_Matrix!$E$10:$DQ$10,4)=0,1E+99,SUMIF(Distance_Matrix!$E$10:$DQ$10,4,Distance_Matrix!$E$33:$DQ$33)/COUNTIF(Distance_Matrix!$E$10:$DQ$10,4))))</f>
        <v>2.2564450382789909</v>
      </c>
      <c r="I165" s="18">
        <f>IF(COUNTIF(Distance_Matrix!$E$10:$DQ$10,$E165)&lt;=1,0,(H165-G165)/MAX(G165,H165))</f>
        <v>0.6437193761331933</v>
      </c>
      <c r="X165" s="18">
        <f t="shared" si="130"/>
        <v>4.6150099077019524</v>
      </c>
      <c r="Y165" s="18">
        <f t="shared" si="130"/>
        <v>3.9338807191152401</v>
      </c>
      <c r="Z165" s="18">
        <f t="shared" si="130"/>
        <v>0.63755028644469414</v>
      </c>
      <c r="AA165" s="18">
        <f t="shared" si="130"/>
        <v>2.388248770565613</v>
      </c>
      <c r="AB165" s="56">
        <f t="shared" si="131"/>
        <v>3</v>
      </c>
      <c r="AD165" s="18">
        <f t="shared" si="132"/>
        <v>3.6487022857381457</v>
      </c>
      <c r="AE165" s="18">
        <f t="shared" si="132"/>
        <v>3.2169907953602945</v>
      </c>
      <c r="AF165" s="18">
        <f t="shared" si="132"/>
        <v>0.36147193229688446</v>
      </c>
      <c r="AG165" s="18">
        <f t="shared" si="132"/>
        <v>2.2117079693283599</v>
      </c>
      <c r="AH165" s="56">
        <f t="shared" si="133"/>
        <v>3</v>
      </c>
      <c r="AJ165" s="18">
        <f t="shared" si="134"/>
        <v>3.3030206636516293</v>
      </c>
      <c r="AK165" s="18">
        <f t="shared" si="134"/>
        <v>3.2425248727210354</v>
      </c>
      <c r="AL165" s="18">
        <f t="shared" si="134"/>
        <v>0.28143149809938095</v>
      </c>
      <c r="AM165" s="18">
        <f t="shared" si="134"/>
        <v>2.1353762806099938</v>
      </c>
      <c r="AN165" s="56">
        <f t="shared" si="135"/>
        <v>3</v>
      </c>
      <c r="AP165" s="18">
        <f t="shared" si="136"/>
        <v>3.0147018413666866</v>
      </c>
      <c r="AQ165" s="18">
        <f t="shared" si="136"/>
        <v>3.3262505902756683</v>
      </c>
      <c r="AR165" s="18">
        <f t="shared" si="136"/>
        <v>0.32722697420683483</v>
      </c>
      <c r="AS165" s="18">
        <f t="shared" si="136"/>
        <v>2.1573135977112483</v>
      </c>
      <c r="AT165" s="56">
        <f t="shared" si="137"/>
        <v>3</v>
      </c>
      <c r="AV165" s="18">
        <f t="shared" si="138"/>
        <v>3.0147018413666866</v>
      </c>
      <c r="AW165" s="18">
        <f t="shared" si="138"/>
        <v>3.3262505902756683</v>
      </c>
      <c r="AX165" s="18">
        <f t="shared" si="138"/>
        <v>0.32722697420683483</v>
      </c>
      <c r="AY165" s="18">
        <f t="shared" si="138"/>
        <v>2.1573135977112483</v>
      </c>
      <c r="AZ165" s="56">
        <f t="shared" si="139"/>
        <v>3</v>
      </c>
      <c r="BB165" s="18">
        <f t="shared" si="140"/>
        <v>3.0147018413666866</v>
      </c>
      <c r="BC165" s="18">
        <f t="shared" si="140"/>
        <v>3.3262505902756683</v>
      </c>
      <c r="BD165" s="18">
        <f t="shared" si="140"/>
        <v>0.32722697420683483</v>
      </c>
      <c r="BE165" s="18">
        <f t="shared" si="140"/>
        <v>2.1573135977112483</v>
      </c>
      <c r="BF165" s="56">
        <f t="shared" si="141"/>
        <v>3</v>
      </c>
      <c r="BH165" s="18">
        <f t="shared" si="142"/>
        <v>3.0147018413666866</v>
      </c>
      <c r="BI165" s="18">
        <f t="shared" si="142"/>
        <v>3.3262505902756683</v>
      </c>
      <c r="BJ165" s="18">
        <f t="shared" si="142"/>
        <v>0.32722697420683483</v>
      </c>
      <c r="BK165" s="18">
        <f t="shared" si="142"/>
        <v>2.1573135977112483</v>
      </c>
      <c r="BL165" s="56">
        <f t="shared" si="143"/>
        <v>3</v>
      </c>
      <c r="BN165" s="18">
        <f t="shared" si="144"/>
        <v>3.0147018413666866</v>
      </c>
      <c r="BO165" s="18">
        <f t="shared" si="144"/>
        <v>3.3262505902756683</v>
      </c>
      <c r="BP165" s="18">
        <f t="shared" si="144"/>
        <v>0.32722697420683483</v>
      </c>
      <c r="BQ165" s="18">
        <f t="shared" si="144"/>
        <v>2.1573135977112483</v>
      </c>
      <c r="BR165" s="56">
        <f t="shared" si="145"/>
        <v>3</v>
      </c>
      <c r="BT165" s="18">
        <f t="shared" si="146"/>
        <v>3.0147018413666866</v>
      </c>
      <c r="BU165" s="18">
        <f t="shared" si="146"/>
        <v>3.3262505902756683</v>
      </c>
      <c r="BV165" s="18">
        <f t="shared" si="146"/>
        <v>0.32722697420683483</v>
      </c>
      <c r="BW165" s="18">
        <f t="shared" si="146"/>
        <v>2.1573135977112483</v>
      </c>
      <c r="BX165" s="56">
        <f t="shared" si="147"/>
        <v>3</v>
      </c>
      <c r="BZ165" s="18">
        <f t="shared" si="148"/>
        <v>3.0147018413666866</v>
      </c>
      <c r="CA165" s="18">
        <f t="shared" si="148"/>
        <v>3.3262505902756683</v>
      </c>
      <c r="CB165" s="18">
        <f t="shared" si="148"/>
        <v>0.32722697420683483</v>
      </c>
      <c r="CC165" s="18">
        <f t="shared" si="148"/>
        <v>2.1573135977112483</v>
      </c>
      <c r="CD165" s="56">
        <f t="shared" si="149"/>
        <v>3</v>
      </c>
      <c r="CF165" s="18">
        <f t="shared" si="150"/>
        <v>3.0147018413666866</v>
      </c>
      <c r="CG165" s="18">
        <f t="shared" si="150"/>
        <v>3.3262505902756683</v>
      </c>
      <c r="CH165" s="18">
        <f t="shared" si="150"/>
        <v>0.32722697420683483</v>
      </c>
      <c r="CI165" s="18">
        <f t="shared" si="150"/>
        <v>2.1573135977112483</v>
      </c>
      <c r="CJ165" s="56">
        <f t="shared" si="151"/>
        <v>3</v>
      </c>
      <c r="CL165" s="18">
        <f t="shared" si="152"/>
        <v>3.0147018413666866</v>
      </c>
      <c r="CM165" s="18">
        <f t="shared" si="152"/>
        <v>3.3262505902756683</v>
      </c>
      <c r="CN165" s="18">
        <f t="shared" si="152"/>
        <v>0.32722697420683483</v>
      </c>
      <c r="CO165" s="18">
        <f t="shared" si="152"/>
        <v>2.1573135977112483</v>
      </c>
      <c r="CP165" s="56">
        <f t="shared" si="153"/>
        <v>3</v>
      </c>
    </row>
    <row r="166" spans="1:94" x14ac:dyDescent="0.25">
      <c r="A166" s="36" t="str">
        <f>KMeans_Data!A25</f>
        <v>Dera Ghazi Khan</v>
      </c>
      <c r="B166" s="18">
        <f>KMeans_Data!H25</f>
        <v>0.78983637463992185</v>
      </c>
      <c r="C166" s="18">
        <f>KMeans_Data!I25</f>
        <v>0.80308444953571578</v>
      </c>
      <c r="D166" s="18">
        <f>KMeans_Data!J25</f>
        <v>1.2683843951613223</v>
      </c>
      <c r="E166" s="56">
        <f t="shared" si="128"/>
        <v>3</v>
      </c>
      <c r="F166" s="38">
        <f t="shared" si="129"/>
        <v>0.21946303085205943</v>
      </c>
      <c r="G166" s="18">
        <f>IF(COUNTIF(Distance_Matrix!$E$10:$DQ$10,$E166)&lt;=1,0,SUMIF(Distance_Matrix!$E$10:$DQ$10,$E166,Distance_Matrix!$E$34:$DQ$34)/(COUNTIF(Distance_Matrix!$E$10:$DQ$10,$E166)-1))</f>
        <v>0.86740094031473758</v>
      </c>
      <c r="H166" s="18">
        <f>MIN(IF(1=$E166,1E+99,IF(COUNTIF(Distance_Matrix!$E$10:$DQ$10,1)=0,1E+99,SUMIF(Distance_Matrix!$E$10:$DQ$10,1,Distance_Matrix!$E$34:$DQ$34)/COUNTIF(Distance_Matrix!$E$10:$DQ$10,1))),IF(2=$E166,1E+99,IF(COUNTIF(Distance_Matrix!$E$10:$DQ$10,2)=0,1E+99,SUMIF(Distance_Matrix!$E$10:$DQ$10,2,Distance_Matrix!$E$34:$DQ$34)/COUNTIF(Distance_Matrix!$E$10:$DQ$10,2))),IF(3=$E166,1E+99,IF(COUNTIF(Distance_Matrix!$E$10:$DQ$10,3)=0,1E+99,SUMIF(Distance_Matrix!$E$10:$DQ$10,3,Distance_Matrix!$E$34:$DQ$34)/COUNTIF(Distance_Matrix!$E$10:$DQ$10,3))),IF(4=$E166,1E+99,IF(COUNTIF(Distance_Matrix!$E$10:$DQ$10,4)=0,1E+99,SUMIF(Distance_Matrix!$E$10:$DQ$10,4,Distance_Matrix!$E$34:$DQ$34)/COUNTIF(Distance_Matrix!$E$10:$DQ$10,4))))</f>
        <v>2.38434235791423</v>
      </c>
      <c r="I166" s="18">
        <f>IF(COUNTIF(Distance_Matrix!$E$10:$DQ$10,$E166)&lt;=1,0,(H166-G166)/MAX(G166,H166))</f>
        <v>0.63620956636717185</v>
      </c>
      <c r="X166" s="18">
        <f t="shared" ref="X166:AA185" si="154">SQRT(($B166-X$139)^2+($C166-X$140)^2+($D166-X$141)^2)</f>
        <v>4.5365573847970895</v>
      </c>
      <c r="Y166" s="18">
        <f t="shared" si="154"/>
        <v>4.0298615877856374</v>
      </c>
      <c r="Z166" s="18">
        <f t="shared" si="154"/>
        <v>0.53121011056296075</v>
      </c>
      <c r="AA166" s="18">
        <f t="shared" si="154"/>
        <v>2.5982580951744239</v>
      </c>
      <c r="AB166" s="56">
        <f t="shared" si="131"/>
        <v>3</v>
      </c>
      <c r="AD166" s="18">
        <f t="shared" ref="AD166:AG185" si="155">SQRT(($B166-AD$139)^2+($C166-AD$140)^2+($D166-AD$141)^2)</f>
        <v>3.5919090798707973</v>
      </c>
      <c r="AE166" s="18">
        <f t="shared" si="155"/>
        <v>3.3321074013654659</v>
      </c>
      <c r="AF166" s="18">
        <f t="shared" si="155"/>
        <v>0.48526493049010466</v>
      </c>
      <c r="AG166" s="18">
        <f t="shared" si="155"/>
        <v>2.3606587481345032</v>
      </c>
      <c r="AH166" s="56">
        <f t="shared" si="133"/>
        <v>3</v>
      </c>
      <c r="AJ166" s="18">
        <f t="shared" ref="AJ166:AM185" si="156">SQRT(($B166-AJ$139)^2+($C166-AJ$140)^2+($D166-AJ$141)^2)</f>
        <v>3.2494143394413277</v>
      </c>
      <c r="AK166" s="18">
        <f t="shared" si="156"/>
        <v>3.3603765390917211</v>
      </c>
      <c r="AL166" s="18">
        <f t="shared" si="156"/>
        <v>0.43236138761554438</v>
      </c>
      <c r="AM166" s="18">
        <f t="shared" si="156"/>
        <v>2.2755907619411992</v>
      </c>
      <c r="AN166" s="56">
        <f t="shared" si="135"/>
        <v>3</v>
      </c>
      <c r="AP166" s="18">
        <f t="shared" ref="AP166:AS185" si="157">SQRT(($B166-AP$139)^2+($C166-AP$140)^2+($D166-AP$141)^2)</f>
        <v>2.9639467032200315</v>
      </c>
      <c r="AQ166" s="18">
        <f t="shared" si="157"/>
        <v>3.446486588329865</v>
      </c>
      <c r="AR166" s="18">
        <f t="shared" si="157"/>
        <v>0.46846881523966932</v>
      </c>
      <c r="AS166" s="18">
        <f t="shared" si="157"/>
        <v>2.2942992116937369</v>
      </c>
      <c r="AT166" s="56">
        <f t="shared" si="137"/>
        <v>3</v>
      </c>
      <c r="AV166" s="18">
        <f t="shared" ref="AV166:AY185" si="158">SQRT(($B166-AV$139)^2+($C166-AV$140)^2+($D166-AV$141)^2)</f>
        <v>2.9639467032200315</v>
      </c>
      <c r="AW166" s="18">
        <f t="shared" si="158"/>
        <v>3.446486588329865</v>
      </c>
      <c r="AX166" s="18">
        <f t="shared" si="158"/>
        <v>0.46846881523966932</v>
      </c>
      <c r="AY166" s="18">
        <f t="shared" si="158"/>
        <v>2.2942992116937369</v>
      </c>
      <c r="AZ166" s="56">
        <f t="shared" si="139"/>
        <v>3</v>
      </c>
      <c r="BB166" s="18">
        <f t="shared" ref="BB166:BE185" si="159">SQRT(($B166-BB$139)^2+($C166-BB$140)^2+($D166-BB$141)^2)</f>
        <v>2.9639467032200315</v>
      </c>
      <c r="BC166" s="18">
        <f t="shared" si="159"/>
        <v>3.446486588329865</v>
      </c>
      <c r="BD166" s="18">
        <f t="shared" si="159"/>
        <v>0.46846881523966932</v>
      </c>
      <c r="BE166" s="18">
        <f t="shared" si="159"/>
        <v>2.2942992116937369</v>
      </c>
      <c r="BF166" s="56">
        <f t="shared" si="141"/>
        <v>3</v>
      </c>
      <c r="BH166" s="18">
        <f t="shared" ref="BH166:BK185" si="160">SQRT(($B166-BH$139)^2+($C166-BH$140)^2+($D166-BH$141)^2)</f>
        <v>2.9639467032200315</v>
      </c>
      <c r="BI166" s="18">
        <f t="shared" si="160"/>
        <v>3.446486588329865</v>
      </c>
      <c r="BJ166" s="18">
        <f t="shared" si="160"/>
        <v>0.46846881523966932</v>
      </c>
      <c r="BK166" s="18">
        <f t="shared" si="160"/>
        <v>2.2942992116937369</v>
      </c>
      <c r="BL166" s="56">
        <f t="shared" si="143"/>
        <v>3</v>
      </c>
      <c r="BN166" s="18">
        <f t="shared" ref="BN166:BQ185" si="161">SQRT(($B166-BN$139)^2+($C166-BN$140)^2+($D166-BN$141)^2)</f>
        <v>2.9639467032200315</v>
      </c>
      <c r="BO166" s="18">
        <f t="shared" si="161"/>
        <v>3.446486588329865</v>
      </c>
      <c r="BP166" s="18">
        <f t="shared" si="161"/>
        <v>0.46846881523966932</v>
      </c>
      <c r="BQ166" s="18">
        <f t="shared" si="161"/>
        <v>2.2942992116937369</v>
      </c>
      <c r="BR166" s="56">
        <f t="shared" si="145"/>
        <v>3</v>
      </c>
      <c r="BT166" s="18">
        <f t="shared" ref="BT166:BW185" si="162">SQRT(($B166-BT$139)^2+($C166-BT$140)^2+($D166-BT$141)^2)</f>
        <v>2.9639467032200315</v>
      </c>
      <c r="BU166" s="18">
        <f t="shared" si="162"/>
        <v>3.446486588329865</v>
      </c>
      <c r="BV166" s="18">
        <f t="shared" si="162"/>
        <v>0.46846881523966932</v>
      </c>
      <c r="BW166" s="18">
        <f t="shared" si="162"/>
        <v>2.2942992116937369</v>
      </c>
      <c r="BX166" s="56">
        <f t="shared" si="147"/>
        <v>3</v>
      </c>
      <c r="BZ166" s="18">
        <f t="shared" ref="BZ166:CC185" si="163">SQRT(($B166-BZ$139)^2+($C166-BZ$140)^2+($D166-BZ$141)^2)</f>
        <v>2.9639467032200315</v>
      </c>
      <c r="CA166" s="18">
        <f t="shared" si="163"/>
        <v>3.446486588329865</v>
      </c>
      <c r="CB166" s="18">
        <f t="shared" si="163"/>
        <v>0.46846881523966932</v>
      </c>
      <c r="CC166" s="18">
        <f t="shared" si="163"/>
        <v>2.2942992116937369</v>
      </c>
      <c r="CD166" s="56">
        <f t="shared" si="149"/>
        <v>3</v>
      </c>
      <c r="CF166" s="18">
        <f t="shared" ref="CF166:CI185" si="164">SQRT(($B166-CF$139)^2+($C166-CF$140)^2+($D166-CF$141)^2)</f>
        <v>2.9639467032200315</v>
      </c>
      <c r="CG166" s="18">
        <f t="shared" si="164"/>
        <v>3.446486588329865</v>
      </c>
      <c r="CH166" s="18">
        <f t="shared" si="164"/>
        <v>0.46846881523966932</v>
      </c>
      <c r="CI166" s="18">
        <f t="shared" si="164"/>
        <v>2.2942992116937369</v>
      </c>
      <c r="CJ166" s="56">
        <f t="shared" si="151"/>
        <v>3</v>
      </c>
      <c r="CL166" s="18">
        <f t="shared" ref="CL166:CO185" si="165">SQRT(($B166-CL$139)^2+($C166-CL$140)^2+($D166-CL$141)^2)</f>
        <v>2.9639467032200315</v>
      </c>
      <c r="CM166" s="18">
        <f t="shared" si="165"/>
        <v>3.446486588329865</v>
      </c>
      <c r="CN166" s="18">
        <f t="shared" si="165"/>
        <v>0.46846881523966932</v>
      </c>
      <c r="CO166" s="18">
        <f t="shared" si="165"/>
        <v>2.2942992116937369</v>
      </c>
      <c r="CP166" s="56">
        <f t="shared" si="153"/>
        <v>3</v>
      </c>
    </row>
    <row r="167" spans="1:94" x14ac:dyDescent="0.25">
      <c r="A167" s="36" t="str">
        <f>KMeans_Data!A26</f>
        <v>Charsadda</v>
      </c>
      <c r="B167" s="18">
        <f>KMeans_Data!H26</f>
        <v>0.78562201948780019</v>
      </c>
      <c r="C167" s="18">
        <f>KMeans_Data!I26</f>
        <v>0.80308444953571578</v>
      </c>
      <c r="D167" s="18">
        <f>KMeans_Data!J26</f>
        <v>0.61832866607444492</v>
      </c>
      <c r="E167" s="56">
        <f t="shared" si="128"/>
        <v>3</v>
      </c>
      <c r="F167" s="38">
        <f t="shared" si="129"/>
        <v>0.12103350348612227</v>
      </c>
      <c r="G167" s="18">
        <f>IF(COUNTIF(Distance_Matrix!$E$10:$DQ$10,$E167)&lt;=1,0,SUMIF(Distance_Matrix!$E$10:$DQ$10,$E167,Distance_Matrix!$E$35:$DQ$35)/(COUNTIF(Distance_Matrix!$E$10:$DQ$10,$E167)-1))</f>
        <v>0.82423227020773526</v>
      </c>
      <c r="H167" s="18">
        <f>MIN(IF(1=$E167,1E+99,IF(COUNTIF(Distance_Matrix!$E$10:$DQ$10,1)=0,1E+99,SUMIF(Distance_Matrix!$E$10:$DQ$10,1,Distance_Matrix!$E$35:$DQ$35)/COUNTIF(Distance_Matrix!$E$10:$DQ$10,1))),IF(2=$E167,1E+99,IF(COUNTIF(Distance_Matrix!$E$10:$DQ$10,2)=0,1E+99,SUMIF(Distance_Matrix!$E$10:$DQ$10,2,Distance_Matrix!$E$35:$DQ$35)/COUNTIF(Distance_Matrix!$E$10:$DQ$10,2))),IF(3=$E167,1E+99,IF(COUNTIF(Distance_Matrix!$E$10:$DQ$10,3)=0,1E+99,SUMIF(Distance_Matrix!$E$10:$DQ$10,3,Distance_Matrix!$E$35:$DQ$35)/COUNTIF(Distance_Matrix!$E$10:$DQ$10,3))),IF(4=$E167,1E+99,IF(COUNTIF(Distance_Matrix!$E$10:$DQ$10,4)=0,1E+99,SUMIF(Distance_Matrix!$E$10:$DQ$10,4,Distance_Matrix!$E$35:$DQ$35)/COUNTIF(Distance_Matrix!$E$10:$DQ$10,4))))</f>
        <v>2.0015575042084111</v>
      </c>
      <c r="I167" s="18">
        <f>IF(COUNTIF(Distance_Matrix!$E$10:$DQ$10,$E167)&lt;=1,0,(H167-G167)/MAX(G167,H167))</f>
        <v>0.58820455146817885</v>
      </c>
      <c r="X167" s="18">
        <f t="shared" si="154"/>
        <v>4.8583672348654217</v>
      </c>
      <c r="Y167" s="18">
        <f t="shared" si="154"/>
        <v>3.6741912973222601</v>
      </c>
      <c r="Z167" s="18">
        <f t="shared" si="154"/>
        <v>0.98463665293581015</v>
      </c>
      <c r="AA167" s="18">
        <f t="shared" si="154"/>
        <v>2.0084357350604547</v>
      </c>
      <c r="AB167" s="56">
        <f t="shared" si="131"/>
        <v>3</v>
      </c>
      <c r="AD167" s="18">
        <f t="shared" si="155"/>
        <v>3.8632811208151683</v>
      </c>
      <c r="AE167" s="18">
        <f t="shared" si="155"/>
        <v>2.939980229422789</v>
      </c>
      <c r="AF167" s="18">
        <f t="shared" si="155"/>
        <v>0.38886020278184247</v>
      </c>
      <c r="AG167" s="18">
        <f t="shared" si="155"/>
        <v>1.9159481051352836</v>
      </c>
      <c r="AH167" s="56">
        <f t="shared" si="133"/>
        <v>3</v>
      </c>
      <c r="AJ167" s="18">
        <f t="shared" si="156"/>
        <v>3.5178641517231708</v>
      </c>
      <c r="AK167" s="18">
        <f t="shared" si="156"/>
        <v>2.9609527025126186</v>
      </c>
      <c r="AL167" s="18">
        <f t="shared" si="156"/>
        <v>0.32918558111334645</v>
      </c>
      <c r="AM167" s="18">
        <f t="shared" si="156"/>
        <v>1.8564111789296043</v>
      </c>
      <c r="AN167" s="56">
        <f t="shared" si="135"/>
        <v>3</v>
      </c>
      <c r="AP167" s="18">
        <f t="shared" si="157"/>
        <v>3.2261784309673285</v>
      </c>
      <c r="AQ167" s="18">
        <f t="shared" si="157"/>
        <v>3.0394431425762933</v>
      </c>
      <c r="AR167" s="18">
        <f t="shared" si="157"/>
        <v>0.34789869716071409</v>
      </c>
      <c r="AS167" s="18">
        <f t="shared" si="157"/>
        <v>1.8820135066490513</v>
      </c>
      <c r="AT167" s="56">
        <f t="shared" si="137"/>
        <v>3</v>
      </c>
      <c r="AV167" s="18">
        <f t="shared" si="158"/>
        <v>3.2261784309673285</v>
      </c>
      <c r="AW167" s="18">
        <f t="shared" si="158"/>
        <v>3.0394431425762933</v>
      </c>
      <c r="AX167" s="18">
        <f t="shared" si="158"/>
        <v>0.34789869716071409</v>
      </c>
      <c r="AY167" s="18">
        <f t="shared" si="158"/>
        <v>1.8820135066490513</v>
      </c>
      <c r="AZ167" s="56">
        <f t="shared" si="139"/>
        <v>3</v>
      </c>
      <c r="BB167" s="18">
        <f t="shared" si="159"/>
        <v>3.2261784309673285</v>
      </c>
      <c r="BC167" s="18">
        <f t="shared" si="159"/>
        <v>3.0394431425762933</v>
      </c>
      <c r="BD167" s="18">
        <f t="shared" si="159"/>
        <v>0.34789869716071409</v>
      </c>
      <c r="BE167" s="18">
        <f t="shared" si="159"/>
        <v>1.8820135066490513</v>
      </c>
      <c r="BF167" s="56">
        <f t="shared" si="141"/>
        <v>3</v>
      </c>
      <c r="BH167" s="18">
        <f t="shared" si="160"/>
        <v>3.2261784309673285</v>
      </c>
      <c r="BI167" s="18">
        <f t="shared" si="160"/>
        <v>3.0394431425762933</v>
      </c>
      <c r="BJ167" s="18">
        <f t="shared" si="160"/>
        <v>0.34789869716071409</v>
      </c>
      <c r="BK167" s="18">
        <f t="shared" si="160"/>
        <v>1.8820135066490513</v>
      </c>
      <c r="BL167" s="56">
        <f t="shared" si="143"/>
        <v>3</v>
      </c>
      <c r="BN167" s="18">
        <f t="shared" si="161"/>
        <v>3.2261784309673285</v>
      </c>
      <c r="BO167" s="18">
        <f t="shared" si="161"/>
        <v>3.0394431425762933</v>
      </c>
      <c r="BP167" s="18">
        <f t="shared" si="161"/>
        <v>0.34789869716071409</v>
      </c>
      <c r="BQ167" s="18">
        <f t="shared" si="161"/>
        <v>1.8820135066490513</v>
      </c>
      <c r="BR167" s="56">
        <f t="shared" si="145"/>
        <v>3</v>
      </c>
      <c r="BT167" s="18">
        <f t="shared" si="162"/>
        <v>3.2261784309673285</v>
      </c>
      <c r="BU167" s="18">
        <f t="shared" si="162"/>
        <v>3.0394431425762933</v>
      </c>
      <c r="BV167" s="18">
        <f t="shared" si="162"/>
        <v>0.34789869716071409</v>
      </c>
      <c r="BW167" s="18">
        <f t="shared" si="162"/>
        <v>1.8820135066490513</v>
      </c>
      <c r="BX167" s="56">
        <f t="shared" si="147"/>
        <v>3</v>
      </c>
      <c r="BZ167" s="18">
        <f t="shared" si="163"/>
        <v>3.2261784309673285</v>
      </c>
      <c r="CA167" s="18">
        <f t="shared" si="163"/>
        <v>3.0394431425762933</v>
      </c>
      <c r="CB167" s="18">
        <f t="shared" si="163"/>
        <v>0.34789869716071409</v>
      </c>
      <c r="CC167" s="18">
        <f t="shared" si="163"/>
        <v>1.8820135066490513</v>
      </c>
      <c r="CD167" s="56">
        <f t="shared" si="149"/>
        <v>3</v>
      </c>
      <c r="CF167" s="18">
        <f t="shared" si="164"/>
        <v>3.2261784309673285</v>
      </c>
      <c r="CG167" s="18">
        <f t="shared" si="164"/>
        <v>3.0394431425762933</v>
      </c>
      <c r="CH167" s="18">
        <f t="shared" si="164"/>
        <v>0.34789869716071409</v>
      </c>
      <c r="CI167" s="18">
        <f t="shared" si="164"/>
        <v>1.8820135066490513</v>
      </c>
      <c r="CJ167" s="56">
        <f t="shared" si="151"/>
        <v>3</v>
      </c>
      <c r="CL167" s="18">
        <f t="shared" si="165"/>
        <v>3.2261784309673285</v>
      </c>
      <c r="CM167" s="18">
        <f t="shared" si="165"/>
        <v>3.0394431425762933</v>
      </c>
      <c r="CN167" s="18">
        <f t="shared" si="165"/>
        <v>0.34789869716071409</v>
      </c>
      <c r="CO167" s="18">
        <f t="shared" si="165"/>
        <v>1.8820135066490513</v>
      </c>
      <c r="CP167" s="56">
        <f t="shared" si="153"/>
        <v>3</v>
      </c>
    </row>
    <row r="168" spans="1:94" x14ac:dyDescent="0.25">
      <c r="A168" s="36" t="str">
        <f>KMeans_Data!A27</f>
        <v>Dir Upper</v>
      </c>
      <c r="B168" s="18">
        <f>KMeans_Data!H27</f>
        <v>0.78350197575168823</v>
      </c>
      <c r="C168" s="18">
        <f>KMeans_Data!I27</f>
        <v>0.16051258962499582</v>
      </c>
      <c r="D168" s="18">
        <f>KMeans_Data!J27</f>
        <v>0.95967737195633995</v>
      </c>
      <c r="E168" s="56">
        <f t="shared" si="128"/>
        <v>3</v>
      </c>
      <c r="F168" s="38">
        <f t="shared" si="129"/>
        <v>0.24008458316250889</v>
      </c>
      <c r="G168" s="18">
        <f>IF(COUNTIF(Distance_Matrix!$E$10:$DQ$10,$E168)&lt;=1,0,SUMIF(Distance_Matrix!$E$10:$DQ$10,$E168,Distance_Matrix!$E$36:$DQ$36)/(COUNTIF(Distance_Matrix!$E$10:$DQ$10,$E168)-1))</f>
        <v>0.89217052222231252</v>
      </c>
      <c r="H168" s="18">
        <f>MIN(IF(1=$E168,1E+99,IF(COUNTIF(Distance_Matrix!$E$10:$DQ$10,1)=0,1E+99,SUMIF(Distance_Matrix!$E$10:$DQ$10,1,Distance_Matrix!$E$36:$DQ$36)/COUNTIF(Distance_Matrix!$E$10:$DQ$10,1))),IF(2=$E168,1E+99,IF(COUNTIF(Distance_Matrix!$E$10:$DQ$10,2)=0,1E+99,SUMIF(Distance_Matrix!$E$10:$DQ$10,2,Distance_Matrix!$E$36:$DQ$36)/COUNTIF(Distance_Matrix!$E$10:$DQ$10,2))),IF(3=$E168,1E+99,IF(COUNTIF(Distance_Matrix!$E$10:$DQ$10,3)=0,1E+99,SUMIF(Distance_Matrix!$E$10:$DQ$10,3,Distance_Matrix!$E$36:$DQ$36)/COUNTIF(Distance_Matrix!$E$10:$DQ$10,3))),IF(4=$E168,1E+99,IF(COUNTIF(Distance_Matrix!$E$10:$DQ$10,4)=0,1E+99,SUMIF(Distance_Matrix!$E$10:$DQ$10,4,Distance_Matrix!$E$36:$DQ$36)/COUNTIF(Distance_Matrix!$E$10:$DQ$10,4))))</f>
        <v>1.8687896125084973</v>
      </c>
      <c r="I168" s="18">
        <f>IF(COUNTIF(Distance_Matrix!$E$10:$DQ$10,$E168)&lt;=1,0,(H168-G168)/MAX(G168,H168))</f>
        <v>0.52259445565692009</v>
      </c>
      <c r="X168" s="18">
        <f t="shared" si="154"/>
        <v>5.1481691193932422</v>
      </c>
      <c r="Y168" s="18">
        <f t="shared" si="154"/>
        <v>3.6502989512011172</v>
      </c>
      <c r="Z168" s="18">
        <f t="shared" si="154"/>
        <v>0.61063359087127045</v>
      </c>
      <c r="AA168" s="18">
        <f t="shared" si="154"/>
        <v>2.1321184299774374</v>
      </c>
      <c r="AB168" s="56">
        <f t="shared" si="131"/>
        <v>3</v>
      </c>
      <c r="AD168" s="18">
        <f t="shared" si="155"/>
        <v>4.20358492681257</v>
      </c>
      <c r="AE168" s="18">
        <f t="shared" si="155"/>
        <v>2.8900710214749368</v>
      </c>
      <c r="AF168" s="18">
        <f t="shared" si="155"/>
        <v>0.45890061166964957</v>
      </c>
      <c r="AG168" s="18">
        <f t="shared" si="155"/>
        <v>1.8190660246893711</v>
      </c>
      <c r="AH168" s="56">
        <f t="shared" si="133"/>
        <v>3</v>
      </c>
      <c r="AJ168" s="18">
        <f t="shared" si="156"/>
        <v>3.8543367655866025</v>
      </c>
      <c r="AK168" s="18">
        <f t="shared" si="156"/>
        <v>2.9173109200948506</v>
      </c>
      <c r="AL168" s="18">
        <f t="shared" si="156"/>
        <v>0.52130330694988081</v>
      </c>
      <c r="AM168" s="18">
        <f t="shared" si="156"/>
        <v>1.7275782133865747</v>
      </c>
      <c r="AN168" s="56">
        <f t="shared" si="135"/>
        <v>3</v>
      </c>
      <c r="AP168" s="18">
        <f t="shared" si="157"/>
        <v>3.5743569091606004</v>
      </c>
      <c r="AQ168" s="18">
        <f t="shared" si="157"/>
        <v>3.0074324856844696</v>
      </c>
      <c r="AR168" s="18">
        <f t="shared" si="157"/>
        <v>0.48998426828063457</v>
      </c>
      <c r="AS168" s="18">
        <f t="shared" si="157"/>
        <v>1.7494778359365217</v>
      </c>
      <c r="AT168" s="56">
        <f t="shared" si="137"/>
        <v>3</v>
      </c>
      <c r="AV168" s="18">
        <f t="shared" si="158"/>
        <v>3.5743569091606004</v>
      </c>
      <c r="AW168" s="18">
        <f t="shared" si="158"/>
        <v>3.0074324856844696</v>
      </c>
      <c r="AX168" s="18">
        <f t="shared" si="158"/>
        <v>0.48998426828063457</v>
      </c>
      <c r="AY168" s="18">
        <f t="shared" si="158"/>
        <v>1.7494778359365217</v>
      </c>
      <c r="AZ168" s="56">
        <f t="shared" si="139"/>
        <v>3</v>
      </c>
      <c r="BB168" s="18">
        <f t="shared" si="159"/>
        <v>3.5743569091606004</v>
      </c>
      <c r="BC168" s="18">
        <f t="shared" si="159"/>
        <v>3.0074324856844696</v>
      </c>
      <c r="BD168" s="18">
        <f t="shared" si="159"/>
        <v>0.48998426828063457</v>
      </c>
      <c r="BE168" s="18">
        <f t="shared" si="159"/>
        <v>1.7494778359365217</v>
      </c>
      <c r="BF168" s="56">
        <f t="shared" si="141"/>
        <v>3</v>
      </c>
      <c r="BH168" s="18">
        <f t="shared" si="160"/>
        <v>3.5743569091606004</v>
      </c>
      <c r="BI168" s="18">
        <f t="shared" si="160"/>
        <v>3.0074324856844696</v>
      </c>
      <c r="BJ168" s="18">
        <f t="shared" si="160"/>
        <v>0.48998426828063457</v>
      </c>
      <c r="BK168" s="18">
        <f t="shared" si="160"/>
        <v>1.7494778359365217</v>
      </c>
      <c r="BL168" s="56">
        <f t="shared" si="143"/>
        <v>3</v>
      </c>
      <c r="BN168" s="18">
        <f t="shared" si="161"/>
        <v>3.5743569091606004</v>
      </c>
      <c r="BO168" s="18">
        <f t="shared" si="161"/>
        <v>3.0074324856844696</v>
      </c>
      <c r="BP168" s="18">
        <f t="shared" si="161"/>
        <v>0.48998426828063457</v>
      </c>
      <c r="BQ168" s="18">
        <f t="shared" si="161"/>
        <v>1.7494778359365217</v>
      </c>
      <c r="BR168" s="56">
        <f t="shared" si="145"/>
        <v>3</v>
      </c>
      <c r="BT168" s="18">
        <f t="shared" si="162"/>
        <v>3.5743569091606004</v>
      </c>
      <c r="BU168" s="18">
        <f t="shared" si="162"/>
        <v>3.0074324856844696</v>
      </c>
      <c r="BV168" s="18">
        <f t="shared" si="162"/>
        <v>0.48998426828063457</v>
      </c>
      <c r="BW168" s="18">
        <f t="shared" si="162"/>
        <v>1.7494778359365217</v>
      </c>
      <c r="BX168" s="56">
        <f t="shared" si="147"/>
        <v>3</v>
      </c>
      <c r="BZ168" s="18">
        <f t="shared" si="163"/>
        <v>3.5743569091606004</v>
      </c>
      <c r="CA168" s="18">
        <f t="shared" si="163"/>
        <v>3.0074324856844696</v>
      </c>
      <c r="CB168" s="18">
        <f t="shared" si="163"/>
        <v>0.48998426828063457</v>
      </c>
      <c r="CC168" s="18">
        <f t="shared" si="163"/>
        <v>1.7494778359365217</v>
      </c>
      <c r="CD168" s="56">
        <f t="shared" si="149"/>
        <v>3</v>
      </c>
      <c r="CF168" s="18">
        <f t="shared" si="164"/>
        <v>3.5743569091606004</v>
      </c>
      <c r="CG168" s="18">
        <f t="shared" si="164"/>
        <v>3.0074324856844696</v>
      </c>
      <c r="CH168" s="18">
        <f t="shared" si="164"/>
        <v>0.48998426828063457</v>
      </c>
      <c r="CI168" s="18">
        <f t="shared" si="164"/>
        <v>1.7494778359365217</v>
      </c>
      <c r="CJ168" s="56">
        <f t="shared" si="151"/>
        <v>3</v>
      </c>
      <c r="CL168" s="18">
        <f t="shared" si="165"/>
        <v>3.5743569091606004</v>
      </c>
      <c r="CM168" s="18">
        <f t="shared" si="165"/>
        <v>3.0074324856844696</v>
      </c>
      <c r="CN168" s="18">
        <f t="shared" si="165"/>
        <v>0.48998426828063457</v>
      </c>
      <c r="CO168" s="18">
        <f t="shared" si="165"/>
        <v>1.7494778359365217</v>
      </c>
      <c r="CP168" s="56">
        <f t="shared" si="153"/>
        <v>3</v>
      </c>
    </row>
    <row r="169" spans="1:94" x14ac:dyDescent="0.25">
      <c r="A169" s="36" t="str">
        <f>KMeans_Data!A28</f>
        <v>Khyber</v>
      </c>
      <c r="B169" s="18">
        <f>KMeans_Data!H28</f>
        <v>0.78350197575168823</v>
      </c>
      <c r="C169" s="18">
        <f>KMeans_Data!I28</f>
        <v>0.54791138584450239</v>
      </c>
      <c r="D169" s="18">
        <f>KMeans_Data!J28</f>
        <v>0.66715177094920652</v>
      </c>
      <c r="E169" s="56">
        <f t="shared" si="128"/>
        <v>3</v>
      </c>
      <c r="F169" s="38">
        <f t="shared" si="129"/>
        <v>6.8600275092214974E-2</v>
      </c>
      <c r="G169" s="18">
        <f>IF(COUNTIF(Distance_Matrix!$E$10:$DQ$10,$E169)&lt;=1,0,SUMIF(Distance_Matrix!$E$10:$DQ$10,$E169,Distance_Matrix!$E$37:$DQ$37)/(COUNTIF(Distance_Matrix!$E$10:$DQ$10,$E169)-1))</f>
        <v>0.80215850397642841</v>
      </c>
      <c r="H169" s="18">
        <f>MIN(IF(1=$E169,1E+99,IF(COUNTIF(Distance_Matrix!$E$10:$DQ$10,1)=0,1E+99,SUMIF(Distance_Matrix!$E$10:$DQ$10,1,Distance_Matrix!$E$37:$DQ$37)/COUNTIF(Distance_Matrix!$E$10:$DQ$10,1))),IF(2=$E169,1E+99,IF(COUNTIF(Distance_Matrix!$E$10:$DQ$10,2)=0,1E+99,SUMIF(Distance_Matrix!$E$10:$DQ$10,2,Distance_Matrix!$E$37:$DQ$37)/COUNTIF(Distance_Matrix!$E$10:$DQ$10,2))),IF(3=$E169,1E+99,IF(COUNTIF(Distance_Matrix!$E$10:$DQ$10,3)=0,1E+99,SUMIF(Distance_Matrix!$E$10:$DQ$10,3,Distance_Matrix!$E$37:$DQ$37)/COUNTIF(Distance_Matrix!$E$10:$DQ$10,3))),IF(4=$E169,1E+99,IF(COUNTIF(Distance_Matrix!$E$10:$DQ$10,4)=0,1E+99,SUMIF(Distance_Matrix!$E$10:$DQ$10,4,Distance_Matrix!$E$37:$DQ$37)/COUNTIF(Distance_Matrix!$E$10:$DQ$10,4))))</f>
        <v>1.8683645240552569</v>
      </c>
      <c r="I169" s="18">
        <f>IF(COUNTIF(Distance_Matrix!$E$10:$DQ$10,$E169)&lt;=1,0,(H169-G169)/MAX(G169,H169))</f>
        <v>0.57066274078285573</v>
      </c>
      <c r="X169" s="18">
        <f t="shared" si="154"/>
        <v>5.0075852088878463</v>
      </c>
      <c r="Y169" s="18">
        <f t="shared" si="154"/>
        <v>3.6019638270620704</v>
      </c>
      <c r="Z169" s="18">
        <f t="shared" si="154"/>
        <v>0.85923520666610143</v>
      </c>
      <c r="AA169" s="18">
        <f t="shared" si="154"/>
        <v>1.9463052517401351</v>
      </c>
      <c r="AB169" s="56">
        <f t="shared" si="131"/>
        <v>3</v>
      </c>
      <c r="AD169" s="18">
        <f t="shared" si="155"/>
        <v>4.0251153799018402</v>
      </c>
      <c r="AE169" s="18">
        <f t="shared" si="155"/>
        <v>2.8479002078493143</v>
      </c>
      <c r="AF169" s="18">
        <f t="shared" si="155"/>
        <v>0.27737583619248379</v>
      </c>
      <c r="AG169" s="18">
        <f t="shared" si="155"/>
        <v>1.7848932350727291</v>
      </c>
      <c r="AH169" s="56">
        <f t="shared" si="133"/>
        <v>3</v>
      </c>
      <c r="AJ169" s="18">
        <f t="shared" si="156"/>
        <v>3.6768411402592016</v>
      </c>
      <c r="AK169" s="18">
        <f t="shared" si="156"/>
        <v>2.8704093406084561</v>
      </c>
      <c r="AL169" s="18">
        <f t="shared" si="156"/>
        <v>0.27608106720818049</v>
      </c>
      <c r="AM169" s="18">
        <f t="shared" si="156"/>
        <v>1.715870909975352</v>
      </c>
      <c r="AN169" s="56">
        <f t="shared" si="135"/>
        <v>3</v>
      </c>
      <c r="AP169" s="18">
        <f t="shared" si="157"/>
        <v>3.3883856800701024</v>
      </c>
      <c r="AQ169" s="18">
        <f t="shared" si="157"/>
        <v>2.9529307731798076</v>
      </c>
      <c r="AR169" s="18">
        <f t="shared" si="157"/>
        <v>0.26191654222712807</v>
      </c>
      <c r="AS169" s="18">
        <f t="shared" si="157"/>
        <v>1.741680521804132</v>
      </c>
      <c r="AT169" s="56">
        <f t="shared" si="137"/>
        <v>3</v>
      </c>
      <c r="AV169" s="18">
        <f t="shared" si="158"/>
        <v>3.3883856800701024</v>
      </c>
      <c r="AW169" s="18">
        <f t="shared" si="158"/>
        <v>2.9529307731798076</v>
      </c>
      <c r="AX169" s="18">
        <f t="shared" si="158"/>
        <v>0.26191654222712807</v>
      </c>
      <c r="AY169" s="18">
        <f t="shared" si="158"/>
        <v>1.741680521804132</v>
      </c>
      <c r="AZ169" s="56">
        <f t="shared" si="139"/>
        <v>3</v>
      </c>
      <c r="BB169" s="18">
        <f t="shared" si="159"/>
        <v>3.3883856800701024</v>
      </c>
      <c r="BC169" s="18">
        <f t="shared" si="159"/>
        <v>2.9529307731798076</v>
      </c>
      <c r="BD169" s="18">
        <f t="shared" si="159"/>
        <v>0.26191654222712807</v>
      </c>
      <c r="BE169" s="18">
        <f t="shared" si="159"/>
        <v>1.741680521804132</v>
      </c>
      <c r="BF169" s="56">
        <f t="shared" si="141"/>
        <v>3</v>
      </c>
      <c r="BH169" s="18">
        <f t="shared" si="160"/>
        <v>3.3883856800701024</v>
      </c>
      <c r="BI169" s="18">
        <f t="shared" si="160"/>
        <v>2.9529307731798076</v>
      </c>
      <c r="BJ169" s="18">
        <f t="shared" si="160"/>
        <v>0.26191654222712807</v>
      </c>
      <c r="BK169" s="18">
        <f t="shared" si="160"/>
        <v>1.741680521804132</v>
      </c>
      <c r="BL169" s="56">
        <f t="shared" si="143"/>
        <v>3</v>
      </c>
      <c r="BN169" s="18">
        <f t="shared" si="161"/>
        <v>3.3883856800701024</v>
      </c>
      <c r="BO169" s="18">
        <f t="shared" si="161"/>
        <v>2.9529307731798076</v>
      </c>
      <c r="BP169" s="18">
        <f t="shared" si="161"/>
        <v>0.26191654222712807</v>
      </c>
      <c r="BQ169" s="18">
        <f t="shared" si="161"/>
        <v>1.741680521804132</v>
      </c>
      <c r="BR169" s="56">
        <f t="shared" si="145"/>
        <v>3</v>
      </c>
      <c r="BT169" s="18">
        <f t="shared" si="162"/>
        <v>3.3883856800701024</v>
      </c>
      <c r="BU169" s="18">
        <f t="shared" si="162"/>
        <v>2.9529307731798076</v>
      </c>
      <c r="BV169" s="18">
        <f t="shared" si="162"/>
        <v>0.26191654222712807</v>
      </c>
      <c r="BW169" s="18">
        <f t="shared" si="162"/>
        <v>1.741680521804132</v>
      </c>
      <c r="BX169" s="56">
        <f t="shared" si="147"/>
        <v>3</v>
      </c>
      <c r="BZ169" s="18">
        <f t="shared" si="163"/>
        <v>3.3883856800701024</v>
      </c>
      <c r="CA169" s="18">
        <f t="shared" si="163"/>
        <v>2.9529307731798076</v>
      </c>
      <c r="CB169" s="18">
        <f t="shared" si="163"/>
        <v>0.26191654222712807</v>
      </c>
      <c r="CC169" s="18">
        <f t="shared" si="163"/>
        <v>1.741680521804132</v>
      </c>
      <c r="CD169" s="56">
        <f t="shared" si="149"/>
        <v>3</v>
      </c>
      <c r="CF169" s="18">
        <f t="shared" si="164"/>
        <v>3.3883856800701024</v>
      </c>
      <c r="CG169" s="18">
        <f t="shared" si="164"/>
        <v>2.9529307731798076</v>
      </c>
      <c r="CH169" s="18">
        <f t="shared" si="164"/>
        <v>0.26191654222712807</v>
      </c>
      <c r="CI169" s="18">
        <f t="shared" si="164"/>
        <v>1.741680521804132</v>
      </c>
      <c r="CJ169" s="56">
        <f t="shared" si="151"/>
        <v>3</v>
      </c>
      <c r="CL169" s="18">
        <f t="shared" si="165"/>
        <v>3.3883856800701024</v>
      </c>
      <c r="CM169" s="18">
        <f t="shared" si="165"/>
        <v>2.9529307731798076</v>
      </c>
      <c r="CN169" s="18">
        <f t="shared" si="165"/>
        <v>0.26191654222712807</v>
      </c>
      <c r="CO169" s="18">
        <f t="shared" si="165"/>
        <v>1.741680521804132</v>
      </c>
      <c r="CP169" s="56">
        <f t="shared" si="153"/>
        <v>3</v>
      </c>
    </row>
    <row r="170" spans="1:94" x14ac:dyDescent="0.25">
      <c r="A170" s="36" t="str">
        <f>KMeans_Data!A29</f>
        <v>Bajaur</v>
      </c>
      <c r="B170" s="18">
        <f>KMeans_Data!H29</f>
        <v>0.76181258672347318</v>
      </c>
      <c r="C170" s="18">
        <f>KMeans_Data!I29</f>
        <v>1.3810745208577742</v>
      </c>
      <c r="D170" s="18">
        <f>KMeans_Data!J29</f>
        <v>0.72786907626120334</v>
      </c>
      <c r="E170" s="56">
        <f t="shared" si="128"/>
        <v>3</v>
      </c>
      <c r="F170" s="38">
        <f t="shared" si="129"/>
        <v>0.62028900185436309</v>
      </c>
      <c r="G170" s="18">
        <f>IF(COUNTIF(Distance_Matrix!$E$10:$DQ$10,$E170)&lt;=1,0,SUMIF(Distance_Matrix!$E$10:$DQ$10,$E170,Distance_Matrix!$E$38:$DQ$38)/(COUNTIF(Distance_Matrix!$E$10:$DQ$10,$E170)-1))</f>
        <v>1.0251057325271342</v>
      </c>
      <c r="H170" s="18">
        <f>MIN(IF(1=$E170,1E+99,IF(COUNTIF(Distance_Matrix!$E$10:$DQ$10,1)=0,1E+99,SUMIF(Distance_Matrix!$E$10:$DQ$10,1,Distance_Matrix!$E$38:$DQ$38)/COUNTIF(Distance_Matrix!$E$10:$DQ$10,1))),IF(2=$E170,1E+99,IF(COUNTIF(Distance_Matrix!$E$10:$DQ$10,2)=0,1E+99,SUMIF(Distance_Matrix!$E$10:$DQ$10,2,Distance_Matrix!$E$38:$DQ$38)/COUNTIF(Distance_Matrix!$E$10:$DQ$10,2))),IF(3=$E170,1E+99,IF(COUNTIF(Distance_Matrix!$E$10:$DQ$10,3)=0,1E+99,SUMIF(Distance_Matrix!$E$10:$DQ$10,3,Distance_Matrix!$E$38:$DQ$38)/COUNTIF(Distance_Matrix!$E$10:$DQ$10,3))),IF(4=$E170,1E+99,IF(COUNTIF(Distance_Matrix!$E$10:$DQ$10,4)=0,1E+99,SUMIF(Distance_Matrix!$E$10:$DQ$10,4,Distance_Matrix!$E$38:$DQ$38)/COUNTIF(Distance_Matrix!$E$10:$DQ$10,4))))</f>
        <v>2.4590733934725697</v>
      </c>
      <c r="I170" s="18">
        <f>IF(COUNTIF(Distance_Matrix!$E$10:$DQ$10,$E170)&lt;=1,0,(H170-G170)/MAX(G170,H170))</f>
        <v>0.58313333174674564</v>
      </c>
      <c r="X170" s="18">
        <f t="shared" si="154"/>
        <v>4.4442382127810589</v>
      </c>
      <c r="Y170" s="18">
        <f t="shared" si="154"/>
        <v>3.9752041411792853</v>
      </c>
      <c r="Z170" s="18">
        <f t="shared" si="154"/>
        <v>1.2775206045773282</v>
      </c>
      <c r="AA170" s="18">
        <f t="shared" si="154"/>
        <v>2.420433901010778</v>
      </c>
      <c r="AB170" s="56">
        <f t="shared" si="131"/>
        <v>3</v>
      </c>
      <c r="AD170" s="18">
        <f t="shared" si="155"/>
        <v>3.438919618437446</v>
      </c>
      <c r="AE170" s="18">
        <f t="shared" si="155"/>
        <v>3.3042679615695514</v>
      </c>
      <c r="AF170" s="18">
        <f t="shared" si="155"/>
        <v>0.83290395322531974</v>
      </c>
      <c r="AG170" s="18">
        <f t="shared" si="155"/>
        <v>2.3914384376447568</v>
      </c>
      <c r="AH170" s="56">
        <f t="shared" si="133"/>
        <v>3</v>
      </c>
      <c r="AJ170" s="18">
        <f t="shared" si="156"/>
        <v>3.1047863660219348</v>
      </c>
      <c r="AK170" s="18">
        <f t="shared" si="156"/>
        <v>3.324665173753111</v>
      </c>
      <c r="AL170" s="18">
        <f t="shared" si="156"/>
        <v>0.74585368539260888</v>
      </c>
      <c r="AM170" s="18">
        <f t="shared" si="156"/>
        <v>2.3397248809014433</v>
      </c>
      <c r="AN170" s="56">
        <f t="shared" si="135"/>
        <v>3</v>
      </c>
      <c r="AP170" s="18">
        <f t="shared" si="157"/>
        <v>2.808323191749901</v>
      </c>
      <c r="AQ170" s="18">
        <f t="shared" si="157"/>
        <v>3.3969005355388333</v>
      </c>
      <c r="AR170" s="18">
        <f t="shared" si="157"/>
        <v>0.78758428238148781</v>
      </c>
      <c r="AS170" s="18">
        <f t="shared" si="157"/>
        <v>2.3618633118376064</v>
      </c>
      <c r="AT170" s="56">
        <f t="shared" si="137"/>
        <v>3</v>
      </c>
      <c r="AV170" s="18">
        <f t="shared" si="158"/>
        <v>2.808323191749901</v>
      </c>
      <c r="AW170" s="18">
        <f t="shared" si="158"/>
        <v>3.3969005355388333</v>
      </c>
      <c r="AX170" s="18">
        <f t="shared" si="158"/>
        <v>0.78758428238148781</v>
      </c>
      <c r="AY170" s="18">
        <f t="shared" si="158"/>
        <v>2.3618633118376064</v>
      </c>
      <c r="AZ170" s="56">
        <f t="shared" si="139"/>
        <v>3</v>
      </c>
      <c r="BB170" s="18">
        <f t="shared" si="159"/>
        <v>2.808323191749901</v>
      </c>
      <c r="BC170" s="18">
        <f t="shared" si="159"/>
        <v>3.3969005355388333</v>
      </c>
      <c r="BD170" s="18">
        <f t="shared" si="159"/>
        <v>0.78758428238148781</v>
      </c>
      <c r="BE170" s="18">
        <f t="shared" si="159"/>
        <v>2.3618633118376064</v>
      </c>
      <c r="BF170" s="56">
        <f t="shared" si="141"/>
        <v>3</v>
      </c>
      <c r="BH170" s="18">
        <f t="shared" si="160"/>
        <v>2.808323191749901</v>
      </c>
      <c r="BI170" s="18">
        <f t="shared" si="160"/>
        <v>3.3969005355388333</v>
      </c>
      <c r="BJ170" s="18">
        <f t="shared" si="160"/>
        <v>0.78758428238148781</v>
      </c>
      <c r="BK170" s="18">
        <f t="shared" si="160"/>
        <v>2.3618633118376064</v>
      </c>
      <c r="BL170" s="56">
        <f t="shared" si="143"/>
        <v>3</v>
      </c>
      <c r="BN170" s="18">
        <f t="shared" si="161"/>
        <v>2.808323191749901</v>
      </c>
      <c r="BO170" s="18">
        <f t="shared" si="161"/>
        <v>3.3969005355388333</v>
      </c>
      <c r="BP170" s="18">
        <f t="shared" si="161"/>
        <v>0.78758428238148781</v>
      </c>
      <c r="BQ170" s="18">
        <f t="shared" si="161"/>
        <v>2.3618633118376064</v>
      </c>
      <c r="BR170" s="56">
        <f t="shared" si="145"/>
        <v>3</v>
      </c>
      <c r="BT170" s="18">
        <f t="shared" si="162"/>
        <v>2.808323191749901</v>
      </c>
      <c r="BU170" s="18">
        <f t="shared" si="162"/>
        <v>3.3969005355388333</v>
      </c>
      <c r="BV170" s="18">
        <f t="shared" si="162"/>
        <v>0.78758428238148781</v>
      </c>
      <c r="BW170" s="18">
        <f t="shared" si="162"/>
        <v>2.3618633118376064</v>
      </c>
      <c r="BX170" s="56">
        <f t="shared" si="147"/>
        <v>3</v>
      </c>
      <c r="BZ170" s="18">
        <f t="shared" si="163"/>
        <v>2.808323191749901</v>
      </c>
      <c r="CA170" s="18">
        <f t="shared" si="163"/>
        <v>3.3969005355388333</v>
      </c>
      <c r="CB170" s="18">
        <f t="shared" si="163"/>
        <v>0.78758428238148781</v>
      </c>
      <c r="CC170" s="18">
        <f t="shared" si="163"/>
        <v>2.3618633118376064</v>
      </c>
      <c r="CD170" s="56">
        <f t="shared" si="149"/>
        <v>3</v>
      </c>
      <c r="CF170" s="18">
        <f t="shared" si="164"/>
        <v>2.808323191749901</v>
      </c>
      <c r="CG170" s="18">
        <f t="shared" si="164"/>
        <v>3.3969005355388333</v>
      </c>
      <c r="CH170" s="18">
        <f t="shared" si="164"/>
        <v>0.78758428238148781</v>
      </c>
      <c r="CI170" s="18">
        <f t="shared" si="164"/>
        <v>2.3618633118376064</v>
      </c>
      <c r="CJ170" s="56">
        <f t="shared" si="151"/>
        <v>3</v>
      </c>
      <c r="CL170" s="18">
        <f t="shared" si="165"/>
        <v>2.808323191749901</v>
      </c>
      <c r="CM170" s="18">
        <f t="shared" si="165"/>
        <v>3.3969005355388333</v>
      </c>
      <c r="CN170" s="18">
        <f t="shared" si="165"/>
        <v>0.78758428238148781</v>
      </c>
      <c r="CO170" s="18">
        <f t="shared" si="165"/>
        <v>2.3618633118376064</v>
      </c>
      <c r="CP170" s="56">
        <f t="shared" si="153"/>
        <v>3</v>
      </c>
    </row>
    <row r="171" spans="1:94" x14ac:dyDescent="0.25">
      <c r="A171" s="36" t="str">
        <f>KMeans_Data!A30</f>
        <v>Shikarpur</v>
      </c>
      <c r="B171" s="18">
        <f>KMeans_Data!H30</f>
        <v>0.70820457074466558</v>
      </c>
      <c r="C171" s="18">
        <f>KMeans_Data!I30</f>
        <v>0.80308444953571578</v>
      </c>
      <c r="D171" s="18">
        <f>KMeans_Data!J30</f>
        <v>1.2784040483641788</v>
      </c>
      <c r="E171" s="56">
        <f t="shared" si="128"/>
        <v>3</v>
      </c>
      <c r="F171" s="38">
        <f t="shared" si="129"/>
        <v>0.20834374206870454</v>
      </c>
      <c r="G171" s="18">
        <f>IF(COUNTIF(Distance_Matrix!$E$10:$DQ$10,$E171)&lt;=1,0,SUMIF(Distance_Matrix!$E$10:$DQ$10,$E171,Distance_Matrix!$E$39:$DQ$39)/(COUNTIF(Distance_Matrix!$E$10:$DQ$10,$E171)-1))</f>
        <v>0.86747610040366518</v>
      </c>
      <c r="H171" s="18">
        <f>MIN(IF(1=$E171,1E+99,IF(COUNTIF(Distance_Matrix!$E$10:$DQ$10,1)=0,1E+99,SUMIF(Distance_Matrix!$E$10:$DQ$10,1,Distance_Matrix!$E$39:$DQ$39)/COUNTIF(Distance_Matrix!$E$10:$DQ$10,1))),IF(2=$E171,1E+99,IF(COUNTIF(Distance_Matrix!$E$10:$DQ$10,2)=0,1E+99,SUMIF(Distance_Matrix!$E$10:$DQ$10,2,Distance_Matrix!$E$39:$DQ$39)/COUNTIF(Distance_Matrix!$E$10:$DQ$10,2))),IF(3=$E171,1E+99,IF(COUNTIF(Distance_Matrix!$E$10:$DQ$10,3)=0,1E+99,SUMIF(Distance_Matrix!$E$10:$DQ$10,3,Distance_Matrix!$E$39:$DQ$39)/COUNTIF(Distance_Matrix!$E$10:$DQ$10,3))),IF(4=$E171,1E+99,IF(COUNTIF(Distance_Matrix!$E$10:$DQ$10,4)=0,1E+99,SUMIF(Distance_Matrix!$E$10:$DQ$10,4,Distance_Matrix!$E$39:$DQ$39)/COUNTIF(Distance_Matrix!$E$10:$DQ$10,4))))</f>
        <v>2.3602169215916868</v>
      </c>
      <c r="I171" s="18">
        <f>IF(COUNTIF(Distance_Matrix!$E$10:$DQ$10,$E171)&lt;=1,0,(H171-G171)/MAX(G171,H171))</f>
        <v>0.63245916404215274</v>
      </c>
      <c r="X171" s="18">
        <f t="shared" si="154"/>
        <v>4.5774421255084663</v>
      </c>
      <c r="Y171" s="18">
        <f t="shared" si="154"/>
        <v>3.9782442052148572</v>
      </c>
      <c r="Z171" s="18">
        <f t="shared" si="154"/>
        <v>0.57035761149190434</v>
      </c>
      <c r="AA171" s="18">
        <f t="shared" si="154"/>
        <v>2.6043325647718318</v>
      </c>
      <c r="AB171" s="56">
        <f t="shared" si="131"/>
        <v>3</v>
      </c>
      <c r="AD171" s="18">
        <f t="shared" si="155"/>
        <v>3.6350723244904022</v>
      </c>
      <c r="AE171" s="18">
        <f t="shared" si="155"/>
        <v>3.2897262967664265</v>
      </c>
      <c r="AF171" s="18">
        <f t="shared" si="155"/>
        <v>0.46935074030451918</v>
      </c>
      <c r="AG171" s="18">
        <f t="shared" si="155"/>
        <v>2.3401015809001877</v>
      </c>
      <c r="AH171" s="56">
        <f t="shared" si="133"/>
        <v>3</v>
      </c>
      <c r="AJ171" s="18">
        <f t="shared" si="156"/>
        <v>3.2943869310556675</v>
      </c>
      <c r="AK171" s="18">
        <f t="shared" si="156"/>
        <v>3.3187235366442689</v>
      </c>
      <c r="AL171" s="18">
        <f t="shared" si="156"/>
        <v>0.42334347342924583</v>
      </c>
      <c r="AM171" s="18">
        <f t="shared" si="156"/>
        <v>2.2529779492052753</v>
      </c>
      <c r="AN171" s="56">
        <f t="shared" si="135"/>
        <v>3</v>
      </c>
      <c r="AP171" s="18">
        <f t="shared" si="157"/>
        <v>3.008308466526723</v>
      </c>
      <c r="AQ171" s="18">
        <f t="shared" si="157"/>
        <v>3.405051090216896</v>
      </c>
      <c r="AR171" s="18">
        <f t="shared" si="157"/>
        <v>0.45644686664353884</v>
      </c>
      <c r="AS171" s="18">
        <f t="shared" si="157"/>
        <v>2.2701423112948627</v>
      </c>
      <c r="AT171" s="56">
        <f t="shared" si="137"/>
        <v>3</v>
      </c>
      <c r="AV171" s="18">
        <f t="shared" si="158"/>
        <v>3.008308466526723</v>
      </c>
      <c r="AW171" s="18">
        <f t="shared" si="158"/>
        <v>3.405051090216896</v>
      </c>
      <c r="AX171" s="18">
        <f t="shared" si="158"/>
        <v>0.45644686664353884</v>
      </c>
      <c r="AY171" s="18">
        <f t="shared" si="158"/>
        <v>2.2701423112948627</v>
      </c>
      <c r="AZ171" s="56">
        <f t="shared" si="139"/>
        <v>3</v>
      </c>
      <c r="BB171" s="18">
        <f t="shared" si="159"/>
        <v>3.008308466526723</v>
      </c>
      <c r="BC171" s="18">
        <f t="shared" si="159"/>
        <v>3.405051090216896</v>
      </c>
      <c r="BD171" s="18">
        <f t="shared" si="159"/>
        <v>0.45644686664353884</v>
      </c>
      <c r="BE171" s="18">
        <f t="shared" si="159"/>
        <v>2.2701423112948627</v>
      </c>
      <c r="BF171" s="56">
        <f t="shared" si="141"/>
        <v>3</v>
      </c>
      <c r="BH171" s="18">
        <f t="shared" si="160"/>
        <v>3.008308466526723</v>
      </c>
      <c r="BI171" s="18">
        <f t="shared" si="160"/>
        <v>3.405051090216896</v>
      </c>
      <c r="BJ171" s="18">
        <f t="shared" si="160"/>
        <v>0.45644686664353884</v>
      </c>
      <c r="BK171" s="18">
        <f t="shared" si="160"/>
        <v>2.2701423112948627</v>
      </c>
      <c r="BL171" s="56">
        <f t="shared" si="143"/>
        <v>3</v>
      </c>
      <c r="BN171" s="18">
        <f t="shared" si="161"/>
        <v>3.008308466526723</v>
      </c>
      <c r="BO171" s="18">
        <f t="shared" si="161"/>
        <v>3.405051090216896</v>
      </c>
      <c r="BP171" s="18">
        <f t="shared" si="161"/>
        <v>0.45644686664353884</v>
      </c>
      <c r="BQ171" s="18">
        <f t="shared" si="161"/>
        <v>2.2701423112948627</v>
      </c>
      <c r="BR171" s="56">
        <f t="shared" si="145"/>
        <v>3</v>
      </c>
      <c r="BT171" s="18">
        <f t="shared" si="162"/>
        <v>3.008308466526723</v>
      </c>
      <c r="BU171" s="18">
        <f t="shared" si="162"/>
        <v>3.405051090216896</v>
      </c>
      <c r="BV171" s="18">
        <f t="shared" si="162"/>
        <v>0.45644686664353884</v>
      </c>
      <c r="BW171" s="18">
        <f t="shared" si="162"/>
        <v>2.2701423112948627</v>
      </c>
      <c r="BX171" s="56">
        <f t="shared" si="147"/>
        <v>3</v>
      </c>
      <c r="BZ171" s="18">
        <f t="shared" si="163"/>
        <v>3.008308466526723</v>
      </c>
      <c r="CA171" s="18">
        <f t="shared" si="163"/>
        <v>3.405051090216896</v>
      </c>
      <c r="CB171" s="18">
        <f t="shared" si="163"/>
        <v>0.45644686664353884</v>
      </c>
      <c r="CC171" s="18">
        <f t="shared" si="163"/>
        <v>2.2701423112948627</v>
      </c>
      <c r="CD171" s="56">
        <f t="shared" si="149"/>
        <v>3</v>
      </c>
      <c r="CF171" s="18">
        <f t="shared" si="164"/>
        <v>3.008308466526723</v>
      </c>
      <c r="CG171" s="18">
        <f t="shared" si="164"/>
        <v>3.405051090216896</v>
      </c>
      <c r="CH171" s="18">
        <f t="shared" si="164"/>
        <v>0.45644686664353884</v>
      </c>
      <c r="CI171" s="18">
        <f t="shared" si="164"/>
        <v>2.2701423112948627</v>
      </c>
      <c r="CJ171" s="56">
        <f t="shared" si="151"/>
        <v>3</v>
      </c>
      <c r="CL171" s="18">
        <f t="shared" si="165"/>
        <v>3.008308466526723</v>
      </c>
      <c r="CM171" s="18">
        <f t="shared" si="165"/>
        <v>3.405051090216896</v>
      </c>
      <c r="CN171" s="18">
        <f t="shared" si="165"/>
        <v>0.45644686664353884</v>
      </c>
      <c r="CO171" s="18">
        <f t="shared" si="165"/>
        <v>2.2701423112948627</v>
      </c>
      <c r="CP171" s="56">
        <f t="shared" si="153"/>
        <v>3</v>
      </c>
    </row>
    <row r="172" spans="1:94" x14ac:dyDescent="0.25">
      <c r="A172" s="36" t="str">
        <f>KMeans_Data!A31</f>
        <v>Rawalpindi</v>
      </c>
      <c r="B172" s="18">
        <f>KMeans_Data!H31</f>
        <v>0.64567305864807512</v>
      </c>
      <c r="C172" s="18">
        <f>KMeans_Data!I31</f>
        <v>-0.14698313392952958</v>
      </c>
      <c r="D172" s="18">
        <f>KMeans_Data!J31</f>
        <v>-1.1456441163335547</v>
      </c>
      <c r="E172" s="56">
        <f t="shared" si="128"/>
        <v>4</v>
      </c>
      <c r="F172" s="38">
        <f t="shared" si="129"/>
        <v>1.323796485278627</v>
      </c>
      <c r="G172" s="18">
        <f>IF(COUNTIF(Distance_Matrix!$E$10:$DQ$10,$E172)&lt;=1,0,SUMIF(Distance_Matrix!$E$10:$DQ$10,$E172,Distance_Matrix!$E$40:$DQ$40)/(COUNTIF(Distance_Matrix!$E$10:$DQ$10,$E172)-1))</f>
        <v>1.3393694812978458</v>
      </c>
      <c r="H172" s="18">
        <f>MIN(IF(1=$E172,1E+99,IF(COUNTIF(Distance_Matrix!$E$10:$DQ$10,1)=0,1E+99,SUMIF(Distance_Matrix!$E$10:$DQ$10,1,Distance_Matrix!$E$40:$DQ$40)/COUNTIF(Distance_Matrix!$E$10:$DQ$10,1))),IF(2=$E172,1E+99,IF(COUNTIF(Distance_Matrix!$E$10:$DQ$10,2)=0,1E+99,SUMIF(Distance_Matrix!$E$10:$DQ$10,2,Distance_Matrix!$E$40:$DQ$40)/COUNTIF(Distance_Matrix!$E$10:$DQ$10,2))),IF(3=$E172,1E+99,IF(COUNTIF(Distance_Matrix!$E$10:$DQ$10,3)=0,1E+99,SUMIF(Distance_Matrix!$E$10:$DQ$10,3,Distance_Matrix!$E$40:$DQ$40)/COUNTIF(Distance_Matrix!$E$10:$DQ$10,3))),IF(4=$E172,1E+99,IF(COUNTIF(Distance_Matrix!$E$10:$DQ$10,4)=0,1E+99,SUMIF(Distance_Matrix!$E$10:$DQ$10,4,Distance_Matrix!$E$40:$DQ$40)/COUNTIF(Distance_Matrix!$E$10:$DQ$10,4))))</f>
        <v>2.0039157394970433</v>
      </c>
      <c r="I172" s="18">
        <f>IF(COUNTIF(Distance_Matrix!$E$10:$DQ$10,$E172)&lt;=1,0,(H172-G172)/MAX(G172,H172))</f>
        <v>0.33162385279033235</v>
      </c>
      <c r="X172" s="18">
        <f t="shared" si="154"/>
        <v>6.6163799696290333</v>
      </c>
      <c r="Y172" s="18">
        <f t="shared" si="154"/>
        <v>2.7756425502726647</v>
      </c>
      <c r="Z172" s="18">
        <f t="shared" si="154"/>
        <v>2.6969311940684069</v>
      </c>
      <c r="AA172" s="18">
        <f t="shared" si="154"/>
        <v>0</v>
      </c>
      <c r="AB172" s="56">
        <f t="shared" si="131"/>
        <v>4</v>
      </c>
      <c r="AD172" s="18">
        <f t="shared" si="155"/>
        <v>5.591453018997381</v>
      </c>
      <c r="AE172" s="18">
        <f t="shared" si="155"/>
        <v>1.9648908863760912</v>
      </c>
      <c r="AF172" s="18">
        <f t="shared" si="155"/>
        <v>2.1511180727065748</v>
      </c>
      <c r="AG172" s="18">
        <f t="shared" si="155"/>
        <v>1.0085876050673221</v>
      </c>
      <c r="AH172" s="56">
        <f t="shared" si="133"/>
        <v>4</v>
      </c>
      <c r="AJ172" s="18">
        <f t="shared" si="156"/>
        <v>5.2508889983109714</v>
      </c>
      <c r="AK172" s="18">
        <f t="shared" si="156"/>
        <v>1.9517274722174118</v>
      </c>
      <c r="AL172" s="18">
        <f t="shared" si="156"/>
        <v>2.1839040932625018</v>
      </c>
      <c r="AM172" s="18">
        <f t="shared" si="156"/>
        <v>1.110345975406634</v>
      </c>
      <c r="AN172" s="56">
        <f t="shared" si="135"/>
        <v>4</v>
      </c>
      <c r="AP172" s="18">
        <f t="shared" si="157"/>
        <v>4.9713798449941526</v>
      </c>
      <c r="AQ172" s="18">
        <f t="shared" si="157"/>
        <v>1.9900346330612304</v>
      </c>
      <c r="AR172" s="18">
        <f t="shared" si="157"/>
        <v>2.154461386632057</v>
      </c>
      <c r="AS172" s="18">
        <f t="shared" si="157"/>
        <v>1.1505635511690031</v>
      </c>
      <c r="AT172" s="56">
        <f t="shared" si="137"/>
        <v>4</v>
      </c>
      <c r="AV172" s="18">
        <f t="shared" si="158"/>
        <v>4.9713798449941526</v>
      </c>
      <c r="AW172" s="18">
        <f t="shared" si="158"/>
        <v>1.9900346330612304</v>
      </c>
      <c r="AX172" s="18">
        <f t="shared" si="158"/>
        <v>2.154461386632057</v>
      </c>
      <c r="AY172" s="18">
        <f t="shared" si="158"/>
        <v>1.1505635511690031</v>
      </c>
      <c r="AZ172" s="56">
        <f t="shared" si="139"/>
        <v>4</v>
      </c>
      <c r="BB172" s="18">
        <f t="shared" si="159"/>
        <v>4.9713798449941526</v>
      </c>
      <c r="BC172" s="18">
        <f t="shared" si="159"/>
        <v>1.9900346330612304</v>
      </c>
      <c r="BD172" s="18">
        <f t="shared" si="159"/>
        <v>2.154461386632057</v>
      </c>
      <c r="BE172" s="18">
        <f t="shared" si="159"/>
        <v>1.1505635511690031</v>
      </c>
      <c r="BF172" s="56">
        <f t="shared" si="141"/>
        <v>4</v>
      </c>
      <c r="BH172" s="18">
        <f t="shared" si="160"/>
        <v>4.9713798449941526</v>
      </c>
      <c r="BI172" s="18">
        <f t="shared" si="160"/>
        <v>1.9900346330612304</v>
      </c>
      <c r="BJ172" s="18">
        <f t="shared" si="160"/>
        <v>2.154461386632057</v>
      </c>
      <c r="BK172" s="18">
        <f t="shared" si="160"/>
        <v>1.1505635511690031</v>
      </c>
      <c r="BL172" s="56">
        <f t="shared" si="143"/>
        <v>4</v>
      </c>
      <c r="BN172" s="18">
        <f t="shared" si="161"/>
        <v>4.9713798449941526</v>
      </c>
      <c r="BO172" s="18">
        <f t="shared" si="161"/>
        <v>1.9900346330612304</v>
      </c>
      <c r="BP172" s="18">
        <f t="shared" si="161"/>
        <v>2.154461386632057</v>
      </c>
      <c r="BQ172" s="18">
        <f t="shared" si="161"/>
        <v>1.1505635511690031</v>
      </c>
      <c r="BR172" s="56">
        <f t="shared" si="145"/>
        <v>4</v>
      </c>
      <c r="BT172" s="18">
        <f t="shared" si="162"/>
        <v>4.9713798449941526</v>
      </c>
      <c r="BU172" s="18">
        <f t="shared" si="162"/>
        <v>1.9900346330612304</v>
      </c>
      <c r="BV172" s="18">
        <f t="shared" si="162"/>
        <v>2.154461386632057</v>
      </c>
      <c r="BW172" s="18">
        <f t="shared" si="162"/>
        <v>1.1505635511690031</v>
      </c>
      <c r="BX172" s="56">
        <f t="shared" si="147"/>
        <v>4</v>
      </c>
      <c r="BZ172" s="18">
        <f t="shared" si="163"/>
        <v>4.9713798449941526</v>
      </c>
      <c r="CA172" s="18">
        <f t="shared" si="163"/>
        <v>1.9900346330612304</v>
      </c>
      <c r="CB172" s="18">
        <f t="shared" si="163"/>
        <v>2.154461386632057</v>
      </c>
      <c r="CC172" s="18">
        <f t="shared" si="163"/>
        <v>1.1505635511690031</v>
      </c>
      <c r="CD172" s="56">
        <f t="shared" si="149"/>
        <v>4</v>
      </c>
      <c r="CF172" s="18">
        <f t="shared" si="164"/>
        <v>4.9713798449941526</v>
      </c>
      <c r="CG172" s="18">
        <f t="shared" si="164"/>
        <v>1.9900346330612304</v>
      </c>
      <c r="CH172" s="18">
        <f t="shared" si="164"/>
        <v>2.154461386632057</v>
      </c>
      <c r="CI172" s="18">
        <f t="shared" si="164"/>
        <v>1.1505635511690031</v>
      </c>
      <c r="CJ172" s="56">
        <f t="shared" si="151"/>
        <v>4</v>
      </c>
      <c r="CL172" s="18">
        <f t="shared" si="165"/>
        <v>4.9713798449941526</v>
      </c>
      <c r="CM172" s="18">
        <f t="shared" si="165"/>
        <v>1.9900346330612304</v>
      </c>
      <c r="CN172" s="18">
        <f t="shared" si="165"/>
        <v>2.154461386632057</v>
      </c>
      <c r="CO172" s="18">
        <f t="shared" si="165"/>
        <v>1.1505635511690031</v>
      </c>
      <c r="CP172" s="56">
        <f t="shared" si="153"/>
        <v>4</v>
      </c>
    </row>
    <row r="173" spans="1:94" x14ac:dyDescent="0.25">
      <c r="A173" s="36" t="str">
        <f>KMeans_Data!A32</f>
        <v>Buner</v>
      </c>
      <c r="B173" s="18">
        <f>KMeans_Data!H32</f>
        <v>0.60239578498043678</v>
      </c>
      <c r="C173" s="18">
        <f>KMeans_Data!I32</f>
        <v>0.68618000108374222</v>
      </c>
      <c r="D173" s="18">
        <f>KMeans_Data!J32</f>
        <v>0.8732151368336003</v>
      </c>
      <c r="E173" s="56">
        <f t="shared" si="128"/>
        <v>3</v>
      </c>
      <c r="F173" s="38">
        <f t="shared" si="129"/>
        <v>5.6027945957794556E-3</v>
      </c>
      <c r="G173" s="18">
        <f>IF(COUNTIF(Distance_Matrix!$E$10:$DQ$10,$E173)&lt;=1,0,SUMIF(Distance_Matrix!$E$10:$DQ$10,$E173,Distance_Matrix!$E$41:$DQ$41)/(COUNTIF(Distance_Matrix!$E$10:$DQ$10,$E173)-1))</f>
        <v>0.76121616498835865</v>
      </c>
      <c r="H173" s="18">
        <f>MIN(IF(1=$E173,1E+99,IF(COUNTIF(Distance_Matrix!$E$10:$DQ$10,1)=0,1E+99,SUMIF(Distance_Matrix!$E$10:$DQ$10,1,Distance_Matrix!$E$41:$DQ$41)/COUNTIF(Distance_Matrix!$E$10:$DQ$10,1))),IF(2=$E173,1E+99,IF(COUNTIF(Distance_Matrix!$E$10:$DQ$10,2)=0,1E+99,SUMIF(Distance_Matrix!$E$10:$DQ$10,2,Distance_Matrix!$E$41:$DQ$41)/COUNTIF(Distance_Matrix!$E$10:$DQ$10,2))),IF(3=$E173,1E+99,IF(COUNTIF(Distance_Matrix!$E$10:$DQ$10,3)=0,1E+99,SUMIF(Distance_Matrix!$E$10:$DQ$10,3,Distance_Matrix!$E$41:$DQ$41)/COUNTIF(Distance_Matrix!$E$10:$DQ$10,3))),IF(4=$E173,1E+99,IF(COUNTIF(Distance_Matrix!$E$10:$DQ$10,4)=0,1E+99,SUMIF(Distance_Matrix!$E$10:$DQ$10,4,Distance_Matrix!$E$41:$DQ$41)/COUNTIF(Distance_Matrix!$E$10:$DQ$10,4))))</f>
        <v>1.9889606289930242</v>
      </c>
      <c r="I173" s="18">
        <f>IF(COUNTIF(Distance_Matrix!$E$10:$DQ$10,$E173)&lt;=1,0,(H173-G173)/MAX(G173,H173))</f>
        <v>0.61727942026999849</v>
      </c>
      <c r="X173" s="18">
        <f t="shared" si="154"/>
        <v>4.903216967148734</v>
      </c>
      <c r="Y173" s="18">
        <f t="shared" si="154"/>
        <v>3.6216094048151786</v>
      </c>
      <c r="Z173" s="18">
        <f t="shared" si="154"/>
        <v>0.80022663785630888</v>
      </c>
      <c r="AA173" s="18">
        <f t="shared" si="154"/>
        <v>2.1844510560000856</v>
      </c>
      <c r="AB173" s="56">
        <f t="shared" si="131"/>
        <v>3</v>
      </c>
      <c r="AD173" s="18">
        <f t="shared" si="155"/>
        <v>3.9318893637779806</v>
      </c>
      <c r="AE173" s="18">
        <f t="shared" si="155"/>
        <v>2.9093522232654689</v>
      </c>
      <c r="AF173" s="18">
        <f t="shared" si="155"/>
        <v>0.10972907153640682</v>
      </c>
      <c r="AG173" s="18">
        <f t="shared" si="155"/>
        <v>1.9358297483834981</v>
      </c>
      <c r="AH173" s="56">
        <f t="shared" si="133"/>
        <v>3</v>
      </c>
      <c r="AJ173" s="18">
        <f t="shared" si="156"/>
        <v>3.5883594984313989</v>
      </c>
      <c r="AK173" s="18">
        <f t="shared" si="156"/>
        <v>2.9354683417482472</v>
      </c>
      <c r="AL173" s="18">
        <f t="shared" si="156"/>
        <v>5.8889960984424526E-2</v>
      </c>
      <c r="AM173" s="18">
        <f t="shared" si="156"/>
        <v>1.8566665330022096</v>
      </c>
      <c r="AN173" s="56">
        <f t="shared" si="135"/>
        <v>3</v>
      </c>
      <c r="AP173" s="18">
        <f t="shared" si="157"/>
        <v>3.297450121075471</v>
      </c>
      <c r="AQ173" s="18">
        <f t="shared" si="157"/>
        <v>3.019392744561777</v>
      </c>
      <c r="AR173" s="18">
        <f t="shared" si="157"/>
        <v>7.4851817585008959E-2</v>
      </c>
      <c r="AS173" s="18">
        <f t="shared" si="157"/>
        <v>1.8758941877818405</v>
      </c>
      <c r="AT173" s="56">
        <f t="shared" si="137"/>
        <v>3</v>
      </c>
      <c r="AV173" s="18">
        <f t="shared" si="158"/>
        <v>3.297450121075471</v>
      </c>
      <c r="AW173" s="18">
        <f t="shared" si="158"/>
        <v>3.019392744561777</v>
      </c>
      <c r="AX173" s="18">
        <f t="shared" si="158"/>
        <v>7.4851817585008959E-2</v>
      </c>
      <c r="AY173" s="18">
        <f t="shared" si="158"/>
        <v>1.8758941877818405</v>
      </c>
      <c r="AZ173" s="56">
        <f t="shared" si="139"/>
        <v>3</v>
      </c>
      <c r="BB173" s="18">
        <f t="shared" si="159"/>
        <v>3.297450121075471</v>
      </c>
      <c r="BC173" s="18">
        <f t="shared" si="159"/>
        <v>3.019392744561777</v>
      </c>
      <c r="BD173" s="18">
        <f t="shared" si="159"/>
        <v>7.4851817585008959E-2</v>
      </c>
      <c r="BE173" s="18">
        <f t="shared" si="159"/>
        <v>1.8758941877818405</v>
      </c>
      <c r="BF173" s="56">
        <f t="shared" si="141"/>
        <v>3</v>
      </c>
      <c r="BH173" s="18">
        <f t="shared" si="160"/>
        <v>3.297450121075471</v>
      </c>
      <c r="BI173" s="18">
        <f t="shared" si="160"/>
        <v>3.019392744561777</v>
      </c>
      <c r="BJ173" s="18">
        <f t="shared" si="160"/>
        <v>7.4851817585008959E-2</v>
      </c>
      <c r="BK173" s="18">
        <f t="shared" si="160"/>
        <v>1.8758941877818405</v>
      </c>
      <c r="BL173" s="56">
        <f t="shared" si="143"/>
        <v>3</v>
      </c>
      <c r="BN173" s="18">
        <f t="shared" si="161"/>
        <v>3.297450121075471</v>
      </c>
      <c r="BO173" s="18">
        <f t="shared" si="161"/>
        <v>3.019392744561777</v>
      </c>
      <c r="BP173" s="18">
        <f t="shared" si="161"/>
        <v>7.4851817585008959E-2</v>
      </c>
      <c r="BQ173" s="18">
        <f t="shared" si="161"/>
        <v>1.8758941877818405</v>
      </c>
      <c r="BR173" s="56">
        <f t="shared" si="145"/>
        <v>3</v>
      </c>
      <c r="BT173" s="18">
        <f t="shared" si="162"/>
        <v>3.297450121075471</v>
      </c>
      <c r="BU173" s="18">
        <f t="shared" si="162"/>
        <v>3.019392744561777</v>
      </c>
      <c r="BV173" s="18">
        <f t="shared" si="162"/>
        <v>7.4851817585008959E-2</v>
      </c>
      <c r="BW173" s="18">
        <f t="shared" si="162"/>
        <v>1.8758941877818405</v>
      </c>
      <c r="BX173" s="56">
        <f t="shared" si="147"/>
        <v>3</v>
      </c>
      <c r="BZ173" s="18">
        <f t="shared" si="163"/>
        <v>3.297450121075471</v>
      </c>
      <c r="CA173" s="18">
        <f t="shared" si="163"/>
        <v>3.019392744561777</v>
      </c>
      <c r="CB173" s="18">
        <f t="shared" si="163"/>
        <v>7.4851817585008959E-2</v>
      </c>
      <c r="CC173" s="18">
        <f t="shared" si="163"/>
        <v>1.8758941877818405</v>
      </c>
      <c r="CD173" s="56">
        <f t="shared" si="149"/>
        <v>3</v>
      </c>
      <c r="CF173" s="18">
        <f t="shared" si="164"/>
        <v>3.297450121075471</v>
      </c>
      <c r="CG173" s="18">
        <f t="shared" si="164"/>
        <v>3.019392744561777</v>
      </c>
      <c r="CH173" s="18">
        <f t="shared" si="164"/>
        <v>7.4851817585008959E-2</v>
      </c>
      <c r="CI173" s="18">
        <f t="shared" si="164"/>
        <v>1.8758941877818405</v>
      </c>
      <c r="CJ173" s="56">
        <f t="shared" si="151"/>
        <v>3</v>
      </c>
      <c r="CL173" s="18">
        <f t="shared" si="165"/>
        <v>3.297450121075471</v>
      </c>
      <c r="CM173" s="18">
        <f t="shared" si="165"/>
        <v>3.019392744561777</v>
      </c>
      <c r="CN173" s="18">
        <f t="shared" si="165"/>
        <v>7.4851817585008959E-2</v>
      </c>
      <c r="CO173" s="18">
        <f t="shared" si="165"/>
        <v>1.8758941877818405</v>
      </c>
      <c r="CP173" s="56">
        <f t="shared" si="153"/>
        <v>3</v>
      </c>
    </row>
    <row r="174" spans="1:94" x14ac:dyDescent="0.25">
      <c r="A174" s="36" t="str">
        <f>KMeans_Data!A33</f>
        <v>Sargodha</v>
      </c>
      <c r="B174" s="18">
        <f>KMeans_Data!H33</f>
        <v>0.57775354876086193</v>
      </c>
      <c r="C174" s="18">
        <f>KMeans_Data!I33</f>
        <v>-0.67265054538827607</v>
      </c>
      <c r="D174" s="18">
        <f>KMeans_Data!J33</f>
        <v>-0.39984522290956798</v>
      </c>
      <c r="E174" s="56">
        <f t="shared" si="128"/>
        <v>4</v>
      </c>
      <c r="F174" s="38">
        <f t="shared" si="129"/>
        <v>0.52674697636267642</v>
      </c>
      <c r="G174" s="18">
        <f>IF(COUNTIF(Distance_Matrix!$E$10:$DQ$10,$E174)&lt;=1,0,SUMIF(Distance_Matrix!$E$10:$DQ$10,$E174,Distance_Matrix!$E$42:$DQ$42)/(COUNTIF(Distance_Matrix!$E$10:$DQ$10,$E174)-1))</f>
        <v>1.0346960199158854</v>
      </c>
      <c r="H174" s="18">
        <f>MIN(IF(1=$E174,1E+99,IF(COUNTIF(Distance_Matrix!$E$10:$DQ$10,1)=0,1E+99,SUMIF(Distance_Matrix!$E$10:$DQ$10,1,Distance_Matrix!$E$42:$DQ$42)/COUNTIF(Distance_Matrix!$E$10:$DQ$10,1))),IF(2=$E174,1E+99,IF(COUNTIF(Distance_Matrix!$E$10:$DQ$10,2)=0,1E+99,SUMIF(Distance_Matrix!$E$10:$DQ$10,2,Distance_Matrix!$E$42:$DQ$42)/COUNTIF(Distance_Matrix!$E$10:$DQ$10,2))),IF(3=$E174,1E+99,IF(COUNTIF(Distance_Matrix!$E$10:$DQ$10,3)=0,1E+99,SUMIF(Distance_Matrix!$E$10:$DQ$10,3,Distance_Matrix!$E$42:$DQ$42)/COUNTIF(Distance_Matrix!$E$10:$DQ$10,3))),IF(4=$E174,1E+99,IF(COUNTIF(Distance_Matrix!$E$10:$DQ$10,4)=0,1E+99,SUMIF(Distance_Matrix!$E$10:$DQ$10,4,Distance_Matrix!$E$42:$DQ$42)/COUNTIF(Distance_Matrix!$E$10:$DQ$10,4))))</f>
        <v>1.9149810470505977</v>
      </c>
      <c r="I174" s="18">
        <f>IF(COUNTIF(Distance_Matrix!$E$10:$DQ$10,$E174)&lt;=1,0,(H174-G174)/MAX(G174,H174))</f>
        <v>0.45968341487791931</v>
      </c>
      <c r="X174" s="18">
        <f t="shared" si="154"/>
        <v>6.5429996922998921</v>
      </c>
      <c r="Y174" s="18">
        <f t="shared" si="154"/>
        <v>2.7601589128984672</v>
      </c>
      <c r="Z174" s="18">
        <f t="shared" si="154"/>
        <v>2.1941641439380088</v>
      </c>
      <c r="AA174" s="18">
        <f t="shared" si="154"/>
        <v>0.91496189905673209</v>
      </c>
      <c r="AB174" s="56">
        <f t="shared" si="131"/>
        <v>4</v>
      </c>
      <c r="AD174" s="18">
        <f t="shared" si="155"/>
        <v>5.5520762792457976</v>
      </c>
      <c r="AE174" s="18">
        <f t="shared" si="155"/>
        <v>1.8960169430752012</v>
      </c>
      <c r="AF174" s="18">
        <f t="shared" si="155"/>
        <v>1.7886296302328868</v>
      </c>
      <c r="AG174" s="18">
        <f t="shared" si="155"/>
        <v>0.67550775385751227</v>
      </c>
      <c r="AH174" s="56">
        <f t="shared" si="133"/>
        <v>4</v>
      </c>
      <c r="AJ174" s="18">
        <f t="shared" si="156"/>
        <v>5.2006801060179306</v>
      </c>
      <c r="AK174" s="18">
        <f t="shared" si="156"/>
        <v>1.9025420820617056</v>
      </c>
      <c r="AL174" s="18">
        <f t="shared" si="156"/>
        <v>1.8516844273375783</v>
      </c>
      <c r="AM174" s="18">
        <f t="shared" si="156"/>
        <v>0.68240919359829177</v>
      </c>
      <c r="AN174" s="56">
        <f t="shared" si="135"/>
        <v>4</v>
      </c>
      <c r="AP174" s="18">
        <f t="shared" si="157"/>
        <v>4.9202700753453534</v>
      </c>
      <c r="AQ174" s="18">
        <f t="shared" si="157"/>
        <v>1.9744645505750247</v>
      </c>
      <c r="AR174" s="18">
        <f t="shared" si="157"/>
        <v>1.8099270042869464</v>
      </c>
      <c r="AS174" s="18">
        <f t="shared" si="157"/>
        <v>0.72577336432434358</v>
      </c>
      <c r="AT174" s="56">
        <f t="shared" si="137"/>
        <v>4</v>
      </c>
      <c r="AV174" s="18">
        <f t="shared" si="158"/>
        <v>4.9202700753453534</v>
      </c>
      <c r="AW174" s="18">
        <f t="shared" si="158"/>
        <v>1.9744645505750247</v>
      </c>
      <c r="AX174" s="18">
        <f t="shared" si="158"/>
        <v>1.8099270042869464</v>
      </c>
      <c r="AY174" s="18">
        <f t="shared" si="158"/>
        <v>0.72577336432434358</v>
      </c>
      <c r="AZ174" s="56">
        <f t="shared" si="139"/>
        <v>4</v>
      </c>
      <c r="BB174" s="18">
        <f t="shared" si="159"/>
        <v>4.9202700753453534</v>
      </c>
      <c r="BC174" s="18">
        <f t="shared" si="159"/>
        <v>1.9744645505750247</v>
      </c>
      <c r="BD174" s="18">
        <f t="shared" si="159"/>
        <v>1.8099270042869464</v>
      </c>
      <c r="BE174" s="18">
        <f t="shared" si="159"/>
        <v>0.72577336432434358</v>
      </c>
      <c r="BF174" s="56">
        <f t="shared" si="141"/>
        <v>4</v>
      </c>
      <c r="BH174" s="18">
        <f t="shared" si="160"/>
        <v>4.9202700753453534</v>
      </c>
      <c r="BI174" s="18">
        <f t="shared" si="160"/>
        <v>1.9744645505750247</v>
      </c>
      <c r="BJ174" s="18">
        <f t="shared" si="160"/>
        <v>1.8099270042869464</v>
      </c>
      <c r="BK174" s="18">
        <f t="shared" si="160"/>
        <v>0.72577336432434358</v>
      </c>
      <c r="BL174" s="56">
        <f t="shared" si="143"/>
        <v>4</v>
      </c>
      <c r="BN174" s="18">
        <f t="shared" si="161"/>
        <v>4.9202700753453534</v>
      </c>
      <c r="BO174" s="18">
        <f t="shared" si="161"/>
        <v>1.9744645505750247</v>
      </c>
      <c r="BP174" s="18">
        <f t="shared" si="161"/>
        <v>1.8099270042869464</v>
      </c>
      <c r="BQ174" s="18">
        <f t="shared" si="161"/>
        <v>0.72577336432434358</v>
      </c>
      <c r="BR174" s="56">
        <f t="shared" si="145"/>
        <v>4</v>
      </c>
      <c r="BT174" s="18">
        <f t="shared" si="162"/>
        <v>4.9202700753453534</v>
      </c>
      <c r="BU174" s="18">
        <f t="shared" si="162"/>
        <v>1.9744645505750247</v>
      </c>
      <c r="BV174" s="18">
        <f t="shared" si="162"/>
        <v>1.8099270042869464</v>
      </c>
      <c r="BW174" s="18">
        <f t="shared" si="162"/>
        <v>0.72577336432434358</v>
      </c>
      <c r="BX174" s="56">
        <f t="shared" si="147"/>
        <v>4</v>
      </c>
      <c r="BZ174" s="18">
        <f t="shared" si="163"/>
        <v>4.9202700753453534</v>
      </c>
      <c r="CA174" s="18">
        <f t="shared" si="163"/>
        <v>1.9744645505750247</v>
      </c>
      <c r="CB174" s="18">
        <f t="shared" si="163"/>
        <v>1.8099270042869464</v>
      </c>
      <c r="CC174" s="18">
        <f t="shared" si="163"/>
        <v>0.72577336432434358</v>
      </c>
      <c r="CD174" s="56">
        <f t="shared" si="149"/>
        <v>4</v>
      </c>
      <c r="CF174" s="18">
        <f t="shared" si="164"/>
        <v>4.9202700753453534</v>
      </c>
      <c r="CG174" s="18">
        <f t="shared" si="164"/>
        <v>1.9744645505750247</v>
      </c>
      <c r="CH174" s="18">
        <f t="shared" si="164"/>
        <v>1.8099270042869464</v>
      </c>
      <c r="CI174" s="18">
        <f t="shared" si="164"/>
        <v>0.72577336432434358</v>
      </c>
      <c r="CJ174" s="56">
        <f t="shared" si="151"/>
        <v>4</v>
      </c>
      <c r="CL174" s="18">
        <f t="shared" si="165"/>
        <v>4.9202700753453534</v>
      </c>
      <c r="CM174" s="18">
        <f t="shared" si="165"/>
        <v>1.9744645505750247</v>
      </c>
      <c r="CN174" s="18">
        <f t="shared" si="165"/>
        <v>1.8099270042869464</v>
      </c>
      <c r="CO174" s="18">
        <f t="shared" si="165"/>
        <v>0.72577336432434358</v>
      </c>
      <c r="CP174" s="56">
        <f t="shared" si="153"/>
        <v>4</v>
      </c>
    </row>
    <row r="175" spans="1:94" x14ac:dyDescent="0.25">
      <c r="A175" s="36" t="str">
        <f>KMeans_Data!A34</f>
        <v>Shaheed Benazirabad</v>
      </c>
      <c r="B175" s="18">
        <f>KMeans_Data!H34</f>
        <v>0.57775354876086193</v>
      </c>
      <c r="C175" s="18">
        <f>KMeans_Data!I34</f>
        <v>0.16051258962499582</v>
      </c>
      <c r="D175" s="18">
        <f>KMeans_Data!J34</f>
        <v>0.78154448627517237</v>
      </c>
      <c r="E175" s="56">
        <f t="shared" si="128"/>
        <v>3</v>
      </c>
      <c r="F175" s="38">
        <f t="shared" si="129"/>
        <v>0.21906610859892753</v>
      </c>
      <c r="G175" s="18">
        <f>IF(COUNTIF(Distance_Matrix!$E$10:$DQ$10,$E175)&lt;=1,0,SUMIF(Distance_Matrix!$E$10:$DQ$10,$E175,Distance_Matrix!$E$43:$DQ$43)/(COUNTIF(Distance_Matrix!$E$10:$DQ$10,$E175)-1))</f>
        <v>0.86543907177616131</v>
      </c>
      <c r="H175" s="18">
        <f>MIN(IF(1=$E175,1E+99,IF(COUNTIF(Distance_Matrix!$E$10:$DQ$10,1)=0,1E+99,SUMIF(Distance_Matrix!$E$10:$DQ$10,1,Distance_Matrix!$E$43:$DQ$43)/COUNTIF(Distance_Matrix!$E$10:$DQ$10,1))),IF(2=$E175,1E+99,IF(COUNTIF(Distance_Matrix!$E$10:$DQ$10,2)=0,1E+99,SUMIF(Distance_Matrix!$E$10:$DQ$10,2,Distance_Matrix!$E$43:$DQ$43)/COUNTIF(Distance_Matrix!$E$10:$DQ$10,2))),IF(3=$E175,1E+99,IF(COUNTIF(Distance_Matrix!$E$10:$DQ$10,3)=0,1E+99,SUMIF(Distance_Matrix!$E$10:$DQ$10,3,Distance_Matrix!$E$43:$DQ$43)/COUNTIF(Distance_Matrix!$E$10:$DQ$10,3))),IF(4=$E175,1E+99,IF(COUNTIF(Distance_Matrix!$E$10:$DQ$10,4)=0,1E+99,SUMIF(Distance_Matrix!$E$10:$DQ$10,4,Distance_Matrix!$E$43:$DQ$43)/COUNTIF(Distance_Matrix!$E$10:$DQ$10,4))))</f>
        <v>1.6480890861751258</v>
      </c>
      <c r="I175" s="18">
        <f>IF(COUNTIF(Distance_Matrix!$E$10:$DQ$10,$E175)&lt;=1,0,(H175-G175)/MAX(G175,H175))</f>
        <v>0.47488331848330689</v>
      </c>
      <c r="X175" s="18">
        <f t="shared" si="154"/>
        <v>5.3310034929576178</v>
      </c>
      <c r="Y175" s="18">
        <f t="shared" si="154"/>
        <v>3.3868094062982825</v>
      </c>
      <c r="Z175" s="18">
        <f t="shared" si="154"/>
        <v>0.85635508280799066</v>
      </c>
      <c r="AA175" s="18">
        <f t="shared" si="154"/>
        <v>1.9527474465103312</v>
      </c>
      <c r="AB175" s="56">
        <f t="shared" si="131"/>
        <v>3</v>
      </c>
      <c r="AD175" s="18">
        <f t="shared" si="155"/>
        <v>4.3728027598107042</v>
      </c>
      <c r="AE175" s="18">
        <f t="shared" si="155"/>
        <v>2.6302865315271093</v>
      </c>
      <c r="AF175" s="18">
        <f t="shared" si="155"/>
        <v>0.42871770147667254</v>
      </c>
      <c r="AG175" s="18">
        <f t="shared" si="155"/>
        <v>1.58430673069481</v>
      </c>
      <c r="AH175" s="56">
        <f t="shared" si="133"/>
        <v>3</v>
      </c>
      <c r="AJ175" s="18">
        <f t="shared" si="156"/>
        <v>4.0247297275783129</v>
      </c>
      <c r="AK175" s="18">
        <f t="shared" si="156"/>
        <v>2.6574882936386328</v>
      </c>
      <c r="AL175" s="18">
        <f t="shared" si="156"/>
        <v>0.51523535602877524</v>
      </c>
      <c r="AM175" s="18">
        <f t="shared" si="156"/>
        <v>1.4913716893417595</v>
      </c>
      <c r="AN175" s="56">
        <f t="shared" si="135"/>
        <v>3</v>
      </c>
      <c r="AP175" s="18">
        <f t="shared" si="157"/>
        <v>3.7395972941128193</v>
      </c>
      <c r="AQ175" s="18">
        <f t="shared" si="157"/>
        <v>2.7469859859493582</v>
      </c>
      <c r="AR175" s="18">
        <f t="shared" si="157"/>
        <v>0.46804498565728436</v>
      </c>
      <c r="AS175" s="18">
        <f t="shared" si="157"/>
        <v>1.5112406322150711</v>
      </c>
      <c r="AT175" s="56">
        <f t="shared" si="137"/>
        <v>3</v>
      </c>
      <c r="AV175" s="18">
        <f t="shared" si="158"/>
        <v>3.7395972941128193</v>
      </c>
      <c r="AW175" s="18">
        <f t="shared" si="158"/>
        <v>2.7469859859493582</v>
      </c>
      <c r="AX175" s="18">
        <f t="shared" si="158"/>
        <v>0.46804498565728436</v>
      </c>
      <c r="AY175" s="18">
        <f t="shared" si="158"/>
        <v>1.5112406322150711</v>
      </c>
      <c r="AZ175" s="56">
        <f t="shared" si="139"/>
        <v>3</v>
      </c>
      <c r="BB175" s="18">
        <f t="shared" si="159"/>
        <v>3.7395972941128193</v>
      </c>
      <c r="BC175" s="18">
        <f t="shared" si="159"/>
        <v>2.7469859859493582</v>
      </c>
      <c r="BD175" s="18">
        <f t="shared" si="159"/>
        <v>0.46804498565728436</v>
      </c>
      <c r="BE175" s="18">
        <f t="shared" si="159"/>
        <v>1.5112406322150711</v>
      </c>
      <c r="BF175" s="56">
        <f t="shared" si="141"/>
        <v>3</v>
      </c>
      <c r="BH175" s="18">
        <f t="shared" si="160"/>
        <v>3.7395972941128193</v>
      </c>
      <c r="BI175" s="18">
        <f t="shared" si="160"/>
        <v>2.7469859859493582</v>
      </c>
      <c r="BJ175" s="18">
        <f t="shared" si="160"/>
        <v>0.46804498565728436</v>
      </c>
      <c r="BK175" s="18">
        <f t="shared" si="160"/>
        <v>1.5112406322150711</v>
      </c>
      <c r="BL175" s="56">
        <f t="shared" si="143"/>
        <v>3</v>
      </c>
      <c r="BN175" s="18">
        <f t="shared" si="161"/>
        <v>3.7395972941128193</v>
      </c>
      <c r="BO175" s="18">
        <f t="shared" si="161"/>
        <v>2.7469859859493582</v>
      </c>
      <c r="BP175" s="18">
        <f t="shared" si="161"/>
        <v>0.46804498565728436</v>
      </c>
      <c r="BQ175" s="18">
        <f t="shared" si="161"/>
        <v>1.5112406322150711</v>
      </c>
      <c r="BR175" s="56">
        <f t="shared" si="145"/>
        <v>3</v>
      </c>
      <c r="BT175" s="18">
        <f t="shared" si="162"/>
        <v>3.7395972941128193</v>
      </c>
      <c r="BU175" s="18">
        <f t="shared" si="162"/>
        <v>2.7469859859493582</v>
      </c>
      <c r="BV175" s="18">
        <f t="shared" si="162"/>
        <v>0.46804498565728436</v>
      </c>
      <c r="BW175" s="18">
        <f t="shared" si="162"/>
        <v>1.5112406322150711</v>
      </c>
      <c r="BX175" s="56">
        <f t="shared" si="147"/>
        <v>3</v>
      </c>
      <c r="BZ175" s="18">
        <f t="shared" si="163"/>
        <v>3.7395972941128193</v>
      </c>
      <c r="CA175" s="18">
        <f t="shared" si="163"/>
        <v>2.7469859859493582</v>
      </c>
      <c r="CB175" s="18">
        <f t="shared" si="163"/>
        <v>0.46804498565728436</v>
      </c>
      <c r="CC175" s="18">
        <f t="shared" si="163"/>
        <v>1.5112406322150711</v>
      </c>
      <c r="CD175" s="56">
        <f t="shared" si="149"/>
        <v>3</v>
      </c>
      <c r="CF175" s="18">
        <f t="shared" si="164"/>
        <v>3.7395972941128193</v>
      </c>
      <c r="CG175" s="18">
        <f t="shared" si="164"/>
        <v>2.7469859859493582</v>
      </c>
      <c r="CH175" s="18">
        <f t="shared" si="164"/>
        <v>0.46804498565728436</v>
      </c>
      <c r="CI175" s="18">
        <f t="shared" si="164"/>
        <v>1.5112406322150711</v>
      </c>
      <c r="CJ175" s="56">
        <f t="shared" si="151"/>
        <v>3</v>
      </c>
      <c r="CL175" s="18">
        <f t="shared" si="165"/>
        <v>3.7395972941128193</v>
      </c>
      <c r="CM175" s="18">
        <f t="shared" si="165"/>
        <v>2.7469859859493582</v>
      </c>
      <c r="CN175" s="18">
        <f t="shared" si="165"/>
        <v>0.46804498565728436</v>
      </c>
      <c r="CO175" s="18">
        <f t="shared" si="165"/>
        <v>1.5112406322150711</v>
      </c>
      <c r="CP175" s="56">
        <f t="shared" si="153"/>
        <v>3</v>
      </c>
    </row>
    <row r="176" spans="1:94" x14ac:dyDescent="0.25">
      <c r="A176" s="36" t="str">
        <f>KMeans_Data!A35</f>
        <v>Gujrat</v>
      </c>
      <c r="B176" s="18">
        <f>KMeans_Data!H35</f>
        <v>0.57458958754261724</v>
      </c>
      <c r="C176" s="18">
        <f>KMeans_Data!I35</f>
        <v>-0.67265054538827607</v>
      </c>
      <c r="D176" s="18">
        <f>KMeans_Data!J35</f>
        <v>-0.39984522290956798</v>
      </c>
      <c r="E176" s="56">
        <f t="shared" si="128"/>
        <v>4</v>
      </c>
      <c r="F176" s="38">
        <f t="shared" si="129"/>
        <v>0.52228671391468617</v>
      </c>
      <c r="G176" s="18">
        <f>IF(COUNTIF(Distance_Matrix!$E$10:$DQ$10,$E176)&lt;=1,0,SUMIF(Distance_Matrix!$E$10:$DQ$10,$E176,Distance_Matrix!$E$44:$DQ$44)/(COUNTIF(Distance_Matrix!$E$10:$DQ$10,$E176)-1))</f>
        <v>1.0325765050107483</v>
      </c>
      <c r="H176" s="18">
        <f>MIN(IF(1=$E176,1E+99,IF(COUNTIF(Distance_Matrix!$E$10:$DQ$10,1)=0,1E+99,SUMIF(Distance_Matrix!$E$10:$DQ$10,1,Distance_Matrix!$E$44:$DQ$44)/COUNTIF(Distance_Matrix!$E$10:$DQ$10,1))),IF(2=$E176,1E+99,IF(COUNTIF(Distance_Matrix!$E$10:$DQ$10,2)=0,1E+99,SUMIF(Distance_Matrix!$E$10:$DQ$10,2,Distance_Matrix!$E$44:$DQ$44)/COUNTIF(Distance_Matrix!$E$10:$DQ$10,2))),IF(3=$E176,1E+99,IF(COUNTIF(Distance_Matrix!$E$10:$DQ$10,3)=0,1E+99,SUMIF(Distance_Matrix!$E$10:$DQ$10,3,Distance_Matrix!$E$44:$DQ$44)/COUNTIF(Distance_Matrix!$E$10:$DQ$10,3))),IF(4=$E176,1E+99,IF(COUNTIF(Distance_Matrix!$E$10:$DQ$10,4)=0,1E+99,SUMIF(Distance_Matrix!$E$10:$DQ$10,4,Distance_Matrix!$E$44:$DQ$44)/COUNTIF(Distance_Matrix!$E$10:$DQ$10,4))))</f>
        <v>1.9149644394991661</v>
      </c>
      <c r="I176" s="18">
        <f>IF(COUNTIF(Distance_Matrix!$E$10:$DQ$10,$E176)&lt;=1,0,(H176-G176)/MAX(G176,H176))</f>
        <v>0.46078554582412762</v>
      </c>
      <c r="X176" s="18">
        <f t="shared" si="154"/>
        <v>6.5443042851341469</v>
      </c>
      <c r="Y176" s="18">
        <f t="shared" si="154"/>
        <v>2.7571127715097909</v>
      </c>
      <c r="Z176" s="18">
        <f t="shared" si="154"/>
        <v>2.1948290386308456</v>
      </c>
      <c r="AA176" s="18">
        <f t="shared" si="154"/>
        <v>0.91520220539866637</v>
      </c>
      <c r="AB176" s="56">
        <f t="shared" si="131"/>
        <v>4</v>
      </c>
      <c r="AD176" s="18">
        <f t="shared" si="155"/>
        <v>5.5533483025214778</v>
      </c>
      <c r="AE176" s="18">
        <f t="shared" si="155"/>
        <v>1.8929821075169908</v>
      </c>
      <c r="AF176" s="18">
        <f t="shared" si="155"/>
        <v>1.7886853070182891</v>
      </c>
      <c r="AG176" s="18">
        <f t="shared" si="155"/>
        <v>0.67251082311701338</v>
      </c>
      <c r="AH176" s="56">
        <f t="shared" si="133"/>
        <v>4</v>
      </c>
      <c r="AJ176" s="18">
        <f t="shared" si="156"/>
        <v>5.2019605149251795</v>
      </c>
      <c r="AK176" s="18">
        <f t="shared" si="156"/>
        <v>1.8995322237439018</v>
      </c>
      <c r="AL176" s="18">
        <f t="shared" si="156"/>
        <v>1.8518172952858811</v>
      </c>
      <c r="AM176" s="18">
        <f t="shared" si="156"/>
        <v>0.67935286390770522</v>
      </c>
      <c r="AN176" s="56">
        <f t="shared" si="135"/>
        <v>4</v>
      </c>
      <c r="AP176" s="18">
        <f t="shared" si="157"/>
        <v>4.9214962195680974</v>
      </c>
      <c r="AQ176" s="18">
        <f t="shared" si="157"/>
        <v>1.9714911508038451</v>
      </c>
      <c r="AR176" s="18">
        <f t="shared" si="157"/>
        <v>1.8100232616412852</v>
      </c>
      <c r="AS176" s="18">
        <f t="shared" si="157"/>
        <v>0.7226940666109597</v>
      </c>
      <c r="AT176" s="56">
        <f t="shared" si="137"/>
        <v>4</v>
      </c>
      <c r="AV176" s="18">
        <f t="shared" si="158"/>
        <v>4.9214962195680974</v>
      </c>
      <c r="AW176" s="18">
        <f t="shared" si="158"/>
        <v>1.9714911508038451</v>
      </c>
      <c r="AX176" s="18">
        <f t="shared" si="158"/>
        <v>1.8100232616412852</v>
      </c>
      <c r="AY176" s="18">
        <f t="shared" si="158"/>
        <v>0.7226940666109597</v>
      </c>
      <c r="AZ176" s="56">
        <f t="shared" si="139"/>
        <v>4</v>
      </c>
      <c r="BB176" s="18">
        <f t="shared" si="159"/>
        <v>4.9214962195680974</v>
      </c>
      <c r="BC176" s="18">
        <f t="shared" si="159"/>
        <v>1.9714911508038451</v>
      </c>
      <c r="BD176" s="18">
        <f t="shared" si="159"/>
        <v>1.8100232616412852</v>
      </c>
      <c r="BE176" s="18">
        <f t="shared" si="159"/>
        <v>0.7226940666109597</v>
      </c>
      <c r="BF176" s="56">
        <f t="shared" si="141"/>
        <v>4</v>
      </c>
      <c r="BH176" s="18">
        <f t="shared" si="160"/>
        <v>4.9214962195680974</v>
      </c>
      <c r="BI176" s="18">
        <f t="shared" si="160"/>
        <v>1.9714911508038451</v>
      </c>
      <c r="BJ176" s="18">
        <f t="shared" si="160"/>
        <v>1.8100232616412852</v>
      </c>
      <c r="BK176" s="18">
        <f t="shared" si="160"/>
        <v>0.7226940666109597</v>
      </c>
      <c r="BL176" s="56">
        <f t="shared" si="143"/>
        <v>4</v>
      </c>
      <c r="BN176" s="18">
        <f t="shared" si="161"/>
        <v>4.9214962195680974</v>
      </c>
      <c r="BO176" s="18">
        <f t="shared" si="161"/>
        <v>1.9714911508038451</v>
      </c>
      <c r="BP176" s="18">
        <f t="shared" si="161"/>
        <v>1.8100232616412852</v>
      </c>
      <c r="BQ176" s="18">
        <f t="shared" si="161"/>
        <v>0.7226940666109597</v>
      </c>
      <c r="BR176" s="56">
        <f t="shared" si="145"/>
        <v>4</v>
      </c>
      <c r="BT176" s="18">
        <f t="shared" si="162"/>
        <v>4.9214962195680974</v>
      </c>
      <c r="BU176" s="18">
        <f t="shared" si="162"/>
        <v>1.9714911508038451</v>
      </c>
      <c r="BV176" s="18">
        <f t="shared" si="162"/>
        <v>1.8100232616412852</v>
      </c>
      <c r="BW176" s="18">
        <f t="shared" si="162"/>
        <v>0.7226940666109597</v>
      </c>
      <c r="BX176" s="56">
        <f t="shared" si="147"/>
        <v>4</v>
      </c>
      <c r="BZ176" s="18">
        <f t="shared" si="163"/>
        <v>4.9214962195680974</v>
      </c>
      <c r="CA176" s="18">
        <f t="shared" si="163"/>
        <v>1.9714911508038451</v>
      </c>
      <c r="CB176" s="18">
        <f t="shared" si="163"/>
        <v>1.8100232616412852</v>
      </c>
      <c r="CC176" s="18">
        <f t="shared" si="163"/>
        <v>0.7226940666109597</v>
      </c>
      <c r="CD176" s="56">
        <f t="shared" si="149"/>
        <v>4</v>
      </c>
      <c r="CF176" s="18">
        <f t="shared" si="164"/>
        <v>4.9214962195680974</v>
      </c>
      <c r="CG176" s="18">
        <f t="shared" si="164"/>
        <v>1.9714911508038451</v>
      </c>
      <c r="CH176" s="18">
        <f t="shared" si="164"/>
        <v>1.8100232616412852</v>
      </c>
      <c r="CI176" s="18">
        <f t="shared" si="164"/>
        <v>0.7226940666109597</v>
      </c>
      <c r="CJ176" s="56">
        <f t="shared" si="151"/>
        <v>4</v>
      </c>
      <c r="CL176" s="18">
        <f t="shared" si="165"/>
        <v>4.9214962195680974</v>
      </c>
      <c r="CM176" s="18">
        <f t="shared" si="165"/>
        <v>1.9714911508038451</v>
      </c>
      <c r="CN176" s="18">
        <f t="shared" si="165"/>
        <v>1.8100232616412852</v>
      </c>
      <c r="CO176" s="18">
        <f t="shared" si="165"/>
        <v>0.7226940666109597</v>
      </c>
      <c r="CP176" s="56">
        <f t="shared" si="153"/>
        <v>4</v>
      </c>
    </row>
    <row r="177" spans="1:94" x14ac:dyDescent="0.25">
      <c r="A177" s="36" t="str">
        <f>KMeans_Data!A36</f>
        <v>Dera Ismail Khan</v>
      </c>
      <c r="B177" s="18">
        <f>KMeans_Data!H36</f>
        <v>0.56820337223564554</v>
      </c>
      <c r="C177" s="18">
        <f>KMeans_Data!I36</f>
        <v>0.54791138584450239</v>
      </c>
      <c r="D177" s="18">
        <f>KMeans_Data!J36</f>
        <v>1.1134779913146182</v>
      </c>
      <c r="E177" s="56">
        <f t="shared" si="128"/>
        <v>3</v>
      </c>
      <c r="F177" s="38">
        <f t="shared" si="129"/>
        <v>6.8716693476998811E-2</v>
      </c>
      <c r="G177" s="18">
        <f>IF(COUNTIF(Distance_Matrix!$E$10:$DQ$10,$E177)&lt;=1,0,SUMIF(Distance_Matrix!$E$10:$DQ$10,$E177,Distance_Matrix!$E$45:$DQ$45)/(COUNTIF(Distance_Matrix!$E$10:$DQ$10,$E177)-1))</f>
        <v>0.80820689193525708</v>
      </c>
      <c r="H177" s="18">
        <f>MIN(IF(1=$E177,1E+99,IF(COUNTIF(Distance_Matrix!$E$10:$DQ$10,1)=0,1E+99,SUMIF(Distance_Matrix!$E$10:$DQ$10,1,Distance_Matrix!$E$45:$DQ$45)/COUNTIF(Distance_Matrix!$E$10:$DQ$10,1))),IF(2=$E177,1E+99,IF(COUNTIF(Distance_Matrix!$E$10:$DQ$10,2)=0,1E+99,SUMIF(Distance_Matrix!$E$10:$DQ$10,2,Distance_Matrix!$E$45:$DQ$45)/COUNTIF(Distance_Matrix!$E$10:$DQ$10,2))),IF(3=$E177,1E+99,IF(COUNTIF(Distance_Matrix!$E$10:$DQ$10,3)=0,1E+99,SUMIF(Distance_Matrix!$E$10:$DQ$10,3,Distance_Matrix!$E$45:$DQ$45)/COUNTIF(Distance_Matrix!$E$10:$DQ$10,3))),IF(4=$E177,1E+99,IF(COUNTIF(Distance_Matrix!$E$10:$DQ$10,4)=0,1E+99,SUMIF(Distance_Matrix!$E$10:$DQ$10,4,Distance_Matrix!$E$45:$DQ$45)/COUNTIF(Distance_Matrix!$E$10:$DQ$10,4))))</f>
        <v>2.0565490604079679</v>
      </c>
      <c r="I177" s="18">
        <f>IF(COUNTIF(Distance_Matrix!$E$10:$DQ$10,$E177)&lt;=1,0,(H177-G177)/MAX(G177,H177))</f>
        <v>0.60700821220626322</v>
      </c>
      <c r="X177" s="18">
        <f t="shared" si="154"/>
        <v>4.9077486940462336</v>
      </c>
      <c r="Y177" s="18">
        <f t="shared" si="154"/>
        <v>3.6884952947874514</v>
      </c>
      <c r="Z177" s="18">
        <f t="shared" si="154"/>
        <v>0.61328679051740209</v>
      </c>
      <c r="AA177" s="18">
        <f t="shared" si="154"/>
        <v>2.3648493912275987</v>
      </c>
      <c r="AB177" s="56">
        <f t="shared" si="131"/>
        <v>3</v>
      </c>
      <c r="AD177" s="18">
        <f t="shared" si="155"/>
        <v>3.9617120445701826</v>
      </c>
      <c r="AE177" s="18">
        <f t="shared" si="155"/>
        <v>2.9857504843238671</v>
      </c>
      <c r="AF177" s="18">
        <f t="shared" si="155"/>
        <v>0.23882544729583882</v>
      </c>
      <c r="AG177" s="18">
        <f t="shared" si="155"/>
        <v>2.0301615032797069</v>
      </c>
      <c r="AH177" s="56">
        <f t="shared" si="133"/>
        <v>3</v>
      </c>
      <c r="AJ177" s="18">
        <f t="shared" si="156"/>
        <v>3.6192385767739004</v>
      </c>
      <c r="AK177" s="18">
        <f t="shared" si="156"/>
        <v>3.0153207336773926</v>
      </c>
      <c r="AL177" s="18">
        <f t="shared" si="156"/>
        <v>0.26946030620062683</v>
      </c>
      <c r="AM177" s="18">
        <f t="shared" si="156"/>
        <v>1.9377618475335319</v>
      </c>
      <c r="AN177" s="56">
        <f t="shared" si="135"/>
        <v>3</v>
      </c>
      <c r="AP177" s="18">
        <f t="shared" si="157"/>
        <v>3.332767143123462</v>
      </c>
      <c r="AQ177" s="18">
        <f t="shared" si="157"/>
        <v>3.1035202910729409</v>
      </c>
      <c r="AR177" s="18">
        <f t="shared" si="157"/>
        <v>0.26213869130099587</v>
      </c>
      <c r="AS177" s="18">
        <f t="shared" si="157"/>
        <v>1.9536056636574184</v>
      </c>
      <c r="AT177" s="56">
        <f t="shared" si="137"/>
        <v>3</v>
      </c>
      <c r="AV177" s="18">
        <f t="shared" si="158"/>
        <v>3.332767143123462</v>
      </c>
      <c r="AW177" s="18">
        <f t="shared" si="158"/>
        <v>3.1035202910729409</v>
      </c>
      <c r="AX177" s="18">
        <f t="shared" si="158"/>
        <v>0.26213869130099587</v>
      </c>
      <c r="AY177" s="18">
        <f t="shared" si="158"/>
        <v>1.9536056636574184</v>
      </c>
      <c r="AZ177" s="56">
        <f t="shared" si="139"/>
        <v>3</v>
      </c>
      <c r="BB177" s="18">
        <f t="shared" si="159"/>
        <v>3.332767143123462</v>
      </c>
      <c r="BC177" s="18">
        <f t="shared" si="159"/>
        <v>3.1035202910729409</v>
      </c>
      <c r="BD177" s="18">
        <f t="shared" si="159"/>
        <v>0.26213869130099587</v>
      </c>
      <c r="BE177" s="18">
        <f t="shared" si="159"/>
        <v>1.9536056636574184</v>
      </c>
      <c r="BF177" s="56">
        <f t="shared" si="141"/>
        <v>3</v>
      </c>
      <c r="BH177" s="18">
        <f t="shared" si="160"/>
        <v>3.332767143123462</v>
      </c>
      <c r="BI177" s="18">
        <f t="shared" si="160"/>
        <v>3.1035202910729409</v>
      </c>
      <c r="BJ177" s="18">
        <f t="shared" si="160"/>
        <v>0.26213869130099587</v>
      </c>
      <c r="BK177" s="18">
        <f t="shared" si="160"/>
        <v>1.9536056636574184</v>
      </c>
      <c r="BL177" s="56">
        <f t="shared" si="143"/>
        <v>3</v>
      </c>
      <c r="BN177" s="18">
        <f t="shared" si="161"/>
        <v>3.332767143123462</v>
      </c>
      <c r="BO177" s="18">
        <f t="shared" si="161"/>
        <v>3.1035202910729409</v>
      </c>
      <c r="BP177" s="18">
        <f t="shared" si="161"/>
        <v>0.26213869130099587</v>
      </c>
      <c r="BQ177" s="18">
        <f t="shared" si="161"/>
        <v>1.9536056636574184</v>
      </c>
      <c r="BR177" s="56">
        <f t="shared" si="145"/>
        <v>3</v>
      </c>
      <c r="BT177" s="18">
        <f t="shared" si="162"/>
        <v>3.332767143123462</v>
      </c>
      <c r="BU177" s="18">
        <f t="shared" si="162"/>
        <v>3.1035202910729409</v>
      </c>
      <c r="BV177" s="18">
        <f t="shared" si="162"/>
        <v>0.26213869130099587</v>
      </c>
      <c r="BW177" s="18">
        <f t="shared" si="162"/>
        <v>1.9536056636574184</v>
      </c>
      <c r="BX177" s="56">
        <f t="shared" si="147"/>
        <v>3</v>
      </c>
      <c r="BZ177" s="18">
        <f t="shared" si="163"/>
        <v>3.332767143123462</v>
      </c>
      <c r="CA177" s="18">
        <f t="shared" si="163"/>
        <v>3.1035202910729409</v>
      </c>
      <c r="CB177" s="18">
        <f t="shared" si="163"/>
        <v>0.26213869130099587</v>
      </c>
      <c r="CC177" s="18">
        <f t="shared" si="163"/>
        <v>1.9536056636574184</v>
      </c>
      <c r="CD177" s="56">
        <f t="shared" si="149"/>
        <v>3</v>
      </c>
      <c r="CF177" s="18">
        <f t="shared" si="164"/>
        <v>3.332767143123462</v>
      </c>
      <c r="CG177" s="18">
        <f t="shared" si="164"/>
        <v>3.1035202910729409</v>
      </c>
      <c r="CH177" s="18">
        <f t="shared" si="164"/>
        <v>0.26213869130099587</v>
      </c>
      <c r="CI177" s="18">
        <f t="shared" si="164"/>
        <v>1.9536056636574184</v>
      </c>
      <c r="CJ177" s="56">
        <f t="shared" si="151"/>
        <v>3</v>
      </c>
      <c r="CL177" s="18">
        <f t="shared" si="165"/>
        <v>3.332767143123462</v>
      </c>
      <c r="CM177" s="18">
        <f t="shared" si="165"/>
        <v>3.1035202910729409</v>
      </c>
      <c r="CN177" s="18">
        <f t="shared" si="165"/>
        <v>0.26213869130099587</v>
      </c>
      <c r="CO177" s="18">
        <f t="shared" si="165"/>
        <v>1.9536056636574184</v>
      </c>
      <c r="CP177" s="56">
        <f t="shared" si="153"/>
        <v>3</v>
      </c>
    </row>
    <row r="178" spans="1:94" x14ac:dyDescent="0.25">
      <c r="A178" s="36" t="str">
        <f>KMeans_Data!A37</f>
        <v>Karak</v>
      </c>
      <c r="B178" s="18">
        <f>KMeans_Data!H37</f>
        <v>0.53160574306813768</v>
      </c>
      <c r="C178" s="18">
        <f>KMeans_Data!I37</f>
        <v>0.37868427752921691</v>
      </c>
      <c r="D178" s="18">
        <f>KMeans_Data!J37</f>
        <v>0.2867168485915767</v>
      </c>
      <c r="E178" s="56">
        <f t="shared" ref="E178:E209" si="166">CP178</f>
        <v>3</v>
      </c>
      <c r="F178" s="38">
        <f t="shared" ref="F178:F209" si="167">($B178-INDEX($L$139:$O$139,E178))^2+($C178-INDEX($L$140:$O$140,E178))^2+($D178-INDEX($L$141:$O$141,E178))^2</f>
        <v>0.40550438875271233</v>
      </c>
      <c r="G178" s="18">
        <f>IF(COUNTIF(Distance_Matrix!$E$10:$DQ$10,$E178)&lt;=1,0,SUMIF(Distance_Matrix!$E$10:$DQ$10,$E178,Distance_Matrix!$E$46:$DQ$46)/(COUNTIF(Distance_Matrix!$E$10:$DQ$10,$E178)-1))</f>
        <v>0.96352461077204488</v>
      </c>
      <c r="H178" s="18">
        <f>MIN(IF(1=$E178,1E+99,IF(COUNTIF(Distance_Matrix!$E$10:$DQ$10,1)=0,1E+99,SUMIF(Distance_Matrix!$E$10:$DQ$10,1,Distance_Matrix!$E$46:$DQ$46)/COUNTIF(Distance_Matrix!$E$10:$DQ$10,1))),IF(2=$E178,1E+99,IF(COUNTIF(Distance_Matrix!$E$10:$DQ$10,2)=0,1E+99,SUMIF(Distance_Matrix!$E$10:$DQ$10,2,Distance_Matrix!$E$46:$DQ$46)/COUNTIF(Distance_Matrix!$E$10:$DQ$10,2))),IF(3=$E178,1E+99,IF(COUNTIF(Distance_Matrix!$E$10:$DQ$10,3)=0,1E+99,SUMIF(Distance_Matrix!$E$10:$DQ$10,3,Distance_Matrix!$E$46:$DQ$46)/COUNTIF(Distance_Matrix!$E$10:$DQ$10,3))),IF(4=$E178,1E+99,IF(COUNTIF(Distance_Matrix!$E$10:$DQ$10,4)=0,1E+99,SUMIF(Distance_Matrix!$E$10:$DQ$10,4,Distance_Matrix!$E$46:$DQ$46)/COUNTIF(Distance_Matrix!$E$10:$DQ$10,4))))</f>
        <v>1.4637640448543705</v>
      </c>
      <c r="I178" s="18">
        <f>IF(COUNTIF(Distance_Matrix!$E$10:$DQ$10,$E178)&lt;=1,0,(H178-G178)/MAX(G178,H178))</f>
        <v>0.34174868267931413</v>
      </c>
      <c r="X178" s="18">
        <f t="shared" si="154"/>
        <v>5.4512731124576481</v>
      </c>
      <c r="Y178" s="18">
        <f t="shared" si="154"/>
        <v>3.1584931364728011</v>
      </c>
      <c r="Z178" s="18">
        <f t="shared" si="154"/>
        <v>1.2871988045077052</v>
      </c>
      <c r="AA178" s="18">
        <f t="shared" si="154"/>
        <v>1.5300312133399783</v>
      </c>
      <c r="AB178" s="56">
        <f t="shared" ref="AB178:AB209" si="168">MATCH(MIN(X178:AA178),X178:AA178,0)</f>
        <v>3</v>
      </c>
      <c r="AD178" s="18">
        <f t="shared" si="155"/>
        <v>4.4549170030924259</v>
      </c>
      <c r="AE178" s="18">
        <f t="shared" si="155"/>
        <v>2.3877764663604468</v>
      </c>
      <c r="AF178" s="18">
        <f t="shared" si="155"/>
        <v>0.62980691029595137</v>
      </c>
      <c r="AG178" s="18">
        <f t="shared" si="155"/>
        <v>1.3217037479186102</v>
      </c>
      <c r="AH178" s="56">
        <f t="shared" ref="AH178:AH209" si="169">MATCH(MIN(AD178:AG178),AD178:AG178,0)</f>
        <v>3</v>
      </c>
      <c r="AJ178" s="18">
        <f t="shared" si="156"/>
        <v>4.108711945518734</v>
      </c>
      <c r="AK178" s="18">
        <f t="shared" si="156"/>
        <v>2.4075412685269812</v>
      </c>
      <c r="AL178" s="18">
        <f t="shared" si="156"/>
        <v>0.67114881825925432</v>
      </c>
      <c r="AM178" s="18">
        <f t="shared" si="156"/>
        <v>1.2618406443515424</v>
      </c>
      <c r="AN178" s="56">
        <f t="shared" ref="AN178:AN209" si="170">MATCH(MIN(AJ178:AM178),AJ178:AM178,0)</f>
        <v>3</v>
      </c>
      <c r="AP178" s="18">
        <f t="shared" si="157"/>
        <v>3.8178007971595944</v>
      </c>
      <c r="AQ178" s="18">
        <f t="shared" si="157"/>
        <v>2.4874424734001663</v>
      </c>
      <c r="AR178" s="18">
        <f t="shared" si="157"/>
        <v>0.6367922649912704</v>
      </c>
      <c r="AS178" s="18">
        <f t="shared" si="157"/>
        <v>1.2885312355900156</v>
      </c>
      <c r="AT178" s="56">
        <f t="shared" ref="AT178:AT209" si="171">MATCH(MIN(AP178:AS178),AP178:AS178,0)</f>
        <v>3</v>
      </c>
      <c r="AV178" s="18">
        <f t="shared" si="158"/>
        <v>3.8178007971595944</v>
      </c>
      <c r="AW178" s="18">
        <f t="shared" si="158"/>
        <v>2.4874424734001663</v>
      </c>
      <c r="AX178" s="18">
        <f t="shared" si="158"/>
        <v>0.6367922649912704</v>
      </c>
      <c r="AY178" s="18">
        <f t="shared" si="158"/>
        <v>1.2885312355900156</v>
      </c>
      <c r="AZ178" s="56">
        <f t="shared" ref="AZ178:AZ209" si="172">MATCH(MIN(AV178:AY178),AV178:AY178,0)</f>
        <v>3</v>
      </c>
      <c r="BB178" s="18">
        <f t="shared" si="159"/>
        <v>3.8178007971595944</v>
      </c>
      <c r="BC178" s="18">
        <f t="shared" si="159"/>
        <v>2.4874424734001663</v>
      </c>
      <c r="BD178" s="18">
        <f t="shared" si="159"/>
        <v>0.6367922649912704</v>
      </c>
      <c r="BE178" s="18">
        <f t="shared" si="159"/>
        <v>1.2885312355900156</v>
      </c>
      <c r="BF178" s="56">
        <f t="shared" ref="BF178:BF209" si="173">MATCH(MIN(BB178:BE178),BB178:BE178,0)</f>
        <v>3</v>
      </c>
      <c r="BH178" s="18">
        <f t="shared" si="160"/>
        <v>3.8178007971595944</v>
      </c>
      <c r="BI178" s="18">
        <f t="shared" si="160"/>
        <v>2.4874424734001663</v>
      </c>
      <c r="BJ178" s="18">
        <f t="shared" si="160"/>
        <v>0.6367922649912704</v>
      </c>
      <c r="BK178" s="18">
        <f t="shared" si="160"/>
        <v>1.2885312355900156</v>
      </c>
      <c r="BL178" s="56">
        <f t="shared" ref="BL178:BL209" si="174">MATCH(MIN(BH178:BK178),BH178:BK178,0)</f>
        <v>3</v>
      </c>
      <c r="BN178" s="18">
        <f t="shared" si="161"/>
        <v>3.8178007971595944</v>
      </c>
      <c r="BO178" s="18">
        <f t="shared" si="161"/>
        <v>2.4874424734001663</v>
      </c>
      <c r="BP178" s="18">
        <f t="shared" si="161"/>
        <v>0.6367922649912704</v>
      </c>
      <c r="BQ178" s="18">
        <f t="shared" si="161"/>
        <v>1.2885312355900156</v>
      </c>
      <c r="BR178" s="56">
        <f t="shared" ref="BR178:BR209" si="175">MATCH(MIN(BN178:BQ178),BN178:BQ178,0)</f>
        <v>3</v>
      </c>
      <c r="BT178" s="18">
        <f t="shared" si="162"/>
        <v>3.8178007971595944</v>
      </c>
      <c r="BU178" s="18">
        <f t="shared" si="162"/>
        <v>2.4874424734001663</v>
      </c>
      <c r="BV178" s="18">
        <f t="shared" si="162"/>
        <v>0.6367922649912704</v>
      </c>
      <c r="BW178" s="18">
        <f t="shared" si="162"/>
        <v>1.2885312355900156</v>
      </c>
      <c r="BX178" s="56">
        <f t="shared" ref="BX178:BX209" si="176">MATCH(MIN(BT178:BW178),BT178:BW178,0)</f>
        <v>3</v>
      </c>
      <c r="BZ178" s="18">
        <f t="shared" si="163"/>
        <v>3.8178007971595944</v>
      </c>
      <c r="CA178" s="18">
        <f t="shared" si="163"/>
        <v>2.4874424734001663</v>
      </c>
      <c r="CB178" s="18">
        <f t="shared" si="163"/>
        <v>0.6367922649912704</v>
      </c>
      <c r="CC178" s="18">
        <f t="shared" si="163"/>
        <v>1.2885312355900156</v>
      </c>
      <c r="CD178" s="56">
        <f t="shared" ref="CD178:CD209" si="177">MATCH(MIN(BZ178:CC178),BZ178:CC178,0)</f>
        <v>3</v>
      </c>
      <c r="CF178" s="18">
        <f t="shared" si="164"/>
        <v>3.8178007971595944</v>
      </c>
      <c r="CG178" s="18">
        <f t="shared" si="164"/>
        <v>2.4874424734001663</v>
      </c>
      <c r="CH178" s="18">
        <f t="shared" si="164"/>
        <v>0.6367922649912704</v>
      </c>
      <c r="CI178" s="18">
        <f t="shared" si="164"/>
        <v>1.2885312355900156</v>
      </c>
      <c r="CJ178" s="56">
        <f t="shared" ref="CJ178:CJ209" si="178">MATCH(MIN(CF178:CI178),CF178:CI178,0)</f>
        <v>3</v>
      </c>
      <c r="CL178" s="18">
        <f t="shared" si="165"/>
        <v>3.8178007971595944</v>
      </c>
      <c r="CM178" s="18">
        <f t="shared" si="165"/>
        <v>2.4874424734001663</v>
      </c>
      <c r="CN178" s="18">
        <f t="shared" si="165"/>
        <v>0.6367922649912704</v>
      </c>
      <c r="CO178" s="18">
        <f t="shared" si="165"/>
        <v>1.2885312355900156</v>
      </c>
      <c r="CP178" s="56">
        <f t="shared" ref="CP178:CP209" si="179">MATCH(MIN(CL178:CO178),CL178:CO178,0)</f>
        <v>3</v>
      </c>
    </row>
    <row r="179" spans="1:94" x14ac:dyDescent="0.25">
      <c r="A179" s="36" t="str">
        <f>KMeans_Data!A38</f>
        <v>Shangla</v>
      </c>
      <c r="B179" s="18">
        <f>KMeans_Data!H38</f>
        <v>0.48474983033217361</v>
      </c>
      <c r="C179" s="18">
        <f>KMeans_Data!I38</f>
        <v>-0.14698313392952958</v>
      </c>
      <c r="D179" s="18">
        <f>KMeans_Data!J38</f>
        <v>0.55201703639881239</v>
      </c>
      <c r="E179" s="56">
        <f t="shared" si="166"/>
        <v>3</v>
      </c>
      <c r="F179" s="38">
        <f t="shared" si="167"/>
        <v>0.70578683250228924</v>
      </c>
      <c r="G179" s="18">
        <f>IF(COUNTIF(Distance_Matrix!$E$10:$DQ$10,$E179)&lt;=1,0,SUMIF(Distance_Matrix!$E$10:$DQ$10,$E179,Distance_Matrix!$E$47:$DQ$47)/(COUNTIF(Distance_Matrix!$E$10:$DQ$10,$E179)-1))</f>
        <v>1.0742827251836651</v>
      </c>
      <c r="H179" s="18">
        <f>MIN(IF(1=$E179,1E+99,IF(COUNTIF(Distance_Matrix!$E$10:$DQ$10,1)=0,1E+99,SUMIF(Distance_Matrix!$E$10:$DQ$10,1,Distance_Matrix!$E$47:$DQ$47)/COUNTIF(Distance_Matrix!$E$10:$DQ$10,1))),IF(2=$E179,1E+99,IF(COUNTIF(Distance_Matrix!$E$10:$DQ$10,2)=0,1E+99,SUMIF(Distance_Matrix!$E$10:$DQ$10,2,Distance_Matrix!$E$47:$DQ$47)/COUNTIF(Distance_Matrix!$E$10:$DQ$10,2))),IF(3=$E179,1E+99,IF(COUNTIF(Distance_Matrix!$E$10:$DQ$10,3)=0,1E+99,SUMIF(Distance_Matrix!$E$10:$DQ$10,3,Distance_Matrix!$E$47:$DQ$47)/COUNTIF(Distance_Matrix!$E$10:$DQ$10,3))),IF(4=$E179,1E+99,IF(COUNTIF(Distance_Matrix!$E$10:$DQ$10,4)=0,1E+99,SUMIF(Distance_Matrix!$E$10:$DQ$10,4,Distance_Matrix!$E$47:$DQ$47)/COUNTIF(Distance_Matrix!$E$10:$DQ$10,4))))</f>
        <v>1.3476479400995489</v>
      </c>
      <c r="I179" s="18">
        <f>IF(COUNTIF(Distance_Matrix!$E$10:$DQ$10,$E179)&lt;=1,0,(H179-G179)/MAX(G179,H179))</f>
        <v>0.20284616388438267</v>
      </c>
      <c r="X179" s="18">
        <f t="shared" si="154"/>
        <v>5.7093441936674045</v>
      </c>
      <c r="Y179" s="18">
        <f t="shared" si="154"/>
        <v>3.1200925235572523</v>
      </c>
      <c r="Z179" s="18">
        <f t="shared" si="154"/>
        <v>1.193781578262858</v>
      </c>
      <c r="AA179" s="18">
        <f t="shared" si="154"/>
        <v>1.7052711441023685</v>
      </c>
      <c r="AB179" s="56">
        <f t="shared" si="168"/>
        <v>3</v>
      </c>
      <c r="AD179" s="18">
        <f t="shared" si="155"/>
        <v>4.7472659706576144</v>
      </c>
      <c r="AE179" s="18">
        <f t="shared" si="155"/>
        <v>2.3338935287434199</v>
      </c>
      <c r="AF179" s="18">
        <f t="shared" si="155"/>
        <v>0.80392873006170307</v>
      </c>
      <c r="AG179" s="18">
        <f t="shared" si="155"/>
        <v>1.2460420012316891</v>
      </c>
      <c r="AH179" s="56">
        <f t="shared" si="169"/>
        <v>3</v>
      </c>
      <c r="AJ179" s="18">
        <f t="shared" si="156"/>
        <v>4.3976535577199245</v>
      </c>
      <c r="AK179" s="18">
        <f t="shared" si="156"/>
        <v>2.3599557158692162</v>
      </c>
      <c r="AL179" s="18">
        <f t="shared" si="156"/>
        <v>0.88852062602217774</v>
      </c>
      <c r="AM179" s="18">
        <f t="shared" si="156"/>
        <v>1.148110836831006</v>
      </c>
      <c r="AN179" s="56">
        <f t="shared" si="170"/>
        <v>3</v>
      </c>
      <c r="AP179" s="18">
        <f t="shared" si="157"/>
        <v>4.1133006269463204</v>
      </c>
      <c r="AQ179" s="18">
        <f t="shared" si="157"/>
        <v>2.4505990796944812</v>
      </c>
      <c r="AR179" s="18">
        <f t="shared" si="157"/>
        <v>0.84011120246208437</v>
      </c>
      <c r="AS179" s="18">
        <f t="shared" si="157"/>
        <v>1.1688443245619073</v>
      </c>
      <c r="AT179" s="56">
        <f t="shared" si="171"/>
        <v>3</v>
      </c>
      <c r="AV179" s="18">
        <f t="shared" si="158"/>
        <v>4.1133006269463204</v>
      </c>
      <c r="AW179" s="18">
        <f t="shared" si="158"/>
        <v>2.4505990796944812</v>
      </c>
      <c r="AX179" s="18">
        <f t="shared" si="158"/>
        <v>0.84011120246208437</v>
      </c>
      <c r="AY179" s="18">
        <f t="shared" si="158"/>
        <v>1.1688443245619073</v>
      </c>
      <c r="AZ179" s="56">
        <f t="shared" si="172"/>
        <v>3</v>
      </c>
      <c r="BB179" s="18">
        <f t="shared" si="159"/>
        <v>4.1133006269463204</v>
      </c>
      <c r="BC179" s="18">
        <f t="shared" si="159"/>
        <v>2.4505990796944812</v>
      </c>
      <c r="BD179" s="18">
        <f t="shared" si="159"/>
        <v>0.84011120246208437</v>
      </c>
      <c r="BE179" s="18">
        <f t="shared" si="159"/>
        <v>1.1688443245619073</v>
      </c>
      <c r="BF179" s="56">
        <f t="shared" si="173"/>
        <v>3</v>
      </c>
      <c r="BH179" s="18">
        <f t="shared" si="160"/>
        <v>4.1133006269463204</v>
      </c>
      <c r="BI179" s="18">
        <f t="shared" si="160"/>
        <v>2.4505990796944812</v>
      </c>
      <c r="BJ179" s="18">
        <f t="shared" si="160"/>
        <v>0.84011120246208437</v>
      </c>
      <c r="BK179" s="18">
        <f t="shared" si="160"/>
        <v>1.1688443245619073</v>
      </c>
      <c r="BL179" s="56">
        <f t="shared" si="174"/>
        <v>3</v>
      </c>
      <c r="BN179" s="18">
        <f t="shared" si="161"/>
        <v>4.1133006269463204</v>
      </c>
      <c r="BO179" s="18">
        <f t="shared" si="161"/>
        <v>2.4505990796944812</v>
      </c>
      <c r="BP179" s="18">
        <f t="shared" si="161"/>
        <v>0.84011120246208437</v>
      </c>
      <c r="BQ179" s="18">
        <f t="shared" si="161"/>
        <v>1.1688443245619073</v>
      </c>
      <c r="BR179" s="56">
        <f t="shared" si="175"/>
        <v>3</v>
      </c>
      <c r="BT179" s="18">
        <f t="shared" si="162"/>
        <v>4.1133006269463204</v>
      </c>
      <c r="BU179" s="18">
        <f t="shared" si="162"/>
        <v>2.4505990796944812</v>
      </c>
      <c r="BV179" s="18">
        <f t="shared" si="162"/>
        <v>0.84011120246208437</v>
      </c>
      <c r="BW179" s="18">
        <f t="shared" si="162"/>
        <v>1.1688443245619073</v>
      </c>
      <c r="BX179" s="56">
        <f t="shared" si="176"/>
        <v>3</v>
      </c>
      <c r="BZ179" s="18">
        <f t="shared" si="163"/>
        <v>4.1133006269463204</v>
      </c>
      <c r="CA179" s="18">
        <f t="shared" si="163"/>
        <v>2.4505990796944812</v>
      </c>
      <c r="CB179" s="18">
        <f t="shared" si="163"/>
        <v>0.84011120246208437</v>
      </c>
      <c r="CC179" s="18">
        <f t="shared" si="163"/>
        <v>1.1688443245619073</v>
      </c>
      <c r="CD179" s="56">
        <f t="shared" si="177"/>
        <v>3</v>
      </c>
      <c r="CF179" s="18">
        <f t="shared" si="164"/>
        <v>4.1133006269463204</v>
      </c>
      <c r="CG179" s="18">
        <f t="shared" si="164"/>
        <v>2.4505990796944812</v>
      </c>
      <c r="CH179" s="18">
        <f t="shared" si="164"/>
        <v>0.84011120246208437</v>
      </c>
      <c r="CI179" s="18">
        <f t="shared" si="164"/>
        <v>1.1688443245619073</v>
      </c>
      <c r="CJ179" s="56">
        <f t="shared" si="178"/>
        <v>3</v>
      </c>
      <c r="CL179" s="18">
        <f t="shared" si="165"/>
        <v>4.1133006269463204</v>
      </c>
      <c r="CM179" s="18">
        <f t="shared" si="165"/>
        <v>2.4505990796944812</v>
      </c>
      <c r="CN179" s="18">
        <f t="shared" si="165"/>
        <v>0.84011120246208437</v>
      </c>
      <c r="CO179" s="18">
        <f t="shared" si="165"/>
        <v>1.1688443245619073</v>
      </c>
      <c r="CP179" s="56">
        <f t="shared" si="179"/>
        <v>3</v>
      </c>
    </row>
    <row r="180" spans="1:94" x14ac:dyDescent="0.25">
      <c r="A180" s="36" t="str">
        <f>KMeans_Data!A39</f>
        <v>Mansehra</v>
      </c>
      <c r="B180" s="18">
        <f>KMeans_Data!H39</f>
        <v>0.48474983033217361</v>
      </c>
      <c r="C180" s="18">
        <f>KMeans_Data!I39</f>
        <v>1.3810745208577742</v>
      </c>
      <c r="D180" s="18">
        <f>KMeans_Data!J39</f>
        <v>0.30731539115103124</v>
      </c>
      <c r="E180" s="56">
        <f t="shared" si="166"/>
        <v>3</v>
      </c>
      <c r="F180" s="38">
        <f t="shared" si="167"/>
        <v>0.91998508398179024</v>
      </c>
      <c r="G180" s="18">
        <f>IF(COUNTIF(Distance_Matrix!$E$10:$DQ$10,$E180)&lt;=1,0,SUMIF(Distance_Matrix!$E$10:$DQ$10,$E180,Distance_Matrix!$E$48:$DQ$48)/(COUNTIF(Distance_Matrix!$E$10:$DQ$10,$E180)-1))</f>
        <v>1.1814653751028423</v>
      </c>
      <c r="H180" s="18">
        <f>MIN(IF(1=$E180,1E+99,IF(COUNTIF(Distance_Matrix!$E$10:$DQ$10,1)=0,1E+99,SUMIF(Distance_Matrix!$E$10:$DQ$10,1,Distance_Matrix!$E$48:$DQ$48)/COUNTIF(Distance_Matrix!$E$10:$DQ$10,1))),IF(2=$E180,1E+99,IF(COUNTIF(Distance_Matrix!$E$10:$DQ$10,2)=0,1E+99,SUMIF(Distance_Matrix!$E$10:$DQ$10,2,Distance_Matrix!$E$48:$DQ$48)/COUNTIF(Distance_Matrix!$E$10:$DQ$10,2))),IF(3=$E180,1E+99,IF(COUNTIF(Distance_Matrix!$E$10:$DQ$10,3)=0,1E+99,SUMIF(Distance_Matrix!$E$10:$DQ$10,3,Distance_Matrix!$E$48:$DQ$48)/COUNTIF(Distance_Matrix!$E$10:$DQ$10,3))),IF(4=$E180,1E+99,IF(COUNTIF(Distance_Matrix!$E$10:$DQ$10,4)=0,1E+99,SUMIF(Distance_Matrix!$E$10:$DQ$10,4,Distance_Matrix!$E$48:$DQ$48)/COUNTIF(Distance_Matrix!$E$10:$DQ$10,4))))</f>
        <v>2.2155624448144402</v>
      </c>
      <c r="I180" s="18">
        <f>IF(COUNTIF(Distance_Matrix!$E$10:$DQ$10,$E180)&lt;=1,0,(H180-G180)/MAX(G180,H180))</f>
        <v>0.46674246177620443</v>
      </c>
      <c r="X180" s="18">
        <f t="shared" si="154"/>
        <v>4.8498232359863591</v>
      </c>
      <c r="Y180" s="18">
        <f t="shared" si="154"/>
        <v>3.592419201138521</v>
      </c>
      <c r="Z180" s="18">
        <f t="shared" si="154"/>
        <v>1.6318441222640736</v>
      </c>
      <c r="AA180" s="18">
        <f t="shared" si="154"/>
        <v>2.1146980427842497</v>
      </c>
      <c r="AB180" s="56">
        <f t="shared" si="168"/>
        <v>3</v>
      </c>
      <c r="AD180" s="18">
        <f t="shared" si="155"/>
        <v>3.8331505847919134</v>
      </c>
      <c r="AE180" s="18">
        <f t="shared" si="155"/>
        <v>2.9433255972208618</v>
      </c>
      <c r="AF180" s="18">
        <f t="shared" si="155"/>
        <v>0.99480788516842023</v>
      </c>
      <c r="AG180" s="18">
        <f t="shared" si="155"/>
        <v>2.1145800549535774</v>
      </c>
      <c r="AH180" s="56">
        <f t="shared" si="169"/>
        <v>3</v>
      </c>
      <c r="AJ180" s="18">
        <f t="shared" si="156"/>
        <v>3.5075716430701473</v>
      </c>
      <c r="AK180" s="18">
        <f t="shared" si="156"/>
        <v>2.9598713728989519</v>
      </c>
      <c r="AL180" s="18">
        <f t="shared" si="156"/>
        <v>0.93877233431153595</v>
      </c>
      <c r="AM180" s="18">
        <f t="shared" si="156"/>
        <v>2.079916354546413</v>
      </c>
      <c r="AN180" s="56">
        <f t="shared" si="170"/>
        <v>3</v>
      </c>
      <c r="AP180" s="18">
        <f t="shared" si="157"/>
        <v>3.211903941985907</v>
      </c>
      <c r="AQ180" s="18">
        <f t="shared" si="157"/>
        <v>3.0243662839983627</v>
      </c>
      <c r="AR180" s="18">
        <f t="shared" si="157"/>
        <v>0.95915852911903476</v>
      </c>
      <c r="AS180" s="18">
        <f t="shared" si="157"/>
        <v>2.1002108807096267</v>
      </c>
      <c r="AT180" s="56">
        <f t="shared" si="171"/>
        <v>3</v>
      </c>
      <c r="AV180" s="18">
        <f t="shared" si="158"/>
        <v>3.211903941985907</v>
      </c>
      <c r="AW180" s="18">
        <f t="shared" si="158"/>
        <v>3.0243662839983627</v>
      </c>
      <c r="AX180" s="18">
        <f t="shared" si="158"/>
        <v>0.95915852911903476</v>
      </c>
      <c r="AY180" s="18">
        <f t="shared" si="158"/>
        <v>2.1002108807096267</v>
      </c>
      <c r="AZ180" s="56">
        <f t="shared" si="172"/>
        <v>3</v>
      </c>
      <c r="BB180" s="18">
        <f t="shared" si="159"/>
        <v>3.211903941985907</v>
      </c>
      <c r="BC180" s="18">
        <f t="shared" si="159"/>
        <v>3.0243662839983627</v>
      </c>
      <c r="BD180" s="18">
        <f t="shared" si="159"/>
        <v>0.95915852911903476</v>
      </c>
      <c r="BE180" s="18">
        <f t="shared" si="159"/>
        <v>2.1002108807096267</v>
      </c>
      <c r="BF180" s="56">
        <f t="shared" si="173"/>
        <v>3</v>
      </c>
      <c r="BH180" s="18">
        <f t="shared" si="160"/>
        <v>3.211903941985907</v>
      </c>
      <c r="BI180" s="18">
        <f t="shared" si="160"/>
        <v>3.0243662839983627</v>
      </c>
      <c r="BJ180" s="18">
        <f t="shared" si="160"/>
        <v>0.95915852911903476</v>
      </c>
      <c r="BK180" s="18">
        <f t="shared" si="160"/>
        <v>2.1002108807096267</v>
      </c>
      <c r="BL180" s="56">
        <f t="shared" si="174"/>
        <v>3</v>
      </c>
      <c r="BN180" s="18">
        <f t="shared" si="161"/>
        <v>3.211903941985907</v>
      </c>
      <c r="BO180" s="18">
        <f t="shared" si="161"/>
        <v>3.0243662839983627</v>
      </c>
      <c r="BP180" s="18">
        <f t="shared" si="161"/>
        <v>0.95915852911903476</v>
      </c>
      <c r="BQ180" s="18">
        <f t="shared" si="161"/>
        <v>2.1002108807096267</v>
      </c>
      <c r="BR180" s="56">
        <f t="shared" si="175"/>
        <v>3</v>
      </c>
      <c r="BT180" s="18">
        <f t="shared" si="162"/>
        <v>3.211903941985907</v>
      </c>
      <c r="BU180" s="18">
        <f t="shared" si="162"/>
        <v>3.0243662839983627</v>
      </c>
      <c r="BV180" s="18">
        <f t="shared" si="162"/>
        <v>0.95915852911903476</v>
      </c>
      <c r="BW180" s="18">
        <f t="shared" si="162"/>
        <v>2.1002108807096267</v>
      </c>
      <c r="BX180" s="56">
        <f t="shared" si="176"/>
        <v>3</v>
      </c>
      <c r="BZ180" s="18">
        <f t="shared" si="163"/>
        <v>3.211903941985907</v>
      </c>
      <c r="CA180" s="18">
        <f t="shared" si="163"/>
        <v>3.0243662839983627</v>
      </c>
      <c r="CB180" s="18">
        <f t="shared" si="163"/>
        <v>0.95915852911903476</v>
      </c>
      <c r="CC180" s="18">
        <f t="shared" si="163"/>
        <v>2.1002108807096267</v>
      </c>
      <c r="CD180" s="56">
        <f t="shared" si="177"/>
        <v>3</v>
      </c>
      <c r="CF180" s="18">
        <f t="shared" si="164"/>
        <v>3.211903941985907</v>
      </c>
      <c r="CG180" s="18">
        <f t="shared" si="164"/>
        <v>3.0243662839983627</v>
      </c>
      <c r="CH180" s="18">
        <f t="shared" si="164"/>
        <v>0.95915852911903476</v>
      </c>
      <c r="CI180" s="18">
        <f t="shared" si="164"/>
        <v>2.1002108807096267</v>
      </c>
      <c r="CJ180" s="56">
        <f t="shared" si="178"/>
        <v>3</v>
      </c>
      <c r="CL180" s="18">
        <f t="shared" si="165"/>
        <v>3.211903941985907</v>
      </c>
      <c r="CM180" s="18">
        <f t="shared" si="165"/>
        <v>3.0243662839983627</v>
      </c>
      <c r="CN180" s="18">
        <f t="shared" si="165"/>
        <v>0.95915852911903476</v>
      </c>
      <c r="CO180" s="18">
        <f t="shared" si="165"/>
        <v>2.1002108807096267</v>
      </c>
      <c r="CP180" s="56">
        <f t="shared" si="179"/>
        <v>3</v>
      </c>
    </row>
    <row r="181" spans="1:94" x14ac:dyDescent="0.25">
      <c r="A181" s="36" t="str">
        <f>KMeans_Data!A40</f>
        <v>Swabi</v>
      </c>
      <c r="B181" s="18">
        <f>KMeans_Data!H40</f>
        <v>0.45366775919714841</v>
      </c>
      <c r="C181" s="18">
        <f>KMeans_Data!I40</f>
        <v>1.1458599186993335</v>
      </c>
      <c r="D181" s="18">
        <f>KMeans_Data!J40</f>
        <v>0.71966725318196356</v>
      </c>
      <c r="E181" s="56">
        <f t="shared" si="166"/>
        <v>3</v>
      </c>
      <c r="F181" s="38">
        <f t="shared" si="167"/>
        <v>0.33315054550699263</v>
      </c>
      <c r="G181" s="18">
        <f>IF(COUNTIF(Distance_Matrix!$E$10:$DQ$10,$E181)&lt;=1,0,SUMIF(Distance_Matrix!$E$10:$DQ$10,$E181,Distance_Matrix!$E$49:$DQ$49)/(COUNTIF(Distance_Matrix!$E$10:$DQ$10,$E181)-1))</f>
        <v>0.9171332999606181</v>
      </c>
      <c r="H181" s="18">
        <f>MIN(IF(1=$E181,1E+99,IF(COUNTIF(Distance_Matrix!$E$10:$DQ$10,1)=0,1E+99,SUMIF(Distance_Matrix!$E$10:$DQ$10,1,Distance_Matrix!$E$49:$DQ$49)/COUNTIF(Distance_Matrix!$E$10:$DQ$10,1))),IF(2=$E181,1E+99,IF(COUNTIF(Distance_Matrix!$E$10:$DQ$10,2)=0,1E+99,SUMIF(Distance_Matrix!$E$10:$DQ$10,2,Distance_Matrix!$E$49:$DQ$49)/COUNTIF(Distance_Matrix!$E$10:$DQ$10,2))),IF(3=$E181,1E+99,IF(COUNTIF(Distance_Matrix!$E$10:$DQ$10,3)=0,1E+99,SUMIF(Distance_Matrix!$E$10:$DQ$10,3,Distance_Matrix!$E$49:$DQ$49)/COUNTIF(Distance_Matrix!$E$10:$DQ$10,3))),IF(4=$E181,1E+99,IF(COUNTIF(Distance_Matrix!$E$10:$DQ$10,4)=0,1E+99,SUMIF(Distance_Matrix!$E$10:$DQ$10,4,Distance_Matrix!$E$49:$DQ$49)/COUNTIF(Distance_Matrix!$E$10:$DQ$10,4))))</f>
        <v>2.175560959566238</v>
      </c>
      <c r="I181" s="18">
        <f>IF(COUNTIF(Distance_Matrix!$E$10:$DQ$10,$E181)&lt;=1,0,(H181-G181)/MAX(G181,H181))</f>
        <v>0.5784382432825621</v>
      </c>
      <c r="X181" s="18">
        <f t="shared" si="154"/>
        <v>4.7688298155952484</v>
      </c>
      <c r="Y181" s="18">
        <f t="shared" si="154"/>
        <v>3.6338012413689014</v>
      </c>
      <c r="Z181" s="18">
        <f t="shared" si="154"/>
        <v>1.2218161570781203</v>
      </c>
      <c r="AA181" s="18">
        <f t="shared" si="154"/>
        <v>2.277651355890935</v>
      </c>
      <c r="AB181" s="56">
        <f t="shared" si="168"/>
        <v>3</v>
      </c>
      <c r="AD181" s="18">
        <f t="shared" si="155"/>
        <v>3.7775148537549419</v>
      </c>
      <c r="AE181" s="18">
        <f t="shared" si="155"/>
        <v>2.9748332161227964</v>
      </c>
      <c r="AF181" s="18">
        <f t="shared" si="155"/>
        <v>0.61089000183073761</v>
      </c>
      <c r="AG181" s="18">
        <f t="shared" si="155"/>
        <v>2.1121748751429772</v>
      </c>
      <c r="AH181" s="56">
        <f t="shared" si="169"/>
        <v>3</v>
      </c>
      <c r="AJ181" s="18">
        <f t="shared" si="156"/>
        <v>3.4446823587904434</v>
      </c>
      <c r="AK181" s="18">
        <f t="shared" si="156"/>
        <v>2.998233169684672</v>
      </c>
      <c r="AL181" s="18">
        <f t="shared" si="156"/>
        <v>0.55079242690331376</v>
      </c>
      <c r="AM181" s="18">
        <f t="shared" si="156"/>
        <v>2.0501246983122106</v>
      </c>
      <c r="AN181" s="56">
        <f t="shared" si="170"/>
        <v>3</v>
      </c>
      <c r="AP181" s="18">
        <f t="shared" si="157"/>
        <v>3.1481137897207176</v>
      </c>
      <c r="AQ181" s="18">
        <f t="shared" si="157"/>
        <v>3.0734968368674669</v>
      </c>
      <c r="AR181" s="18">
        <f t="shared" si="157"/>
        <v>0.57719194858122602</v>
      </c>
      <c r="AS181" s="18">
        <f t="shared" si="157"/>
        <v>2.0671558017975613</v>
      </c>
      <c r="AT181" s="56">
        <f t="shared" si="171"/>
        <v>3</v>
      </c>
      <c r="AV181" s="18">
        <f t="shared" si="158"/>
        <v>3.1481137897207176</v>
      </c>
      <c r="AW181" s="18">
        <f t="shared" si="158"/>
        <v>3.0734968368674669</v>
      </c>
      <c r="AX181" s="18">
        <f t="shared" si="158"/>
        <v>0.57719194858122602</v>
      </c>
      <c r="AY181" s="18">
        <f t="shared" si="158"/>
        <v>2.0671558017975613</v>
      </c>
      <c r="AZ181" s="56">
        <f t="shared" si="172"/>
        <v>3</v>
      </c>
      <c r="BB181" s="18">
        <f t="shared" si="159"/>
        <v>3.1481137897207176</v>
      </c>
      <c r="BC181" s="18">
        <f t="shared" si="159"/>
        <v>3.0734968368674669</v>
      </c>
      <c r="BD181" s="18">
        <f t="shared" si="159"/>
        <v>0.57719194858122602</v>
      </c>
      <c r="BE181" s="18">
        <f t="shared" si="159"/>
        <v>2.0671558017975613</v>
      </c>
      <c r="BF181" s="56">
        <f t="shared" si="173"/>
        <v>3</v>
      </c>
      <c r="BH181" s="18">
        <f t="shared" si="160"/>
        <v>3.1481137897207176</v>
      </c>
      <c r="BI181" s="18">
        <f t="shared" si="160"/>
        <v>3.0734968368674669</v>
      </c>
      <c r="BJ181" s="18">
        <f t="shared" si="160"/>
        <v>0.57719194858122602</v>
      </c>
      <c r="BK181" s="18">
        <f t="shared" si="160"/>
        <v>2.0671558017975613</v>
      </c>
      <c r="BL181" s="56">
        <f t="shared" si="174"/>
        <v>3</v>
      </c>
      <c r="BN181" s="18">
        <f t="shared" si="161"/>
        <v>3.1481137897207176</v>
      </c>
      <c r="BO181" s="18">
        <f t="shared" si="161"/>
        <v>3.0734968368674669</v>
      </c>
      <c r="BP181" s="18">
        <f t="shared" si="161"/>
        <v>0.57719194858122602</v>
      </c>
      <c r="BQ181" s="18">
        <f t="shared" si="161"/>
        <v>2.0671558017975613</v>
      </c>
      <c r="BR181" s="56">
        <f t="shared" si="175"/>
        <v>3</v>
      </c>
      <c r="BT181" s="18">
        <f t="shared" si="162"/>
        <v>3.1481137897207176</v>
      </c>
      <c r="BU181" s="18">
        <f t="shared" si="162"/>
        <v>3.0734968368674669</v>
      </c>
      <c r="BV181" s="18">
        <f t="shared" si="162"/>
        <v>0.57719194858122602</v>
      </c>
      <c r="BW181" s="18">
        <f t="shared" si="162"/>
        <v>2.0671558017975613</v>
      </c>
      <c r="BX181" s="56">
        <f t="shared" si="176"/>
        <v>3</v>
      </c>
      <c r="BZ181" s="18">
        <f t="shared" si="163"/>
        <v>3.1481137897207176</v>
      </c>
      <c r="CA181" s="18">
        <f t="shared" si="163"/>
        <v>3.0734968368674669</v>
      </c>
      <c r="CB181" s="18">
        <f t="shared" si="163"/>
        <v>0.57719194858122602</v>
      </c>
      <c r="CC181" s="18">
        <f t="shared" si="163"/>
        <v>2.0671558017975613</v>
      </c>
      <c r="CD181" s="56">
        <f t="shared" si="177"/>
        <v>3</v>
      </c>
      <c r="CF181" s="18">
        <f t="shared" si="164"/>
        <v>3.1481137897207176</v>
      </c>
      <c r="CG181" s="18">
        <f t="shared" si="164"/>
        <v>3.0734968368674669</v>
      </c>
      <c r="CH181" s="18">
        <f t="shared" si="164"/>
        <v>0.57719194858122602</v>
      </c>
      <c r="CI181" s="18">
        <f t="shared" si="164"/>
        <v>2.0671558017975613</v>
      </c>
      <c r="CJ181" s="56">
        <f t="shared" si="178"/>
        <v>3</v>
      </c>
      <c r="CL181" s="18">
        <f t="shared" si="165"/>
        <v>3.1481137897207176</v>
      </c>
      <c r="CM181" s="18">
        <f t="shared" si="165"/>
        <v>3.0734968368674669</v>
      </c>
      <c r="CN181" s="18">
        <f t="shared" si="165"/>
        <v>0.57719194858122602</v>
      </c>
      <c r="CO181" s="18">
        <f t="shared" si="165"/>
        <v>2.0671558017975613</v>
      </c>
      <c r="CP181" s="56">
        <f t="shared" si="179"/>
        <v>3</v>
      </c>
    </row>
    <row r="182" spans="1:94" x14ac:dyDescent="0.25">
      <c r="A182" s="36" t="str">
        <f>KMeans_Data!A41</f>
        <v>Haripur</v>
      </c>
      <c r="B182" s="18">
        <f>KMeans_Data!H41</f>
        <v>0.43325455393275542</v>
      </c>
      <c r="C182" s="18">
        <f>KMeans_Data!I41</f>
        <v>0.37868427752921691</v>
      </c>
      <c r="D182" s="18">
        <f>KMeans_Data!J41</f>
        <v>0.53998023220398461</v>
      </c>
      <c r="E182" s="56">
        <f t="shared" si="166"/>
        <v>3</v>
      </c>
      <c r="F182" s="38">
        <f t="shared" si="167"/>
        <v>0.20414622384419195</v>
      </c>
      <c r="G182" s="18">
        <f>IF(COUNTIF(Distance_Matrix!$E$10:$DQ$10,$E182)&lt;=1,0,SUMIF(Distance_Matrix!$E$10:$DQ$10,$E182,Distance_Matrix!$E$50:$DQ$50)/(COUNTIF(Distance_Matrix!$E$10:$DQ$10,$E182)-1))</f>
        <v>0.85309402025514081</v>
      </c>
      <c r="H182" s="18">
        <f>MIN(IF(1=$E182,1E+99,IF(COUNTIF(Distance_Matrix!$E$10:$DQ$10,1)=0,1E+99,SUMIF(Distance_Matrix!$E$10:$DQ$10,1,Distance_Matrix!$E$50:$DQ$50)/COUNTIF(Distance_Matrix!$E$10:$DQ$10,1))),IF(2=$E182,1E+99,IF(COUNTIF(Distance_Matrix!$E$10:$DQ$10,2)=0,1E+99,SUMIF(Distance_Matrix!$E$10:$DQ$10,2,Distance_Matrix!$E$50:$DQ$50)/COUNTIF(Distance_Matrix!$E$10:$DQ$10,2))),IF(3=$E182,1E+99,IF(COUNTIF(Distance_Matrix!$E$10:$DQ$10,3)=0,1E+99,SUMIF(Distance_Matrix!$E$10:$DQ$10,3,Distance_Matrix!$E$50:$DQ$50)/COUNTIF(Distance_Matrix!$E$10:$DQ$10,3))),IF(4=$E182,1E+99,IF(COUNTIF(Distance_Matrix!$E$10:$DQ$10,4)=0,1E+99,SUMIF(Distance_Matrix!$E$10:$DQ$10,4,Distance_Matrix!$E$50:$DQ$50)/COUNTIF(Distance_Matrix!$E$10:$DQ$10,4))))</f>
        <v>1.5458601506208396</v>
      </c>
      <c r="I182" s="18">
        <f>IF(COUNTIF(Distance_Matrix!$E$10:$DQ$10,$E182)&lt;=1,0,(H182-G182)/MAX(G182,H182))</f>
        <v>0.44814282203178207</v>
      </c>
      <c r="X182" s="18">
        <f t="shared" si="154"/>
        <v>5.3691092076194247</v>
      </c>
      <c r="Y182" s="18">
        <f t="shared" si="154"/>
        <v>3.2033991070309726</v>
      </c>
      <c r="Z182" s="18">
        <f t="shared" si="154"/>
        <v>1.1093263837568521</v>
      </c>
      <c r="AA182" s="18">
        <f t="shared" si="154"/>
        <v>1.778419886584109</v>
      </c>
      <c r="AB182" s="56">
        <f t="shared" si="168"/>
        <v>3</v>
      </c>
      <c r="AD182" s="18">
        <f t="shared" si="155"/>
        <v>4.3879147916814807</v>
      </c>
      <c r="AE182" s="18">
        <f t="shared" si="155"/>
        <v>2.4587713579688302</v>
      </c>
      <c r="AF182" s="18">
        <f t="shared" si="155"/>
        <v>0.43019101276514354</v>
      </c>
      <c r="AG182" s="18">
        <f t="shared" si="155"/>
        <v>1.4524021466428487</v>
      </c>
      <c r="AH182" s="56">
        <f t="shared" si="169"/>
        <v>3</v>
      </c>
      <c r="AJ182" s="18">
        <f t="shared" si="156"/>
        <v>4.0427669517336957</v>
      </c>
      <c r="AK182" s="18">
        <f t="shared" si="156"/>
        <v>2.4834603638097041</v>
      </c>
      <c r="AL182" s="18">
        <f t="shared" si="156"/>
        <v>0.495868681071849</v>
      </c>
      <c r="AM182" s="18">
        <f t="shared" si="156"/>
        <v>1.3728801010875853</v>
      </c>
      <c r="AN182" s="56">
        <f t="shared" si="170"/>
        <v>3</v>
      </c>
      <c r="AP182" s="18">
        <f t="shared" si="157"/>
        <v>3.7515115623734552</v>
      </c>
      <c r="AQ182" s="18">
        <f t="shared" si="157"/>
        <v>2.5679601868475079</v>
      </c>
      <c r="AR182" s="18">
        <f t="shared" si="157"/>
        <v>0.45182543514524715</v>
      </c>
      <c r="AS182" s="18">
        <f t="shared" si="157"/>
        <v>1.3926463272073935</v>
      </c>
      <c r="AT182" s="56">
        <f t="shared" si="171"/>
        <v>3</v>
      </c>
      <c r="AV182" s="18">
        <f t="shared" si="158"/>
        <v>3.7515115623734552</v>
      </c>
      <c r="AW182" s="18">
        <f t="shared" si="158"/>
        <v>2.5679601868475079</v>
      </c>
      <c r="AX182" s="18">
        <f t="shared" si="158"/>
        <v>0.45182543514524715</v>
      </c>
      <c r="AY182" s="18">
        <f t="shared" si="158"/>
        <v>1.3926463272073935</v>
      </c>
      <c r="AZ182" s="56">
        <f t="shared" si="172"/>
        <v>3</v>
      </c>
      <c r="BB182" s="18">
        <f t="shared" si="159"/>
        <v>3.7515115623734552</v>
      </c>
      <c r="BC182" s="18">
        <f t="shared" si="159"/>
        <v>2.5679601868475079</v>
      </c>
      <c r="BD182" s="18">
        <f t="shared" si="159"/>
        <v>0.45182543514524715</v>
      </c>
      <c r="BE182" s="18">
        <f t="shared" si="159"/>
        <v>1.3926463272073935</v>
      </c>
      <c r="BF182" s="56">
        <f t="shared" si="173"/>
        <v>3</v>
      </c>
      <c r="BH182" s="18">
        <f t="shared" si="160"/>
        <v>3.7515115623734552</v>
      </c>
      <c r="BI182" s="18">
        <f t="shared" si="160"/>
        <v>2.5679601868475079</v>
      </c>
      <c r="BJ182" s="18">
        <f t="shared" si="160"/>
        <v>0.45182543514524715</v>
      </c>
      <c r="BK182" s="18">
        <f t="shared" si="160"/>
        <v>1.3926463272073935</v>
      </c>
      <c r="BL182" s="56">
        <f t="shared" si="174"/>
        <v>3</v>
      </c>
      <c r="BN182" s="18">
        <f t="shared" si="161"/>
        <v>3.7515115623734552</v>
      </c>
      <c r="BO182" s="18">
        <f t="shared" si="161"/>
        <v>2.5679601868475079</v>
      </c>
      <c r="BP182" s="18">
        <f t="shared" si="161"/>
        <v>0.45182543514524715</v>
      </c>
      <c r="BQ182" s="18">
        <f t="shared" si="161"/>
        <v>1.3926463272073935</v>
      </c>
      <c r="BR182" s="56">
        <f t="shared" si="175"/>
        <v>3</v>
      </c>
      <c r="BT182" s="18">
        <f t="shared" si="162"/>
        <v>3.7515115623734552</v>
      </c>
      <c r="BU182" s="18">
        <f t="shared" si="162"/>
        <v>2.5679601868475079</v>
      </c>
      <c r="BV182" s="18">
        <f t="shared" si="162"/>
        <v>0.45182543514524715</v>
      </c>
      <c r="BW182" s="18">
        <f t="shared" si="162"/>
        <v>1.3926463272073935</v>
      </c>
      <c r="BX182" s="56">
        <f t="shared" si="176"/>
        <v>3</v>
      </c>
      <c r="BZ182" s="18">
        <f t="shared" si="163"/>
        <v>3.7515115623734552</v>
      </c>
      <c r="CA182" s="18">
        <f t="shared" si="163"/>
        <v>2.5679601868475079</v>
      </c>
      <c r="CB182" s="18">
        <f t="shared" si="163"/>
        <v>0.45182543514524715</v>
      </c>
      <c r="CC182" s="18">
        <f t="shared" si="163"/>
        <v>1.3926463272073935</v>
      </c>
      <c r="CD182" s="56">
        <f t="shared" si="177"/>
        <v>3</v>
      </c>
      <c r="CF182" s="18">
        <f t="shared" si="164"/>
        <v>3.7515115623734552</v>
      </c>
      <c r="CG182" s="18">
        <f t="shared" si="164"/>
        <v>2.5679601868475079</v>
      </c>
      <c r="CH182" s="18">
        <f t="shared" si="164"/>
        <v>0.45182543514524715</v>
      </c>
      <c r="CI182" s="18">
        <f t="shared" si="164"/>
        <v>1.3926463272073935</v>
      </c>
      <c r="CJ182" s="56">
        <f t="shared" si="178"/>
        <v>3</v>
      </c>
      <c r="CL182" s="18">
        <f t="shared" si="165"/>
        <v>3.7515115623734552</v>
      </c>
      <c r="CM182" s="18">
        <f t="shared" si="165"/>
        <v>2.5679601868475079</v>
      </c>
      <c r="CN182" s="18">
        <f t="shared" si="165"/>
        <v>0.45182543514524715</v>
      </c>
      <c r="CO182" s="18">
        <f t="shared" si="165"/>
        <v>1.3926463272073935</v>
      </c>
      <c r="CP182" s="56">
        <f t="shared" si="179"/>
        <v>3</v>
      </c>
    </row>
    <row r="183" spans="1:94" x14ac:dyDescent="0.25">
      <c r="A183" s="36" t="str">
        <f>KMeans_Data!A42</f>
        <v>Battagram</v>
      </c>
      <c r="B183" s="18">
        <f>KMeans_Data!H42</f>
        <v>0.42907404938827359</v>
      </c>
      <c r="C183" s="18">
        <f>KMeans_Data!I42</f>
        <v>0.37868427752921691</v>
      </c>
      <c r="D183" s="18">
        <f>KMeans_Data!J42</f>
        <v>0.46034638584038468</v>
      </c>
      <c r="E183" s="56">
        <f t="shared" si="166"/>
        <v>3</v>
      </c>
      <c r="F183" s="38">
        <f t="shared" si="167"/>
        <v>0.26450905397417068</v>
      </c>
      <c r="G183" s="18">
        <f>IF(COUNTIF(Distance_Matrix!$E$10:$DQ$10,$E183)&lt;=1,0,SUMIF(Distance_Matrix!$E$10:$DQ$10,$E183,Distance_Matrix!$E$51:$DQ$51)/(COUNTIF(Distance_Matrix!$E$10:$DQ$10,$E183)-1))</f>
        <v>0.88266264910547809</v>
      </c>
      <c r="H183" s="18">
        <f>MIN(IF(1=$E183,1E+99,IF(COUNTIF(Distance_Matrix!$E$10:$DQ$10,1)=0,1E+99,SUMIF(Distance_Matrix!$E$10:$DQ$10,1,Distance_Matrix!$E$51:$DQ$51)/COUNTIF(Distance_Matrix!$E$10:$DQ$10,1))),IF(2=$E183,1E+99,IF(COUNTIF(Distance_Matrix!$E$10:$DQ$10,2)=0,1E+99,SUMIF(Distance_Matrix!$E$10:$DQ$10,2,Distance_Matrix!$E$51:$DQ$51)/COUNTIF(Distance_Matrix!$E$10:$DQ$10,2))),IF(3=$E183,1E+99,IF(COUNTIF(Distance_Matrix!$E$10:$DQ$10,3)=0,1E+99,SUMIF(Distance_Matrix!$E$10:$DQ$10,3,Distance_Matrix!$E$51:$DQ$51)/COUNTIF(Distance_Matrix!$E$10:$DQ$10,3))),IF(4=$E183,1E+99,IF(COUNTIF(Distance_Matrix!$E$10:$DQ$10,4)=0,1E+99,SUMIF(Distance_Matrix!$E$10:$DQ$10,4,Distance_Matrix!$E$51:$DQ$51)/COUNTIF(Distance_Matrix!$E$10:$DQ$10,4))))</f>
        <v>1.5014166231504789</v>
      </c>
      <c r="I183" s="18">
        <f>IF(COUNTIF(Distance_Matrix!$E$10:$DQ$10,$E183)&lt;=1,0,(H183-G183)/MAX(G183,H183))</f>
        <v>0.41211344306728542</v>
      </c>
      <c r="X183" s="18">
        <f t="shared" si="154"/>
        <v>5.4119772224383986</v>
      </c>
      <c r="Y183" s="18">
        <f t="shared" si="154"/>
        <v>3.158899841844244</v>
      </c>
      <c r="Z183" s="18">
        <f t="shared" si="154"/>
        <v>1.1790679955950032</v>
      </c>
      <c r="AA183" s="18">
        <f t="shared" si="154"/>
        <v>1.7036569054111126</v>
      </c>
      <c r="AB183" s="56">
        <f t="shared" si="168"/>
        <v>3</v>
      </c>
      <c r="AD183" s="18">
        <f t="shared" si="155"/>
        <v>4.4260606773343669</v>
      </c>
      <c r="AE183" s="18">
        <f t="shared" si="155"/>
        <v>2.4089345454122633</v>
      </c>
      <c r="AF183" s="18">
        <f t="shared" si="155"/>
        <v>0.49697975093541241</v>
      </c>
      <c r="AG183" s="18">
        <f t="shared" si="155"/>
        <v>1.3942122020285859</v>
      </c>
      <c r="AH183" s="56">
        <f t="shared" si="169"/>
        <v>3</v>
      </c>
      <c r="AJ183" s="18">
        <f t="shared" si="156"/>
        <v>4.0809258509240971</v>
      </c>
      <c r="AK183" s="18">
        <f t="shared" si="156"/>
        <v>2.432495146723832</v>
      </c>
      <c r="AL183" s="18">
        <f t="shared" si="156"/>
        <v>0.55574038720622521</v>
      </c>
      <c r="AM183" s="18">
        <f t="shared" si="156"/>
        <v>1.3190205847354173</v>
      </c>
      <c r="AN183" s="56">
        <f t="shared" si="170"/>
        <v>3</v>
      </c>
      <c r="AP183" s="18">
        <f t="shared" si="157"/>
        <v>3.7892854885064269</v>
      </c>
      <c r="AQ183" s="18">
        <f t="shared" si="157"/>
        <v>2.5158365827200915</v>
      </c>
      <c r="AR183" s="18">
        <f t="shared" si="157"/>
        <v>0.51430443705471829</v>
      </c>
      <c r="AS183" s="18">
        <f t="shared" si="157"/>
        <v>1.3399199550449192</v>
      </c>
      <c r="AT183" s="56">
        <f t="shared" si="171"/>
        <v>3</v>
      </c>
      <c r="AV183" s="18">
        <f t="shared" si="158"/>
        <v>3.7892854885064269</v>
      </c>
      <c r="AW183" s="18">
        <f t="shared" si="158"/>
        <v>2.5158365827200915</v>
      </c>
      <c r="AX183" s="18">
        <f t="shared" si="158"/>
        <v>0.51430443705471829</v>
      </c>
      <c r="AY183" s="18">
        <f t="shared" si="158"/>
        <v>1.3399199550449192</v>
      </c>
      <c r="AZ183" s="56">
        <f t="shared" si="172"/>
        <v>3</v>
      </c>
      <c r="BB183" s="18">
        <f t="shared" si="159"/>
        <v>3.7892854885064269</v>
      </c>
      <c r="BC183" s="18">
        <f t="shared" si="159"/>
        <v>2.5158365827200915</v>
      </c>
      <c r="BD183" s="18">
        <f t="shared" si="159"/>
        <v>0.51430443705471829</v>
      </c>
      <c r="BE183" s="18">
        <f t="shared" si="159"/>
        <v>1.3399199550449192</v>
      </c>
      <c r="BF183" s="56">
        <f t="shared" si="173"/>
        <v>3</v>
      </c>
      <c r="BH183" s="18">
        <f t="shared" si="160"/>
        <v>3.7892854885064269</v>
      </c>
      <c r="BI183" s="18">
        <f t="shared" si="160"/>
        <v>2.5158365827200915</v>
      </c>
      <c r="BJ183" s="18">
        <f t="shared" si="160"/>
        <v>0.51430443705471829</v>
      </c>
      <c r="BK183" s="18">
        <f t="shared" si="160"/>
        <v>1.3399199550449192</v>
      </c>
      <c r="BL183" s="56">
        <f t="shared" si="174"/>
        <v>3</v>
      </c>
      <c r="BN183" s="18">
        <f t="shared" si="161"/>
        <v>3.7892854885064269</v>
      </c>
      <c r="BO183" s="18">
        <f t="shared" si="161"/>
        <v>2.5158365827200915</v>
      </c>
      <c r="BP183" s="18">
        <f t="shared" si="161"/>
        <v>0.51430443705471829</v>
      </c>
      <c r="BQ183" s="18">
        <f t="shared" si="161"/>
        <v>1.3399199550449192</v>
      </c>
      <c r="BR183" s="56">
        <f t="shared" si="175"/>
        <v>3</v>
      </c>
      <c r="BT183" s="18">
        <f t="shared" si="162"/>
        <v>3.7892854885064269</v>
      </c>
      <c r="BU183" s="18">
        <f t="shared" si="162"/>
        <v>2.5158365827200915</v>
      </c>
      <c r="BV183" s="18">
        <f t="shared" si="162"/>
        <v>0.51430443705471829</v>
      </c>
      <c r="BW183" s="18">
        <f t="shared" si="162"/>
        <v>1.3399199550449192</v>
      </c>
      <c r="BX183" s="56">
        <f t="shared" si="176"/>
        <v>3</v>
      </c>
      <c r="BZ183" s="18">
        <f t="shared" si="163"/>
        <v>3.7892854885064269</v>
      </c>
      <c r="CA183" s="18">
        <f t="shared" si="163"/>
        <v>2.5158365827200915</v>
      </c>
      <c r="CB183" s="18">
        <f t="shared" si="163"/>
        <v>0.51430443705471829</v>
      </c>
      <c r="CC183" s="18">
        <f t="shared" si="163"/>
        <v>1.3399199550449192</v>
      </c>
      <c r="CD183" s="56">
        <f t="shared" si="177"/>
        <v>3</v>
      </c>
      <c r="CF183" s="18">
        <f t="shared" si="164"/>
        <v>3.7892854885064269</v>
      </c>
      <c r="CG183" s="18">
        <f t="shared" si="164"/>
        <v>2.5158365827200915</v>
      </c>
      <c r="CH183" s="18">
        <f t="shared" si="164"/>
        <v>0.51430443705471829</v>
      </c>
      <c r="CI183" s="18">
        <f t="shared" si="164"/>
        <v>1.3399199550449192</v>
      </c>
      <c r="CJ183" s="56">
        <f t="shared" si="178"/>
        <v>3</v>
      </c>
      <c r="CL183" s="18">
        <f t="shared" si="165"/>
        <v>3.7892854885064269</v>
      </c>
      <c r="CM183" s="18">
        <f t="shared" si="165"/>
        <v>2.5158365827200915</v>
      </c>
      <c r="CN183" s="18">
        <f t="shared" si="165"/>
        <v>0.51430443705471829</v>
      </c>
      <c r="CO183" s="18">
        <f t="shared" si="165"/>
        <v>1.3399199550449192</v>
      </c>
      <c r="CP183" s="56">
        <f t="shared" si="179"/>
        <v>3</v>
      </c>
    </row>
    <row r="184" spans="1:94" x14ac:dyDescent="0.25">
      <c r="A184" s="36" t="str">
        <f>KMeans_Data!A43</f>
        <v>Kohat</v>
      </c>
      <c r="B184" s="18">
        <f>KMeans_Data!H43</f>
        <v>0.40765250667401376</v>
      </c>
      <c r="C184" s="18">
        <f>KMeans_Data!I43</f>
        <v>1.2725500225060853</v>
      </c>
      <c r="D184" s="18">
        <f>KMeans_Data!J43</f>
        <v>0.62851349158581915</v>
      </c>
      <c r="E184" s="56">
        <f t="shared" si="166"/>
        <v>3</v>
      </c>
      <c r="F184" s="38">
        <f t="shared" si="167"/>
        <v>0.53706938064863852</v>
      </c>
      <c r="G184" s="18">
        <f>IF(COUNTIF(Distance_Matrix!$E$10:$DQ$10,$E184)&lt;=1,0,SUMIF(Distance_Matrix!$E$10:$DQ$10,$E184,Distance_Matrix!$E$52:$DQ$52)/(COUNTIF(Distance_Matrix!$E$10:$DQ$10,$E184)-1))</f>
        <v>1.009358527188468</v>
      </c>
      <c r="H184" s="18">
        <f>MIN(IF(1=$E184,1E+99,IF(COUNTIF(Distance_Matrix!$E$10:$DQ$10,1)=0,1E+99,SUMIF(Distance_Matrix!$E$10:$DQ$10,1,Distance_Matrix!$E$52:$DQ$52)/COUNTIF(Distance_Matrix!$E$10:$DQ$10,1))),IF(2=$E184,1E+99,IF(COUNTIF(Distance_Matrix!$E$10:$DQ$10,2)=0,1E+99,SUMIF(Distance_Matrix!$E$10:$DQ$10,2,Distance_Matrix!$E$52:$DQ$52)/COUNTIF(Distance_Matrix!$E$10:$DQ$10,2))),IF(3=$E184,1E+99,IF(COUNTIF(Distance_Matrix!$E$10:$DQ$10,3)=0,1E+99,SUMIF(Distance_Matrix!$E$10:$DQ$10,3,Distance_Matrix!$E$52:$DQ$52)/COUNTIF(Distance_Matrix!$E$10:$DQ$10,3))),IF(4=$E184,1E+99,IF(COUNTIF(Distance_Matrix!$E$10:$DQ$10,4)=0,1E+99,SUMIF(Distance_Matrix!$E$10:$DQ$10,4,Distance_Matrix!$E$52:$DQ$52)/COUNTIF(Distance_Matrix!$E$10:$DQ$10,4))))</f>
        <v>2.2218005863422037</v>
      </c>
      <c r="I184" s="18">
        <f>IF(COUNTIF(Distance_Matrix!$E$10:$DQ$10,$E184)&lt;=1,0,(H184-G184)/MAX(G184,H184))</f>
        <v>0.54570246610196649</v>
      </c>
      <c r="X184" s="18">
        <f t="shared" si="154"/>
        <v>4.7703842622670001</v>
      </c>
      <c r="Y184" s="18">
        <f t="shared" si="154"/>
        <v>3.6219541561486244</v>
      </c>
      <c r="Z184" s="18">
        <f t="shared" si="154"/>
        <v>1.3799561862055567</v>
      </c>
      <c r="AA184" s="18">
        <f t="shared" si="154"/>
        <v>2.2845926076918595</v>
      </c>
      <c r="AB184" s="56">
        <f t="shared" si="168"/>
        <v>3</v>
      </c>
      <c r="AD184" s="18">
        <f t="shared" si="155"/>
        <v>3.7729486014971529</v>
      </c>
      <c r="AE184" s="18">
        <f t="shared" si="155"/>
        <v>2.9790043531762609</v>
      </c>
      <c r="AF184" s="18">
        <f t="shared" si="155"/>
        <v>0.76629427360182778</v>
      </c>
      <c r="AG184" s="18">
        <f t="shared" si="155"/>
        <v>2.1516633619438754</v>
      </c>
      <c r="AH184" s="56">
        <f t="shared" si="169"/>
        <v>3</v>
      </c>
      <c r="AJ184" s="18">
        <f t="shared" si="156"/>
        <v>3.4444391049684802</v>
      </c>
      <c r="AK184" s="18">
        <f t="shared" si="156"/>
        <v>3.0009756277780992</v>
      </c>
      <c r="AL184" s="18">
        <f t="shared" si="156"/>
        <v>0.70808042649346381</v>
      </c>
      <c r="AM184" s="18">
        <f t="shared" si="156"/>
        <v>2.096549873055197</v>
      </c>
      <c r="AN184" s="56">
        <f t="shared" si="170"/>
        <v>3</v>
      </c>
      <c r="AP184" s="18">
        <f t="shared" si="157"/>
        <v>3.1473417143301021</v>
      </c>
      <c r="AQ184" s="18">
        <f t="shared" si="157"/>
        <v>3.0727778226219877</v>
      </c>
      <c r="AR184" s="18">
        <f t="shared" si="157"/>
        <v>0.73285017612649761</v>
      </c>
      <c r="AS184" s="18">
        <f t="shared" si="157"/>
        <v>2.113176061263947</v>
      </c>
      <c r="AT184" s="56">
        <f t="shared" si="171"/>
        <v>3</v>
      </c>
      <c r="AV184" s="18">
        <f t="shared" si="158"/>
        <v>3.1473417143301021</v>
      </c>
      <c r="AW184" s="18">
        <f t="shared" si="158"/>
        <v>3.0727778226219877</v>
      </c>
      <c r="AX184" s="18">
        <f t="shared" si="158"/>
        <v>0.73285017612649761</v>
      </c>
      <c r="AY184" s="18">
        <f t="shared" si="158"/>
        <v>2.113176061263947</v>
      </c>
      <c r="AZ184" s="56">
        <f t="shared" si="172"/>
        <v>3</v>
      </c>
      <c r="BB184" s="18">
        <f t="shared" si="159"/>
        <v>3.1473417143301021</v>
      </c>
      <c r="BC184" s="18">
        <f t="shared" si="159"/>
        <v>3.0727778226219877</v>
      </c>
      <c r="BD184" s="18">
        <f t="shared" si="159"/>
        <v>0.73285017612649761</v>
      </c>
      <c r="BE184" s="18">
        <f t="shared" si="159"/>
        <v>2.113176061263947</v>
      </c>
      <c r="BF184" s="56">
        <f t="shared" si="173"/>
        <v>3</v>
      </c>
      <c r="BH184" s="18">
        <f t="shared" si="160"/>
        <v>3.1473417143301021</v>
      </c>
      <c r="BI184" s="18">
        <f t="shared" si="160"/>
        <v>3.0727778226219877</v>
      </c>
      <c r="BJ184" s="18">
        <f t="shared" si="160"/>
        <v>0.73285017612649761</v>
      </c>
      <c r="BK184" s="18">
        <f t="shared" si="160"/>
        <v>2.113176061263947</v>
      </c>
      <c r="BL184" s="56">
        <f t="shared" si="174"/>
        <v>3</v>
      </c>
      <c r="BN184" s="18">
        <f t="shared" si="161"/>
        <v>3.1473417143301021</v>
      </c>
      <c r="BO184" s="18">
        <f t="shared" si="161"/>
        <v>3.0727778226219877</v>
      </c>
      <c r="BP184" s="18">
        <f t="shared" si="161"/>
        <v>0.73285017612649761</v>
      </c>
      <c r="BQ184" s="18">
        <f t="shared" si="161"/>
        <v>2.113176061263947</v>
      </c>
      <c r="BR184" s="56">
        <f t="shared" si="175"/>
        <v>3</v>
      </c>
      <c r="BT184" s="18">
        <f t="shared" si="162"/>
        <v>3.1473417143301021</v>
      </c>
      <c r="BU184" s="18">
        <f t="shared" si="162"/>
        <v>3.0727778226219877</v>
      </c>
      <c r="BV184" s="18">
        <f t="shared" si="162"/>
        <v>0.73285017612649761</v>
      </c>
      <c r="BW184" s="18">
        <f t="shared" si="162"/>
        <v>2.113176061263947</v>
      </c>
      <c r="BX184" s="56">
        <f t="shared" si="176"/>
        <v>3</v>
      </c>
      <c r="BZ184" s="18">
        <f t="shared" si="163"/>
        <v>3.1473417143301021</v>
      </c>
      <c r="CA184" s="18">
        <f t="shared" si="163"/>
        <v>3.0727778226219877</v>
      </c>
      <c r="CB184" s="18">
        <f t="shared" si="163"/>
        <v>0.73285017612649761</v>
      </c>
      <c r="CC184" s="18">
        <f t="shared" si="163"/>
        <v>2.113176061263947</v>
      </c>
      <c r="CD184" s="56">
        <f t="shared" si="177"/>
        <v>3</v>
      </c>
      <c r="CF184" s="18">
        <f t="shared" si="164"/>
        <v>3.1473417143301021</v>
      </c>
      <c r="CG184" s="18">
        <f t="shared" si="164"/>
        <v>3.0727778226219877</v>
      </c>
      <c r="CH184" s="18">
        <f t="shared" si="164"/>
        <v>0.73285017612649761</v>
      </c>
      <c r="CI184" s="18">
        <f t="shared" si="164"/>
        <v>2.113176061263947</v>
      </c>
      <c r="CJ184" s="56">
        <f t="shared" si="178"/>
        <v>3</v>
      </c>
      <c r="CL184" s="18">
        <f t="shared" si="165"/>
        <v>3.1473417143301021</v>
      </c>
      <c r="CM184" s="18">
        <f t="shared" si="165"/>
        <v>3.0727778226219877</v>
      </c>
      <c r="CN184" s="18">
        <f t="shared" si="165"/>
        <v>0.73285017612649761</v>
      </c>
      <c r="CO184" s="18">
        <f t="shared" si="165"/>
        <v>2.113176061263947</v>
      </c>
      <c r="CP184" s="56">
        <f t="shared" si="179"/>
        <v>3</v>
      </c>
    </row>
    <row r="185" spans="1:94" x14ac:dyDescent="0.25">
      <c r="A185" s="36" t="str">
        <f>KMeans_Data!A44</f>
        <v>Kurram</v>
      </c>
      <c r="B185" s="18">
        <f>KMeans_Data!H44</f>
        <v>0.38985692646238834</v>
      </c>
      <c r="C185" s="18">
        <f>KMeans_Data!I44</f>
        <v>0.16051258962499582</v>
      </c>
      <c r="D185" s="18">
        <f>KMeans_Data!J44</f>
        <v>-7.8647122474779993E-2</v>
      </c>
      <c r="E185" s="56">
        <f t="shared" si="166"/>
        <v>4</v>
      </c>
      <c r="F185" s="38">
        <f t="shared" si="167"/>
        <v>0.80377776425489522</v>
      </c>
      <c r="G185" s="18">
        <f>IF(COUNTIF(Distance_Matrix!$E$10:$DQ$10,$E185)&lt;=1,0,SUMIF(Distance_Matrix!$E$10:$DQ$10,$E185,Distance_Matrix!$E$53:$DQ$53)/(COUNTIF(Distance_Matrix!$E$10:$DQ$10,$E185)-1))</f>
        <v>1.1735208035300377</v>
      </c>
      <c r="H185" s="18">
        <f>MIN(IF(1=$E185,1E+99,IF(COUNTIF(Distance_Matrix!$E$10:$DQ$10,1)=0,1E+99,SUMIF(Distance_Matrix!$E$10:$DQ$10,1,Distance_Matrix!$E$53:$DQ$53)/COUNTIF(Distance_Matrix!$E$10:$DQ$10,1))),IF(2=$E185,1E+99,IF(COUNTIF(Distance_Matrix!$E$10:$DQ$10,2)=0,1E+99,SUMIF(Distance_Matrix!$E$10:$DQ$10,2,Distance_Matrix!$E$53:$DQ$53)/COUNTIF(Distance_Matrix!$E$10:$DQ$10,2))),IF(3=$E185,1E+99,IF(COUNTIF(Distance_Matrix!$E$10:$DQ$10,3)=0,1E+99,SUMIF(Distance_Matrix!$E$10:$DQ$10,3,Distance_Matrix!$E$53:$DQ$53)/COUNTIF(Distance_Matrix!$E$10:$DQ$10,3))),IF(4=$E185,1E+99,IF(COUNTIF(Distance_Matrix!$E$10:$DQ$10,4)=0,1E+99,SUMIF(Distance_Matrix!$E$10:$DQ$10,4,Distance_Matrix!$E$53:$DQ$53)/COUNTIF(Distance_Matrix!$E$10:$DQ$10,4))))</f>
        <v>1.2632154841309664</v>
      </c>
      <c r="I185" s="18">
        <f>IF(COUNTIF(Distance_Matrix!$E$10:$DQ$10,$E185)&lt;=1,0,(H185-G185)/MAX(G185,H185))</f>
        <v>7.1005051574897726E-2</v>
      </c>
      <c r="X185" s="18">
        <f t="shared" si="154"/>
        <v>5.8702245972691269</v>
      </c>
      <c r="Y185" s="18">
        <f t="shared" si="154"/>
        <v>2.8162994168555233</v>
      </c>
      <c r="Z185" s="18">
        <f t="shared" si="154"/>
        <v>1.6930417975150076</v>
      </c>
      <c r="AA185" s="18">
        <f t="shared" si="154"/>
        <v>1.1395078316512035</v>
      </c>
      <c r="AB185" s="56">
        <f t="shared" si="168"/>
        <v>4</v>
      </c>
      <c r="AD185" s="18">
        <f t="shared" si="155"/>
        <v>4.864968942421938</v>
      </c>
      <c r="AE185" s="18">
        <f t="shared" si="155"/>
        <v>2.014118465043151</v>
      </c>
      <c r="AF185" s="18">
        <f t="shared" si="155"/>
        <v>1.0673068320492016</v>
      </c>
      <c r="AG185" s="18">
        <f t="shared" si="155"/>
        <v>0.9033095759403742</v>
      </c>
      <c r="AH185" s="56">
        <f t="shared" si="169"/>
        <v>4</v>
      </c>
      <c r="AJ185" s="18">
        <f t="shared" si="156"/>
        <v>4.519434427640137</v>
      </c>
      <c r="AK185" s="18">
        <f t="shared" si="156"/>
        <v>2.0290663194418475</v>
      </c>
      <c r="AL185" s="18">
        <f t="shared" si="156"/>
        <v>1.1158981848925398</v>
      </c>
      <c r="AM185" s="18">
        <f t="shared" si="156"/>
        <v>0.8647467613404346</v>
      </c>
      <c r="AN185" s="56">
        <f t="shared" si="170"/>
        <v>4</v>
      </c>
      <c r="AP185" s="18">
        <f t="shared" si="157"/>
        <v>4.2288668014004838</v>
      </c>
      <c r="AQ185" s="18">
        <f t="shared" si="157"/>
        <v>2.1051697046394104</v>
      </c>
      <c r="AR185" s="18">
        <f t="shared" si="157"/>
        <v>1.0790161527154374</v>
      </c>
      <c r="AS185" s="18">
        <f t="shared" si="157"/>
        <v>0.89653653815943013</v>
      </c>
      <c r="AT185" s="56">
        <f t="shared" si="171"/>
        <v>4</v>
      </c>
      <c r="AV185" s="18">
        <f t="shared" si="158"/>
        <v>4.2288668014004838</v>
      </c>
      <c r="AW185" s="18">
        <f t="shared" si="158"/>
        <v>2.1051697046394104</v>
      </c>
      <c r="AX185" s="18">
        <f t="shared" si="158"/>
        <v>1.0790161527154374</v>
      </c>
      <c r="AY185" s="18">
        <f t="shared" si="158"/>
        <v>0.89653653815943013</v>
      </c>
      <c r="AZ185" s="56">
        <f t="shared" si="172"/>
        <v>4</v>
      </c>
      <c r="BB185" s="18">
        <f t="shared" si="159"/>
        <v>4.2288668014004838</v>
      </c>
      <c r="BC185" s="18">
        <f t="shared" si="159"/>
        <v>2.1051697046394104</v>
      </c>
      <c r="BD185" s="18">
        <f t="shared" si="159"/>
        <v>1.0790161527154374</v>
      </c>
      <c r="BE185" s="18">
        <f t="shared" si="159"/>
        <v>0.89653653815943013</v>
      </c>
      <c r="BF185" s="56">
        <f t="shared" si="173"/>
        <v>4</v>
      </c>
      <c r="BH185" s="18">
        <f t="shared" si="160"/>
        <v>4.2288668014004838</v>
      </c>
      <c r="BI185" s="18">
        <f t="shared" si="160"/>
        <v>2.1051697046394104</v>
      </c>
      <c r="BJ185" s="18">
        <f t="shared" si="160"/>
        <v>1.0790161527154374</v>
      </c>
      <c r="BK185" s="18">
        <f t="shared" si="160"/>
        <v>0.89653653815943013</v>
      </c>
      <c r="BL185" s="56">
        <f t="shared" si="174"/>
        <v>4</v>
      </c>
      <c r="BN185" s="18">
        <f t="shared" si="161"/>
        <v>4.2288668014004838</v>
      </c>
      <c r="BO185" s="18">
        <f t="shared" si="161"/>
        <v>2.1051697046394104</v>
      </c>
      <c r="BP185" s="18">
        <f t="shared" si="161"/>
        <v>1.0790161527154374</v>
      </c>
      <c r="BQ185" s="18">
        <f t="shared" si="161"/>
        <v>0.89653653815943013</v>
      </c>
      <c r="BR185" s="56">
        <f t="shared" si="175"/>
        <v>4</v>
      </c>
      <c r="BT185" s="18">
        <f t="shared" si="162"/>
        <v>4.2288668014004838</v>
      </c>
      <c r="BU185" s="18">
        <f t="shared" si="162"/>
        <v>2.1051697046394104</v>
      </c>
      <c r="BV185" s="18">
        <f t="shared" si="162"/>
        <v>1.0790161527154374</v>
      </c>
      <c r="BW185" s="18">
        <f t="shared" si="162"/>
        <v>0.89653653815943013</v>
      </c>
      <c r="BX185" s="56">
        <f t="shared" si="176"/>
        <v>4</v>
      </c>
      <c r="BZ185" s="18">
        <f t="shared" si="163"/>
        <v>4.2288668014004838</v>
      </c>
      <c r="CA185" s="18">
        <f t="shared" si="163"/>
        <v>2.1051697046394104</v>
      </c>
      <c r="CB185" s="18">
        <f t="shared" si="163"/>
        <v>1.0790161527154374</v>
      </c>
      <c r="CC185" s="18">
        <f t="shared" si="163"/>
        <v>0.89653653815943013</v>
      </c>
      <c r="CD185" s="56">
        <f t="shared" si="177"/>
        <v>4</v>
      </c>
      <c r="CF185" s="18">
        <f t="shared" si="164"/>
        <v>4.2288668014004838</v>
      </c>
      <c r="CG185" s="18">
        <f t="shared" si="164"/>
        <v>2.1051697046394104</v>
      </c>
      <c r="CH185" s="18">
        <f t="shared" si="164"/>
        <v>1.0790161527154374</v>
      </c>
      <c r="CI185" s="18">
        <f t="shared" si="164"/>
        <v>0.89653653815943013</v>
      </c>
      <c r="CJ185" s="56">
        <f t="shared" si="178"/>
        <v>4</v>
      </c>
      <c r="CL185" s="18">
        <f t="shared" si="165"/>
        <v>4.2288668014004838</v>
      </c>
      <c r="CM185" s="18">
        <f t="shared" si="165"/>
        <v>2.1051697046394104</v>
      </c>
      <c r="CN185" s="18">
        <f t="shared" si="165"/>
        <v>1.0790161527154374</v>
      </c>
      <c r="CO185" s="18">
        <f t="shared" si="165"/>
        <v>0.89653653815943013</v>
      </c>
      <c r="CP185" s="56">
        <f t="shared" si="179"/>
        <v>4</v>
      </c>
    </row>
    <row r="186" spans="1:94" x14ac:dyDescent="0.25">
      <c r="A186" s="36" t="str">
        <f>KMeans_Data!A45</f>
        <v>Kambar Shahdadkot</v>
      </c>
      <c r="B186" s="18">
        <f>KMeans_Data!H45</f>
        <v>0.31711502585735735</v>
      </c>
      <c r="C186" s="18">
        <f>KMeans_Data!I45</f>
        <v>-0.67265054538827607</v>
      </c>
      <c r="D186" s="18">
        <f>KMeans_Data!J45</f>
        <v>1.0109587897935928</v>
      </c>
      <c r="E186" s="56">
        <f t="shared" si="166"/>
        <v>3</v>
      </c>
      <c r="F186" s="38">
        <f t="shared" si="167"/>
        <v>1.7827838944514767</v>
      </c>
      <c r="G186" s="18">
        <f>IF(COUNTIF(Distance_Matrix!$E$10:$DQ$10,$E186)&lt;=1,0,SUMIF(Distance_Matrix!$E$10:$DQ$10,$E186,Distance_Matrix!$E$54:$DQ$54)/(COUNTIF(Distance_Matrix!$E$10:$DQ$10,$E186)-1))</f>
        <v>1.4742471358760179</v>
      </c>
      <c r="H186" s="18">
        <f>MIN(IF(1=$E186,1E+99,IF(COUNTIF(Distance_Matrix!$E$10:$DQ$10,1)=0,1E+99,SUMIF(Distance_Matrix!$E$10:$DQ$10,1,Distance_Matrix!$E$54:$DQ$54)/COUNTIF(Distance_Matrix!$E$10:$DQ$10,1))),IF(2=$E186,1E+99,IF(COUNTIF(Distance_Matrix!$E$10:$DQ$10,2)=0,1E+99,SUMIF(Distance_Matrix!$E$10:$DQ$10,2,Distance_Matrix!$E$54:$DQ$54)/COUNTIF(Distance_Matrix!$E$10:$DQ$10,2))),IF(3=$E186,1E+99,IF(COUNTIF(Distance_Matrix!$E$10:$DQ$10,3)=0,1E+99,SUMIF(Distance_Matrix!$E$10:$DQ$10,3,Distance_Matrix!$E$54:$DQ$54)/COUNTIF(Distance_Matrix!$E$10:$DQ$10,3))),IF(4=$E186,1E+99,IF(COUNTIF(Distance_Matrix!$E$10:$DQ$10,4)=0,1E+99,SUMIF(Distance_Matrix!$E$10:$DQ$10,4,Distance_Matrix!$E$54:$DQ$54)/COUNTIF(Distance_Matrix!$E$10:$DQ$10,4))))</f>
        <v>1.5913430741731949</v>
      </c>
      <c r="I186" s="18">
        <f>IF(COUNTIF(Distance_Matrix!$E$10:$DQ$10,$E186)&lt;=1,0,(H186-G186)/MAX(G186,H186))</f>
        <v>7.3583088522891832E-2</v>
      </c>
      <c r="X186" s="18">
        <f t="shared" ref="X186:AA205" si="180">SQRT(($B186-X$139)^2+($C186-X$140)^2+($D186-X$141)^2)</f>
        <v>5.997391976545833</v>
      </c>
      <c r="Y186" s="18">
        <f t="shared" si="180"/>
        <v>3.2242581216534347</v>
      </c>
      <c r="Z186" s="18">
        <f t="shared" si="180"/>
        <v>1.3546641306834701</v>
      </c>
      <c r="AA186" s="18">
        <f t="shared" si="180"/>
        <v>2.2439279629919282</v>
      </c>
      <c r="AB186" s="56">
        <f t="shared" si="168"/>
        <v>3</v>
      </c>
      <c r="AD186" s="18">
        <f t="shared" ref="AD186:AG205" si="181">SQRT(($B186-AD$139)^2+($C186-AD$140)^2+($D186-AD$141)^2)</f>
        <v>5.089492408886052</v>
      </c>
      <c r="AE186" s="18">
        <f t="shared" si="181"/>
        <v>2.4931331253768962</v>
      </c>
      <c r="AF186" s="18">
        <f t="shared" si="181"/>
        <v>1.2894515205299248</v>
      </c>
      <c r="AG186" s="18">
        <f t="shared" si="181"/>
        <v>1.58208956320257</v>
      </c>
      <c r="AH186" s="56">
        <f t="shared" si="169"/>
        <v>3</v>
      </c>
      <c r="AJ186" s="18">
        <f t="shared" ref="AJ186:AM205" si="182">SQRT(($B186-AJ$139)^2+($C186-AJ$140)^2+($D186-AJ$141)^2)</f>
        <v>4.7438101071647232</v>
      </c>
      <c r="AK186" s="18">
        <f t="shared" si="182"/>
        <v>2.527295431553692</v>
      </c>
      <c r="AL186" s="18">
        <f t="shared" si="182"/>
        <v>1.3801581857068386</v>
      </c>
      <c r="AM186" s="18">
        <f t="shared" si="182"/>
        <v>1.4606341920647592</v>
      </c>
      <c r="AN186" s="56">
        <f t="shared" si="170"/>
        <v>3</v>
      </c>
      <c r="AP186" s="18">
        <f t="shared" ref="AP186:AS205" si="183">SQRT(($B186-AP$139)^2+($C186-AP$140)^2+($D186-AP$141)^2)</f>
        <v>4.4697580424469638</v>
      </c>
      <c r="AQ186" s="18">
        <f t="shared" si="183"/>
        <v>2.625137799840787</v>
      </c>
      <c r="AR186" s="18">
        <f t="shared" si="183"/>
        <v>1.3352093073565194</v>
      </c>
      <c r="AS186" s="18">
        <f t="shared" si="183"/>
        <v>1.4652340259569621</v>
      </c>
      <c r="AT186" s="56">
        <f t="shared" si="171"/>
        <v>3</v>
      </c>
      <c r="AV186" s="18">
        <f t="shared" ref="AV186:AY205" si="184">SQRT(($B186-AV$139)^2+($C186-AV$140)^2+($D186-AV$141)^2)</f>
        <v>4.4697580424469638</v>
      </c>
      <c r="AW186" s="18">
        <f t="shared" si="184"/>
        <v>2.625137799840787</v>
      </c>
      <c r="AX186" s="18">
        <f t="shared" si="184"/>
        <v>1.3352093073565194</v>
      </c>
      <c r="AY186" s="18">
        <f t="shared" si="184"/>
        <v>1.4652340259569621</v>
      </c>
      <c r="AZ186" s="56">
        <f t="shared" si="172"/>
        <v>3</v>
      </c>
      <c r="BB186" s="18">
        <f t="shared" ref="BB186:BE205" si="185">SQRT(($B186-BB$139)^2+($C186-BB$140)^2+($D186-BB$141)^2)</f>
        <v>4.4697580424469638</v>
      </c>
      <c r="BC186" s="18">
        <f t="shared" si="185"/>
        <v>2.625137799840787</v>
      </c>
      <c r="BD186" s="18">
        <f t="shared" si="185"/>
        <v>1.3352093073565194</v>
      </c>
      <c r="BE186" s="18">
        <f t="shared" si="185"/>
        <v>1.4652340259569621</v>
      </c>
      <c r="BF186" s="56">
        <f t="shared" si="173"/>
        <v>3</v>
      </c>
      <c r="BH186" s="18">
        <f t="shared" ref="BH186:BK205" si="186">SQRT(($B186-BH$139)^2+($C186-BH$140)^2+($D186-BH$141)^2)</f>
        <v>4.4697580424469638</v>
      </c>
      <c r="BI186" s="18">
        <f t="shared" si="186"/>
        <v>2.625137799840787</v>
      </c>
      <c r="BJ186" s="18">
        <f t="shared" si="186"/>
        <v>1.3352093073565194</v>
      </c>
      <c r="BK186" s="18">
        <f t="shared" si="186"/>
        <v>1.4652340259569621</v>
      </c>
      <c r="BL186" s="56">
        <f t="shared" si="174"/>
        <v>3</v>
      </c>
      <c r="BN186" s="18">
        <f t="shared" ref="BN186:BQ205" si="187">SQRT(($B186-BN$139)^2+($C186-BN$140)^2+($D186-BN$141)^2)</f>
        <v>4.4697580424469638</v>
      </c>
      <c r="BO186" s="18">
        <f t="shared" si="187"/>
        <v>2.625137799840787</v>
      </c>
      <c r="BP186" s="18">
        <f t="shared" si="187"/>
        <v>1.3352093073565194</v>
      </c>
      <c r="BQ186" s="18">
        <f t="shared" si="187"/>
        <v>1.4652340259569621</v>
      </c>
      <c r="BR186" s="56">
        <f t="shared" si="175"/>
        <v>3</v>
      </c>
      <c r="BT186" s="18">
        <f t="shared" ref="BT186:BW205" si="188">SQRT(($B186-BT$139)^2+($C186-BT$140)^2+($D186-BT$141)^2)</f>
        <v>4.4697580424469638</v>
      </c>
      <c r="BU186" s="18">
        <f t="shared" si="188"/>
        <v>2.625137799840787</v>
      </c>
      <c r="BV186" s="18">
        <f t="shared" si="188"/>
        <v>1.3352093073565194</v>
      </c>
      <c r="BW186" s="18">
        <f t="shared" si="188"/>
        <v>1.4652340259569621</v>
      </c>
      <c r="BX186" s="56">
        <f t="shared" si="176"/>
        <v>3</v>
      </c>
      <c r="BZ186" s="18">
        <f t="shared" ref="BZ186:CC205" si="189">SQRT(($B186-BZ$139)^2+($C186-BZ$140)^2+($D186-BZ$141)^2)</f>
        <v>4.4697580424469638</v>
      </c>
      <c r="CA186" s="18">
        <f t="shared" si="189"/>
        <v>2.625137799840787</v>
      </c>
      <c r="CB186" s="18">
        <f t="shared" si="189"/>
        <v>1.3352093073565194</v>
      </c>
      <c r="CC186" s="18">
        <f t="shared" si="189"/>
        <v>1.4652340259569621</v>
      </c>
      <c r="CD186" s="56">
        <f t="shared" si="177"/>
        <v>3</v>
      </c>
      <c r="CF186" s="18">
        <f t="shared" ref="CF186:CI205" si="190">SQRT(($B186-CF$139)^2+($C186-CF$140)^2+($D186-CF$141)^2)</f>
        <v>4.4697580424469638</v>
      </c>
      <c r="CG186" s="18">
        <f t="shared" si="190"/>
        <v>2.625137799840787</v>
      </c>
      <c r="CH186" s="18">
        <f t="shared" si="190"/>
        <v>1.3352093073565194</v>
      </c>
      <c r="CI186" s="18">
        <f t="shared" si="190"/>
        <v>1.4652340259569621</v>
      </c>
      <c r="CJ186" s="56">
        <f t="shared" si="178"/>
        <v>3</v>
      </c>
      <c r="CL186" s="18">
        <f t="shared" ref="CL186:CO205" si="191">SQRT(($B186-CL$139)^2+($C186-CL$140)^2+($D186-CL$141)^2)</f>
        <v>4.4697580424469638</v>
      </c>
      <c r="CM186" s="18">
        <f t="shared" si="191"/>
        <v>2.625137799840787</v>
      </c>
      <c r="CN186" s="18">
        <f t="shared" si="191"/>
        <v>1.3352093073565194</v>
      </c>
      <c r="CO186" s="18">
        <f t="shared" si="191"/>
        <v>1.4652340259569621</v>
      </c>
      <c r="CP186" s="56">
        <f t="shared" si="179"/>
        <v>3</v>
      </c>
    </row>
    <row r="187" spans="1:94" x14ac:dyDescent="0.25">
      <c r="A187" s="36" t="str">
        <f>KMeans_Data!A46</f>
        <v>Nagar</v>
      </c>
      <c r="B187" s="18">
        <f>KMeans_Data!H46</f>
        <v>0.27371739838699027</v>
      </c>
      <c r="C187" s="18">
        <f>KMeans_Data!I46</f>
        <v>-0.14698313392952958</v>
      </c>
      <c r="D187" s="18">
        <f>KMeans_Data!J46</f>
        <v>0.77424684086161255</v>
      </c>
      <c r="E187" s="56">
        <f t="shared" si="166"/>
        <v>3</v>
      </c>
      <c r="F187" s="38">
        <f t="shared" si="167"/>
        <v>0.72079835412982751</v>
      </c>
      <c r="G187" s="18">
        <f>IF(COUNTIF(Distance_Matrix!$E$10:$DQ$10,$E187)&lt;=1,0,SUMIF(Distance_Matrix!$E$10:$DQ$10,$E187,Distance_Matrix!$E$55:$DQ$55)/(COUNTIF(Distance_Matrix!$E$10:$DQ$10,$E187)-1))</f>
        <v>1.0719918086216809</v>
      </c>
      <c r="H187" s="18">
        <f>MIN(IF(1=$E187,1E+99,IF(COUNTIF(Distance_Matrix!$E$10:$DQ$10,1)=0,1E+99,SUMIF(Distance_Matrix!$E$10:$DQ$10,1,Distance_Matrix!$E$55:$DQ$55)/COUNTIF(Distance_Matrix!$E$10:$DQ$10,1))),IF(2=$E187,1E+99,IF(COUNTIF(Distance_Matrix!$E$10:$DQ$10,2)=0,1E+99,SUMIF(Distance_Matrix!$E$10:$DQ$10,2,Distance_Matrix!$E$55:$DQ$55)/COUNTIF(Distance_Matrix!$E$10:$DQ$10,2))),IF(3=$E187,1E+99,IF(COUNTIF(Distance_Matrix!$E$10:$DQ$10,3)=0,1E+99,SUMIF(Distance_Matrix!$E$10:$DQ$10,3,Distance_Matrix!$E$55:$DQ$55)/COUNTIF(Distance_Matrix!$E$10:$DQ$10,3))),IF(4=$E187,1E+99,IF(COUNTIF(Distance_Matrix!$E$10:$DQ$10,4)=0,1E+99,SUMIF(Distance_Matrix!$E$10:$DQ$10,4,Distance_Matrix!$E$55:$DQ$55)/COUNTIF(Distance_Matrix!$E$10:$DQ$10,4))))</f>
        <v>1.4174762202338664</v>
      </c>
      <c r="I187" s="18">
        <f>IF(COUNTIF(Distance_Matrix!$E$10:$DQ$10,$E187)&lt;=1,0,(H187-G187)/MAX(G187,H187))</f>
        <v>0.24373206878573583</v>
      </c>
      <c r="X187" s="18">
        <f t="shared" si="180"/>
        <v>5.7155539104585298</v>
      </c>
      <c r="Y187" s="18">
        <f t="shared" si="180"/>
        <v>3.0823789094685083</v>
      </c>
      <c r="Z187" s="18">
        <f t="shared" si="180"/>
        <v>1.1593431801629535</v>
      </c>
      <c r="AA187" s="18">
        <f t="shared" si="180"/>
        <v>1.9555900134537492</v>
      </c>
      <c r="AB187" s="56">
        <f t="shared" si="168"/>
        <v>3</v>
      </c>
      <c r="AD187" s="18">
        <f t="shared" si="181"/>
        <v>4.7698540548379338</v>
      </c>
      <c r="AE187" s="18">
        <f t="shared" si="181"/>
        <v>2.3395753403826047</v>
      </c>
      <c r="AF187" s="18">
        <f t="shared" si="181"/>
        <v>0.80401984294683948</v>
      </c>
      <c r="AG187" s="18">
        <f t="shared" si="181"/>
        <v>1.3745756717913296</v>
      </c>
      <c r="AH187" s="56">
        <f t="shared" si="169"/>
        <v>3</v>
      </c>
      <c r="AJ187" s="18">
        <f t="shared" si="182"/>
        <v>4.4238823265370835</v>
      </c>
      <c r="AK187" s="18">
        <f t="shared" si="182"/>
        <v>2.3710813168135552</v>
      </c>
      <c r="AL187" s="18">
        <f t="shared" si="182"/>
        <v>0.89851969155378508</v>
      </c>
      <c r="AM187" s="18">
        <f t="shared" si="182"/>
        <v>1.2604560073281263</v>
      </c>
      <c r="AN187" s="56">
        <f t="shared" si="170"/>
        <v>3</v>
      </c>
      <c r="AP187" s="18">
        <f t="shared" si="183"/>
        <v>4.1391611061389764</v>
      </c>
      <c r="AQ187" s="18">
        <f t="shared" si="183"/>
        <v>2.4653643547561859</v>
      </c>
      <c r="AR187" s="18">
        <f t="shared" si="183"/>
        <v>0.84899844177114214</v>
      </c>
      <c r="AS187" s="18">
        <f t="shared" si="183"/>
        <v>1.2701437630312236</v>
      </c>
      <c r="AT187" s="56">
        <f t="shared" si="171"/>
        <v>3</v>
      </c>
      <c r="AV187" s="18">
        <f t="shared" si="184"/>
        <v>4.1391611061389764</v>
      </c>
      <c r="AW187" s="18">
        <f t="shared" si="184"/>
        <v>2.4653643547561859</v>
      </c>
      <c r="AX187" s="18">
        <f t="shared" si="184"/>
        <v>0.84899844177114214</v>
      </c>
      <c r="AY187" s="18">
        <f t="shared" si="184"/>
        <v>1.2701437630312236</v>
      </c>
      <c r="AZ187" s="56">
        <f t="shared" si="172"/>
        <v>3</v>
      </c>
      <c r="BB187" s="18">
        <f t="shared" si="185"/>
        <v>4.1391611061389764</v>
      </c>
      <c r="BC187" s="18">
        <f t="shared" si="185"/>
        <v>2.4653643547561859</v>
      </c>
      <c r="BD187" s="18">
        <f t="shared" si="185"/>
        <v>0.84899844177114214</v>
      </c>
      <c r="BE187" s="18">
        <f t="shared" si="185"/>
        <v>1.2701437630312236</v>
      </c>
      <c r="BF187" s="56">
        <f t="shared" si="173"/>
        <v>3</v>
      </c>
      <c r="BH187" s="18">
        <f t="shared" si="186"/>
        <v>4.1391611061389764</v>
      </c>
      <c r="BI187" s="18">
        <f t="shared" si="186"/>
        <v>2.4653643547561859</v>
      </c>
      <c r="BJ187" s="18">
        <f t="shared" si="186"/>
        <v>0.84899844177114214</v>
      </c>
      <c r="BK187" s="18">
        <f t="shared" si="186"/>
        <v>1.2701437630312236</v>
      </c>
      <c r="BL187" s="56">
        <f t="shared" si="174"/>
        <v>3</v>
      </c>
      <c r="BN187" s="18">
        <f t="shared" si="187"/>
        <v>4.1391611061389764</v>
      </c>
      <c r="BO187" s="18">
        <f t="shared" si="187"/>
        <v>2.4653643547561859</v>
      </c>
      <c r="BP187" s="18">
        <f t="shared" si="187"/>
        <v>0.84899844177114214</v>
      </c>
      <c r="BQ187" s="18">
        <f t="shared" si="187"/>
        <v>1.2701437630312236</v>
      </c>
      <c r="BR187" s="56">
        <f t="shared" si="175"/>
        <v>3</v>
      </c>
      <c r="BT187" s="18">
        <f t="shared" si="188"/>
        <v>4.1391611061389764</v>
      </c>
      <c r="BU187" s="18">
        <f t="shared" si="188"/>
        <v>2.4653643547561859</v>
      </c>
      <c r="BV187" s="18">
        <f t="shared" si="188"/>
        <v>0.84899844177114214</v>
      </c>
      <c r="BW187" s="18">
        <f t="shared" si="188"/>
        <v>1.2701437630312236</v>
      </c>
      <c r="BX187" s="56">
        <f t="shared" si="176"/>
        <v>3</v>
      </c>
      <c r="BZ187" s="18">
        <f t="shared" si="189"/>
        <v>4.1391611061389764</v>
      </c>
      <c r="CA187" s="18">
        <f t="shared" si="189"/>
        <v>2.4653643547561859</v>
      </c>
      <c r="CB187" s="18">
        <f t="shared" si="189"/>
        <v>0.84899844177114214</v>
      </c>
      <c r="CC187" s="18">
        <f t="shared" si="189"/>
        <v>1.2701437630312236</v>
      </c>
      <c r="CD187" s="56">
        <f t="shared" si="177"/>
        <v>3</v>
      </c>
      <c r="CF187" s="18">
        <f t="shared" si="190"/>
        <v>4.1391611061389764</v>
      </c>
      <c r="CG187" s="18">
        <f t="shared" si="190"/>
        <v>2.4653643547561859</v>
      </c>
      <c r="CH187" s="18">
        <f t="shared" si="190"/>
        <v>0.84899844177114214</v>
      </c>
      <c r="CI187" s="18">
        <f t="shared" si="190"/>
        <v>1.2701437630312236</v>
      </c>
      <c r="CJ187" s="56">
        <f t="shared" si="178"/>
        <v>3</v>
      </c>
      <c r="CL187" s="18">
        <f t="shared" si="191"/>
        <v>4.1391611061389764</v>
      </c>
      <c r="CM187" s="18">
        <f t="shared" si="191"/>
        <v>2.4653643547561859</v>
      </c>
      <c r="CN187" s="18">
        <f t="shared" si="191"/>
        <v>0.84899844177114214</v>
      </c>
      <c r="CO187" s="18">
        <f t="shared" si="191"/>
        <v>1.2701437630312236</v>
      </c>
      <c r="CP187" s="56">
        <f t="shared" si="179"/>
        <v>3</v>
      </c>
    </row>
    <row r="188" spans="1:94" x14ac:dyDescent="0.25">
      <c r="A188" s="36" t="str">
        <f>KMeans_Data!A47</f>
        <v>Rahim Yar Khan</v>
      </c>
      <c r="B188" s="18">
        <f>KMeans_Data!H47</f>
        <v>0.26227803642067726</v>
      </c>
      <c r="C188" s="18">
        <f>KMeans_Data!I47</f>
        <v>-0.14698313392952958</v>
      </c>
      <c r="D188" s="18">
        <f>KMeans_Data!J47</f>
        <v>-0.63655717184154814</v>
      </c>
      <c r="E188" s="56">
        <f t="shared" si="166"/>
        <v>4</v>
      </c>
      <c r="F188" s="38">
        <f t="shared" si="167"/>
        <v>0.35161769550744931</v>
      </c>
      <c r="G188" s="18">
        <f>IF(COUNTIF(Distance_Matrix!$E$10:$DQ$10,$E188)&lt;=1,0,SUMIF(Distance_Matrix!$E$10:$DQ$10,$E188,Distance_Matrix!$E$56:$DQ$56)/(COUNTIF(Distance_Matrix!$E$10:$DQ$10,$E188)-1))</f>
        <v>0.9617964078625979</v>
      </c>
      <c r="H188" s="18">
        <f>MIN(IF(1=$E188,1E+99,IF(COUNTIF(Distance_Matrix!$E$10:$DQ$10,1)=0,1E+99,SUMIF(Distance_Matrix!$E$10:$DQ$10,1,Distance_Matrix!$E$56:$DQ$56)/COUNTIF(Distance_Matrix!$E$10:$DQ$10,1))),IF(2=$E188,1E+99,IF(COUNTIF(Distance_Matrix!$E$10:$DQ$10,2)=0,1E+99,SUMIF(Distance_Matrix!$E$10:$DQ$10,2,Distance_Matrix!$E$56:$DQ$56)/COUNTIF(Distance_Matrix!$E$10:$DQ$10,2))),IF(3=$E188,1E+99,IF(COUNTIF(Distance_Matrix!$E$10:$DQ$10,3)=0,1E+99,SUMIF(Distance_Matrix!$E$10:$DQ$10,3,Distance_Matrix!$E$56:$DQ$56)/COUNTIF(Distance_Matrix!$E$10:$DQ$10,3))),IF(4=$E188,1E+99,IF(COUNTIF(Distance_Matrix!$E$10:$DQ$10,4)=0,1E+99,SUMIF(Distance_Matrix!$E$10:$DQ$10,4,Distance_Matrix!$E$56:$DQ$56)/COUNTIF(Distance_Matrix!$E$10:$DQ$10,4))))</f>
        <v>1.6968294020744308</v>
      </c>
      <c r="I188" s="18">
        <f>IF(COUNTIF(Distance_Matrix!$E$10:$DQ$10,$E188)&lt;=1,0,(H188-G188)/MAX(G188,H188))</f>
        <v>0.43318025566579083</v>
      </c>
      <c r="X188" s="18">
        <f t="shared" si="180"/>
        <v>6.4590993672190296</v>
      </c>
      <c r="Y188" s="18">
        <f t="shared" si="180"/>
        <v>2.4536778056908317</v>
      </c>
      <c r="Z188" s="18">
        <f t="shared" si="180"/>
        <v>2.3057169172843408</v>
      </c>
      <c r="AA188" s="18">
        <f t="shared" si="180"/>
        <v>0.63730782210871562</v>
      </c>
      <c r="AB188" s="56">
        <f t="shared" si="168"/>
        <v>4</v>
      </c>
      <c r="AD188" s="18">
        <f t="shared" si="181"/>
        <v>5.4434325211476553</v>
      </c>
      <c r="AE188" s="18">
        <f t="shared" si="181"/>
        <v>1.6143161777932691</v>
      </c>
      <c r="AF188" s="18">
        <f t="shared" si="181"/>
        <v>1.7152704932369152</v>
      </c>
      <c r="AG188" s="18">
        <f t="shared" si="181"/>
        <v>0.48726222662842261</v>
      </c>
      <c r="AH188" s="56">
        <f t="shared" si="169"/>
        <v>4</v>
      </c>
      <c r="AJ188" s="18">
        <f t="shared" si="182"/>
        <v>5.0991698756134287</v>
      </c>
      <c r="AK188" s="18">
        <f t="shared" si="182"/>
        <v>1.6163110158514102</v>
      </c>
      <c r="AL188" s="18">
        <f t="shared" si="182"/>
        <v>1.7651113383934469</v>
      </c>
      <c r="AM188" s="18">
        <f t="shared" si="182"/>
        <v>0.55239900222828509</v>
      </c>
      <c r="AN188" s="56">
        <f t="shared" si="170"/>
        <v>4</v>
      </c>
      <c r="AP188" s="18">
        <f t="shared" si="183"/>
        <v>4.8106916056375573</v>
      </c>
      <c r="AQ188" s="18">
        <f t="shared" si="183"/>
        <v>1.6787807162640549</v>
      </c>
      <c r="AR188" s="18">
        <f t="shared" si="183"/>
        <v>1.7279701641919889</v>
      </c>
      <c r="AS188" s="18">
        <f t="shared" si="183"/>
        <v>0.59297360439352553</v>
      </c>
      <c r="AT188" s="56">
        <f t="shared" si="171"/>
        <v>4</v>
      </c>
      <c r="AV188" s="18">
        <f t="shared" si="184"/>
        <v>4.8106916056375573</v>
      </c>
      <c r="AW188" s="18">
        <f t="shared" si="184"/>
        <v>1.6787807162640549</v>
      </c>
      <c r="AX188" s="18">
        <f t="shared" si="184"/>
        <v>1.7279701641919889</v>
      </c>
      <c r="AY188" s="18">
        <f t="shared" si="184"/>
        <v>0.59297360439352553</v>
      </c>
      <c r="AZ188" s="56">
        <f t="shared" si="172"/>
        <v>4</v>
      </c>
      <c r="BB188" s="18">
        <f t="shared" si="185"/>
        <v>4.8106916056375573</v>
      </c>
      <c r="BC188" s="18">
        <f t="shared" si="185"/>
        <v>1.6787807162640549</v>
      </c>
      <c r="BD188" s="18">
        <f t="shared" si="185"/>
        <v>1.7279701641919889</v>
      </c>
      <c r="BE188" s="18">
        <f t="shared" si="185"/>
        <v>0.59297360439352553</v>
      </c>
      <c r="BF188" s="56">
        <f t="shared" si="173"/>
        <v>4</v>
      </c>
      <c r="BH188" s="18">
        <f t="shared" si="186"/>
        <v>4.8106916056375573</v>
      </c>
      <c r="BI188" s="18">
        <f t="shared" si="186"/>
        <v>1.6787807162640549</v>
      </c>
      <c r="BJ188" s="18">
        <f t="shared" si="186"/>
        <v>1.7279701641919889</v>
      </c>
      <c r="BK188" s="18">
        <f t="shared" si="186"/>
        <v>0.59297360439352553</v>
      </c>
      <c r="BL188" s="56">
        <f t="shared" si="174"/>
        <v>4</v>
      </c>
      <c r="BN188" s="18">
        <f t="shared" si="187"/>
        <v>4.8106916056375573</v>
      </c>
      <c r="BO188" s="18">
        <f t="shared" si="187"/>
        <v>1.6787807162640549</v>
      </c>
      <c r="BP188" s="18">
        <f t="shared" si="187"/>
        <v>1.7279701641919889</v>
      </c>
      <c r="BQ188" s="18">
        <f t="shared" si="187"/>
        <v>0.59297360439352553</v>
      </c>
      <c r="BR188" s="56">
        <f t="shared" si="175"/>
        <v>4</v>
      </c>
      <c r="BT188" s="18">
        <f t="shared" si="188"/>
        <v>4.8106916056375573</v>
      </c>
      <c r="BU188" s="18">
        <f t="shared" si="188"/>
        <v>1.6787807162640549</v>
      </c>
      <c r="BV188" s="18">
        <f t="shared" si="188"/>
        <v>1.7279701641919889</v>
      </c>
      <c r="BW188" s="18">
        <f t="shared" si="188"/>
        <v>0.59297360439352553</v>
      </c>
      <c r="BX188" s="56">
        <f t="shared" si="176"/>
        <v>4</v>
      </c>
      <c r="BZ188" s="18">
        <f t="shared" si="189"/>
        <v>4.8106916056375573</v>
      </c>
      <c r="CA188" s="18">
        <f t="shared" si="189"/>
        <v>1.6787807162640549</v>
      </c>
      <c r="CB188" s="18">
        <f t="shared" si="189"/>
        <v>1.7279701641919889</v>
      </c>
      <c r="CC188" s="18">
        <f t="shared" si="189"/>
        <v>0.59297360439352553</v>
      </c>
      <c r="CD188" s="56">
        <f t="shared" si="177"/>
        <v>4</v>
      </c>
      <c r="CF188" s="18">
        <f t="shared" si="190"/>
        <v>4.8106916056375573</v>
      </c>
      <c r="CG188" s="18">
        <f t="shared" si="190"/>
        <v>1.6787807162640549</v>
      </c>
      <c r="CH188" s="18">
        <f t="shared" si="190"/>
        <v>1.7279701641919889</v>
      </c>
      <c r="CI188" s="18">
        <f t="shared" si="190"/>
        <v>0.59297360439352553</v>
      </c>
      <c r="CJ188" s="56">
        <f t="shared" si="178"/>
        <v>4</v>
      </c>
      <c r="CL188" s="18">
        <f t="shared" si="191"/>
        <v>4.8106916056375573</v>
      </c>
      <c r="CM188" s="18">
        <f t="shared" si="191"/>
        <v>1.6787807162640549</v>
      </c>
      <c r="CN188" s="18">
        <f t="shared" si="191"/>
        <v>1.7279701641919889</v>
      </c>
      <c r="CO188" s="18">
        <f t="shared" si="191"/>
        <v>0.59297360439352553</v>
      </c>
      <c r="CP188" s="56">
        <f t="shared" si="179"/>
        <v>4</v>
      </c>
    </row>
    <row r="189" spans="1:94" x14ac:dyDescent="0.25">
      <c r="A189" s="36" t="str">
        <f>KMeans_Data!A48</f>
        <v>Jamshoro</v>
      </c>
      <c r="B189" s="18">
        <f>KMeans_Data!H48</f>
        <v>0.25646266846194293</v>
      </c>
      <c r="C189" s="18">
        <f>KMeans_Data!I48</f>
        <v>-0.67265054538827607</v>
      </c>
      <c r="D189" s="18">
        <f>KMeans_Data!J48</f>
        <v>0.514925973520034</v>
      </c>
      <c r="E189" s="56">
        <f t="shared" si="166"/>
        <v>4</v>
      </c>
      <c r="F189" s="38">
        <f t="shared" si="167"/>
        <v>0.96752270456125133</v>
      </c>
      <c r="G189" s="18">
        <f>IF(COUNTIF(Distance_Matrix!$E$10:$DQ$10,$E189)&lt;=1,0,SUMIF(Distance_Matrix!$E$10:$DQ$10,$E189,Distance_Matrix!$E$57:$DQ$57)/(COUNTIF(Distance_Matrix!$E$10:$DQ$10,$E189)-1))</f>
        <v>1.2031173421365116</v>
      </c>
      <c r="H189" s="18">
        <f>MIN(IF(1=$E189,1E+99,IF(COUNTIF(Distance_Matrix!$E$10:$DQ$10,1)=0,1E+99,SUMIF(Distance_Matrix!$E$10:$DQ$10,1,Distance_Matrix!$E$57:$DQ$57)/COUNTIF(Distance_Matrix!$E$10:$DQ$10,1))),IF(2=$E189,1E+99,IF(COUNTIF(Distance_Matrix!$E$10:$DQ$10,2)=0,1E+99,SUMIF(Distance_Matrix!$E$10:$DQ$10,2,Distance_Matrix!$E$57:$DQ$57)/COUNTIF(Distance_Matrix!$E$10:$DQ$10,2))),IF(3=$E189,1E+99,IF(COUNTIF(Distance_Matrix!$E$10:$DQ$10,3)=0,1E+99,SUMIF(Distance_Matrix!$E$10:$DQ$10,3,Distance_Matrix!$E$57:$DQ$57)/COUNTIF(Distance_Matrix!$E$10:$DQ$10,3))),IF(4=$E189,1E+99,IF(COUNTIF(Distance_Matrix!$E$10:$DQ$10,4)=0,1E+99,SUMIF(Distance_Matrix!$E$10:$DQ$10,4,Distance_Matrix!$E$57:$DQ$57)/COUNTIF(Distance_Matrix!$E$10:$DQ$10,4))))</f>
        <v>1.4884806122827541</v>
      </c>
      <c r="I189" s="18">
        <f>IF(COUNTIF(Distance_Matrix!$E$10:$DQ$10,$E189)&lt;=1,0,(H189-G189)/MAX(G189,H189))</f>
        <v>0.19171446896349259</v>
      </c>
      <c r="X189" s="18">
        <f t="shared" si="180"/>
        <v>6.2290550244489014</v>
      </c>
      <c r="Y189" s="18">
        <f t="shared" si="180"/>
        <v>2.8662390866109257</v>
      </c>
      <c r="Z189" s="18">
        <f t="shared" si="180"/>
        <v>1.6211134796330222</v>
      </c>
      <c r="AA189" s="18">
        <f t="shared" si="180"/>
        <v>1.7847419921699987</v>
      </c>
      <c r="AB189" s="56">
        <f t="shared" si="168"/>
        <v>3</v>
      </c>
      <c r="AD189" s="18">
        <f t="shared" si="181"/>
        <v>5.2838049249774457</v>
      </c>
      <c r="AE189" s="18">
        <f t="shared" si="181"/>
        <v>2.0846335143031816</v>
      </c>
      <c r="AF189" s="18">
        <f t="shared" si="181"/>
        <v>1.348126343826854</v>
      </c>
      <c r="AG189" s="18">
        <f t="shared" si="181"/>
        <v>1.0926503044649591</v>
      </c>
      <c r="AH189" s="56">
        <f t="shared" si="169"/>
        <v>4</v>
      </c>
      <c r="AJ189" s="18">
        <f t="shared" si="182"/>
        <v>4.934289482073714</v>
      </c>
      <c r="AK189" s="18">
        <f t="shared" si="182"/>
        <v>2.1138306485769074</v>
      </c>
      <c r="AL189" s="18">
        <f t="shared" si="182"/>
        <v>1.4384922839566787</v>
      </c>
      <c r="AM189" s="18">
        <f t="shared" si="182"/>
        <v>0.97554226541200373</v>
      </c>
      <c r="AN189" s="56">
        <f t="shared" si="170"/>
        <v>4</v>
      </c>
      <c r="AP189" s="18">
        <f t="shared" si="183"/>
        <v>4.6531587544065998</v>
      </c>
      <c r="AQ189" s="18">
        <f t="shared" si="183"/>
        <v>2.2089087466477841</v>
      </c>
      <c r="AR189" s="18">
        <f t="shared" si="183"/>
        <v>1.3890458493706821</v>
      </c>
      <c r="AS189" s="18">
        <f t="shared" si="183"/>
        <v>0.98362731995469266</v>
      </c>
      <c r="AT189" s="56">
        <f t="shared" si="171"/>
        <v>4</v>
      </c>
      <c r="AV189" s="18">
        <f t="shared" si="184"/>
        <v>4.6531587544065998</v>
      </c>
      <c r="AW189" s="18">
        <f t="shared" si="184"/>
        <v>2.2089087466477841</v>
      </c>
      <c r="AX189" s="18">
        <f t="shared" si="184"/>
        <v>1.3890458493706821</v>
      </c>
      <c r="AY189" s="18">
        <f t="shared" si="184"/>
        <v>0.98362731995469266</v>
      </c>
      <c r="AZ189" s="56">
        <f t="shared" si="172"/>
        <v>4</v>
      </c>
      <c r="BB189" s="18">
        <f t="shared" si="185"/>
        <v>4.6531587544065998</v>
      </c>
      <c r="BC189" s="18">
        <f t="shared" si="185"/>
        <v>2.2089087466477841</v>
      </c>
      <c r="BD189" s="18">
        <f t="shared" si="185"/>
        <v>1.3890458493706821</v>
      </c>
      <c r="BE189" s="18">
        <f t="shared" si="185"/>
        <v>0.98362731995469266</v>
      </c>
      <c r="BF189" s="56">
        <f t="shared" si="173"/>
        <v>4</v>
      </c>
      <c r="BH189" s="18">
        <f t="shared" si="186"/>
        <v>4.6531587544065998</v>
      </c>
      <c r="BI189" s="18">
        <f t="shared" si="186"/>
        <v>2.2089087466477841</v>
      </c>
      <c r="BJ189" s="18">
        <f t="shared" si="186"/>
        <v>1.3890458493706821</v>
      </c>
      <c r="BK189" s="18">
        <f t="shared" si="186"/>
        <v>0.98362731995469266</v>
      </c>
      <c r="BL189" s="56">
        <f t="shared" si="174"/>
        <v>4</v>
      </c>
      <c r="BN189" s="18">
        <f t="shared" si="187"/>
        <v>4.6531587544065998</v>
      </c>
      <c r="BO189" s="18">
        <f t="shared" si="187"/>
        <v>2.2089087466477841</v>
      </c>
      <c r="BP189" s="18">
        <f t="shared" si="187"/>
        <v>1.3890458493706821</v>
      </c>
      <c r="BQ189" s="18">
        <f t="shared" si="187"/>
        <v>0.98362731995469266</v>
      </c>
      <c r="BR189" s="56">
        <f t="shared" si="175"/>
        <v>4</v>
      </c>
      <c r="BT189" s="18">
        <f t="shared" si="188"/>
        <v>4.6531587544065998</v>
      </c>
      <c r="BU189" s="18">
        <f t="shared" si="188"/>
        <v>2.2089087466477841</v>
      </c>
      <c r="BV189" s="18">
        <f t="shared" si="188"/>
        <v>1.3890458493706821</v>
      </c>
      <c r="BW189" s="18">
        <f t="shared" si="188"/>
        <v>0.98362731995469266</v>
      </c>
      <c r="BX189" s="56">
        <f t="shared" si="176"/>
        <v>4</v>
      </c>
      <c r="BZ189" s="18">
        <f t="shared" si="189"/>
        <v>4.6531587544065998</v>
      </c>
      <c r="CA189" s="18">
        <f t="shared" si="189"/>
        <v>2.2089087466477841</v>
      </c>
      <c r="CB189" s="18">
        <f t="shared" si="189"/>
        <v>1.3890458493706821</v>
      </c>
      <c r="CC189" s="18">
        <f t="shared" si="189"/>
        <v>0.98362731995469266</v>
      </c>
      <c r="CD189" s="56">
        <f t="shared" si="177"/>
        <v>4</v>
      </c>
      <c r="CF189" s="18">
        <f t="shared" si="190"/>
        <v>4.6531587544065998</v>
      </c>
      <c r="CG189" s="18">
        <f t="shared" si="190"/>
        <v>2.2089087466477841</v>
      </c>
      <c r="CH189" s="18">
        <f t="shared" si="190"/>
        <v>1.3890458493706821</v>
      </c>
      <c r="CI189" s="18">
        <f t="shared" si="190"/>
        <v>0.98362731995469266</v>
      </c>
      <c r="CJ189" s="56">
        <f t="shared" si="178"/>
        <v>4</v>
      </c>
      <c r="CL189" s="18">
        <f t="shared" si="191"/>
        <v>4.6531587544065998</v>
      </c>
      <c r="CM189" s="18">
        <f t="shared" si="191"/>
        <v>2.2089087466477841</v>
      </c>
      <c r="CN189" s="18">
        <f t="shared" si="191"/>
        <v>1.3890458493706821</v>
      </c>
      <c r="CO189" s="18">
        <f t="shared" si="191"/>
        <v>0.98362731995469266</v>
      </c>
      <c r="CP189" s="56">
        <f t="shared" si="179"/>
        <v>4</v>
      </c>
    </row>
    <row r="190" spans="1:94" x14ac:dyDescent="0.25">
      <c r="A190" s="36" t="str">
        <f>KMeans_Data!A49</f>
        <v>Gujranwala</v>
      </c>
      <c r="B190" s="18">
        <f>KMeans_Data!H49</f>
        <v>0.23861623378571303</v>
      </c>
      <c r="C190" s="18">
        <f>KMeans_Data!I49</f>
        <v>-0.67265054538827607</v>
      </c>
      <c r="D190" s="18">
        <f>KMeans_Data!J49</f>
        <v>-0.82444601589876665</v>
      </c>
      <c r="E190" s="56">
        <f t="shared" si="166"/>
        <v>4</v>
      </c>
      <c r="F190" s="38">
        <f t="shared" si="167"/>
        <v>0.36392287257938938</v>
      </c>
      <c r="G190" s="18">
        <f>IF(COUNTIF(Distance_Matrix!$E$10:$DQ$10,$E190)&lt;=1,0,SUMIF(Distance_Matrix!$E$10:$DQ$10,$E190,Distance_Matrix!$E$58:$DQ$58)/(COUNTIF(Distance_Matrix!$E$10:$DQ$10,$E190)-1))</f>
        <v>0.92118836873869736</v>
      </c>
      <c r="H190" s="18">
        <f>MIN(IF(1=$E190,1E+99,IF(COUNTIF(Distance_Matrix!$E$10:$DQ$10,1)=0,1E+99,SUMIF(Distance_Matrix!$E$10:$DQ$10,1,Distance_Matrix!$E$58:$DQ$58)/COUNTIF(Distance_Matrix!$E$10:$DQ$10,1))),IF(2=$E190,1E+99,IF(COUNTIF(Distance_Matrix!$E$10:$DQ$10,2)=0,1E+99,SUMIF(Distance_Matrix!$E$10:$DQ$10,2,Distance_Matrix!$E$58:$DQ$58)/COUNTIF(Distance_Matrix!$E$10:$DQ$10,2))),IF(3=$E190,1E+99,IF(COUNTIF(Distance_Matrix!$E$10:$DQ$10,3)=0,1E+99,SUMIF(Distance_Matrix!$E$10:$DQ$10,3,Distance_Matrix!$E$58:$DQ$58)/COUNTIF(Distance_Matrix!$E$10:$DQ$10,3))),IF(4=$E190,1E+99,IF(COUNTIF(Distance_Matrix!$E$10:$DQ$10,4)=0,1E+99,SUMIF(Distance_Matrix!$E$10:$DQ$10,4,Distance_Matrix!$E$58:$DQ$58)/COUNTIF(Distance_Matrix!$E$10:$DQ$10,4))))</f>
        <v>1.5531066172977119</v>
      </c>
      <c r="I190" s="18">
        <f>IF(COUNTIF(Distance_Matrix!$E$10:$DQ$10,$E190)&lt;=1,0,(H190-G190)/MAX(G190,H190))</f>
        <v>0.40687370816725033</v>
      </c>
      <c r="X190" s="18">
        <f t="shared" si="180"/>
        <v>6.9308663269636464</v>
      </c>
      <c r="Y190" s="18">
        <f t="shared" si="180"/>
        <v>2.3404987692076227</v>
      </c>
      <c r="Z190" s="18">
        <f t="shared" si="180"/>
        <v>2.6475647490986587</v>
      </c>
      <c r="AA190" s="18">
        <f t="shared" si="180"/>
        <v>0.73836962685343654</v>
      </c>
      <c r="AB190" s="56">
        <f t="shared" si="168"/>
        <v>4</v>
      </c>
      <c r="AD190" s="18">
        <f t="shared" si="181"/>
        <v>5.9232534625207061</v>
      </c>
      <c r="AE190" s="18">
        <f t="shared" si="181"/>
        <v>1.4838864657377837</v>
      </c>
      <c r="AF190" s="18">
        <f t="shared" si="181"/>
        <v>2.1450802512381388</v>
      </c>
      <c r="AG190" s="18">
        <f t="shared" si="181"/>
        <v>0.46967306229872102</v>
      </c>
      <c r="AH190" s="56">
        <f t="shared" si="169"/>
        <v>4</v>
      </c>
      <c r="AJ190" s="18">
        <f t="shared" si="182"/>
        <v>5.5754670949754033</v>
      </c>
      <c r="AK190" s="18">
        <f t="shared" si="182"/>
        <v>1.4798118746046058</v>
      </c>
      <c r="AL190" s="18">
        <f t="shared" si="182"/>
        <v>2.2058490817867913</v>
      </c>
      <c r="AM190" s="18">
        <f t="shared" si="182"/>
        <v>0.57262205223929163</v>
      </c>
      <c r="AN190" s="56">
        <f t="shared" si="170"/>
        <v>4</v>
      </c>
      <c r="AP190" s="18">
        <f t="shared" si="183"/>
        <v>5.2904010670613255</v>
      </c>
      <c r="AQ190" s="18">
        <f t="shared" si="183"/>
        <v>1.537113123220412</v>
      </c>
      <c r="AR190" s="18">
        <f t="shared" si="183"/>
        <v>2.164400766993305</v>
      </c>
      <c r="AS190" s="18">
        <f t="shared" si="183"/>
        <v>0.60326020304623884</v>
      </c>
      <c r="AT190" s="56">
        <f t="shared" si="171"/>
        <v>4</v>
      </c>
      <c r="AV190" s="18">
        <f t="shared" si="184"/>
        <v>5.2904010670613255</v>
      </c>
      <c r="AW190" s="18">
        <f t="shared" si="184"/>
        <v>1.537113123220412</v>
      </c>
      <c r="AX190" s="18">
        <f t="shared" si="184"/>
        <v>2.164400766993305</v>
      </c>
      <c r="AY190" s="18">
        <f t="shared" si="184"/>
        <v>0.60326020304623884</v>
      </c>
      <c r="AZ190" s="56">
        <f t="shared" si="172"/>
        <v>4</v>
      </c>
      <c r="BB190" s="18">
        <f t="shared" si="185"/>
        <v>5.2904010670613255</v>
      </c>
      <c r="BC190" s="18">
        <f t="shared" si="185"/>
        <v>1.537113123220412</v>
      </c>
      <c r="BD190" s="18">
        <f t="shared" si="185"/>
        <v>2.164400766993305</v>
      </c>
      <c r="BE190" s="18">
        <f t="shared" si="185"/>
        <v>0.60326020304623884</v>
      </c>
      <c r="BF190" s="56">
        <f t="shared" si="173"/>
        <v>4</v>
      </c>
      <c r="BH190" s="18">
        <f t="shared" si="186"/>
        <v>5.2904010670613255</v>
      </c>
      <c r="BI190" s="18">
        <f t="shared" si="186"/>
        <v>1.537113123220412</v>
      </c>
      <c r="BJ190" s="18">
        <f t="shared" si="186"/>
        <v>2.164400766993305</v>
      </c>
      <c r="BK190" s="18">
        <f t="shared" si="186"/>
        <v>0.60326020304623884</v>
      </c>
      <c r="BL190" s="56">
        <f t="shared" si="174"/>
        <v>4</v>
      </c>
      <c r="BN190" s="18">
        <f t="shared" si="187"/>
        <v>5.2904010670613255</v>
      </c>
      <c r="BO190" s="18">
        <f t="shared" si="187"/>
        <v>1.537113123220412</v>
      </c>
      <c r="BP190" s="18">
        <f t="shared" si="187"/>
        <v>2.164400766993305</v>
      </c>
      <c r="BQ190" s="18">
        <f t="shared" si="187"/>
        <v>0.60326020304623884</v>
      </c>
      <c r="BR190" s="56">
        <f t="shared" si="175"/>
        <v>4</v>
      </c>
      <c r="BT190" s="18">
        <f t="shared" si="188"/>
        <v>5.2904010670613255</v>
      </c>
      <c r="BU190" s="18">
        <f t="shared" si="188"/>
        <v>1.537113123220412</v>
      </c>
      <c r="BV190" s="18">
        <f t="shared" si="188"/>
        <v>2.164400766993305</v>
      </c>
      <c r="BW190" s="18">
        <f t="shared" si="188"/>
        <v>0.60326020304623884</v>
      </c>
      <c r="BX190" s="56">
        <f t="shared" si="176"/>
        <v>4</v>
      </c>
      <c r="BZ190" s="18">
        <f t="shared" si="189"/>
        <v>5.2904010670613255</v>
      </c>
      <c r="CA190" s="18">
        <f t="shared" si="189"/>
        <v>1.537113123220412</v>
      </c>
      <c r="CB190" s="18">
        <f t="shared" si="189"/>
        <v>2.164400766993305</v>
      </c>
      <c r="CC190" s="18">
        <f t="shared" si="189"/>
        <v>0.60326020304623884</v>
      </c>
      <c r="CD190" s="56">
        <f t="shared" si="177"/>
        <v>4</v>
      </c>
      <c r="CF190" s="18">
        <f t="shared" si="190"/>
        <v>5.2904010670613255</v>
      </c>
      <c r="CG190" s="18">
        <f t="shared" si="190"/>
        <v>1.537113123220412</v>
      </c>
      <c r="CH190" s="18">
        <f t="shared" si="190"/>
        <v>2.164400766993305</v>
      </c>
      <c r="CI190" s="18">
        <f t="shared" si="190"/>
        <v>0.60326020304623884</v>
      </c>
      <c r="CJ190" s="56">
        <f t="shared" si="178"/>
        <v>4</v>
      </c>
      <c r="CL190" s="18">
        <f t="shared" si="191"/>
        <v>5.2904010670613255</v>
      </c>
      <c r="CM190" s="18">
        <f t="shared" si="191"/>
        <v>1.537113123220412</v>
      </c>
      <c r="CN190" s="18">
        <f t="shared" si="191"/>
        <v>2.164400766993305</v>
      </c>
      <c r="CO190" s="18">
        <f t="shared" si="191"/>
        <v>0.60326020304623884</v>
      </c>
      <c r="CP190" s="56">
        <f t="shared" si="179"/>
        <v>4</v>
      </c>
    </row>
    <row r="191" spans="1:94" x14ac:dyDescent="0.25">
      <c r="A191" s="36" t="str">
        <f>KMeans_Data!A50</f>
        <v>Bannu</v>
      </c>
      <c r="B191" s="18">
        <f>KMeans_Data!H50</f>
        <v>0.23252879576454735</v>
      </c>
      <c r="C191" s="18">
        <f>KMeans_Data!I50</f>
        <v>0.16051258962499582</v>
      </c>
      <c r="D191" s="18">
        <f>KMeans_Data!J50</f>
        <v>0.38161671714246476</v>
      </c>
      <c r="E191" s="56">
        <f t="shared" si="166"/>
        <v>3</v>
      </c>
      <c r="F191" s="38">
        <f t="shared" si="167"/>
        <v>0.60479762844318452</v>
      </c>
      <c r="G191" s="18">
        <f>IF(COUNTIF(Distance_Matrix!$E$10:$DQ$10,$E191)&lt;=1,0,SUMIF(Distance_Matrix!$E$10:$DQ$10,$E191,Distance_Matrix!$E$59:$DQ$59)/(COUNTIF(Distance_Matrix!$E$10:$DQ$10,$E191)-1))</f>
        <v>1.0341362841902175</v>
      </c>
      <c r="H191" s="18">
        <f>MIN(IF(1=$E191,1E+99,IF(COUNTIF(Distance_Matrix!$E$10:$DQ$10,1)=0,1E+99,SUMIF(Distance_Matrix!$E$10:$DQ$10,1,Distance_Matrix!$E$59:$DQ$59)/COUNTIF(Distance_Matrix!$E$10:$DQ$10,1))),IF(2=$E191,1E+99,IF(COUNTIF(Distance_Matrix!$E$10:$DQ$10,2)=0,1E+99,SUMIF(Distance_Matrix!$E$10:$DQ$10,2,Distance_Matrix!$E$59:$DQ$59)/COUNTIF(Distance_Matrix!$E$10:$DQ$10,2))),IF(3=$E191,1E+99,IF(COUNTIF(Distance_Matrix!$E$10:$DQ$10,3)=0,1E+99,SUMIF(Distance_Matrix!$E$10:$DQ$10,3,Distance_Matrix!$E$59:$DQ$59)/COUNTIF(Distance_Matrix!$E$10:$DQ$10,3))),IF(4=$E191,1E+99,IF(COUNTIF(Distance_Matrix!$E$10:$DQ$10,4)=0,1E+99,SUMIF(Distance_Matrix!$E$10:$DQ$10,4,Distance_Matrix!$E$59:$DQ$59)/COUNTIF(Distance_Matrix!$E$10:$DQ$10,4))))</f>
        <v>1.2648599211129017</v>
      </c>
      <c r="I191" s="18">
        <f>IF(COUNTIF(Distance_Matrix!$E$10:$DQ$10,$E191)&lt;=1,0,(H191-G191)/MAX(G191,H191))</f>
        <v>0.18241042590683029</v>
      </c>
      <c r="X191" s="18">
        <f t="shared" si="180"/>
        <v>5.7041330215925905</v>
      </c>
      <c r="Y191" s="18">
        <f t="shared" si="180"/>
        <v>2.8936592946750208</v>
      </c>
      <c r="Z191" s="18">
        <f t="shared" si="180"/>
        <v>1.3714131638754321</v>
      </c>
      <c r="AA191" s="18">
        <f t="shared" si="180"/>
        <v>1.6117591183014166</v>
      </c>
      <c r="AB191" s="56">
        <f t="shared" si="168"/>
        <v>3</v>
      </c>
      <c r="AD191" s="18">
        <f t="shared" si="181"/>
        <v>4.7227536444255627</v>
      </c>
      <c r="AE191" s="18">
        <f t="shared" si="181"/>
        <v>2.1374289770298502</v>
      </c>
      <c r="AF191" s="18">
        <f t="shared" si="181"/>
        <v>0.74971768984534271</v>
      </c>
      <c r="AG191" s="18">
        <f t="shared" si="181"/>
        <v>1.1450025326574282</v>
      </c>
      <c r="AH191" s="56">
        <f t="shared" si="169"/>
        <v>3</v>
      </c>
      <c r="AJ191" s="18">
        <f t="shared" si="182"/>
        <v>4.3780212121650761</v>
      </c>
      <c r="AK191" s="18">
        <f t="shared" si="182"/>
        <v>2.162907799527777</v>
      </c>
      <c r="AL191" s="18">
        <f t="shared" si="182"/>
        <v>0.82399573967534701</v>
      </c>
      <c r="AM191" s="18">
        <f t="shared" si="182"/>
        <v>1.0566164089705152</v>
      </c>
      <c r="AN191" s="56">
        <f t="shared" si="170"/>
        <v>3</v>
      </c>
      <c r="AP191" s="18">
        <f t="shared" si="183"/>
        <v>4.0863924662916453</v>
      </c>
      <c r="AQ191" s="18">
        <f t="shared" si="183"/>
        <v>2.2493750040938454</v>
      </c>
      <c r="AR191" s="18">
        <f t="shared" si="183"/>
        <v>0.77768735906094333</v>
      </c>
      <c r="AS191" s="18">
        <f t="shared" si="183"/>
        <v>1.0724189618454718</v>
      </c>
      <c r="AT191" s="56">
        <f t="shared" si="171"/>
        <v>3</v>
      </c>
      <c r="AV191" s="18">
        <f t="shared" si="184"/>
        <v>4.0863924662916453</v>
      </c>
      <c r="AW191" s="18">
        <f t="shared" si="184"/>
        <v>2.2493750040938454</v>
      </c>
      <c r="AX191" s="18">
        <f t="shared" si="184"/>
        <v>0.77768735906094333</v>
      </c>
      <c r="AY191" s="18">
        <f t="shared" si="184"/>
        <v>1.0724189618454718</v>
      </c>
      <c r="AZ191" s="56">
        <f t="shared" si="172"/>
        <v>3</v>
      </c>
      <c r="BB191" s="18">
        <f t="shared" si="185"/>
        <v>4.0863924662916453</v>
      </c>
      <c r="BC191" s="18">
        <f t="shared" si="185"/>
        <v>2.2493750040938454</v>
      </c>
      <c r="BD191" s="18">
        <f t="shared" si="185"/>
        <v>0.77768735906094333</v>
      </c>
      <c r="BE191" s="18">
        <f t="shared" si="185"/>
        <v>1.0724189618454718</v>
      </c>
      <c r="BF191" s="56">
        <f t="shared" si="173"/>
        <v>3</v>
      </c>
      <c r="BH191" s="18">
        <f t="shared" si="186"/>
        <v>4.0863924662916453</v>
      </c>
      <c r="BI191" s="18">
        <f t="shared" si="186"/>
        <v>2.2493750040938454</v>
      </c>
      <c r="BJ191" s="18">
        <f t="shared" si="186"/>
        <v>0.77768735906094333</v>
      </c>
      <c r="BK191" s="18">
        <f t="shared" si="186"/>
        <v>1.0724189618454718</v>
      </c>
      <c r="BL191" s="56">
        <f t="shared" si="174"/>
        <v>3</v>
      </c>
      <c r="BN191" s="18">
        <f t="shared" si="187"/>
        <v>4.0863924662916453</v>
      </c>
      <c r="BO191" s="18">
        <f t="shared" si="187"/>
        <v>2.2493750040938454</v>
      </c>
      <c r="BP191" s="18">
        <f t="shared" si="187"/>
        <v>0.77768735906094333</v>
      </c>
      <c r="BQ191" s="18">
        <f t="shared" si="187"/>
        <v>1.0724189618454718</v>
      </c>
      <c r="BR191" s="56">
        <f t="shared" si="175"/>
        <v>3</v>
      </c>
      <c r="BT191" s="18">
        <f t="shared" si="188"/>
        <v>4.0863924662916453</v>
      </c>
      <c r="BU191" s="18">
        <f t="shared" si="188"/>
        <v>2.2493750040938454</v>
      </c>
      <c r="BV191" s="18">
        <f t="shared" si="188"/>
        <v>0.77768735906094333</v>
      </c>
      <c r="BW191" s="18">
        <f t="shared" si="188"/>
        <v>1.0724189618454718</v>
      </c>
      <c r="BX191" s="56">
        <f t="shared" si="176"/>
        <v>3</v>
      </c>
      <c r="BZ191" s="18">
        <f t="shared" si="189"/>
        <v>4.0863924662916453</v>
      </c>
      <c r="CA191" s="18">
        <f t="shared" si="189"/>
        <v>2.2493750040938454</v>
      </c>
      <c r="CB191" s="18">
        <f t="shared" si="189"/>
        <v>0.77768735906094333</v>
      </c>
      <c r="CC191" s="18">
        <f t="shared" si="189"/>
        <v>1.0724189618454718</v>
      </c>
      <c r="CD191" s="56">
        <f t="shared" si="177"/>
        <v>3</v>
      </c>
      <c r="CF191" s="18">
        <f t="shared" si="190"/>
        <v>4.0863924662916453</v>
      </c>
      <c r="CG191" s="18">
        <f t="shared" si="190"/>
        <v>2.2493750040938454</v>
      </c>
      <c r="CH191" s="18">
        <f t="shared" si="190"/>
        <v>0.77768735906094333</v>
      </c>
      <c r="CI191" s="18">
        <f t="shared" si="190"/>
        <v>1.0724189618454718</v>
      </c>
      <c r="CJ191" s="56">
        <f t="shared" si="178"/>
        <v>3</v>
      </c>
      <c r="CL191" s="18">
        <f t="shared" si="191"/>
        <v>4.0863924662916453</v>
      </c>
      <c r="CM191" s="18">
        <f t="shared" si="191"/>
        <v>2.2493750040938454</v>
      </c>
      <c r="CN191" s="18">
        <f t="shared" si="191"/>
        <v>0.77768735906094333</v>
      </c>
      <c r="CO191" s="18">
        <f t="shared" si="191"/>
        <v>1.0724189618454718</v>
      </c>
      <c r="CP191" s="56">
        <f t="shared" si="179"/>
        <v>3</v>
      </c>
    </row>
    <row r="192" spans="1:94" x14ac:dyDescent="0.25">
      <c r="A192" s="36" t="str">
        <f>KMeans_Data!A51</f>
        <v>Lodhran</v>
      </c>
      <c r="B192" s="18">
        <f>KMeans_Data!H51</f>
        <v>0.20097549778195881</v>
      </c>
      <c r="C192" s="18">
        <f>KMeans_Data!I51</f>
        <v>-0.67265054538827607</v>
      </c>
      <c r="D192" s="18">
        <f>KMeans_Data!J51</f>
        <v>-1.1456441163335547</v>
      </c>
      <c r="E192" s="56">
        <f t="shared" si="166"/>
        <v>4</v>
      </c>
      <c r="F192" s="38">
        <f t="shared" si="167"/>
        <v>0.72953040368865574</v>
      </c>
      <c r="G192" s="18">
        <f>IF(COUNTIF(Distance_Matrix!$E$10:$DQ$10,$E192)&lt;=1,0,SUMIF(Distance_Matrix!$E$10:$DQ$10,$E192,Distance_Matrix!$E$60:$DQ$60)/(COUNTIF(Distance_Matrix!$E$10:$DQ$10,$E192)-1))</f>
        <v>1.0548211411196626</v>
      </c>
      <c r="H192" s="18">
        <f>MIN(IF(1=$E192,1E+99,IF(COUNTIF(Distance_Matrix!$E$10:$DQ$10,1)=0,1E+99,SUMIF(Distance_Matrix!$E$10:$DQ$10,1,Distance_Matrix!$E$60:$DQ$60)/COUNTIF(Distance_Matrix!$E$10:$DQ$10,1))),IF(2=$E192,1E+99,IF(COUNTIF(Distance_Matrix!$E$10:$DQ$10,2)=0,1E+99,SUMIF(Distance_Matrix!$E$10:$DQ$10,2,Distance_Matrix!$E$60:$DQ$60)/COUNTIF(Distance_Matrix!$E$10:$DQ$10,2))),IF(3=$E192,1E+99,IF(COUNTIF(Distance_Matrix!$E$10:$DQ$10,3)=0,1E+99,SUMIF(Distance_Matrix!$E$10:$DQ$10,3,Distance_Matrix!$E$60:$DQ$60)/COUNTIF(Distance_Matrix!$E$10:$DQ$10,3))),IF(4=$E192,1E+99,IF(COUNTIF(Distance_Matrix!$E$10:$DQ$10,4)=0,1E+99,SUMIF(Distance_Matrix!$E$10:$DQ$10,4,Distance_Matrix!$E$60:$DQ$60)/COUNTIF(Distance_Matrix!$E$10:$DQ$10,4))))</f>
        <v>1.497885037049119</v>
      </c>
      <c r="I192" s="18">
        <f>IF(COUNTIF(Distance_Matrix!$E$10:$DQ$10,$E192)&lt;=1,0,(H192-G192)/MAX(G192,H192))</f>
        <v>0.29579299143164306</v>
      </c>
      <c r="X192" s="18">
        <f t="shared" si="180"/>
        <v>7.1406705471015224</v>
      </c>
      <c r="Y192" s="18">
        <f t="shared" si="180"/>
        <v>2.2807134795852875</v>
      </c>
      <c r="Z192" s="18">
        <f t="shared" si="180"/>
        <v>2.9408359957094516</v>
      </c>
      <c r="AA192" s="18">
        <f t="shared" si="180"/>
        <v>0.68853623587289314</v>
      </c>
      <c r="AB192" s="56">
        <f t="shared" si="168"/>
        <v>4</v>
      </c>
      <c r="AD192" s="18">
        <f t="shared" si="181"/>
        <v>6.1245281414908899</v>
      </c>
      <c r="AE192" s="18">
        <f t="shared" si="181"/>
        <v>1.4573798613520987</v>
      </c>
      <c r="AF192" s="18">
        <f t="shared" si="181"/>
        <v>2.4142238299031198</v>
      </c>
      <c r="AG192" s="18">
        <f t="shared" si="181"/>
        <v>0.70850241729074293</v>
      </c>
      <c r="AH192" s="56">
        <f t="shared" si="169"/>
        <v>4</v>
      </c>
      <c r="AJ192" s="18">
        <f t="shared" si="182"/>
        <v>5.7792446584173991</v>
      </c>
      <c r="AK192" s="18">
        <f t="shared" si="182"/>
        <v>1.4422795209395496</v>
      </c>
      <c r="AL192" s="18">
        <f t="shared" si="182"/>
        <v>2.469612140894295</v>
      </c>
      <c r="AM192" s="18">
        <f t="shared" si="182"/>
        <v>0.83174962631886851</v>
      </c>
      <c r="AN192" s="56">
        <f t="shared" si="170"/>
        <v>4</v>
      </c>
      <c r="AP192" s="18">
        <f t="shared" si="183"/>
        <v>5.494773131229775</v>
      </c>
      <c r="AQ192" s="18">
        <f t="shared" si="183"/>
        <v>1.4808407385446647</v>
      </c>
      <c r="AR192" s="18">
        <f t="shared" si="183"/>
        <v>2.4303125871863673</v>
      </c>
      <c r="AS192" s="18">
        <f t="shared" si="183"/>
        <v>0.85412551986734109</v>
      </c>
      <c r="AT192" s="56">
        <f t="shared" si="171"/>
        <v>4</v>
      </c>
      <c r="AV192" s="18">
        <f t="shared" si="184"/>
        <v>5.494773131229775</v>
      </c>
      <c r="AW192" s="18">
        <f t="shared" si="184"/>
        <v>1.4808407385446647</v>
      </c>
      <c r="AX192" s="18">
        <f t="shared" si="184"/>
        <v>2.4303125871863673</v>
      </c>
      <c r="AY192" s="18">
        <f t="shared" si="184"/>
        <v>0.85412551986734109</v>
      </c>
      <c r="AZ192" s="56">
        <f t="shared" si="172"/>
        <v>4</v>
      </c>
      <c r="BB192" s="18">
        <f t="shared" si="185"/>
        <v>5.494773131229775</v>
      </c>
      <c r="BC192" s="18">
        <f t="shared" si="185"/>
        <v>1.4808407385446647</v>
      </c>
      <c r="BD192" s="18">
        <f t="shared" si="185"/>
        <v>2.4303125871863673</v>
      </c>
      <c r="BE192" s="18">
        <f t="shared" si="185"/>
        <v>0.85412551986734109</v>
      </c>
      <c r="BF192" s="56">
        <f t="shared" si="173"/>
        <v>4</v>
      </c>
      <c r="BH192" s="18">
        <f t="shared" si="186"/>
        <v>5.494773131229775</v>
      </c>
      <c r="BI192" s="18">
        <f t="shared" si="186"/>
        <v>1.4808407385446647</v>
      </c>
      <c r="BJ192" s="18">
        <f t="shared" si="186"/>
        <v>2.4303125871863673</v>
      </c>
      <c r="BK192" s="18">
        <f t="shared" si="186"/>
        <v>0.85412551986734109</v>
      </c>
      <c r="BL192" s="56">
        <f t="shared" si="174"/>
        <v>4</v>
      </c>
      <c r="BN192" s="18">
        <f t="shared" si="187"/>
        <v>5.494773131229775</v>
      </c>
      <c r="BO192" s="18">
        <f t="shared" si="187"/>
        <v>1.4808407385446647</v>
      </c>
      <c r="BP192" s="18">
        <f t="shared" si="187"/>
        <v>2.4303125871863673</v>
      </c>
      <c r="BQ192" s="18">
        <f t="shared" si="187"/>
        <v>0.85412551986734109</v>
      </c>
      <c r="BR192" s="56">
        <f t="shared" si="175"/>
        <v>4</v>
      </c>
      <c r="BT192" s="18">
        <f t="shared" si="188"/>
        <v>5.494773131229775</v>
      </c>
      <c r="BU192" s="18">
        <f t="shared" si="188"/>
        <v>1.4808407385446647</v>
      </c>
      <c r="BV192" s="18">
        <f t="shared" si="188"/>
        <v>2.4303125871863673</v>
      </c>
      <c r="BW192" s="18">
        <f t="shared" si="188"/>
        <v>0.85412551986734109</v>
      </c>
      <c r="BX192" s="56">
        <f t="shared" si="176"/>
        <v>4</v>
      </c>
      <c r="BZ192" s="18">
        <f t="shared" si="189"/>
        <v>5.494773131229775</v>
      </c>
      <c r="CA192" s="18">
        <f t="shared" si="189"/>
        <v>1.4808407385446647</v>
      </c>
      <c r="CB192" s="18">
        <f t="shared" si="189"/>
        <v>2.4303125871863673</v>
      </c>
      <c r="CC192" s="18">
        <f t="shared" si="189"/>
        <v>0.85412551986734109</v>
      </c>
      <c r="CD192" s="56">
        <f t="shared" si="177"/>
        <v>4</v>
      </c>
      <c r="CF192" s="18">
        <f t="shared" si="190"/>
        <v>5.494773131229775</v>
      </c>
      <c r="CG192" s="18">
        <f t="shared" si="190"/>
        <v>1.4808407385446647</v>
      </c>
      <c r="CH192" s="18">
        <f t="shared" si="190"/>
        <v>2.4303125871863673</v>
      </c>
      <c r="CI192" s="18">
        <f t="shared" si="190"/>
        <v>0.85412551986734109</v>
      </c>
      <c r="CJ192" s="56">
        <f t="shared" si="178"/>
        <v>4</v>
      </c>
      <c r="CL192" s="18">
        <f t="shared" si="191"/>
        <v>5.494773131229775</v>
      </c>
      <c r="CM192" s="18">
        <f t="shared" si="191"/>
        <v>1.4808407385446647</v>
      </c>
      <c r="CN192" s="18">
        <f t="shared" si="191"/>
        <v>2.4303125871863673</v>
      </c>
      <c r="CO192" s="18">
        <f t="shared" si="191"/>
        <v>0.85412551986734109</v>
      </c>
      <c r="CP192" s="56">
        <f t="shared" si="179"/>
        <v>4</v>
      </c>
    </row>
    <row r="193" spans="1:94" x14ac:dyDescent="0.25">
      <c r="A193" s="36" t="str">
        <f>KMeans_Data!A52</f>
        <v>Jacobabad</v>
      </c>
      <c r="B193" s="18">
        <f>KMeans_Data!H52</f>
        <v>0.20097549778195881</v>
      </c>
      <c r="C193" s="18">
        <f>KMeans_Data!I52</f>
        <v>-0.67265054538827607</v>
      </c>
      <c r="D193" s="18">
        <f>KMeans_Data!J52</f>
        <v>1.0325157420155633</v>
      </c>
      <c r="E193" s="56">
        <f t="shared" si="166"/>
        <v>3</v>
      </c>
      <c r="F193" s="38">
        <f t="shared" si="167"/>
        <v>1.8758357804971333</v>
      </c>
      <c r="G193" s="18">
        <f>IF(COUNTIF(Distance_Matrix!$E$10:$DQ$10,$E193)&lt;=1,0,SUMIF(Distance_Matrix!$E$10:$DQ$10,$E193,Distance_Matrix!$E$61:$DQ$61)/(COUNTIF(Distance_Matrix!$E$10:$DQ$10,$E193)-1))</f>
        <v>1.5048919746554603</v>
      </c>
      <c r="H193" s="18">
        <f>MIN(IF(1=$E193,1E+99,IF(COUNTIF(Distance_Matrix!$E$10:$DQ$10,1)=0,1E+99,SUMIF(Distance_Matrix!$E$10:$DQ$10,1,Distance_Matrix!$E$61:$DQ$61)/COUNTIF(Distance_Matrix!$E$10:$DQ$10,1))),IF(2=$E193,1E+99,IF(COUNTIF(Distance_Matrix!$E$10:$DQ$10,2)=0,1E+99,SUMIF(Distance_Matrix!$E$10:$DQ$10,2,Distance_Matrix!$E$61:$DQ$61)/COUNTIF(Distance_Matrix!$E$10:$DQ$10,2))),IF(3=$E193,1E+99,IF(COUNTIF(Distance_Matrix!$E$10:$DQ$10,3)=0,1E+99,SUMIF(Distance_Matrix!$E$10:$DQ$10,3,Distance_Matrix!$E$61:$DQ$61)/COUNTIF(Distance_Matrix!$E$10:$DQ$10,3))),IF(4=$E193,1E+99,IF(COUNTIF(Distance_Matrix!$E$10:$DQ$10,4)=0,1E+99,SUMIF(Distance_Matrix!$E$10:$DQ$10,4,Distance_Matrix!$E$61:$DQ$61)/COUNTIF(Distance_Matrix!$E$10:$DQ$10,4))))</f>
        <v>1.5767747650364312</v>
      </c>
      <c r="I193" s="18">
        <f>IF(COUNTIF(Distance_Matrix!$E$10:$DQ$10,$E193)&lt;=1,0,(H193-G193)/MAX(G193,H193))</f>
        <v>4.55884961980033E-2</v>
      </c>
      <c r="X193" s="18">
        <f t="shared" si="180"/>
        <v>6.0475538042601258</v>
      </c>
      <c r="Y193" s="18">
        <f t="shared" si="180"/>
        <v>3.1537333978136894</v>
      </c>
      <c r="Z193" s="18">
        <f t="shared" si="180"/>
        <v>1.4129939650691847</v>
      </c>
      <c r="AA193" s="18">
        <f t="shared" si="180"/>
        <v>2.2843954378858013</v>
      </c>
      <c r="AB193" s="56">
        <f t="shared" si="168"/>
        <v>3</v>
      </c>
      <c r="AD193" s="18">
        <f t="shared" si="181"/>
        <v>5.1412046007849659</v>
      </c>
      <c r="AE193" s="18">
        <f t="shared" si="181"/>
        <v>2.4396010247081366</v>
      </c>
      <c r="AF193" s="18">
        <f t="shared" si="181"/>
        <v>1.3227930961490242</v>
      </c>
      <c r="AG193" s="18">
        <f t="shared" si="181"/>
        <v>1.5794259340880592</v>
      </c>
      <c r="AH193" s="56">
        <f t="shared" si="169"/>
        <v>3</v>
      </c>
      <c r="AJ193" s="18">
        <f t="shared" si="182"/>
        <v>4.7968723594309344</v>
      </c>
      <c r="AK193" s="18">
        <f t="shared" si="182"/>
        <v>2.4753513328201531</v>
      </c>
      <c r="AL193" s="18">
        <f t="shared" si="182"/>
        <v>1.4151002083931761</v>
      </c>
      <c r="AM193" s="18">
        <f t="shared" si="182"/>
        <v>1.4542743231050126</v>
      </c>
      <c r="AN193" s="56">
        <f t="shared" si="170"/>
        <v>3</v>
      </c>
      <c r="AP193" s="18">
        <f t="shared" si="183"/>
        <v>4.5216569195371532</v>
      </c>
      <c r="AQ193" s="18">
        <f t="shared" si="183"/>
        <v>2.5738456019820566</v>
      </c>
      <c r="AR193" s="18">
        <f t="shared" si="183"/>
        <v>1.369611543649196</v>
      </c>
      <c r="AS193" s="18">
        <f t="shared" si="183"/>
        <v>1.4550160774037602</v>
      </c>
      <c r="AT193" s="56">
        <f t="shared" si="171"/>
        <v>3</v>
      </c>
      <c r="AV193" s="18">
        <f t="shared" si="184"/>
        <v>4.5216569195371532</v>
      </c>
      <c r="AW193" s="18">
        <f t="shared" si="184"/>
        <v>2.5738456019820566</v>
      </c>
      <c r="AX193" s="18">
        <f t="shared" si="184"/>
        <v>1.369611543649196</v>
      </c>
      <c r="AY193" s="18">
        <f t="shared" si="184"/>
        <v>1.4550160774037602</v>
      </c>
      <c r="AZ193" s="56">
        <f t="shared" si="172"/>
        <v>3</v>
      </c>
      <c r="BB193" s="18">
        <f t="shared" si="185"/>
        <v>4.5216569195371532</v>
      </c>
      <c r="BC193" s="18">
        <f t="shared" si="185"/>
        <v>2.5738456019820566</v>
      </c>
      <c r="BD193" s="18">
        <f t="shared" si="185"/>
        <v>1.369611543649196</v>
      </c>
      <c r="BE193" s="18">
        <f t="shared" si="185"/>
        <v>1.4550160774037602</v>
      </c>
      <c r="BF193" s="56">
        <f t="shared" si="173"/>
        <v>3</v>
      </c>
      <c r="BH193" s="18">
        <f t="shared" si="186"/>
        <v>4.5216569195371532</v>
      </c>
      <c r="BI193" s="18">
        <f t="shared" si="186"/>
        <v>2.5738456019820566</v>
      </c>
      <c r="BJ193" s="18">
        <f t="shared" si="186"/>
        <v>1.369611543649196</v>
      </c>
      <c r="BK193" s="18">
        <f t="shared" si="186"/>
        <v>1.4550160774037602</v>
      </c>
      <c r="BL193" s="56">
        <f t="shared" si="174"/>
        <v>3</v>
      </c>
      <c r="BN193" s="18">
        <f t="shared" si="187"/>
        <v>4.5216569195371532</v>
      </c>
      <c r="BO193" s="18">
        <f t="shared" si="187"/>
        <v>2.5738456019820566</v>
      </c>
      <c r="BP193" s="18">
        <f t="shared" si="187"/>
        <v>1.369611543649196</v>
      </c>
      <c r="BQ193" s="18">
        <f t="shared" si="187"/>
        <v>1.4550160774037602</v>
      </c>
      <c r="BR193" s="56">
        <f t="shared" si="175"/>
        <v>3</v>
      </c>
      <c r="BT193" s="18">
        <f t="shared" si="188"/>
        <v>4.5216569195371532</v>
      </c>
      <c r="BU193" s="18">
        <f t="shared" si="188"/>
        <v>2.5738456019820566</v>
      </c>
      <c r="BV193" s="18">
        <f t="shared" si="188"/>
        <v>1.369611543649196</v>
      </c>
      <c r="BW193" s="18">
        <f t="shared" si="188"/>
        <v>1.4550160774037602</v>
      </c>
      <c r="BX193" s="56">
        <f t="shared" si="176"/>
        <v>3</v>
      </c>
      <c r="BZ193" s="18">
        <f t="shared" si="189"/>
        <v>4.5216569195371532</v>
      </c>
      <c r="CA193" s="18">
        <f t="shared" si="189"/>
        <v>2.5738456019820566</v>
      </c>
      <c r="CB193" s="18">
        <f t="shared" si="189"/>
        <v>1.369611543649196</v>
      </c>
      <c r="CC193" s="18">
        <f t="shared" si="189"/>
        <v>1.4550160774037602</v>
      </c>
      <c r="CD193" s="56">
        <f t="shared" si="177"/>
        <v>3</v>
      </c>
      <c r="CF193" s="18">
        <f t="shared" si="190"/>
        <v>4.5216569195371532</v>
      </c>
      <c r="CG193" s="18">
        <f t="shared" si="190"/>
        <v>2.5738456019820566</v>
      </c>
      <c r="CH193" s="18">
        <f t="shared" si="190"/>
        <v>1.369611543649196</v>
      </c>
      <c r="CI193" s="18">
        <f t="shared" si="190"/>
        <v>1.4550160774037602</v>
      </c>
      <c r="CJ193" s="56">
        <f t="shared" si="178"/>
        <v>3</v>
      </c>
      <c r="CL193" s="18">
        <f t="shared" si="191"/>
        <v>4.5216569195371532</v>
      </c>
      <c r="CM193" s="18">
        <f t="shared" si="191"/>
        <v>2.5738456019820566</v>
      </c>
      <c r="CN193" s="18">
        <f t="shared" si="191"/>
        <v>1.369611543649196</v>
      </c>
      <c r="CO193" s="18">
        <f t="shared" si="191"/>
        <v>1.4550160774037602</v>
      </c>
      <c r="CP193" s="56">
        <f t="shared" si="179"/>
        <v>3</v>
      </c>
    </row>
    <row r="194" spans="1:94" x14ac:dyDescent="0.25">
      <c r="A194" s="36" t="str">
        <f>KMeans_Data!A53</f>
        <v>Skardu</v>
      </c>
      <c r="B194" s="18">
        <f>KMeans_Data!H53</f>
        <v>0.19442861878561798</v>
      </c>
      <c r="C194" s="18">
        <f>KMeans_Data!I53</f>
        <v>-0.14698313392952958</v>
      </c>
      <c r="D194" s="18">
        <f>KMeans_Data!J53</f>
        <v>0.79580379308358284</v>
      </c>
      <c r="E194" s="56">
        <f t="shared" si="166"/>
        <v>3</v>
      </c>
      <c r="F194" s="38">
        <f t="shared" si="167"/>
        <v>0.78017364885327922</v>
      </c>
      <c r="G194" s="18">
        <f>IF(COUNTIF(Distance_Matrix!$E$10:$DQ$10,$E194)&lt;=1,0,SUMIF(Distance_Matrix!$E$10:$DQ$10,$E194,Distance_Matrix!$E$62:$DQ$62)/(COUNTIF(Distance_Matrix!$E$10:$DQ$10,$E194)-1))</f>
        <v>1.0989373688447843</v>
      </c>
      <c r="H194" s="18">
        <f>MIN(IF(1=$E194,1E+99,IF(COUNTIF(Distance_Matrix!$E$10:$DQ$10,1)=0,1E+99,SUMIF(Distance_Matrix!$E$10:$DQ$10,1,Distance_Matrix!$E$62:$DQ$62)/COUNTIF(Distance_Matrix!$E$10:$DQ$10,1))),IF(2=$E194,1E+99,IF(COUNTIF(Distance_Matrix!$E$10:$DQ$10,2)=0,1E+99,SUMIF(Distance_Matrix!$E$10:$DQ$10,2,Distance_Matrix!$E$62:$DQ$62)/COUNTIF(Distance_Matrix!$E$10:$DQ$10,2))),IF(3=$E194,1E+99,IF(COUNTIF(Distance_Matrix!$E$10:$DQ$10,3)=0,1E+99,SUMIF(Distance_Matrix!$E$10:$DQ$10,3,Distance_Matrix!$E$62:$DQ$62)/COUNTIF(Distance_Matrix!$E$10:$DQ$10,3))),IF(4=$E194,1E+99,IF(COUNTIF(Distance_Matrix!$E$10:$DQ$10,4)=0,1E+99,SUMIF(Distance_Matrix!$E$10:$DQ$10,4,Distance_Matrix!$E$62:$DQ$62)/COUNTIF(Distance_Matrix!$E$10:$DQ$10,4))))</f>
        <v>1.4102230981678965</v>
      </c>
      <c r="I194" s="18">
        <f>IF(COUNTIF(Distance_Matrix!$E$10:$DQ$10,$E194)&lt;=1,0,(H194-G194)/MAX(G194,H194))</f>
        <v>0.22073509484245557</v>
      </c>
      <c r="X194" s="18">
        <f t="shared" si="180"/>
        <v>5.748328281005314</v>
      </c>
      <c r="Y194" s="18">
        <f t="shared" si="180"/>
        <v>3.0360138240271897</v>
      </c>
      <c r="Z194" s="18">
        <f t="shared" si="180"/>
        <v>1.2007942594917329</v>
      </c>
      <c r="AA194" s="18">
        <f t="shared" si="180"/>
        <v>1.993198818353793</v>
      </c>
      <c r="AB194" s="56">
        <f t="shared" si="168"/>
        <v>3</v>
      </c>
      <c r="AD194" s="18">
        <f t="shared" si="181"/>
        <v>4.8048320616874376</v>
      </c>
      <c r="AE194" s="18">
        <f t="shared" si="181"/>
        <v>2.3051819866910095</v>
      </c>
      <c r="AF194" s="18">
        <f t="shared" si="181"/>
        <v>0.83761940047322947</v>
      </c>
      <c r="AG194" s="18">
        <f t="shared" si="181"/>
        <v>1.3778504991974885</v>
      </c>
      <c r="AH194" s="56">
        <f t="shared" si="169"/>
        <v>3</v>
      </c>
      <c r="AJ194" s="18">
        <f t="shared" si="182"/>
        <v>4.4600709138067947</v>
      </c>
      <c r="AK194" s="18">
        <f t="shared" si="182"/>
        <v>2.3379126540123658</v>
      </c>
      <c r="AL194" s="18">
        <f t="shared" si="182"/>
        <v>0.93255571741227794</v>
      </c>
      <c r="AM194" s="18">
        <f t="shared" si="182"/>
        <v>1.2605822275684528</v>
      </c>
      <c r="AN194" s="56">
        <f t="shared" si="170"/>
        <v>3</v>
      </c>
      <c r="AP194" s="18">
        <f t="shared" si="183"/>
        <v>4.174821089882478</v>
      </c>
      <c r="AQ194" s="18">
        <f t="shared" si="183"/>
        <v>2.432774006686246</v>
      </c>
      <c r="AR194" s="18">
        <f t="shared" si="183"/>
        <v>0.88327439046611056</v>
      </c>
      <c r="AS194" s="18">
        <f t="shared" si="183"/>
        <v>1.2671845955607459</v>
      </c>
      <c r="AT194" s="56">
        <f t="shared" si="171"/>
        <v>3</v>
      </c>
      <c r="AV194" s="18">
        <f t="shared" si="184"/>
        <v>4.174821089882478</v>
      </c>
      <c r="AW194" s="18">
        <f t="shared" si="184"/>
        <v>2.432774006686246</v>
      </c>
      <c r="AX194" s="18">
        <f t="shared" si="184"/>
        <v>0.88327439046611056</v>
      </c>
      <c r="AY194" s="18">
        <f t="shared" si="184"/>
        <v>1.2671845955607459</v>
      </c>
      <c r="AZ194" s="56">
        <f t="shared" si="172"/>
        <v>3</v>
      </c>
      <c r="BB194" s="18">
        <f t="shared" si="185"/>
        <v>4.174821089882478</v>
      </c>
      <c r="BC194" s="18">
        <f t="shared" si="185"/>
        <v>2.432774006686246</v>
      </c>
      <c r="BD194" s="18">
        <f t="shared" si="185"/>
        <v>0.88327439046611056</v>
      </c>
      <c r="BE194" s="18">
        <f t="shared" si="185"/>
        <v>1.2671845955607459</v>
      </c>
      <c r="BF194" s="56">
        <f t="shared" si="173"/>
        <v>3</v>
      </c>
      <c r="BH194" s="18">
        <f t="shared" si="186"/>
        <v>4.174821089882478</v>
      </c>
      <c r="BI194" s="18">
        <f t="shared" si="186"/>
        <v>2.432774006686246</v>
      </c>
      <c r="BJ194" s="18">
        <f t="shared" si="186"/>
        <v>0.88327439046611056</v>
      </c>
      <c r="BK194" s="18">
        <f t="shared" si="186"/>
        <v>1.2671845955607459</v>
      </c>
      <c r="BL194" s="56">
        <f t="shared" si="174"/>
        <v>3</v>
      </c>
      <c r="BN194" s="18">
        <f t="shared" si="187"/>
        <v>4.174821089882478</v>
      </c>
      <c r="BO194" s="18">
        <f t="shared" si="187"/>
        <v>2.432774006686246</v>
      </c>
      <c r="BP194" s="18">
        <f t="shared" si="187"/>
        <v>0.88327439046611056</v>
      </c>
      <c r="BQ194" s="18">
        <f t="shared" si="187"/>
        <v>1.2671845955607459</v>
      </c>
      <c r="BR194" s="56">
        <f t="shared" si="175"/>
        <v>3</v>
      </c>
      <c r="BT194" s="18">
        <f t="shared" si="188"/>
        <v>4.174821089882478</v>
      </c>
      <c r="BU194" s="18">
        <f t="shared" si="188"/>
        <v>2.432774006686246</v>
      </c>
      <c r="BV194" s="18">
        <f t="shared" si="188"/>
        <v>0.88327439046611056</v>
      </c>
      <c r="BW194" s="18">
        <f t="shared" si="188"/>
        <v>1.2671845955607459</v>
      </c>
      <c r="BX194" s="56">
        <f t="shared" si="176"/>
        <v>3</v>
      </c>
      <c r="BZ194" s="18">
        <f t="shared" si="189"/>
        <v>4.174821089882478</v>
      </c>
      <c r="CA194" s="18">
        <f t="shared" si="189"/>
        <v>2.432774006686246</v>
      </c>
      <c r="CB194" s="18">
        <f t="shared" si="189"/>
        <v>0.88327439046611056</v>
      </c>
      <c r="CC194" s="18">
        <f t="shared" si="189"/>
        <v>1.2671845955607459</v>
      </c>
      <c r="CD194" s="56">
        <f t="shared" si="177"/>
        <v>3</v>
      </c>
      <c r="CF194" s="18">
        <f t="shared" si="190"/>
        <v>4.174821089882478</v>
      </c>
      <c r="CG194" s="18">
        <f t="shared" si="190"/>
        <v>2.432774006686246</v>
      </c>
      <c r="CH194" s="18">
        <f t="shared" si="190"/>
        <v>0.88327439046611056</v>
      </c>
      <c r="CI194" s="18">
        <f t="shared" si="190"/>
        <v>1.2671845955607459</v>
      </c>
      <c r="CJ194" s="56">
        <f t="shared" si="178"/>
        <v>3</v>
      </c>
      <c r="CL194" s="18">
        <f t="shared" si="191"/>
        <v>4.174821089882478</v>
      </c>
      <c r="CM194" s="18">
        <f t="shared" si="191"/>
        <v>2.432774006686246</v>
      </c>
      <c r="CN194" s="18">
        <f t="shared" si="191"/>
        <v>0.88327439046611056</v>
      </c>
      <c r="CO194" s="18">
        <f t="shared" si="191"/>
        <v>1.2671845955607459</v>
      </c>
      <c r="CP194" s="56">
        <f t="shared" si="179"/>
        <v>3</v>
      </c>
    </row>
    <row r="195" spans="1:94" x14ac:dyDescent="0.25">
      <c r="A195" s="36" t="str">
        <f>KMeans_Data!A54</f>
        <v>Sialkot</v>
      </c>
      <c r="B195" s="18">
        <f>KMeans_Data!H54</f>
        <v>0.19442861878561798</v>
      </c>
      <c r="C195" s="18">
        <f>KMeans_Data!I54</f>
        <v>-0.67265054538827607</v>
      </c>
      <c r="D195" s="18">
        <f>KMeans_Data!J54</f>
        <v>-1.1456441163335547</v>
      </c>
      <c r="E195" s="56">
        <f t="shared" si="166"/>
        <v>4</v>
      </c>
      <c r="F195" s="38">
        <f t="shared" si="167"/>
        <v>0.72525680207873644</v>
      </c>
      <c r="G195" s="18">
        <f>IF(COUNTIF(Distance_Matrix!$E$10:$DQ$10,$E195)&lt;=1,0,SUMIF(Distance_Matrix!$E$10:$DQ$10,$E195,Distance_Matrix!$E$63:$DQ$63)/(COUNTIF(Distance_Matrix!$E$10:$DQ$10,$E195)-1))</f>
        <v>1.0523771243619398</v>
      </c>
      <c r="H195" s="18">
        <f>MIN(IF(1=$E195,1E+99,IF(COUNTIF(Distance_Matrix!$E$10:$DQ$10,1)=0,1E+99,SUMIF(Distance_Matrix!$E$10:$DQ$10,1,Distance_Matrix!$E$63:$DQ$63)/COUNTIF(Distance_Matrix!$E$10:$DQ$10,1))),IF(2=$E195,1E+99,IF(COUNTIF(Distance_Matrix!$E$10:$DQ$10,2)=0,1E+99,SUMIF(Distance_Matrix!$E$10:$DQ$10,2,Distance_Matrix!$E$63:$DQ$63)/COUNTIF(Distance_Matrix!$E$10:$DQ$10,2))),IF(3=$E195,1E+99,IF(COUNTIF(Distance_Matrix!$E$10:$DQ$10,3)=0,1E+99,SUMIF(Distance_Matrix!$E$10:$DQ$10,3,Distance_Matrix!$E$63:$DQ$63)/COUNTIF(Distance_Matrix!$E$10:$DQ$10,3))),IF(4=$E195,1E+99,IF(COUNTIF(Distance_Matrix!$E$10:$DQ$10,4)=0,1E+99,SUMIF(Distance_Matrix!$E$10:$DQ$10,4,Distance_Matrix!$E$63:$DQ$63)/COUNTIF(Distance_Matrix!$E$10:$DQ$10,4))))</f>
        <v>1.4914347506435428</v>
      </c>
      <c r="I195" s="18">
        <f>IF(COUNTIF(Distance_Matrix!$E$10:$DQ$10,$E195)&lt;=1,0,(H195-G195)/MAX(G195,H195))</f>
        <v>0.29438607762904345</v>
      </c>
      <c r="X195" s="18">
        <f t="shared" si="180"/>
        <v>7.1434907577509605</v>
      </c>
      <c r="Y195" s="18">
        <f t="shared" si="180"/>
        <v>2.2741666005889467</v>
      </c>
      <c r="Z195" s="18">
        <f t="shared" si="180"/>
        <v>2.9427045941981942</v>
      </c>
      <c r="AA195" s="18">
        <f t="shared" si="180"/>
        <v>0.69278262967291682</v>
      </c>
      <c r="AB195" s="56">
        <f t="shared" si="168"/>
        <v>4</v>
      </c>
      <c r="AD195" s="18">
        <f t="shared" si="181"/>
        <v>6.127318406271403</v>
      </c>
      <c r="AE195" s="18">
        <f t="shared" si="181"/>
        <v>1.4509024441185268</v>
      </c>
      <c r="AF195" s="18">
        <f t="shared" si="181"/>
        <v>2.4153352602258966</v>
      </c>
      <c r="AG195" s="18">
        <f t="shared" si="181"/>
        <v>0.70609620532216322</v>
      </c>
      <c r="AH195" s="56">
        <f t="shared" si="169"/>
        <v>4</v>
      </c>
      <c r="AJ195" s="18">
        <f t="shared" si="182"/>
        <v>5.7820571979230468</v>
      </c>
      <c r="AK195" s="18">
        <f t="shared" si="182"/>
        <v>1.4357738166527343</v>
      </c>
      <c r="AL195" s="18">
        <f t="shared" si="182"/>
        <v>2.470821305012433</v>
      </c>
      <c r="AM195" s="18">
        <f t="shared" si="182"/>
        <v>0.82954868315627817</v>
      </c>
      <c r="AN195" s="56">
        <f t="shared" si="170"/>
        <v>4</v>
      </c>
      <c r="AP195" s="18">
        <f t="shared" si="183"/>
        <v>5.4974955486345447</v>
      </c>
      <c r="AQ195" s="18">
        <f t="shared" si="183"/>
        <v>1.4743022478022896</v>
      </c>
      <c r="AR195" s="18">
        <f t="shared" si="183"/>
        <v>2.4314801802499537</v>
      </c>
      <c r="AS195" s="18">
        <f t="shared" si="183"/>
        <v>0.85162010431807944</v>
      </c>
      <c r="AT195" s="56">
        <f t="shared" si="171"/>
        <v>4</v>
      </c>
      <c r="AV195" s="18">
        <f t="shared" si="184"/>
        <v>5.4974955486345447</v>
      </c>
      <c r="AW195" s="18">
        <f t="shared" si="184"/>
        <v>1.4743022478022896</v>
      </c>
      <c r="AX195" s="18">
        <f t="shared" si="184"/>
        <v>2.4314801802499537</v>
      </c>
      <c r="AY195" s="18">
        <f t="shared" si="184"/>
        <v>0.85162010431807944</v>
      </c>
      <c r="AZ195" s="56">
        <f t="shared" si="172"/>
        <v>4</v>
      </c>
      <c r="BB195" s="18">
        <f t="shared" si="185"/>
        <v>5.4974955486345447</v>
      </c>
      <c r="BC195" s="18">
        <f t="shared" si="185"/>
        <v>1.4743022478022896</v>
      </c>
      <c r="BD195" s="18">
        <f t="shared" si="185"/>
        <v>2.4314801802499537</v>
      </c>
      <c r="BE195" s="18">
        <f t="shared" si="185"/>
        <v>0.85162010431807944</v>
      </c>
      <c r="BF195" s="56">
        <f t="shared" si="173"/>
        <v>4</v>
      </c>
      <c r="BH195" s="18">
        <f t="shared" si="186"/>
        <v>5.4974955486345447</v>
      </c>
      <c r="BI195" s="18">
        <f t="shared" si="186"/>
        <v>1.4743022478022896</v>
      </c>
      <c r="BJ195" s="18">
        <f t="shared" si="186"/>
        <v>2.4314801802499537</v>
      </c>
      <c r="BK195" s="18">
        <f t="shared" si="186"/>
        <v>0.85162010431807944</v>
      </c>
      <c r="BL195" s="56">
        <f t="shared" si="174"/>
        <v>4</v>
      </c>
      <c r="BN195" s="18">
        <f t="shared" si="187"/>
        <v>5.4974955486345447</v>
      </c>
      <c r="BO195" s="18">
        <f t="shared" si="187"/>
        <v>1.4743022478022896</v>
      </c>
      <c r="BP195" s="18">
        <f t="shared" si="187"/>
        <v>2.4314801802499537</v>
      </c>
      <c r="BQ195" s="18">
        <f t="shared" si="187"/>
        <v>0.85162010431807944</v>
      </c>
      <c r="BR195" s="56">
        <f t="shared" si="175"/>
        <v>4</v>
      </c>
      <c r="BT195" s="18">
        <f t="shared" si="188"/>
        <v>5.4974955486345447</v>
      </c>
      <c r="BU195" s="18">
        <f t="shared" si="188"/>
        <v>1.4743022478022896</v>
      </c>
      <c r="BV195" s="18">
        <f t="shared" si="188"/>
        <v>2.4314801802499537</v>
      </c>
      <c r="BW195" s="18">
        <f t="shared" si="188"/>
        <v>0.85162010431807944</v>
      </c>
      <c r="BX195" s="56">
        <f t="shared" si="176"/>
        <v>4</v>
      </c>
      <c r="BZ195" s="18">
        <f t="shared" si="189"/>
        <v>5.4974955486345447</v>
      </c>
      <c r="CA195" s="18">
        <f t="shared" si="189"/>
        <v>1.4743022478022896</v>
      </c>
      <c r="CB195" s="18">
        <f t="shared" si="189"/>
        <v>2.4314801802499537</v>
      </c>
      <c r="CC195" s="18">
        <f t="shared" si="189"/>
        <v>0.85162010431807944</v>
      </c>
      <c r="CD195" s="56">
        <f t="shared" si="177"/>
        <v>4</v>
      </c>
      <c r="CF195" s="18">
        <f t="shared" si="190"/>
        <v>5.4974955486345447</v>
      </c>
      <c r="CG195" s="18">
        <f t="shared" si="190"/>
        <v>1.4743022478022896</v>
      </c>
      <c r="CH195" s="18">
        <f t="shared" si="190"/>
        <v>2.4314801802499537</v>
      </c>
      <c r="CI195" s="18">
        <f t="shared" si="190"/>
        <v>0.85162010431807944</v>
      </c>
      <c r="CJ195" s="56">
        <f t="shared" si="178"/>
        <v>4</v>
      </c>
      <c r="CL195" s="18">
        <f t="shared" si="191"/>
        <v>5.4974955486345447</v>
      </c>
      <c r="CM195" s="18">
        <f t="shared" si="191"/>
        <v>1.4743022478022896</v>
      </c>
      <c r="CN195" s="18">
        <f t="shared" si="191"/>
        <v>2.4314801802499537</v>
      </c>
      <c r="CO195" s="18">
        <f t="shared" si="191"/>
        <v>0.85162010431807944</v>
      </c>
      <c r="CP195" s="56">
        <f t="shared" si="179"/>
        <v>4</v>
      </c>
    </row>
    <row r="196" spans="1:94" x14ac:dyDescent="0.25">
      <c r="A196" s="36" t="str">
        <f>KMeans_Data!A55</f>
        <v>Faisalabad</v>
      </c>
      <c r="B196" s="18">
        <f>KMeans_Data!H55</f>
        <v>0.18779833781528543</v>
      </c>
      <c r="C196" s="18">
        <f>KMeans_Data!I55</f>
        <v>-0.67265054538827607</v>
      </c>
      <c r="D196" s="18">
        <f>KMeans_Data!J55</f>
        <v>-1.1456441163335547</v>
      </c>
      <c r="E196" s="56">
        <f t="shared" si="166"/>
        <v>4</v>
      </c>
      <c r="F196" s="38">
        <f t="shared" si="167"/>
        <v>0.72101612649372959</v>
      </c>
      <c r="G196" s="18">
        <f>IF(COUNTIF(Distance_Matrix!$E$10:$DQ$10,$E196)&lt;=1,0,SUMIF(Distance_Matrix!$E$10:$DQ$10,$E196,Distance_Matrix!$E$64:$DQ$64)/(COUNTIF(Distance_Matrix!$E$10:$DQ$10,$E196)-1))</f>
        <v>1.0502035620898347</v>
      </c>
      <c r="H196" s="18">
        <f>MIN(IF(1=$E196,1E+99,IF(COUNTIF(Distance_Matrix!$E$10:$DQ$10,1)=0,1E+99,SUMIF(Distance_Matrix!$E$10:$DQ$10,1,Distance_Matrix!$E$64:$DQ$64)/COUNTIF(Distance_Matrix!$E$10:$DQ$10,1))),IF(2=$E196,1E+99,IF(COUNTIF(Distance_Matrix!$E$10:$DQ$10,2)=0,1E+99,SUMIF(Distance_Matrix!$E$10:$DQ$10,2,Distance_Matrix!$E$64:$DQ$64)/COUNTIF(Distance_Matrix!$E$10:$DQ$10,2))),IF(3=$E196,1E+99,IF(COUNTIF(Distance_Matrix!$E$10:$DQ$10,3)=0,1E+99,SUMIF(Distance_Matrix!$E$10:$DQ$10,3,Distance_Matrix!$E$64:$DQ$64)/COUNTIF(Distance_Matrix!$E$10:$DQ$10,3))),IF(4=$E196,1E+99,IF(COUNTIF(Distance_Matrix!$E$10:$DQ$10,4)=0,1E+99,SUMIF(Distance_Matrix!$E$10:$DQ$10,4,Distance_Matrix!$E$64:$DQ$64)/COUNTIF(Distance_Matrix!$E$10:$DQ$10,4))))</f>
        <v>1.4849032455918569</v>
      </c>
      <c r="I196" s="18">
        <f>IF(COUNTIF(Distance_Matrix!$E$10:$DQ$10,$E196)&lt;=1,0,(H196-G196)/MAX(G196,H196))</f>
        <v>0.29274613332046318</v>
      </c>
      <c r="X196" s="18">
        <f t="shared" si="180"/>
        <v>7.1463518740909944</v>
      </c>
      <c r="Y196" s="18">
        <f t="shared" si="180"/>
        <v>2.267536319618614</v>
      </c>
      <c r="Z196" s="18">
        <f t="shared" si="180"/>
        <v>2.9446106239101808</v>
      </c>
      <c r="AA196" s="18">
        <f t="shared" si="180"/>
        <v>0.69711942122382753</v>
      </c>
      <c r="AB196" s="56">
        <f t="shared" si="168"/>
        <v>4</v>
      </c>
      <c r="AD196" s="18">
        <f t="shared" si="181"/>
        <v>6.1301500484774829</v>
      </c>
      <c r="AE196" s="18">
        <f t="shared" si="181"/>
        <v>1.4443431481862434</v>
      </c>
      <c r="AF196" s="18">
        <f t="shared" si="181"/>
        <v>2.4164784059449587</v>
      </c>
      <c r="AG196" s="18">
        <f t="shared" si="181"/>
        <v>0.70371303336261781</v>
      </c>
      <c r="AH196" s="56">
        <f t="shared" si="169"/>
        <v>4</v>
      </c>
      <c r="AJ196" s="18">
        <f t="shared" si="182"/>
        <v>5.7849117246595343</v>
      </c>
      <c r="AK196" s="18">
        <f t="shared" si="182"/>
        <v>1.4291856181846794</v>
      </c>
      <c r="AL196" s="18">
        <f t="shared" si="182"/>
        <v>2.4720629413042774</v>
      </c>
      <c r="AM196" s="18">
        <f t="shared" si="182"/>
        <v>0.82736653482794276</v>
      </c>
      <c r="AN196" s="56">
        <f t="shared" si="170"/>
        <v>4</v>
      </c>
      <c r="AP196" s="18">
        <f t="shared" si="183"/>
        <v>5.500259216297283</v>
      </c>
      <c r="AQ196" s="18">
        <f t="shared" si="183"/>
        <v>1.4676805381676792</v>
      </c>
      <c r="AR196" s="18">
        <f t="shared" si="183"/>
        <v>2.4326800336245156</v>
      </c>
      <c r="AS196" s="18">
        <f t="shared" si="183"/>
        <v>0.84912668459643259</v>
      </c>
      <c r="AT196" s="56">
        <f t="shared" si="171"/>
        <v>4</v>
      </c>
      <c r="AV196" s="18">
        <f t="shared" si="184"/>
        <v>5.500259216297283</v>
      </c>
      <c r="AW196" s="18">
        <f t="shared" si="184"/>
        <v>1.4676805381676792</v>
      </c>
      <c r="AX196" s="18">
        <f t="shared" si="184"/>
        <v>2.4326800336245156</v>
      </c>
      <c r="AY196" s="18">
        <f t="shared" si="184"/>
        <v>0.84912668459643259</v>
      </c>
      <c r="AZ196" s="56">
        <f t="shared" si="172"/>
        <v>4</v>
      </c>
      <c r="BB196" s="18">
        <f t="shared" si="185"/>
        <v>5.500259216297283</v>
      </c>
      <c r="BC196" s="18">
        <f t="shared" si="185"/>
        <v>1.4676805381676792</v>
      </c>
      <c r="BD196" s="18">
        <f t="shared" si="185"/>
        <v>2.4326800336245156</v>
      </c>
      <c r="BE196" s="18">
        <f t="shared" si="185"/>
        <v>0.84912668459643259</v>
      </c>
      <c r="BF196" s="56">
        <f t="shared" si="173"/>
        <v>4</v>
      </c>
      <c r="BH196" s="18">
        <f t="shared" si="186"/>
        <v>5.500259216297283</v>
      </c>
      <c r="BI196" s="18">
        <f t="shared" si="186"/>
        <v>1.4676805381676792</v>
      </c>
      <c r="BJ196" s="18">
        <f t="shared" si="186"/>
        <v>2.4326800336245156</v>
      </c>
      <c r="BK196" s="18">
        <f t="shared" si="186"/>
        <v>0.84912668459643259</v>
      </c>
      <c r="BL196" s="56">
        <f t="shared" si="174"/>
        <v>4</v>
      </c>
      <c r="BN196" s="18">
        <f t="shared" si="187"/>
        <v>5.500259216297283</v>
      </c>
      <c r="BO196" s="18">
        <f t="shared" si="187"/>
        <v>1.4676805381676792</v>
      </c>
      <c r="BP196" s="18">
        <f t="shared" si="187"/>
        <v>2.4326800336245156</v>
      </c>
      <c r="BQ196" s="18">
        <f t="shared" si="187"/>
        <v>0.84912668459643259</v>
      </c>
      <c r="BR196" s="56">
        <f t="shared" si="175"/>
        <v>4</v>
      </c>
      <c r="BT196" s="18">
        <f t="shared" si="188"/>
        <v>5.500259216297283</v>
      </c>
      <c r="BU196" s="18">
        <f t="shared" si="188"/>
        <v>1.4676805381676792</v>
      </c>
      <c r="BV196" s="18">
        <f t="shared" si="188"/>
        <v>2.4326800336245156</v>
      </c>
      <c r="BW196" s="18">
        <f t="shared" si="188"/>
        <v>0.84912668459643259</v>
      </c>
      <c r="BX196" s="56">
        <f t="shared" si="176"/>
        <v>4</v>
      </c>
      <c r="BZ196" s="18">
        <f t="shared" si="189"/>
        <v>5.500259216297283</v>
      </c>
      <c r="CA196" s="18">
        <f t="shared" si="189"/>
        <v>1.4676805381676792</v>
      </c>
      <c r="CB196" s="18">
        <f t="shared" si="189"/>
        <v>2.4326800336245156</v>
      </c>
      <c r="CC196" s="18">
        <f t="shared" si="189"/>
        <v>0.84912668459643259</v>
      </c>
      <c r="CD196" s="56">
        <f t="shared" si="177"/>
        <v>4</v>
      </c>
      <c r="CF196" s="18">
        <f t="shared" si="190"/>
        <v>5.500259216297283</v>
      </c>
      <c r="CG196" s="18">
        <f t="shared" si="190"/>
        <v>1.4676805381676792</v>
      </c>
      <c r="CH196" s="18">
        <f t="shared" si="190"/>
        <v>2.4326800336245156</v>
      </c>
      <c r="CI196" s="18">
        <f t="shared" si="190"/>
        <v>0.84912668459643259</v>
      </c>
      <c r="CJ196" s="56">
        <f t="shared" si="178"/>
        <v>4</v>
      </c>
      <c r="CL196" s="18">
        <f t="shared" si="191"/>
        <v>5.500259216297283</v>
      </c>
      <c r="CM196" s="18">
        <f t="shared" si="191"/>
        <v>1.4676805381676792</v>
      </c>
      <c r="CN196" s="18">
        <f t="shared" si="191"/>
        <v>2.4326800336245156</v>
      </c>
      <c r="CO196" s="18">
        <f t="shared" si="191"/>
        <v>0.84912668459643259</v>
      </c>
      <c r="CP196" s="56">
        <f t="shared" si="179"/>
        <v>4</v>
      </c>
    </row>
    <row r="197" spans="1:94" x14ac:dyDescent="0.25">
      <c r="A197" s="36" t="str">
        <f>KMeans_Data!A56</f>
        <v>Jhelum</v>
      </c>
      <c r="B197" s="18">
        <f>KMeans_Data!H56</f>
        <v>0.16738513255089196</v>
      </c>
      <c r="C197" s="18">
        <f>KMeans_Data!I56</f>
        <v>-0.67265054538827607</v>
      </c>
      <c r="D197" s="18">
        <f>KMeans_Data!J56</f>
        <v>-0.50324791546397885</v>
      </c>
      <c r="E197" s="56">
        <f t="shared" si="166"/>
        <v>4</v>
      </c>
      <c r="F197" s="38">
        <f t="shared" si="167"/>
        <v>0.13116547997147321</v>
      </c>
      <c r="G197" s="18">
        <f>IF(COUNTIF(Distance_Matrix!$E$10:$DQ$10,$E197)&lt;=1,0,SUMIF(Distance_Matrix!$E$10:$DQ$10,$E197,Distance_Matrix!$E$65:$DQ$65)/(COUNTIF(Distance_Matrix!$E$10:$DQ$10,$E197)-1))</f>
        <v>0.82403722637607613</v>
      </c>
      <c r="H197" s="18">
        <f>MIN(IF(1=$E197,1E+99,IF(COUNTIF(Distance_Matrix!$E$10:$DQ$10,1)=0,1E+99,SUMIF(Distance_Matrix!$E$10:$DQ$10,1,Distance_Matrix!$E$65:$DQ$65)/COUNTIF(Distance_Matrix!$E$10:$DQ$10,1))),IF(2=$E197,1E+99,IF(COUNTIF(Distance_Matrix!$E$10:$DQ$10,2)=0,1E+99,SUMIF(Distance_Matrix!$E$10:$DQ$10,2,Distance_Matrix!$E$65:$DQ$65)/COUNTIF(Distance_Matrix!$E$10:$DQ$10,2))),IF(3=$E197,1E+99,IF(COUNTIF(Distance_Matrix!$E$10:$DQ$10,3)=0,1E+99,SUMIF(Distance_Matrix!$E$10:$DQ$10,3,Distance_Matrix!$E$65:$DQ$65)/COUNTIF(Distance_Matrix!$E$10:$DQ$10,3))),IF(4=$E197,1E+99,IF(COUNTIF(Distance_Matrix!$E$10:$DQ$10,4)=0,1E+99,SUMIF(Distance_Matrix!$E$10:$DQ$10,4,Distance_Matrix!$E$65:$DQ$65)/COUNTIF(Distance_Matrix!$E$10:$DQ$10,4))))</f>
        <v>1.5728947855272417</v>
      </c>
      <c r="I197" s="18">
        <f>IF(COUNTIF(Distance_Matrix!$E$10:$DQ$10,$E197)&lt;=1,0,(H197-G197)/MAX(G197,H197))</f>
        <v>0.47610149518052158</v>
      </c>
      <c r="X197" s="18">
        <f t="shared" si="180"/>
        <v>6.7792676747337426</v>
      </c>
      <c r="Y197" s="18">
        <f t="shared" si="180"/>
        <v>2.3371425223885418</v>
      </c>
      <c r="Z197" s="18">
        <f t="shared" si="180"/>
        <v>2.3994635543365552</v>
      </c>
      <c r="AA197" s="18">
        <f t="shared" si="180"/>
        <v>0.95799710156750895</v>
      </c>
      <c r="AB197" s="56">
        <f t="shared" si="168"/>
        <v>4</v>
      </c>
      <c r="AD197" s="18">
        <f t="shared" si="181"/>
        <v>5.7820786550070125</v>
      </c>
      <c r="AE197" s="18">
        <f t="shared" si="181"/>
        <v>1.4732717787957168</v>
      </c>
      <c r="AF197" s="18">
        <f t="shared" si="181"/>
        <v>1.9150569424882544</v>
      </c>
      <c r="AG197" s="18">
        <f t="shared" si="181"/>
        <v>0.29414973523233801</v>
      </c>
      <c r="AH197" s="56">
        <f t="shared" si="169"/>
        <v>4</v>
      </c>
      <c r="AJ197" s="18">
        <f t="shared" si="182"/>
        <v>5.4329231371381104</v>
      </c>
      <c r="AK197" s="18">
        <f t="shared" si="182"/>
        <v>1.4805627929278631</v>
      </c>
      <c r="AL197" s="18">
        <f t="shared" si="182"/>
        <v>1.9838891696989094</v>
      </c>
      <c r="AM197" s="18">
        <f t="shared" si="182"/>
        <v>0.32725852855331006</v>
      </c>
      <c r="AN197" s="56">
        <f t="shared" si="170"/>
        <v>4</v>
      </c>
      <c r="AP197" s="18">
        <f t="shared" si="183"/>
        <v>5.14642814386431</v>
      </c>
      <c r="AQ197" s="18">
        <f t="shared" si="183"/>
        <v>1.5540730103349469</v>
      </c>
      <c r="AR197" s="18">
        <f t="shared" si="183"/>
        <v>1.9393709830905406</v>
      </c>
      <c r="AS197" s="18">
        <f t="shared" si="183"/>
        <v>0.36216775114782546</v>
      </c>
      <c r="AT197" s="56">
        <f t="shared" si="171"/>
        <v>4</v>
      </c>
      <c r="AV197" s="18">
        <f t="shared" si="184"/>
        <v>5.14642814386431</v>
      </c>
      <c r="AW197" s="18">
        <f t="shared" si="184"/>
        <v>1.5540730103349469</v>
      </c>
      <c r="AX197" s="18">
        <f t="shared" si="184"/>
        <v>1.9393709830905406</v>
      </c>
      <c r="AY197" s="18">
        <f t="shared" si="184"/>
        <v>0.36216775114782546</v>
      </c>
      <c r="AZ197" s="56">
        <f t="shared" si="172"/>
        <v>4</v>
      </c>
      <c r="BB197" s="18">
        <f t="shared" si="185"/>
        <v>5.14642814386431</v>
      </c>
      <c r="BC197" s="18">
        <f t="shared" si="185"/>
        <v>1.5540730103349469</v>
      </c>
      <c r="BD197" s="18">
        <f t="shared" si="185"/>
        <v>1.9393709830905406</v>
      </c>
      <c r="BE197" s="18">
        <f t="shared" si="185"/>
        <v>0.36216775114782546</v>
      </c>
      <c r="BF197" s="56">
        <f t="shared" si="173"/>
        <v>4</v>
      </c>
      <c r="BH197" s="18">
        <f t="shared" si="186"/>
        <v>5.14642814386431</v>
      </c>
      <c r="BI197" s="18">
        <f t="shared" si="186"/>
        <v>1.5540730103349469</v>
      </c>
      <c r="BJ197" s="18">
        <f t="shared" si="186"/>
        <v>1.9393709830905406</v>
      </c>
      <c r="BK197" s="18">
        <f t="shared" si="186"/>
        <v>0.36216775114782546</v>
      </c>
      <c r="BL197" s="56">
        <f t="shared" si="174"/>
        <v>4</v>
      </c>
      <c r="BN197" s="18">
        <f t="shared" si="187"/>
        <v>5.14642814386431</v>
      </c>
      <c r="BO197" s="18">
        <f t="shared" si="187"/>
        <v>1.5540730103349469</v>
      </c>
      <c r="BP197" s="18">
        <f t="shared" si="187"/>
        <v>1.9393709830905406</v>
      </c>
      <c r="BQ197" s="18">
        <f t="shared" si="187"/>
        <v>0.36216775114782546</v>
      </c>
      <c r="BR197" s="56">
        <f t="shared" si="175"/>
        <v>4</v>
      </c>
      <c r="BT197" s="18">
        <f t="shared" si="188"/>
        <v>5.14642814386431</v>
      </c>
      <c r="BU197" s="18">
        <f t="shared" si="188"/>
        <v>1.5540730103349469</v>
      </c>
      <c r="BV197" s="18">
        <f t="shared" si="188"/>
        <v>1.9393709830905406</v>
      </c>
      <c r="BW197" s="18">
        <f t="shared" si="188"/>
        <v>0.36216775114782546</v>
      </c>
      <c r="BX197" s="56">
        <f t="shared" si="176"/>
        <v>4</v>
      </c>
      <c r="BZ197" s="18">
        <f t="shared" si="189"/>
        <v>5.14642814386431</v>
      </c>
      <c r="CA197" s="18">
        <f t="shared" si="189"/>
        <v>1.5540730103349469</v>
      </c>
      <c r="CB197" s="18">
        <f t="shared" si="189"/>
        <v>1.9393709830905406</v>
      </c>
      <c r="CC197" s="18">
        <f t="shared" si="189"/>
        <v>0.36216775114782546</v>
      </c>
      <c r="CD197" s="56">
        <f t="shared" si="177"/>
        <v>4</v>
      </c>
      <c r="CF197" s="18">
        <f t="shared" si="190"/>
        <v>5.14642814386431</v>
      </c>
      <c r="CG197" s="18">
        <f t="shared" si="190"/>
        <v>1.5540730103349469</v>
      </c>
      <c r="CH197" s="18">
        <f t="shared" si="190"/>
        <v>1.9393709830905406</v>
      </c>
      <c r="CI197" s="18">
        <f t="shared" si="190"/>
        <v>0.36216775114782546</v>
      </c>
      <c r="CJ197" s="56">
        <f t="shared" si="178"/>
        <v>4</v>
      </c>
      <c r="CL197" s="18">
        <f t="shared" si="191"/>
        <v>5.14642814386431</v>
      </c>
      <c r="CM197" s="18">
        <f t="shared" si="191"/>
        <v>1.5540730103349469</v>
      </c>
      <c r="CN197" s="18">
        <f t="shared" si="191"/>
        <v>1.9393709830905406</v>
      </c>
      <c r="CO197" s="18">
        <f t="shared" si="191"/>
        <v>0.36216775114782546</v>
      </c>
      <c r="CP197" s="56">
        <f t="shared" si="179"/>
        <v>4</v>
      </c>
    </row>
    <row r="198" spans="1:94" x14ac:dyDescent="0.25">
      <c r="A198" s="36" t="str">
        <f>KMeans_Data!A57</f>
        <v>Vehari</v>
      </c>
      <c r="B198" s="18">
        <f>KMeans_Data!H57</f>
        <v>0.15331751895798426</v>
      </c>
      <c r="C198" s="18">
        <f>KMeans_Data!I57</f>
        <v>-0.67265054538827607</v>
      </c>
      <c r="D198" s="18">
        <f>KMeans_Data!J57</f>
        <v>-0.24392704812240026</v>
      </c>
      <c r="E198" s="56">
        <f t="shared" si="166"/>
        <v>4</v>
      </c>
      <c r="F198" s="38">
        <f t="shared" si="167"/>
        <v>0.1238057017324235</v>
      </c>
      <c r="G198" s="18">
        <f>IF(COUNTIF(Distance_Matrix!$E$10:$DQ$10,$E198)&lt;=1,0,SUMIF(Distance_Matrix!$E$10:$DQ$10,$E198,Distance_Matrix!$E$66:$DQ$66)/(COUNTIF(Distance_Matrix!$E$10:$DQ$10,$E198)-1))</f>
        <v>0.82688273260201095</v>
      </c>
      <c r="H198" s="18">
        <f>MIN(IF(1=$E198,1E+99,IF(COUNTIF(Distance_Matrix!$E$10:$DQ$10,1)=0,1E+99,SUMIF(Distance_Matrix!$E$10:$DQ$10,1,Distance_Matrix!$E$66:$DQ$66)/COUNTIF(Distance_Matrix!$E$10:$DQ$10,1))),IF(2=$E198,1E+99,IF(COUNTIF(Distance_Matrix!$E$10:$DQ$10,2)=0,1E+99,SUMIF(Distance_Matrix!$E$10:$DQ$10,2,Distance_Matrix!$E$66:$DQ$66)/COUNTIF(Distance_Matrix!$E$10:$DQ$10,2))),IF(3=$E198,1E+99,IF(COUNTIF(Distance_Matrix!$E$10:$DQ$10,3)=0,1E+99,SUMIF(Distance_Matrix!$E$10:$DQ$10,3,Distance_Matrix!$E$66:$DQ$66)/COUNTIF(Distance_Matrix!$E$10:$DQ$10,3))),IF(4=$E198,1E+99,IF(COUNTIF(Distance_Matrix!$E$10:$DQ$10,4)=0,1E+99,SUMIF(Distance_Matrix!$E$10:$DQ$10,4,Distance_Matrix!$E$66:$DQ$66)/COUNTIF(Distance_Matrix!$E$10:$DQ$10,4))))</f>
        <v>1.675588638914467</v>
      </c>
      <c r="I198" s="18">
        <f>IF(COUNTIF(Distance_Matrix!$E$10:$DQ$10,$E198)&lt;=1,0,(H198-G198)/MAX(G198,H198))</f>
        <v>0.50651209169232114</v>
      </c>
      <c r="X198" s="18">
        <f t="shared" si="180"/>
        <v>6.645700219429111</v>
      </c>
      <c r="Y198" s="18">
        <f t="shared" si="180"/>
        <v>2.4082422097006102</v>
      </c>
      <c r="Z198" s="18">
        <f t="shared" si="180"/>
        <v>2.1967540288821787</v>
      </c>
      <c r="AA198" s="18">
        <f t="shared" si="180"/>
        <v>1.1540510716760239</v>
      </c>
      <c r="AB198" s="56">
        <f t="shared" si="168"/>
        <v>4</v>
      </c>
      <c r="AD198" s="18">
        <f t="shared" si="181"/>
        <v>5.658943809291249</v>
      </c>
      <c r="AE198" s="18">
        <f t="shared" si="181"/>
        <v>1.5564019850468496</v>
      </c>
      <c r="AF198" s="18">
        <f t="shared" si="181"/>
        <v>1.7406944621679532</v>
      </c>
      <c r="AG198" s="18">
        <f t="shared" si="181"/>
        <v>0.39124129755807074</v>
      </c>
      <c r="AH198" s="56">
        <f t="shared" si="169"/>
        <v>4</v>
      </c>
      <c r="AJ198" s="18">
        <f t="shared" si="182"/>
        <v>5.3090685814248779</v>
      </c>
      <c r="AK198" s="18">
        <f t="shared" si="182"/>
        <v>1.5717193138295831</v>
      </c>
      <c r="AL198" s="18">
        <f t="shared" si="182"/>
        <v>1.8159228553825026</v>
      </c>
      <c r="AM198" s="18">
        <f t="shared" si="182"/>
        <v>0.32449764112860358</v>
      </c>
      <c r="AN198" s="56">
        <f t="shared" si="170"/>
        <v>4</v>
      </c>
      <c r="AP198" s="18">
        <f t="shared" si="183"/>
        <v>5.022569794766774</v>
      </c>
      <c r="AQ198" s="18">
        <f t="shared" si="183"/>
        <v>1.654654287705595</v>
      </c>
      <c r="AR198" s="18">
        <f t="shared" si="183"/>
        <v>1.7692160861178814</v>
      </c>
      <c r="AS198" s="18">
        <f t="shared" si="183"/>
        <v>0.35186034407478134</v>
      </c>
      <c r="AT198" s="56">
        <f t="shared" si="171"/>
        <v>4</v>
      </c>
      <c r="AV198" s="18">
        <f t="shared" si="184"/>
        <v>5.022569794766774</v>
      </c>
      <c r="AW198" s="18">
        <f t="shared" si="184"/>
        <v>1.654654287705595</v>
      </c>
      <c r="AX198" s="18">
        <f t="shared" si="184"/>
        <v>1.7692160861178814</v>
      </c>
      <c r="AY198" s="18">
        <f t="shared" si="184"/>
        <v>0.35186034407478134</v>
      </c>
      <c r="AZ198" s="56">
        <f t="shared" si="172"/>
        <v>4</v>
      </c>
      <c r="BB198" s="18">
        <f t="shared" si="185"/>
        <v>5.022569794766774</v>
      </c>
      <c r="BC198" s="18">
        <f t="shared" si="185"/>
        <v>1.654654287705595</v>
      </c>
      <c r="BD198" s="18">
        <f t="shared" si="185"/>
        <v>1.7692160861178814</v>
      </c>
      <c r="BE198" s="18">
        <f t="shared" si="185"/>
        <v>0.35186034407478134</v>
      </c>
      <c r="BF198" s="56">
        <f t="shared" si="173"/>
        <v>4</v>
      </c>
      <c r="BH198" s="18">
        <f t="shared" si="186"/>
        <v>5.022569794766774</v>
      </c>
      <c r="BI198" s="18">
        <f t="shared" si="186"/>
        <v>1.654654287705595</v>
      </c>
      <c r="BJ198" s="18">
        <f t="shared" si="186"/>
        <v>1.7692160861178814</v>
      </c>
      <c r="BK198" s="18">
        <f t="shared" si="186"/>
        <v>0.35186034407478134</v>
      </c>
      <c r="BL198" s="56">
        <f t="shared" si="174"/>
        <v>4</v>
      </c>
      <c r="BN198" s="18">
        <f t="shared" si="187"/>
        <v>5.022569794766774</v>
      </c>
      <c r="BO198" s="18">
        <f t="shared" si="187"/>
        <v>1.654654287705595</v>
      </c>
      <c r="BP198" s="18">
        <f t="shared" si="187"/>
        <v>1.7692160861178814</v>
      </c>
      <c r="BQ198" s="18">
        <f t="shared" si="187"/>
        <v>0.35186034407478134</v>
      </c>
      <c r="BR198" s="56">
        <f t="shared" si="175"/>
        <v>4</v>
      </c>
      <c r="BT198" s="18">
        <f t="shared" si="188"/>
        <v>5.022569794766774</v>
      </c>
      <c r="BU198" s="18">
        <f t="shared" si="188"/>
        <v>1.654654287705595</v>
      </c>
      <c r="BV198" s="18">
        <f t="shared" si="188"/>
        <v>1.7692160861178814</v>
      </c>
      <c r="BW198" s="18">
        <f t="shared" si="188"/>
        <v>0.35186034407478134</v>
      </c>
      <c r="BX198" s="56">
        <f t="shared" si="176"/>
        <v>4</v>
      </c>
      <c r="BZ198" s="18">
        <f t="shared" si="189"/>
        <v>5.022569794766774</v>
      </c>
      <c r="CA198" s="18">
        <f t="shared" si="189"/>
        <v>1.654654287705595</v>
      </c>
      <c r="CB198" s="18">
        <f t="shared" si="189"/>
        <v>1.7692160861178814</v>
      </c>
      <c r="CC198" s="18">
        <f t="shared" si="189"/>
        <v>0.35186034407478134</v>
      </c>
      <c r="CD198" s="56">
        <f t="shared" si="177"/>
        <v>4</v>
      </c>
      <c r="CF198" s="18">
        <f t="shared" si="190"/>
        <v>5.022569794766774</v>
      </c>
      <c r="CG198" s="18">
        <f t="shared" si="190"/>
        <v>1.654654287705595</v>
      </c>
      <c r="CH198" s="18">
        <f t="shared" si="190"/>
        <v>1.7692160861178814</v>
      </c>
      <c r="CI198" s="18">
        <f t="shared" si="190"/>
        <v>0.35186034407478134</v>
      </c>
      <c r="CJ198" s="56">
        <f t="shared" si="178"/>
        <v>4</v>
      </c>
      <c r="CL198" s="18">
        <f t="shared" si="191"/>
        <v>5.022569794766774</v>
      </c>
      <c r="CM198" s="18">
        <f t="shared" si="191"/>
        <v>1.654654287705595</v>
      </c>
      <c r="CN198" s="18">
        <f t="shared" si="191"/>
        <v>1.7692160861178814</v>
      </c>
      <c r="CO198" s="18">
        <f t="shared" si="191"/>
        <v>0.35186034407478134</v>
      </c>
      <c r="CP198" s="56">
        <f t="shared" si="179"/>
        <v>4</v>
      </c>
    </row>
    <row r="199" spans="1:94" x14ac:dyDescent="0.25">
      <c r="A199" s="36" t="str">
        <f>KMeans_Data!A58</f>
        <v>Astore</v>
      </c>
      <c r="B199" s="18">
        <f>KMeans_Data!H58</f>
        <v>0.13147641151517545</v>
      </c>
      <c r="C199" s="18">
        <f>KMeans_Data!I58</f>
        <v>1.3810745208577742</v>
      </c>
      <c r="D199" s="18">
        <f>KMeans_Data!J58</f>
        <v>0.77424684086161255</v>
      </c>
      <c r="E199" s="56">
        <f t="shared" si="166"/>
        <v>3</v>
      </c>
      <c r="F199" s="38">
        <f t="shared" si="167"/>
        <v>0.84209060044829354</v>
      </c>
      <c r="G199" s="18">
        <f>IF(COUNTIF(Distance_Matrix!$E$10:$DQ$10,$E199)&lt;=1,0,SUMIF(Distance_Matrix!$E$10:$DQ$10,$E199,Distance_Matrix!$E$67:$DQ$67)/(COUNTIF(Distance_Matrix!$E$10:$DQ$10,$E199)-1))</f>
        <v>1.1651038974439694</v>
      </c>
      <c r="H199" s="18">
        <f>MIN(IF(1=$E199,1E+99,IF(COUNTIF(Distance_Matrix!$E$10:$DQ$10,1)=0,1E+99,SUMIF(Distance_Matrix!$E$10:$DQ$10,1,Distance_Matrix!$E$67:$DQ$67)/COUNTIF(Distance_Matrix!$E$10:$DQ$10,1))),IF(2=$E199,1E+99,IF(COUNTIF(Distance_Matrix!$E$10:$DQ$10,2)=0,1E+99,SUMIF(Distance_Matrix!$E$10:$DQ$10,2,Distance_Matrix!$E$67:$DQ$67)/COUNTIF(Distance_Matrix!$E$10:$DQ$10,2))),IF(3=$E199,1E+99,IF(COUNTIF(Distance_Matrix!$E$10:$DQ$10,3)=0,1E+99,SUMIF(Distance_Matrix!$E$10:$DQ$10,3,Distance_Matrix!$E$67:$DQ$67)/COUNTIF(Distance_Matrix!$E$10:$DQ$10,3))),IF(4=$E199,1E+99,IF(COUNTIF(Distance_Matrix!$E$10:$DQ$10,4)=0,1E+99,SUMIF(Distance_Matrix!$E$10:$DQ$10,4,Distance_Matrix!$E$67:$DQ$67)/COUNTIF(Distance_Matrix!$E$10:$DQ$10,4))))</f>
        <v>2.3272051260231512</v>
      </c>
      <c r="I199" s="18">
        <f>IF(COUNTIF(Distance_Matrix!$E$10:$DQ$10,$E199)&lt;=1,0,(H199-G199)/MAX(G199,H199))</f>
        <v>0.4993548766219163</v>
      </c>
      <c r="X199" s="18">
        <f t="shared" si="180"/>
        <v>4.8045779357516958</v>
      </c>
      <c r="Y199" s="18">
        <f t="shared" si="180"/>
        <v>3.5767634851169623</v>
      </c>
      <c r="Z199" s="18">
        <f t="shared" si="180"/>
        <v>1.5198700784169752</v>
      </c>
      <c r="AA199" s="18">
        <f t="shared" si="180"/>
        <v>2.5070579721650965</v>
      </c>
      <c r="AB199" s="56">
        <f t="shared" si="168"/>
        <v>3</v>
      </c>
      <c r="AD199" s="18">
        <f t="shared" si="181"/>
        <v>3.8265918164432917</v>
      </c>
      <c r="AE199" s="18">
        <f t="shared" si="181"/>
        <v>2.9911566020042661</v>
      </c>
      <c r="AF199" s="18">
        <f t="shared" si="181"/>
        <v>0.94062074193289735</v>
      </c>
      <c r="AG199" s="18">
        <f t="shared" si="181"/>
        <v>2.2792015733643294</v>
      </c>
      <c r="AH199" s="56">
        <f t="shared" si="169"/>
        <v>3</v>
      </c>
      <c r="AJ199" s="18">
        <f t="shared" si="182"/>
        <v>3.5085993202101458</v>
      </c>
      <c r="AK199" s="18">
        <f t="shared" si="182"/>
        <v>3.0162753588146769</v>
      </c>
      <c r="AL199" s="18">
        <f t="shared" si="182"/>
        <v>0.89739111155421536</v>
      </c>
      <c r="AM199" s="18">
        <f t="shared" si="182"/>
        <v>2.2166750343716961</v>
      </c>
      <c r="AN199" s="56">
        <f t="shared" si="170"/>
        <v>3</v>
      </c>
      <c r="AP199" s="18">
        <f t="shared" si="183"/>
        <v>3.2127030963766607</v>
      </c>
      <c r="AQ199" s="18">
        <f t="shared" si="183"/>
        <v>3.0877217216901287</v>
      </c>
      <c r="AR199" s="18">
        <f t="shared" si="183"/>
        <v>0.91765494628879629</v>
      </c>
      <c r="AS199" s="18">
        <f t="shared" si="183"/>
        <v>2.2265566565187132</v>
      </c>
      <c r="AT199" s="56">
        <f t="shared" si="171"/>
        <v>3</v>
      </c>
      <c r="AV199" s="18">
        <f t="shared" si="184"/>
        <v>3.2127030963766607</v>
      </c>
      <c r="AW199" s="18">
        <f t="shared" si="184"/>
        <v>3.0877217216901287</v>
      </c>
      <c r="AX199" s="18">
        <f t="shared" si="184"/>
        <v>0.91765494628879629</v>
      </c>
      <c r="AY199" s="18">
        <f t="shared" si="184"/>
        <v>2.2265566565187132</v>
      </c>
      <c r="AZ199" s="56">
        <f t="shared" si="172"/>
        <v>3</v>
      </c>
      <c r="BB199" s="18">
        <f t="shared" si="185"/>
        <v>3.2127030963766607</v>
      </c>
      <c r="BC199" s="18">
        <f t="shared" si="185"/>
        <v>3.0877217216901287</v>
      </c>
      <c r="BD199" s="18">
        <f t="shared" si="185"/>
        <v>0.91765494628879629</v>
      </c>
      <c r="BE199" s="18">
        <f t="shared" si="185"/>
        <v>2.2265566565187132</v>
      </c>
      <c r="BF199" s="56">
        <f t="shared" si="173"/>
        <v>3</v>
      </c>
      <c r="BH199" s="18">
        <f t="shared" si="186"/>
        <v>3.2127030963766607</v>
      </c>
      <c r="BI199" s="18">
        <f t="shared" si="186"/>
        <v>3.0877217216901287</v>
      </c>
      <c r="BJ199" s="18">
        <f t="shared" si="186"/>
        <v>0.91765494628879629</v>
      </c>
      <c r="BK199" s="18">
        <f t="shared" si="186"/>
        <v>2.2265566565187132</v>
      </c>
      <c r="BL199" s="56">
        <f t="shared" si="174"/>
        <v>3</v>
      </c>
      <c r="BN199" s="18">
        <f t="shared" si="187"/>
        <v>3.2127030963766607</v>
      </c>
      <c r="BO199" s="18">
        <f t="shared" si="187"/>
        <v>3.0877217216901287</v>
      </c>
      <c r="BP199" s="18">
        <f t="shared" si="187"/>
        <v>0.91765494628879629</v>
      </c>
      <c r="BQ199" s="18">
        <f t="shared" si="187"/>
        <v>2.2265566565187132</v>
      </c>
      <c r="BR199" s="56">
        <f t="shared" si="175"/>
        <v>3</v>
      </c>
      <c r="BT199" s="18">
        <f t="shared" si="188"/>
        <v>3.2127030963766607</v>
      </c>
      <c r="BU199" s="18">
        <f t="shared" si="188"/>
        <v>3.0877217216901287</v>
      </c>
      <c r="BV199" s="18">
        <f t="shared" si="188"/>
        <v>0.91765494628879629</v>
      </c>
      <c r="BW199" s="18">
        <f t="shared" si="188"/>
        <v>2.2265566565187132</v>
      </c>
      <c r="BX199" s="56">
        <f t="shared" si="176"/>
        <v>3</v>
      </c>
      <c r="BZ199" s="18">
        <f t="shared" si="189"/>
        <v>3.2127030963766607</v>
      </c>
      <c r="CA199" s="18">
        <f t="shared" si="189"/>
        <v>3.0877217216901287</v>
      </c>
      <c r="CB199" s="18">
        <f t="shared" si="189"/>
        <v>0.91765494628879629</v>
      </c>
      <c r="CC199" s="18">
        <f t="shared" si="189"/>
        <v>2.2265566565187132</v>
      </c>
      <c r="CD199" s="56">
        <f t="shared" si="177"/>
        <v>3</v>
      </c>
      <c r="CF199" s="18">
        <f t="shared" si="190"/>
        <v>3.2127030963766607</v>
      </c>
      <c r="CG199" s="18">
        <f t="shared" si="190"/>
        <v>3.0877217216901287</v>
      </c>
      <c r="CH199" s="18">
        <f t="shared" si="190"/>
        <v>0.91765494628879629</v>
      </c>
      <c r="CI199" s="18">
        <f t="shared" si="190"/>
        <v>2.2265566565187132</v>
      </c>
      <c r="CJ199" s="56">
        <f t="shared" si="178"/>
        <v>3</v>
      </c>
      <c r="CL199" s="18">
        <f t="shared" si="191"/>
        <v>3.2127030963766607</v>
      </c>
      <c r="CM199" s="18">
        <f t="shared" si="191"/>
        <v>3.0877217216901287</v>
      </c>
      <c r="CN199" s="18">
        <f t="shared" si="191"/>
        <v>0.91765494628879629</v>
      </c>
      <c r="CO199" s="18">
        <f t="shared" si="191"/>
        <v>2.2265566565187132</v>
      </c>
      <c r="CP199" s="56">
        <f t="shared" si="179"/>
        <v>3</v>
      </c>
    </row>
    <row r="200" spans="1:94" x14ac:dyDescent="0.25">
      <c r="A200" s="36" t="str">
        <f>KMeans_Data!A59</f>
        <v>Sanghar</v>
      </c>
      <c r="B200" s="18">
        <f>KMeans_Data!H59</f>
        <v>0.10085169543381561</v>
      </c>
      <c r="C200" s="18">
        <f>KMeans_Data!I59</f>
        <v>-0.14698313392952958</v>
      </c>
      <c r="D200" s="18">
        <f>KMeans_Data!J59</f>
        <v>0.61832866607444492</v>
      </c>
      <c r="E200" s="56">
        <f t="shared" si="166"/>
        <v>3</v>
      </c>
      <c r="F200" s="38">
        <f t="shared" si="167"/>
        <v>0.92803922719325971</v>
      </c>
      <c r="G200" s="18">
        <f>IF(COUNTIF(Distance_Matrix!$E$10:$DQ$10,$E200)&lt;=1,0,SUMIF(Distance_Matrix!$E$10:$DQ$10,$E200,Distance_Matrix!$E$68:$DQ$68)/(COUNTIF(Distance_Matrix!$E$10:$DQ$10,$E200)-1))</f>
        <v>1.1587655395259826</v>
      </c>
      <c r="H200" s="18">
        <f>MIN(IF(1=$E200,1E+99,IF(COUNTIF(Distance_Matrix!$E$10:$DQ$10,1)=0,1E+99,SUMIF(Distance_Matrix!$E$10:$DQ$10,1,Distance_Matrix!$E$68:$DQ$68)/COUNTIF(Distance_Matrix!$E$10:$DQ$10,1))),IF(2=$E200,1E+99,IF(COUNTIF(Distance_Matrix!$E$10:$DQ$10,2)=0,1E+99,SUMIF(Distance_Matrix!$E$10:$DQ$10,2,Distance_Matrix!$E$68:$DQ$68)/COUNTIF(Distance_Matrix!$E$10:$DQ$10,2))),IF(3=$E200,1E+99,IF(COUNTIF(Distance_Matrix!$E$10:$DQ$10,3)=0,1E+99,SUMIF(Distance_Matrix!$E$10:$DQ$10,3,Distance_Matrix!$E$68:$DQ$68)/COUNTIF(Distance_Matrix!$E$10:$DQ$10,3))),IF(4=$E200,1E+99,IF(COUNTIF(Distance_Matrix!$E$10:$DQ$10,4)=0,1E+99,SUMIF(Distance_Matrix!$E$10:$DQ$10,4,Distance_Matrix!$E$68:$DQ$68)/COUNTIF(Distance_Matrix!$E$10:$DQ$10,4))))</f>
        <v>1.249091372486729</v>
      </c>
      <c r="I200" s="18">
        <f>IF(COUNTIF(Distance_Matrix!$E$10:$DQ$10,$E200)&lt;=1,0,(H200-G200)/MAX(G200,H200))</f>
        <v>7.231323100160636E-2</v>
      </c>
      <c r="X200" s="18">
        <f t="shared" si="180"/>
        <v>5.8763954941776619</v>
      </c>
      <c r="Y200" s="18">
        <f t="shared" si="180"/>
        <v>2.8535762728581746</v>
      </c>
      <c r="Z200" s="18">
        <f t="shared" si="180"/>
        <v>1.3708990403778827</v>
      </c>
      <c r="AA200" s="18">
        <f t="shared" si="180"/>
        <v>1.8461934608515069</v>
      </c>
      <c r="AB200" s="56">
        <f t="shared" si="168"/>
        <v>3</v>
      </c>
      <c r="AD200" s="18">
        <f t="shared" si="181"/>
        <v>4.9209733081336617</v>
      </c>
      <c r="AE200" s="18">
        <f t="shared" si="181"/>
        <v>2.1144841938280154</v>
      </c>
      <c r="AF200" s="18">
        <f t="shared" si="181"/>
        <v>0.92139950735561904</v>
      </c>
      <c r="AG200" s="18">
        <f t="shared" si="181"/>
        <v>1.1940610036540655</v>
      </c>
      <c r="AH200" s="56">
        <f t="shared" si="169"/>
        <v>3</v>
      </c>
      <c r="AJ200" s="18">
        <f t="shared" si="182"/>
        <v>4.5762285757957759</v>
      </c>
      <c r="AK200" s="18">
        <f t="shared" si="182"/>
        <v>2.1463377166541684</v>
      </c>
      <c r="AL200" s="18">
        <f t="shared" si="182"/>
        <v>1.0134804217560902</v>
      </c>
      <c r="AM200" s="18">
        <f t="shared" si="182"/>
        <v>1.076647389199499</v>
      </c>
      <c r="AN200" s="56">
        <f t="shared" si="170"/>
        <v>3</v>
      </c>
      <c r="AP200" s="18">
        <f t="shared" si="183"/>
        <v>4.288283819025235</v>
      </c>
      <c r="AQ200" s="18">
        <f t="shared" si="183"/>
        <v>2.2404082834261367</v>
      </c>
      <c r="AR200" s="18">
        <f t="shared" si="183"/>
        <v>0.96334792634502497</v>
      </c>
      <c r="AS200" s="18">
        <f t="shared" si="183"/>
        <v>1.0816353841756521</v>
      </c>
      <c r="AT200" s="56">
        <f t="shared" si="171"/>
        <v>3</v>
      </c>
      <c r="AV200" s="18">
        <f t="shared" si="184"/>
        <v>4.288283819025235</v>
      </c>
      <c r="AW200" s="18">
        <f t="shared" si="184"/>
        <v>2.2404082834261367</v>
      </c>
      <c r="AX200" s="18">
        <f t="shared" si="184"/>
        <v>0.96334792634502497</v>
      </c>
      <c r="AY200" s="18">
        <f t="shared" si="184"/>
        <v>1.0816353841756521</v>
      </c>
      <c r="AZ200" s="56">
        <f t="shared" si="172"/>
        <v>3</v>
      </c>
      <c r="BB200" s="18">
        <f t="shared" si="185"/>
        <v>4.288283819025235</v>
      </c>
      <c r="BC200" s="18">
        <f t="shared" si="185"/>
        <v>2.2404082834261367</v>
      </c>
      <c r="BD200" s="18">
        <f t="shared" si="185"/>
        <v>0.96334792634502497</v>
      </c>
      <c r="BE200" s="18">
        <f t="shared" si="185"/>
        <v>1.0816353841756521</v>
      </c>
      <c r="BF200" s="56">
        <f t="shared" si="173"/>
        <v>3</v>
      </c>
      <c r="BH200" s="18">
        <f t="shared" si="186"/>
        <v>4.288283819025235</v>
      </c>
      <c r="BI200" s="18">
        <f t="shared" si="186"/>
        <v>2.2404082834261367</v>
      </c>
      <c r="BJ200" s="18">
        <f t="shared" si="186"/>
        <v>0.96334792634502497</v>
      </c>
      <c r="BK200" s="18">
        <f t="shared" si="186"/>
        <v>1.0816353841756521</v>
      </c>
      <c r="BL200" s="56">
        <f t="shared" si="174"/>
        <v>3</v>
      </c>
      <c r="BN200" s="18">
        <f t="shared" si="187"/>
        <v>4.288283819025235</v>
      </c>
      <c r="BO200" s="18">
        <f t="shared" si="187"/>
        <v>2.2404082834261367</v>
      </c>
      <c r="BP200" s="18">
        <f t="shared" si="187"/>
        <v>0.96334792634502497</v>
      </c>
      <c r="BQ200" s="18">
        <f t="shared" si="187"/>
        <v>1.0816353841756521</v>
      </c>
      <c r="BR200" s="56">
        <f t="shared" si="175"/>
        <v>3</v>
      </c>
      <c r="BT200" s="18">
        <f t="shared" si="188"/>
        <v>4.288283819025235</v>
      </c>
      <c r="BU200" s="18">
        <f t="shared" si="188"/>
        <v>2.2404082834261367</v>
      </c>
      <c r="BV200" s="18">
        <f t="shared" si="188"/>
        <v>0.96334792634502497</v>
      </c>
      <c r="BW200" s="18">
        <f t="shared" si="188"/>
        <v>1.0816353841756521</v>
      </c>
      <c r="BX200" s="56">
        <f t="shared" si="176"/>
        <v>3</v>
      </c>
      <c r="BZ200" s="18">
        <f t="shared" si="189"/>
        <v>4.288283819025235</v>
      </c>
      <c r="CA200" s="18">
        <f t="shared" si="189"/>
        <v>2.2404082834261367</v>
      </c>
      <c r="CB200" s="18">
        <f t="shared" si="189"/>
        <v>0.96334792634502497</v>
      </c>
      <c r="CC200" s="18">
        <f t="shared" si="189"/>
        <v>1.0816353841756521</v>
      </c>
      <c r="CD200" s="56">
        <f t="shared" si="177"/>
        <v>3</v>
      </c>
      <c r="CF200" s="18">
        <f t="shared" si="190"/>
        <v>4.288283819025235</v>
      </c>
      <c r="CG200" s="18">
        <f t="shared" si="190"/>
        <v>2.2404082834261367</v>
      </c>
      <c r="CH200" s="18">
        <f t="shared" si="190"/>
        <v>0.96334792634502497</v>
      </c>
      <c r="CI200" s="18">
        <f t="shared" si="190"/>
        <v>1.0816353841756521</v>
      </c>
      <c r="CJ200" s="56">
        <f t="shared" si="178"/>
        <v>3</v>
      </c>
      <c r="CL200" s="18">
        <f t="shared" si="191"/>
        <v>4.288283819025235</v>
      </c>
      <c r="CM200" s="18">
        <f t="shared" si="191"/>
        <v>2.2404082834261367</v>
      </c>
      <c r="CN200" s="18">
        <f t="shared" si="191"/>
        <v>0.96334792634502497</v>
      </c>
      <c r="CO200" s="18">
        <f t="shared" si="191"/>
        <v>1.0816353841756521</v>
      </c>
      <c r="CP200" s="56">
        <f t="shared" si="179"/>
        <v>3</v>
      </c>
    </row>
    <row r="201" spans="1:94" x14ac:dyDescent="0.25">
      <c r="A201" s="36" t="str">
        <f>KMeans_Data!A60</f>
        <v>Bhakkar</v>
      </c>
      <c r="B201" s="18">
        <f>KMeans_Data!H60</f>
        <v>8.4835969706560738E-2</v>
      </c>
      <c r="C201" s="18">
        <f>KMeans_Data!I60</f>
        <v>-0.67265054538827607</v>
      </c>
      <c r="D201" s="18">
        <f>KMeans_Data!J60</f>
        <v>-1.1456441163335547</v>
      </c>
      <c r="E201" s="56">
        <f t="shared" si="166"/>
        <v>4</v>
      </c>
      <c r="F201" s="38">
        <f t="shared" si="167"/>
        <v>0.66644612396131664</v>
      </c>
      <c r="G201" s="18">
        <f>IF(COUNTIF(Distance_Matrix!$E$10:$DQ$10,$E201)&lt;=1,0,SUMIF(Distance_Matrix!$E$10:$DQ$10,$E201,Distance_Matrix!$E$69:$DQ$69)/(COUNTIF(Distance_Matrix!$E$10:$DQ$10,$E201)-1))</f>
        <v>1.0240579574687863</v>
      </c>
      <c r="H201" s="18">
        <f>MIN(IF(1=$E201,1E+99,IF(COUNTIF(Distance_Matrix!$E$10:$DQ$10,1)=0,1E+99,SUMIF(Distance_Matrix!$E$10:$DQ$10,1,Distance_Matrix!$E$69:$DQ$69)/COUNTIF(Distance_Matrix!$E$10:$DQ$10,1))),IF(2=$E201,1E+99,IF(COUNTIF(Distance_Matrix!$E$10:$DQ$10,2)=0,1E+99,SUMIF(Distance_Matrix!$E$10:$DQ$10,2,Distance_Matrix!$E$69:$DQ$69)/COUNTIF(Distance_Matrix!$E$10:$DQ$10,2))),IF(3=$E201,1E+99,IF(COUNTIF(Distance_Matrix!$E$10:$DQ$10,3)=0,1E+99,SUMIF(Distance_Matrix!$E$10:$DQ$10,3,Distance_Matrix!$E$69:$DQ$69)/COUNTIF(Distance_Matrix!$E$10:$DQ$10,3))),IF(4=$E201,1E+99,IF(COUNTIF(Distance_Matrix!$E$10:$DQ$10,4)=0,1E+99,SUMIF(Distance_Matrix!$E$10:$DQ$10,4,Distance_Matrix!$E$69:$DQ$69)/COUNTIF(Distance_Matrix!$E$10:$DQ$10,4))))</f>
        <v>1.3836084710503151</v>
      </c>
      <c r="I201" s="18">
        <f>IF(COUNTIF(Distance_Matrix!$E$10:$DQ$10,$E201)&lt;=1,0,(H201-G201)/MAX(G201,H201))</f>
        <v>0.25986434826363086</v>
      </c>
      <c r="X201" s="18">
        <f t="shared" si="180"/>
        <v>7.1914209448379909</v>
      </c>
      <c r="Y201" s="18">
        <f t="shared" si="180"/>
        <v>2.1645739515098894</v>
      </c>
      <c r="Z201" s="18">
        <f t="shared" si="180"/>
        <v>2.975949255998326</v>
      </c>
      <c r="AA201" s="18">
        <f t="shared" si="180"/>
        <v>0.76867708942190494</v>
      </c>
      <c r="AB201" s="56">
        <f t="shared" si="168"/>
        <v>4</v>
      </c>
      <c r="AD201" s="18">
        <f t="shared" si="181"/>
        <v>6.174870022493244</v>
      </c>
      <c r="AE201" s="18">
        <f t="shared" si="181"/>
        <v>1.3425726181927844</v>
      </c>
      <c r="AF201" s="18">
        <f t="shared" si="181"/>
        <v>2.4364782654539447</v>
      </c>
      <c r="AG201" s="18">
        <f t="shared" si="181"/>
        <v>0.67403335841699186</v>
      </c>
      <c r="AH201" s="56">
        <f t="shared" si="169"/>
        <v>4</v>
      </c>
      <c r="AJ201" s="18">
        <f t="shared" si="182"/>
        <v>5.8300284056622163</v>
      </c>
      <c r="AK201" s="18">
        <f t="shared" si="182"/>
        <v>1.3269305573221093</v>
      </c>
      <c r="AL201" s="18">
        <f t="shared" si="182"/>
        <v>2.4935286973727515</v>
      </c>
      <c r="AM201" s="18">
        <f t="shared" si="182"/>
        <v>0.79979479147468058</v>
      </c>
      <c r="AN201" s="56">
        <f t="shared" si="170"/>
        <v>4</v>
      </c>
      <c r="AP201" s="18">
        <f t="shared" si="183"/>
        <v>5.5440174352049958</v>
      </c>
      <c r="AQ201" s="18">
        <f t="shared" si="183"/>
        <v>1.3648619562019502</v>
      </c>
      <c r="AR201" s="18">
        <f t="shared" si="183"/>
        <v>2.4535379126689678</v>
      </c>
      <c r="AS201" s="18">
        <f t="shared" si="183"/>
        <v>0.81636151548276492</v>
      </c>
      <c r="AT201" s="56">
        <f t="shared" si="171"/>
        <v>4</v>
      </c>
      <c r="AV201" s="18">
        <f t="shared" si="184"/>
        <v>5.5440174352049958</v>
      </c>
      <c r="AW201" s="18">
        <f t="shared" si="184"/>
        <v>1.3648619562019502</v>
      </c>
      <c r="AX201" s="18">
        <f t="shared" si="184"/>
        <v>2.4535379126689678</v>
      </c>
      <c r="AY201" s="18">
        <f t="shared" si="184"/>
        <v>0.81636151548276492</v>
      </c>
      <c r="AZ201" s="56">
        <f t="shared" si="172"/>
        <v>4</v>
      </c>
      <c r="BB201" s="18">
        <f t="shared" si="185"/>
        <v>5.5440174352049958</v>
      </c>
      <c r="BC201" s="18">
        <f t="shared" si="185"/>
        <v>1.3648619562019502</v>
      </c>
      <c r="BD201" s="18">
        <f t="shared" si="185"/>
        <v>2.4535379126689678</v>
      </c>
      <c r="BE201" s="18">
        <f t="shared" si="185"/>
        <v>0.81636151548276492</v>
      </c>
      <c r="BF201" s="56">
        <f t="shared" si="173"/>
        <v>4</v>
      </c>
      <c r="BH201" s="18">
        <f t="shared" si="186"/>
        <v>5.5440174352049958</v>
      </c>
      <c r="BI201" s="18">
        <f t="shared" si="186"/>
        <v>1.3648619562019502</v>
      </c>
      <c r="BJ201" s="18">
        <f t="shared" si="186"/>
        <v>2.4535379126689678</v>
      </c>
      <c r="BK201" s="18">
        <f t="shared" si="186"/>
        <v>0.81636151548276492</v>
      </c>
      <c r="BL201" s="56">
        <f t="shared" si="174"/>
        <v>4</v>
      </c>
      <c r="BN201" s="18">
        <f t="shared" si="187"/>
        <v>5.5440174352049958</v>
      </c>
      <c r="BO201" s="18">
        <f t="shared" si="187"/>
        <v>1.3648619562019502</v>
      </c>
      <c r="BP201" s="18">
        <f t="shared" si="187"/>
        <v>2.4535379126689678</v>
      </c>
      <c r="BQ201" s="18">
        <f t="shared" si="187"/>
        <v>0.81636151548276492</v>
      </c>
      <c r="BR201" s="56">
        <f t="shared" si="175"/>
        <v>4</v>
      </c>
      <c r="BT201" s="18">
        <f t="shared" si="188"/>
        <v>5.5440174352049958</v>
      </c>
      <c r="BU201" s="18">
        <f t="shared" si="188"/>
        <v>1.3648619562019502</v>
      </c>
      <c r="BV201" s="18">
        <f t="shared" si="188"/>
        <v>2.4535379126689678</v>
      </c>
      <c r="BW201" s="18">
        <f t="shared" si="188"/>
        <v>0.81636151548276492</v>
      </c>
      <c r="BX201" s="56">
        <f t="shared" si="176"/>
        <v>4</v>
      </c>
      <c r="BZ201" s="18">
        <f t="shared" si="189"/>
        <v>5.5440174352049958</v>
      </c>
      <c r="CA201" s="18">
        <f t="shared" si="189"/>
        <v>1.3648619562019502</v>
      </c>
      <c r="CB201" s="18">
        <f t="shared" si="189"/>
        <v>2.4535379126689678</v>
      </c>
      <c r="CC201" s="18">
        <f t="shared" si="189"/>
        <v>0.81636151548276492</v>
      </c>
      <c r="CD201" s="56">
        <f t="shared" si="177"/>
        <v>4</v>
      </c>
      <c r="CF201" s="18">
        <f t="shared" si="190"/>
        <v>5.5440174352049958</v>
      </c>
      <c r="CG201" s="18">
        <f t="shared" si="190"/>
        <v>1.3648619562019502</v>
      </c>
      <c r="CH201" s="18">
        <f t="shared" si="190"/>
        <v>2.4535379126689678</v>
      </c>
      <c r="CI201" s="18">
        <f t="shared" si="190"/>
        <v>0.81636151548276492</v>
      </c>
      <c r="CJ201" s="56">
        <f t="shared" si="178"/>
        <v>4</v>
      </c>
      <c r="CL201" s="18">
        <f t="shared" si="191"/>
        <v>5.5440174352049958</v>
      </c>
      <c r="CM201" s="18">
        <f t="shared" si="191"/>
        <v>1.3648619562019502</v>
      </c>
      <c r="CN201" s="18">
        <f t="shared" si="191"/>
        <v>2.4535379126689678</v>
      </c>
      <c r="CO201" s="18">
        <f t="shared" si="191"/>
        <v>0.81636151548276492</v>
      </c>
      <c r="CP201" s="56">
        <f t="shared" si="179"/>
        <v>4</v>
      </c>
    </row>
    <row r="202" spans="1:94" x14ac:dyDescent="0.25">
      <c r="A202" s="36" t="str">
        <f>KMeans_Data!A61</f>
        <v>Muzaffargar</v>
      </c>
      <c r="B202" s="18">
        <f>KMeans_Data!H61</f>
        <v>6.8311724136625313E-2</v>
      </c>
      <c r="C202" s="18">
        <f>KMeans_Data!I61</f>
        <v>-0.67265054538827607</v>
      </c>
      <c r="D202" s="18">
        <f>KMeans_Data!J61</f>
        <v>-1.1456441163335547</v>
      </c>
      <c r="E202" s="56">
        <f t="shared" si="166"/>
        <v>4</v>
      </c>
      <c r="F202" s="38">
        <f t="shared" si="167"/>
        <v>0.6596627083920934</v>
      </c>
      <c r="G202" s="18">
        <f>IF(COUNTIF(Distance_Matrix!$E$10:$DQ$10,$E202)&lt;=1,0,SUMIF(Distance_Matrix!$E$10:$DQ$10,$E202,Distance_Matrix!$E$70:$DQ$70)/(COUNTIF(Distance_Matrix!$E$10:$DQ$10,$E202)-1))</f>
        <v>1.0211386977536481</v>
      </c>
      <c r="H202" s="18">
        <f>MIN(IF(1=$E202,1E+99,IF(COUNTIF(Distance_Matrix!$E$10:$DQ$10,1)=0,1E+99,SUMIF(Distance_Matrix!$E$10:$DQ$10,1,Distance_Matrix!$E$70:$DQ$70)/COUNTIF(Distance_Matrix!$E$10:$DQ$10,1))),IF(2=$E202,1E+99,IF(COUNTIF(Distance_Matrix!$E$10:$DQ$10,2)=0,1E+99,SUMIF(Distance_Matrix!$E$10:$DQ$10,2,Distance_Matrix!$E$70:$DQ$70)/COUNTIF(Distance_Matrix!$E$10:$DQ$10,2))),IF(3=$E202,1E+99,IF(COUNTIF(Distance_Matrix!$E$10:$DQ$10,3)=0,1E+99,SUMIF(Distance_Matrix!$E$10:$DQ$10,3,Distance_Matrix!$E$70:$DQ$70)/COUNTIF(Distance_Matrix!$E$10:$DQ$10,3))),IF(4=$E202,1E+99,IF(COUNTIF(Distance_Matrix!$E$10:$DQ$10,4)=0,1E+99,SUMIF(Distance_Matrix!$E$10:$DQ$10,4,Distance_Matrix!$E$70:$DQ$70)/COUNTIF(Distance_Matrix!$E$10:$DQ$10,4))))</f>
        <v>1.3673774529881988</v>
      </c>
      <c r="I202" s="18">
        <f>IF(COUNTIF(Distance_Matrix!$E$10:$DQ$10,$E202)&lt;=1,0,(H202-G202)/MAX(G202,H202))</f>
        <v>0.25321373734655178</v>
      </c>
      <c r="X202" s="18">
        <f t="shared" si="180"/>
        <v>7.1987648607522274</v>
      </c>
      <c r="Y202" s="18">
        <f t="shared" si="180"/>
        <v>2.1480497059399539</v>
      </c>
      <c r="Z202" s="18">
        <f t="shared" si="180"/>
        <v>2.9812792124527978</v>
      </c>
      <c r="AA202" s="18">
        <f t="shared" si="180"/>
        <v>0.78081517535110789</v>
      </c>
      <c r="AB202" s="56">
        <f t="shared" si="168"/>
        <v>4</v>
      </c>
      <c r="AD202" s="18">
        <f t="shared" si="181"/>
        <v>6.1821766149507962</v>
      </c>
      <c r="AE202" s="18">
        <f t="shared" si="181"/>
        <v>1.3262567816026967</v>
      </c>
      <c r="AF202" s="18">
        <f t="shared" si="181"/>
        <v>2.4400773554935156</v>
      </c>
      <c r="AG202" s="18">
        <f t="shared" si="181"/>
        <v>0.67062124988750738</v>
      </c>
      <c r="AH202" s="56">
        <f t="shared" si="169"/>
        <v>4</v>
      </c>
      <c r="AJ202" s="18">
        <f t="shared" si="182"/>
        <v>5.8374057488992728</v>
      </c>
      <c r="AK202" s="18">
        <f t="shared" si="182"/>
        <v>1.3105301403115579</v>
      </c>
      <c r="AL202" s="18">
        <f t="shared" si="182"/>
        <v>2.497351848893111</v>
      </c>
      <c r="AM202" s="18">
        <f t="shared" si="182"/>
        <v>0.79652121381664009</v>
      </c>
      <c r="AN202" s="56">
        <f t="shared" si="170"/>
        <v>4</v>
      </c>
      <c r="AP202" s="18">
        <f t="shared" si="183"/>
        <v>5.5511858324516146</v>
      </c>
      <c r="AQ202" s="18">
        <f t="shared" si="183"/>
        <v>1.3483628300882411</v>
      </c>
      <c r="AR202" s="18">
        <f t="shared" si="183"/>
        <v>2.4572706513156022</v>
      </c>
      <c r="AS202" s="18">
        <f t="shared" si="183"/>
        <v>0.8121962253003232</v>
      </c>
      <c r="AT202" s="56">
        <f t="shared" si="171"/>
        <v>4</v>
      </c>
      <c r="AV202" s="18">
        <f t="shared" si="184"/>
        <v>5.5511858324516146</v>
      </c>
      <c r="AW202" s="18">
        <f t="shared" si="184"/>
        <v>1.3483628300882411</v>
      </c>
      <c r="AX202" s="18">
        <f t="shared" si="184"/>
        <v>2.4572706513156022</v>
      </c>
      <c r="AY202" s="18">
        <f t="shared" si="184"/>
        <v>0.8121962253003232</v>
      </c>
      <c r="AZ202" s="56">
        <f t="shared" si="172"/>
        <v>4</v>
      </c>
      <c r="BB202" s="18">
        <f t="shared" si="185"/>
        <v>5.5511858324516146</v>
      </c>
      <c r="BC202" s="18">
        <f t="shared" si="185"/>
        <v>1.3483628300882411</v>
      </c>
      <c r="BD202" s="18">
        <f t="shared" si="185"/>
        <v>2.4572706513156022</v>
      </c>
      <c r="BE202" s="18">
        <f t="shared" si="185"/>
        <v>0.8121962253003232</v>
      </c>
      <c r="BF202" s="56">
        <f t="shared" si="173"/>
        <v>4</v>
      </c>
      <c r="BH202" s="18">
        <f t="shared" si="186"/>
        <v>5.5511858324516146</v>
      </c>
      <c r="BI202" s="18">
        <f t="shared" si="186"/>
        <v>1.3483628300882411</v>
      </c>
      <c r="BJ202" s="18">
        <f t="shared" si="186"/>
        <v>2.4572706513156022</v>
      </c>
      <c r="BK202" s="18">
        <f t="shared" si="186"/>
        <v>0.8121962253003232</v>
      </c>
      <c r="BL202" s="56">
        <f t="shared" si="174"/>
        <v>4</v>
      </c>
      <c r="BN202" s="18">
        <f t="shared" si="187"/>
        <v>5.5511858324516146</v>
      </c>
      <c r="BO202" s="18">
        <f t="shared" si="187"/>
        <v>1.3483628300882411</v>
      </c>
      <c r="BP202" s="18">
        <f t="shared" si="187"/>
        <v>2.4572706513156022</v>
      </c>
      <c r="BQ202" s="18">
        <f t="shared" si="187"/>
        <v>0.8121962253003232</v>
      </c>
      <c r="BR202" s="56">
        <f t="shared" si="175"/>
        <v>4</v>
      </c>
      <c r="BT202" s="18">
        <f t="shared" si="188"/>
        <v>5.5511858324516146</v>
      </c>
      <c r="BU202" s="18">
        <f t="shared" si="188"/>
        <v>1.3483628300882411</v>
      </c>
      <c r="BV202" s="18">
        <f t="shared" si="188"/>
        <v>2.4572706513156022</v>
      </c>
      <c r="BW202" s="18">
        <f t="shared" si="188"/>
        <v>0.8121962253003232</v>
      </c>
      <c r="BX202" s="56">
        <f t="shared" si="176"/>
        <v>4</v>
      </c>
      <c r="BZ202" s="18">
        <f t="shared" si="189"/>
        <v>5.5511858324516146</v>
      </c>
      <c r="CA202" s="18">
        <f t="shared" si="189"/>
        <v>1.3483628300882411</v>
      </c>
      <c r="CB202" s="18">
        <f t="shared" si="189"/>
        <v>2.4572706513156022</v>
      </c>
      <c r="CC202" s="18">
        <f t="shared" si="189"/>
        <v>0.8121962253003232</v>
      </c>
      <c r="CD202" s="56">
        <f t="shared" si="177"/>
        <v>4</v>
      </c>
      <c r="CF202" s="18">
        <f t="shared" si="190"/>
        <v>5.5511858324516146</v>
      </c>
      <c r="CG202" s="18">
        <f t="shared" si="190"/>
        <v>1.3483628300882411</v>
      </c>
      <c r="CH202" s="18">
        <f t="shared" si="190"/>
        <v>2.4572706513156022</v>
      </c>
      <c r="CI202" s="18">
        <f t="shared" si="190"/>
        <v>0.8121962253003232</v>
      </c>
      <c r="CJ202" s="56">
        <f t="shared" si="178"/>
        <v>4</v>
      </c>
      <c r="CL202" s="18">
        <f t="shared" si="191"/>
        <v>5.5511858324516146</v>
      </c>
      <c r="CM202" s="18">
        <f t="shared" si="191"/>
        <v>1.3483628300882411</v>
      </c>
      <c r="CN202" s="18">
        <f t="shared" si="191"/>
        <v>2.4572706513156022</v>
      </c>
      <c r="CO202" s="18">
        <f t="shared" si="191"/>
        <v>0.8121962253003232</v>
      </c>
      <c r="CP202" s="56">
        <f t="shared" si="179"/>
        <v>4</v>
      </c>
    </row>
    <row r="203" spans="1:94" x14ac:dyDescent="0.25">
      <c r="A203" s="36" t="str">
        <f>KMeans_Data!A62</f>
        <v>Badin</v>
      </c>
      <c r="B203" s="18">
        <f>KMeans_Data!H62</f>
        <v>2.4548982643863189E-2</v>
      </c>
      <c r="C203" s="18">
        <f>KMeans_Data!I62</f>
        <v>0.54791138584450239</v>
      </c>
      <c r="D203" s="18">
        <f>KMeans_Data!J62</f>
        <v>5.8390290280275915E-3</v>
      </c>
      <c r="E203" s="56">
        <f t="shared" si="166"/>
        <v>3</v>
      </c>
      <c r="F203" s="38">
        <f t="shared" si="167"/>
        <v>1.1173431342784728</v>
      </c>
      <c r="G203" s="18">
        <f>IF(COUNTIF(Distance_Matrix!$E$10:$DQ$10,$E203)&lt;=1,0,SUMIF(Distance_Matrix!$E$10:$DQ$10,$E203,Distance_Matrix!$E$71:$DQ$71)/(COUNTIF(Distance_Matrix!$E$10:$DQ$10,$E203)-1))</f>
        <v>1.2749120299707473</v>
      </c>
      <c r="H203" s="18">
        <f>MIN(IF(1=$E203,1E+99,IF(COUNTIF(Distance_Matrix!$E$10:$DQ$10,1)=0,1E+99,SUMIF(Distance_Matrix!$E$10:$DQ$10,1,Distance_Matrix!$E$71:$DQ$71)/COUNTIF(Distance_Matrix!$E$10:$DQ$10,1))),IF(2=$E203,1E+99,IF(COUNTIF(Distance_Matrix!$E$10:$DQ$10,2)=0,1E+99,SUMIF(Distance_Matrix!$E$10:$DQ$10,2,Distance_Matrix!$E$71:$DQ$71)/COUNTIF(Distance_Matrix!$E$10:$DQ$10,2))),IF(3=$E203,1E+99,IF(COUNTIF(Distance_Matrix!$E$10:$DQ$10,3)=0,1E+99,SUMIF(Distance_Matrix!$E$10:$DQ$10,3,Distance_Matrix!$E$71:$DQ$71)/COUNTIF(Distance_Matrix!$E$10:$DQ$10,3))),IF(4=$E203,1E+99,IF(COUNTIF(Distance_Matrix!$E$10:$DQ$10,4)=0,1E+99,SUMIF(Distance_Matrix!$E$10:$DQ$10,4,Distance_Matrix!$E$71:$DQ$71)/COUNTIF(Distance_Matrix!$E$10:$DQ$10,4))))</f>
        <v>1.3391746620847089</v>
      </c>
      <c r="I203" s="18">
        <f>IF(COUNTIF(Distance_Matrix!$E$10:$DQ$10,$E203)&lt;=1,0,(H203-G203)/MAX(G203,H203))</f>
        <v>4.7986744323494937E-2</v>
      </c>
      <c r="X203" s="18">
        <f t="shared" si="180"/>
        <v>5.7697307870114276</v>
      </c>
      <c r="Y203" s="18">
        <f t="shared" si="180"/>
        <v>2.6914138460610011</v>
      </c>
      <c r="Z203" s="18">
        <f t="shared" si="180"/>
        <v>1.7886669762678886</v>
      </c>
      <c r="AA203" s="18">
        <f t="shared" si="180"/>
        <v>1.4814138332876035</v>
      </c>
      <c r="AB203" s="56">
        <f t="shared" si="168"/>
        <v>4</v>
      </c>
      <c r="AD203" s="18">
        <f t="shared" si="181"/>
        <v>4.7639156799358142</v>
      </c>
      <c r="AE203" s="18">
        <f t="shared" si="181"/>
        <v>1.9828072479629446</v>
      </c>
      <c r="AF203" s="18">
        <f t="shared" si="181"/>
        <v>1.0509427009939492</v>
      </c>
      <c r="AG203" s="18">
        <f t="shared" si="181"/>
        <v>1.163281662948048</v>
      </c>
      <c r="AH203" s="56">
        <f t="shared" si="169"/>
        <v>3</v>
      </c>
      <c r="AJ203" s="18">
        <f t="shared" si="182"/>
        <v>4.4283235450824847</v>
      </c>
      <c r="AK203" s="18">
        <f t="shared" si="182"/>
        <v>2.001713860905272</v>
      </c>
      <c r="AL203" s="18">
        <f t="shared" si="182"/>
        <v>1.0860120868846164</v>
      </c>
      <c r="AM203" s="18">
        <f t="shared" si="182"/>
        <v>1.1203651992659232</v>
      </c>
      <c r="AN203" s="56">
        <f t="shared" si="170"/>
        <v>3</v>
      </c>
      <c r="AP203" s="18">
        <f t="shared" si="183"/>
        <v>4.1323834819397174</v>
      </c>
      <c r="AQ203" s="18">
        <f t="shared" si="183"/>
        <v>2.0739501768732467</v>
      </c>
      <c r="AR203" s="18">
        <f t="shared" si="183"/>
        <v>1.0570445280490661</v>
      </c>
      <c r="AS203" s="18">
        <f t="shared" si="183"/>
        <v>1.1330080181538227</v>
      </c>
      <c r="AT203" s="56">
        <f t="shared" si="171"/>
        <v>3</v>
      </c>
      <c r="AV203" s="18">
        <f t="shared" si="184"/>
        <v>4.1323834819397174</v>
      </c>
      <c r="AW203" s="18">
        <f t="shared" si="184"/>
        <v>2.0739501768732467</v>
      </c>
      <c r="AX203" s="18">
        <f t="shared" si="184"/>
        <v>1.0570445280490661</v>
      </c>
      <c r="AY203" s="18">
        <f t="shared" si="184"/>
        <v>1.1330080181538227</v>
      </c>
      <c r="AZ203" s="56">
        <f t="shared" si="172"/>
        <v>3</v>
      </c>
      <c r="BB203" s="18">
        <f t="shared" si="185"/>
        <v>4.1323834819397174</v>
      </c>
      <c r="BC203" s="18">
        <f t="shared" si="185"/>
        <v>2.0739501768732467</v>
      </c>
      <c r="BD203" s="18">
        <f t="shared" si="185"/>
        <v>1.0570445280490661</v>
      </c>
      <c r="BE203" s="18">
        <f t="shared" si="185"/>
        <v>1.1330080181538227</v>
      </c>
      <c r="BF203" s="56">
        <f t="shared" si="173"/>
        <v>3</v>
      </c>
      <c r="BH203" s="18">
        <f t="shared" si="186"/>
        <v>4.1323834819397174</v>
      </c>
      <c r="BI203" s="18">
        <f t="shared" si="186"/>
        <v>2.0739501768732467</v>
      </c>
      <c r="BJ203" s="18">
        <f t="shared" si="186"/>
        <v>1.0570445280490661</v>
      </c>
      <c r="BK203" s="18">
        <f t="shared" si="186"/>
        <v>1.1330080181538227</v>
      </c>
      <c r="BL203" s="56">
        <f t="shared" si="174"/>
        <v>3</v>
      </c>
      <c r="BN203" s="18">
        <f t="shared" si="187"/>
        <v>4.1323834819397174</v>
      </c>
      <c r="BO203" s="18">
        <f t="shared" si="187"/>
        <v>2.0739501768732467</v>
      </c>
      <c r="BP203" s="18">
        <f t="shared" si="187"/>
        <v>1.0570445280490661</v>
      </c>
      <c r="BQ203" s="18">
        <f t="shared" si="187"/>
        <v>1.1330080181538227</v>
      </c>
      <c r="BR203" s="56">
        <f t="shared" si="175"/>
        <v>3</v>
      </c>
      <c r="BT203" s="18">
        <f t="shared" si="188"/>
        <v>4.1323834819397174</v>
      </c>
      <c r="BU203" s="18">
        <f t="shared" si="188"/>
        <v>2.0739501768732467</v>
      </c>
      <c r="BV203" s="18">
        <f t="shared" si="188"/>
        <v>1.0570445280490661</v>
      </c>
      <c r="BW203" s="18">
        <f t="shared" si="188"/>
        <v>1.1330080181538227</v>
      </c>
      <c r="BX203" s="56">
        <f t="shared" si="176"/>
        <v>3</v>
      </c>
      <c r="BZ203" s="18">
        <f t="shared" si="189"/>
        <v>4.1323834819397174</v>
      </c>
      <c r="CA203" s="18">
        <f t="shared" si="189"/>
        <v>2.0739501768732467</v>
      </c>
      <c r="CB203" s="18">
        <f t="shared" si="189"/>
        <v>1.0570445280490661</v>
      </c>
      <c r="CC203" s="18">
        <f t="shared" si="189"/>
        <v>1.1330080181538227</v>
      </c>
      <c r="CD203" s="56">
        <f t="shared" si="177"/>
        <v>3</v>
      </c>
      <c r="CF203" s="18">
        <f t="shared" si="190"/>
        <v>4.1323834819397174</v>
      </c>
      <c r="CG203" s="18">
        <f t="shared" si="190"/>
        <v>2.0739501768732467</v>
      </c>
      <c r="CH203" s="18">
        <f t="shared" si="190"/>
        <v>1.0570445280490661</v>
      </c>
      <c r="CI203" s="18">
        <f t="shared" si="190"/>
        <v>1.1330080181538227</v>
      </c>
      <c r="CJ203" s="56">
        <f t="shared" si="178"/>
        <v>3</v>
      </c>
      <c r="CL203" s="18">
        <f t="shared" si="191"/>
        <v>4.1323834819397174</v>
      </c>
      <c r="CM203" s="18">
        <f t="shared" si="191"/>
        <v>2.0739501768732467</v>
      </c>
      <c r="CN203" s="18">
        <f t="shared" si="191"/>
        <v>1.0570445280490661</v>
      </c>
      <c r="CO203" s="18">
        <f t="shared" si="191"/>
        <v>1.1330080181538227</v>
      </c>
      <c r="CP203" s="56">
        <f t="shared" si="179"/>
        <v>3</v>
      </c>
    </row>
    <row r="204" spans="1:94" x14ac:dyDescent="0.25">
      <c r="A204" s="36" t="str">
        <f>KMeans_Data!A63</f>
        <v>Bahawalpur</v>
      </c>
      <c r="B204" s="18">
        <f>KMeans_Data!H63</f>
        <v>5.9587915640307559E-3</v>
      </c>
      <c r="C204" s="18">
        <f>KMeans_Data!I63</f>
        <v>-0.67265054538827607</v>
      </c>
      <c r="D204" s="18">
        <f>KMeans_Data!J63</f>
        <v>-0.39984522290956798</v>
      </c>
      <c r="E204" s="56">
        <f t="shared" si="166"/>
        <v>4</v>
      </c>
      <c r="F204" s="38">
        <f t="shared" si="167"/>
        <v>4.5823258729922468E-2</v>
      </c>
      <c r="G204" s="18">
        <f>IF(COUNTIF(Distance_Matrix!$E$10:$DQ$10,$E204)&lt;=1,0,SUMIF(Distance_Matrix!$E$10:$DQ$10,$E204,Distance_Matrix!$E$72:$DQ$72)/(COUNTIF(Distance_Matrix!$E$10:$DQ$10,$E204)-1))</f>
        <v>0.77295443803731978</v>
      </c>
      <c r="H204" s="18">
        <f>MIN(IF(1=$E204,1E+99,IF(COUNTIF(Distance_Matrix!$E$10:$DQ$10,1)=0,1E+99,SUMIF(Distance_Matrix!$E$10:$DQ$10,1,Distance_Matrix!$E$72:$DQ$72)/COUNTIF(Distance_Matrix!$E$10:$DQ$10,1))),IF(2=$E204,1E+99,IF(COUNTIF(Distance_Matrix!$E$10:$DQ$10,2)=0,1E+99,SUMIF(Distance_Matrix!$E$10:$DQ$10,2,Distance_Matrix!$E$72:$DQ$72)/COUNTIF(Distance_Matrix!$E$10:$DQ$10,2))),IF(3=$E204,1E+99,IF(COUNTIF(Distance_Matrix!$E$10:$DQ$10,3)=0,1E+99,SUMIF(Distance_Matrix!$E$10:$DQ$10,3,Distance_Matrix!$E$72:$DQ$72)/COUNTIF(Distance_Matrix!$E$10:$DQ$10,3))),IF(4=$E204,1E+99,IF(COUNTIF(Distance_Matrix!$E$10:$DQ$10,4)=0,1E+99,SUMIF(Distance_Matrix!$E$10:$DQ$10,4,Distance_Matrix!$E$72:$DQ$72)/COUNTIF(Distance_Matrix!$E$10:$DQ$10,4))))</f>
        <v>1.4736179100531677</v>
      </c>
      <c r="I204" s="18">
        <f>IF(COUNTIF(Distance_Matrix!$E$10:$DQ$10,$E204)&lt;=1,0,(H204-G204)/MAX(G204,H204))</f>
        <v>0.47547160443412917</v>
      </c>
      <c r="X204" s="18">
        <f t="shared" si="180"/>
        <v>6.798642989836301</v>
      </c>
      <c r="Y204" s="18">
        <f t="shared" si="180"/>
        <v>2.215027543816884</v>
      </c>
      <c r="Z204" s="18">
        <f t="shared" si="180"/>
        <v>2.3805209943410395</v>
      </c>
      <c r="AA204" s="18">
        <f t="shared" si="180"/>
        <v>1.1143502862264891</v>
      </c>
      <c r="AB204" s="56">
        <f t="shared" si="168"/>
        <v>4</v>
      </c>
      <c r="AD204" s="18">
        <f t="shared" si="181"/>
        <v>5.8054821585145424</v>
      </c>
      <c r="AE204" s="18">
        <f t="shared" si="181"/>
        <v>1.3571697240160794</v>
      </c>
      <c r="AF204" s="18">
        <f t="shared" si="181"/>
        <v>1.8868839154100769</v>
      </c>
      <c r="AG204" s="18">
        <f t="shared" si="181"/>
        <v>0.22660999493473047</v>
      </c>
      <c r="AH204" s="56">
        <f t="shared" si="169"/>
        <v>4</v>
      </c>
      <c r="AJ204" s="18">
        <f t="shared" si="182"/>
        <v>5.4570462150997745</v>
      </c>
      <c r="AK204" s="18">
        <f t="shared" si="182"/>
        <v>1.3699221830908852</v>
      </c>
      <c r="AL204" s="18">
        <f t="shared" si="182"/>
        <v>1.9603071178744824</v>
      </c>
      <c r="AM204" s="18">
        <f t="shared" si="182"/>
        <v>0.19662666651131752</v>
      </c>
      <c r="AN204" s="56">
        <f t="shared" si="170"/>
        <v>4</v>
      </c>
      <c r="AP204" s="18">
        <f t="shared" si="183"/>
        <v>5.1686590916003823</v>
      </c>
      <c r="AQ204" s="18">
        <f t="shared" si="183"/>
        <v>1.4502642277140807</v>
      </c>
      <c r="AR204" s="18">
        <f t="shared" si="183"/>
        <v>1.9141440872591771</v>
      </c>
      <c r="AS204" s="18">
        <f t="shared" si="183"/>
        <v>0.21406367914693625</v>
      </c>
      <c r="AT204" s="56">
        <f t="shared" si="171"/>
        <v>4</v>
      </c>
      <c r="AV204" s="18">
        <f t="shared" si="184"/>
        <v>5.1686590916003823</v>
      </c>
      <c r="AW204" s="18">
        <f t="shared" si="184"/>
        <v>1.4502642277140807</v>
      </c>
      <c r="AX204" s="18">
        <f t="shared" si="184"/>
        <v>1.9141440872591771</v>
      </c>
      <c r="AY204" s="18">
        <f t="shared" si="184"/>
        <v>0.21406367914693625</v>
      </c>
      <c r="AZ204" s="56">
        <f t="shared" si="172"/>
        <v>4</v>
      </c>
      <c r="BB204" s="18">
        <f t="shared" si="185"/>
        <v>5.1686590916003823</v>
      </c>
      <c r="BC204" s="18">
        <f t="shared" si="185"/>
        <v>1.4502642277140807</v>
      </c>
      <c r="BD204" s="18">
        <f t="shared" si="185"/>
        <v>1.9141440872591771</v>
      </c>
      <c r="BE204" s="18">
        <f t="shared" si="185"/>
        <v>0.21406367914693625</v>
      </c>
      <c r="BF204" s="56">
        <f t="shared" si="173"/>
        <v>4</v>
      </c>
      <c r="BH204" s="18">
        <f t="shared" si="186"/>
        <v>5.1686590916003823</v>
      </c>
      <c r="BI204" s="18">
        <f t="shared" si="186"/>
        <v>1.4502642277140807</v>
      </c>
      <c r="BJ204" s="18">
        <f t="shared" si="186"/>
        <v>1.9141440872591771</v>
      </c>
      <c r="BK204" s="18">
        <f t="shared" si="186"/>
        <v>0.21406367914693625</v>
      </c>
      <c r="BL204" s="56">
        <f t="shared" si="174"/>
        <v>4</v>
      </c>
      <c r="BN204" s="18">
        <f t="shared" si="187"/>
        <v>5.1686590916003823</v>
      </c>
      <c r="BO204" s="18">
        <f t="shared" si="187"/>
        <v>1.4502642277140807</v>
      </c>
      <c r="BP204" s="18">
        <f t="shared" si="187"/>
        <v>1.9141440872591771</v>
      </c>
      <c r="BQ204" s="18">
        <f t="shared" si="187"/>
        <v>0.21406367914693625</v>
      </c>
      <c r="BR204" s="56">
        <f t="shared" si="175"/>
        <v>4</v>
      </c>
      <c r="BT204" s="18">
        <f t="shared" si="188"/>
        <v>5.1686590916003823</v>
      </c>
      <c r="BU204" s="18">
        <f t="shared" si="188"/>
        <v>1.4502642277140807</v>
      </c>
      <c r="BV204" s="18">
        <f t="shared" si="188"/>
        <v>1.9141440872591771</v>
      </c>
      <c r="BW204" s="18">
        <f t="shared" si="188"/>
        <v>0.21406367914693625</v>
      </c>
      <c r="BX204" s="56">
        <f t="shared" si="176"/>
        <v>4</v>
      </c>
      <c r="BZ204" s="18">
        <f t="shared" si="189"/>
        <v>5.1686590916003823</v>
      </c>
      <c r="CA204" s="18">
        <f t="shared" si="189"/>
        <v>1.4502642277140807</v>
      </c>
      <c r="CB204" s="18">
        <f t="shared" si="189"/>
        <v>1.9141440872591771</v>
      </c>
      <c r="CC204" s="18">
        <f t="shared" si="189"/>
        <v>0.21406367914693625</v>
      </c>
      <c r="CD204" s="56">
        <f t="shared" si="177"/>
        <v>4</v>
      </c>
      <c r="CF204" s="18">
        <f t="shared" si="190"/>
        <v>5.1686590916003823</v>
      </c>
      <c r="CG204" s="18">
        <f t="shared" si="190"/>
        <v>1.4502642277140807</v>
      </c>
      <c r="CH204" s="18">
        <f t="shared" si="190"/>
        <v>1.9141440872591771</v>
      </c>
      <c r="CI204" s="18">
        <f t="shared" si="190"/>
        <v>0.21406367914693625</v>
      </c>
      <c r="CJ204" s="56">
        <f t="shared" si="178"/>
        <v>4</v>
      </c>
      <c r="CL204" s="18">
        <f t="shared" si="191"/>
        <v>5.1686590916003823</v>
      </c>
      <c r="CM204" s="18">
        <f t="shared" si="191"/>
        <v>1.4502642277140807</v>
      </c>
      <c r="CN204" s="18">
        <f t="shared" si="191"/>
        <v>1.9141440872591771</v>
      </c>
      <c r="CO204" s="18">
        <f t="shared" si="191"/>
        <v>0.21406367914693625</v>
      </c>
      <c r="CP204" s="56">
        <f t="shared" si="179"/>
        <v>4</v>
      </c>
    </row>
    <row r="205" spans="1:94" x14ac:dyDescent="0.25">
      <c r="A205" s="36" t="str">
        <f>KMeans_Data!A64</f>
        <v>Dadu</v>
      </c>
      <c r="B205" s="18">
        <f>KMeans_Data!H64</f>
        <v>-3.5913849611856918E-3</v>
      </c>
      <c r="C205" s="18">
        <f>KMeans_Data!I64</f>
        <v>-0.67265054538827607</v>
      </c>
      <c r="D205" s="18">
        <f>KMeans_Data!J64</f>
        <v>0.36412819234159388</v>
      </c>
      <c r="E205" s="56">
        <f t="shared" si="166"/>
        <v>4</v>
      </c>
      <c r="F205" s="38">
        <f t="shared" si="167"/>
        <v>0.5891528238218473</v>
      </c>
      <c r="G205" s="18">
        <f>IF(COUNTIF(Distance_Matrix!$E$10:$DQ$10,$E205)&lt;=1,0,SUMIF(Distance_Matrix!$E$10:$DQ$10,$E205,Distance_Matrix!$E$73:$DQ$73)/(COUNTIF(Distance_Matrix!$E$10:$DQ$10,$E205)-1))</f>
        <v>1.0212890976579831</v>
      </c>
      <c r="H205" s="18">
        <f>MIN(IF(1=$E205,1E+99,IF(COUNTIF(Distance_Matrix!$E$10:$DQ$10,1)=0,1E+99,SUMIF(Distance_Matrix!$E$10:$DQ$10,1,Distance_Matrix!$E$73:$DQ$73)/COUNTIF(Distance_Matrix!$E$10:$DQ$10,1))),IF(2=$E205,1E+99,IF(COUNTIF(Distance_Matrix!$E$10:$DQ$10,2)=0,1E+99,SUMIF(Distance_Matrix!$E$10:$DQ$10,2,Distance_Matrix!$E$73:$DQ$73)/COUNTIF(Distance_Matrix!$E$10:$DQ$10,2))),IF(3=$E205,1E+99,IF(COUNTIF(Distance_Matrix!$E$10:$DQ$10,3)=0,1E+99,SUMIF(Distance_Matrix!$E$10:$DQ$10,3,Distance_Matrix!$E$73:$DQ$73)/COUNTIF(Distance_Matrix!$E$10:$DQ$10,3))),IF(4=$E205,1E+99,IF(COUNTIF(Distance_Matrix!$E$10:$DQ$10,4)=0,1E+99,SUMIF(Distance_Matrix!$E$10:$DQ$10,4,Distance_Matrix!$E$73:$DQ$73)/COUNTIF(Distance_Matrix!$E$10:$DQ$10,4))))</f>
        <v>1.6131697670042235</v>
      </c>
      <c r="I205" s="18">
        <f>IF(COUNTIF(Distance_Matrix!$E$10:$DQ$10,$E205)&lt;=1,0,(H205-G205)/MAX(G205,H205))</f>
        <v>0.36690538184670229</v>
      </c>
      <c r="X205" s="18">
        <f t="shared" si="180"/>
        <v>6.425480929982732</v>
      </c>
      <c r="Y205" s="18">
        <f t="shared" si="180"/>
        <v>2.5670600140280122</v>
      </c>
      <c r="Z205" s="18">
        <f t="shared" si="180"/>
        <v>1.8473451558485976</v>
      </c>
      <c r="AA205" s="18">
        <f t="shared" si="180"/>
        <v>1.7254805038734196</v>
      </c>
      <c r="AB205" s="56">
        <f t="shared" si="168"/>
        <v>4</v>
      </c>
      <c r="AD205" s="18">
        <f t="shared" si="181"/>
        <v>5.4709147139321752</v>
      </c>
      <c r="AE205" s="18">
        <f t="shared" si="181"/>
        <v>1.7943968020460612</v>
      </c>
      <c r="AF205" s="18">
        <f t="shared" si="181"/>
        <v>1.4834024118852698</v>
      </c>
      <c r="AG205" s="18">
        <f t="shared" si="181"/>
        <v>0.8989849689503947</v>
      </c>
      <c r="AH205" s="56">
        <f t="shared" si="169"/>
        <v>4</v>
      </c>
      <c r="AJ205" s="18">
        <f t="shared" si="182"/>
        <v>5.1230435909736851</v>
      </c>
      <c r="AK205" s="18">
        <f t="shared" si="182"/>
        <v>1.825319367487988</v>
      </c>
      <c r="AL205" s="18">
        <f t="shared" si="182"/>
        <v>1.5740405217965108</v>
      </c>
      <c r="AM205" s="18">
        <f t="shared" si="182"/>
        <v>0.77159968034670567</v>
      </c>
      <c r="AN205" s="56">
        <f t="shared" si="170"/>
        <v>4</v>
      </c>
      <c r="AP205" s="18">
        <f t="shared" si="183"/>
        <v>4.8376485359484329</v>
      </c>
      <c r="AQ205" s="18">
        <f t="shared" si="183"/>
        <v>1.9215598525730579</v>
      </c>
      <c r="AR205" s="18">
        <f t="shared" si="183"/>
        <v>1.5236222503352324</v>
      </c>
      <c r="AS205" s="18">
        <f t="shared" si="183"/>
        <v>0.7675629119634737</v>
      </c>
      <c r="AT205" s="56">
        <f t="shared" si="171"/>
        <v>4</v>
      </c>
      <c r="AV205" s="18">
        <f t="shared" si="184"/>
        <v>4.8376485359484329</v>
      </c>
      <c r="AW205" s="18">
        <f t="shared" si="184"/>
        <v>1.9215598525730579</v>
      </c>
      <c r="AX205" s="18">
        <f t="shared" si="184"/>
        <v>1.5236222503352324</v>
      </c>
      <c r="AY205" s="18">
        <f t="shared" si="184"/>
        <v>0.7675629119634737</v>
      </c>
      <c r="AZ205" s="56">
        <f t="shared" si="172"/>
        <v>4</v>
      </c>
      <c r="BB205" s="18">
        <f t="shared" si="185"/>
        <v>4.8376485359484329</v>
      </c>
      <c r="BC205" s="18">
        <f t="shared" si="185"/>
        <v>1.9215598525730579</v>
      </c>
      <c r="BD205" s="18">
        <f t="shared" si="185"/>
        <v>1.5236222503352324</v>
      </c>
      <c r="BE205" s="18">
        <f t="shared" si="185"/>
        <v>0.7675629119634737</v>
      </c>
      <c r="BF205" s="56">
        <f t="shared" si="173"/>
        <v>4</v>
      </c>
      <c r="BH205" s="18">
        <f t="shared" si="186"/>
        <v>4.8376485359484329</v>
      </c>
      <c r="BI205" s="18">
        <f t="shared" si="186"/>
        <v>1.9215598525730579</v>
      </c>
      <c r="BJ205" s="18">
        <f t="shared" si="186"/>
        <v>1.5236222503352324</v>
      </c>
      <c r="BK205" s="18">
        <f t="shared" si="186"/>
        <v>0.7675629119634737</v>
      </c>
      <c r="BL205" s="56">
        <f t="shared" si="174"/>
        <v>4</v>
      </c>
      <c r="BN205" s="18">
        <f t="shared" si="187"/>
        <v>4.8376485359484329</v>
      </c>
      <c r="BO205" s="18">
        <f t="shared" si="187"/>
        <v>1.9215598525730579</v>
      </c>
      <c r="BP205" s="18">
        <f t="shared" si="187"/>
        <v>1.5236222503352324</v>
      </c>
      <c r="BQ205" s="18">
        <f t="shared" si="187"/>
        <v>0.7675629119634737</v>
      </c>
      <c r="BR205" s="56">
        <f t="shared" si="175"/>
        <v>4</v>
      </c>
      <c r="BT205" s="18">
        <f t="shared" si="188"/>
        <v>4.8376485359484329</v>
      </c>
      <c r="BU205" s="18">
        <f t="shared" si="188"/>
        <v>1.9215598525730579</v>
      </c>
      <c r="BV205" s="18">
        <f t="shared" si="188"/>
        <v>1.5236222503352324</v>
      </c>
      <c r="BW205" s="18">
        <f t="shared" si="188"/>
        <v>0.7675629119634737</v>
      </c>
      <c r="BX205" s="56">
        <f t="shared" si="176"/>
        <v>4</v>
      </c>
      <c r="BZ205" s="18">
        <f t="shared" si="189"/>
        <v>4.8376485359484329</v>
      </c>
      <c r="CA205" s="18">
        <f t="shared" si="189"/>
        <v>1.9215598525730579</v>
      </c>
      <c r="CB205" s="18">
        <f t="shared" si="189"/>
        <v>1.5236222503352324</v>
      </c>
      <c r="CC205" s="18">
        <f t="shared" si="189"/>
        <v>0.7675629119634737</v>
      </c>
      <c r="CD205" s="56">
        <f t="shared" si="177"/>
        <v>4</v>
      </c>
      <c r="CF205" s="18">
        <f t="shared" si="190"/>
        <v>4.8376485359484329</v>
      </c>
      <c r="CG205" s="18">
        <f t="shared" si="190"/>
        <v>1.9215598525730579</v>
      </c>
      <c r="CH205" s="18">
        <f t="shared" si="190"/>
        <v>1.5236222503352324</v>
      </c>
      <c r="CI205" s="18">
        <f t="shared" si="190"/>
        <v>0.7675629119634737</v>
      </c>
      <c r="CJ205" s="56">
        <f t="shared" si="178"/>
        <v>4</v>
      </c>
      <c r="CL205" s="18">
        <f t="shared" si="191"/>
        <v>4.8376485359484329</v>
      </c>
      <c r="CM205" s="18">
        <f t="shared" si="191"/>
        <v>1.9215598525730579</v>
      </c>
      <c r="CN205" s="18">
        <f t="shared" si="191"/>
        <v>1.5236222503352324</v>
      </c>
      <c r="CO205" s="18">
        <f t="shared" si="191"/>
        <v>0.7675629119634737</v>
      </c>
      <c r="CP205" s="56">
        <f t="shared" si="179"/>
        <v>4</v>
      </c>
    </row>
    <row r="206" spans="1:94" x14ac:dyDescent="0.25">
      <c r="A206" s="36" t="str">
        <f>KMeans_Data!A65</f>
        <v>Other</v>
      </c>
      <c r="B206" s="18">
        <f>KMeans_Data!H65</f>
        <v>-3.3340625617315857E-2</v>
      </c>
      <c r="C206" s="18">
        <f>KMeans_Data!I65</f>
        <v>0.54791138584450239</v>
      </c>
      <c r="D206" s="18">
        <f>KMeans_Data!J65</f>
        <v>0.50187184530158635</v>
      </c>
      <c r="E206" s="56">
        <f t="shared" si="166"/>
        <v>3</v>
      </c>
      <c r="F206" s="38">
        <f t="shared" si="167"/>
        <v>0.58100714009082655</v>
      </c>
      <c r="G206" s="18">
        <f>IF(COUNTIF(Distance_Matrix!$E$10:$DQ$10,$E206)&lt;=1,0,SUMIF(Distance_Matrix!$E$10:$DQ$10,$E206,Distance_Matrix!$E$74:$DQ$74)/(COUNTIF(Distance_Matrix!$E$10:$DQ$10,$E206)-1))</f>
        <v>1.0567494324093594</v>
      </c>
      <c r="H206" s="18">
        <f>MIN(IF(1=$E206,1E+99,IF(COUNTIF(Distance_Matrix!$E$10:$DQ$10,1)=0,1E+99,SUMIF(Distance_Matrix!$E$10:$DQ$10,1,Distance_Matrix!$E$74:$DQ$74)/COUNTIF(Distance_Matrix!$E$10:$DQ$10,1))),IF(2=$E206,1E+99,IF(COUNTIF(Distance_Matrix!$E$10:$DQ$10,2)=0,1E+99,SUMIF(Distance_Matrix!$E$10:$DQ$10,2,Distance_Matrix!$E$74:$DQ$74)/COUNTIF(Distance_Matrix!$E$10:$DQ$10,2))),IF(3=$E206,1E+99,IF(COUNTIF(Distance_Matrix!$E$10:$DQ$10,3)=0,1E+99,SUMIF(Distance_Matrix!$E$10:$DQ$10,3,Distance_Matrix!$E$74:$DQ$74)/COUNTIF(Distance_Matrix!$E$10:$DQ$10,3))),IF(4=$E206,1E+99,IF(COUNTIF(Distance_Matrix!$E$10:$DQ$10,4)=0,1E+99,SUMIF(Distance_Matrix!$E$10:$DQ$10,4,Distance_Matrix!$E$74:$DQ$74)/COUNTIF(Distance_Matrix!$E$10:$DQ$10,4))))</f>
        <v>1.5246119079365912</v>
      </c>
      <c r="I206" s="18">
        <f>IF(COUNTIF(Distance_Matrix!$E$10:$DQ$10,$E206)&lt;=1,0,(H206-G206)/MAX(G206,H206))</f>
        <v>0.30687316102655698</v>
      </c>
      <c r="X206" s="18">
        <f t="shared" ref="X206:AA225" si="192">SQRT(($B206-X$139)^2+($C206-X$140)^2+($D206-X$141)^2)</f>
        <v>5.5402469095381823</v>
      </c>
      <c r="Y206" s="18">
        <f t="shared" si="192"/>
        <v>2.8968642376235647</v>
      </c>
      <c r="Z206" s="18">
        <f t="shared" si="192"/>
        <v>1.4536312781079959</v>
      </c>
      <c r="AA206" s="18">
        <f t="shared" si="192"/>
        <v>1.9126543913823548</v>
      </c>
      <c r="AB206" s="56">
        <f t="shared" si="168"/>
        <v>3</v>
      </c>
      <c r="AD206" s="18">
        <f t="shared" ref="AD206:AG225" si="193">SQRT(($B206-AD$139)^2+($C206-AD$140)^2+($D206-AD$141)^2)</f>
        <v>4.5613339227977097</v>
      </c>
      <c r="AE206" s="18">
        <f t="shared" si="193"/>
        <v>2.2288986518393576</v>
      </c>
      <c r="AF206" s="18">
        <f t="shared" si="193"/>
        <v>0.74461862927150413</v>
      </c>
      <c r="AG206" s="18">
        <f t="shared" si="193"/>
        <v>1.4519846901142246</v>
      </c>
      <c r="AH206" s="56">
        <f t="shared" si="169"/>
        <v>3</v>
      </c>
      <c r="AJ206" s="18">
        <f t="shared" ref="AJ206:AM225" si="194">SQRT(($B206-AJ$139)^2+($C206-AJ$140)^2+($D206-AJ$141)^2)</f>
        <v>4.2264502964156385</v>
      </c>
      <c r="AK206" s="18">
        <f t="shared" si="194"/>
        <v>2.257060164161913</v>
      </c>
      <c r="AL206" s="18">
        <f t="shared" si="194"/>
        <v>0.79417163332791429</v>
      </c>
      <c r="AM206" s="18">
        <f t="shared" si="194"/>
        <v>1.3705205606177677</v>
      </c>
      <c r="AN206" s="56">
        <f t="shared" si="170"/>
        <v>3</v>
      </c>
      <c r="AP206" s="18">
        <f t="shared" ref="AP206:AS225" si="195">SQRT(($B206-AP$139)^2+($C206-AP$140)^2+($D206-AP$141)^2)</f>
        <v>3.9310099471759026</v>
      </c>
      <c r="AQ206" s="18">
        <f t="shared" si="195"/>
        <v>2.3390221794907884</v>
      </c>
      <c r="AR206" s="18">
        <f t="shared" si="195"/>
        <v>0.76223824365537218</v>
      </c>
      <c r="AS206" s="18">
        <f t="shared" si="195"/>
        <v>1.3759575156052706</v>
      </c>
      <c r="AT206" s="56">
        <f t="shared" si="171"/>
        <v>3</v>
      </c>
      <c r="AV206" s="18">
        <f t="shared" ref="AV206:AY225" si="196">SQRT(($B206-AV$139)^2+($C206-AV$140)^2+($D206-AV$141)^2)</f>
        <v>3.9310099471759026</v>
      </c>
      <c r="AW206" s="18">
        <f t="shared" si="196"/>
        <v>2.3390221794907884</v>
      </c>
      <c r="AX206" s="18">
        <f t="shared" si="196"/>
        <v>0.76223824365537218</v>
      </c>
      <c r="AY206" s="18">
        <f t="shared" si="196"/>
        <v>1.3759575156052706</v>
      </c>
      <c r="AZ206" s="56">
        <f t="shared" si="172"/>
        <v>3</v>
      </c>
      <c r="BB206" s="18">
        <f t="shared" ref="BB206:BE225" si="197">SQRT(($B206-BB$139)^2+($C206-BB$140)^2+($D206-BB$141)^2)</f>
        <v>3.9310099471759026</v>
      </c>
      <c r="BC206" s="18">
        <f t="shared" si="197"/>
        <v>2.3390221794907884</v>
      </c>
      <c r="BD206" s="18">
        <f t="shared" si="197"/>
        <v>0.76223824365537218</v>
      </c>
      <c r="BE206" s="18">
        <f t="shared" si="197"/>
        <v>1.3759575156052706</v>
      </c>
      <c r="BF206" s="56">
        <f t="shared" si="173"/>
        <v>3</v>
      </c>
      <c r="BH206" s="18">
        <f t="shared" ref="BH206:BK225" si="198">SQRT(($B206-BH$139)^2+($C206-BH$140)^2+($D206-BH$141)^2)</f>
        <v>3.9310099471759026</v>
      </c>
      <c r="BI206" s="18">
        <f t="shared" si="198"/>
        <v>2.3390221794907884</v>
      </c>
      <c r="BJ206" s="18">
        <f t="shared" si="198"/>
        <v>0.76223824365537218</v>
      </c>
      <c r="BK206" s="18">
        <f t="shared" si="198"/>
        <v>1.3759575156052706</v>
      </c>
      <c r="BL206" s="56">
        <f t="shared" si="174"/>
        <v>3</v>
      </c>
      <c r="BN206" s="18">
        <f t="shared" ref="BN206:BQ225" si="199">SQRT(($B206-BN$139)^2+($C206-BN$140)^2+($D206-BN$141)^2)</f>
        <v>3.9310099471759026</v>
      </c>
      <c r="BO206" s="18">
        <f t="shared" si="199"/>
        <v>2.3390221794907884</v>
      </c>
      <c r="BP206" s="18">
        <f t="shared" si="199"/>
        <v>0.76223824365537218</v>
      </c>
      <c r="BQ206" s="18">
        <f t="shared" si="199"/>
        <v>1.3759575156052706</v>
      </c>
      <c r="BR206" s="56">
        <f t="shared" si="175"/>
        <v>3</v>
      </c>
      <c r="BT206" s="18">
        <f t="shared" ref="BT206:BW225" si="200">SQRT(($B206-BT$139)^2+($C206-BT$140)^2+($D206-BT$141)^2)</f>
        <v>3.9310099471759026</v>
      </c>
      <c r="BU206" s="18">
        <f t="shared" si="200"/>
        <v>2.3390221794907884</v>
      </c>
      <c r="BV206" s="18">
        <f t="shared" si="200"/>
        <v>0.76223824365537218</v>
      </c>
      <c r="BW206" s="18">
        <f t="shared" si="200"/>
        <v>1.3759575156052706</v>
      </c>
      <c r="BX206" s="56">
        <f t="shared" si="176"/>
        <v>3</v>
      </c>
      <c r="BZ206" s="18">
        <f t="shared" ref="BZ206:CC225" si="201">SQRT(($B206-BZ$139)^2+($C206-BZ$140)^2+($D206-BZ$141)^2)</f>
        <v>3.9310099471759026</v>
      </c>
      <c r="CA206" s="18">
        <f t="shared" si="201"/>
        <v>2.3390221794907884</v>
      </c>
      <c r="CB206" s="18">
        <f t="shared" si="201"/>
        <v>0.76223824365537218</v>
      </c>
      <c r="CC206" s="18">
        <f t="shared" si="201"/>
        <v>1.3759575156052706</v>
      </c>
      <c r="CD206" s="56">
        <f t="shared" si="177"/>
        <v>3</v>
      </c>
      <c r="CF206" s="18">
        <f t="shared" ref="CF206:CI225" si="202">SQRT(($B206-CF$139)^2+($C206-CF$140)^2+($D206-CF$141)^2)</f>
        <v>3.9310099471759026</v>
      </c>
      <c r="CG206" s="18">
        <f t="shared" si="202"/>
        <v>2.3390221794907884</v>
      </c>
      <c r="CH206" s="18">
        <f t="shared" si="202"/>
        <v>0.76223824365537218</v>
      </c>
      <c r="CI206" s="18">
        <f t="shared" si="202"/>
        <v>1.3759575156052706</v>
      </c>
      <c r="CJ206" s="56">
        <f t="shared" si="178"/>
        <v>3</v>
      </c>
      <c r="CL206" s="18">
        <f t="shared" ref="CL206:CO225" si="203">SQRT(($B206-CL$139)^2+($C206-CL$140)^2+($D206-CL$141)^2)</f>
        <v>3.9310099471759026</v>
      </c>
      <c r="CM206" s="18">
        <f t="shared" si="203"/>
        <v>2.3390221794907884</v>
      </c>
      <c r="CN206" s="18">
        <f t="shared" si="203"/>
        <v>0.76223824365537218</v>
      </c>
      <c r="CO206" s="18">
        <f t="shared" si="203"/>
        <v>1.3759575156052706</v>
      </c>
      <c r="CP206" s="56">
        <f t="shared" si="179"/>
        <v>3</v>
      </c>
    </row>
    <row r="207" spans="1:94" x14ac:dyDescent="0.25">
      <c r="A207" s="36" t="str">
        <f>KMeans_Data!A66</f>
        <v>Thatta</v>
      </c>
      <c r="B207" s="18">
        <f>KMeans_Data!H66</f>
        <v>-4.3647299394291184E-2</v>
      </c>
      <c r="C207" s="18">
        <f>KMeans_Data!I66</f>
        <v>0.16051258962499582</v>
      </c>
      <c r="D207" s="18">
        <f>KMeans_Data!J66</f>
        <v>4.2930091906806002E-2</v>
      </c>
      <c r="E207" s="56">
        <f t="shared" si="166"/>
        <v>4</v>
      </c>
      <c r="F207" s="38">
        <f t="shared" si="167"/>
        <v>0.6289846641074256</v>
      </c>
      <c r="G207" s="18">
        <f>IF(COUNTIF(Distance_Matrix!$E$10:$DQ$10,$E207)&lt;=1,0,SUMIF(Distance_Matrix!$E$10:$DQ$10,$E207,Distance_Matrix!$E$75:$DQ$75)/(COUNTIF(Distance_Matrix!$E$10:$DQ$10,$E207)-1))</f>
        <v>1.0786665158932298</v>
      </c>
      <c r="H207" s="18">
        <f>MIN(IF(1=$E207,1E+99,IF(COUNTIF(Distance_Matrix!$E$10:$DQ$10,1)=0,1E+99,SUMIF(Distance_Matrix!$E$10:$DQ$10,1,Distance_Matrix!$E$75:$DQ$75)/COUNTIF(Distance_Matrix!$E$10:$DQ$10,1))),IF(2=$E207,1E+99,IF(COUNTIF(Distance_Matrix!$E$10:$DQ$10,2)=0,1E+99,SUMIF(Distance_Matrix!$E$10:$DQ$10,2,Distance_Matrix!$E$75:$DQ$75)/COUNTIF(Distance_Matrix!$E$10:$DQ$10,2))),IF(3=$E207,1E+99,IF(COUNTIF(Distance_Matrix!$E$10:$DQ$10,3)=0,1E+99,SUMIF(Distance_Matrix!$E$10:$DQ$10,3,Distance_Matrix!$E$75:$DQ$75)/COUNTIF(Distance_Matrix!$E$10:$DQ$10,3))),IF(4=$E207,1E+99,IF(COUNTIF(Distance_Matrix!$E$10:$DQ$10,4)=0,1E+99,SUMIF(Distance_Matrix!$E$10:$DQ$10,4,Distance_Matrix!$E$75:$DQ$75)/COUNTIF(Distance_Matrix!$E$10:$DQ$10,4))))</f>
        <v>1.3174182686487785</v>
      </c>
      <c r="I207" s="18">
        <f>IF(COUNTIF(Distance_Matrix!$E$10:$DQ$10,$E207)&lt;=1,0,(H207-G207)/MAX(G207,H207))</f>
        <v>0.1812269940665287</v>
      </c>
      <c r="X207" s="18">
        <f t="shared" si="192"/>
        <v>6.0293492978854237</v>
      </c>
      <c r="Y207" s="18">
        <f t="shared" si="192"/>
        <v>2.5005068936182209</v>
      </c>
      <c r="Z207" s="18">
        <f t="shared" si="192"/>
        <v>1.8038318241503604</v>
      </c>
      <c r="AA207" s="18">
        <f t="shared" si="192"/>
        <v>1.4079860881806245</v>
      </c>
      <c r="AB207" s="56">
        <f t="shared" si="168"/>
        <v>4</v>
      </c>
      <c r="AD207" s="18">
        <f t="shared" si="193"/>
        <v>5.034279092308946</v>
      </c>
      <c r="AE207" s="18">
        <f t="shared" si="193"/>
        <v>1.7474790521420629</v>
      </c>
      <c r="AF207" s="18">
        <f t="shared" si="193"/>
        <v>1.1391437928290975</v>
      </c>
      <c r="AG207" s="18">
        <f t="shared" si="193"/>
        <v>0.85588585034056364</v>
      </c>
      <c r="AH207" s="56">
        <f t="shared" si="169"/>
        <v>4</v>
      </c>
      <c r="AJ207" s="18">
        <f t="shared" si="194"/>
        <v>4.6935285628811814</v>
      </c>
      <c r="AK207" s="18">
        <f t="shared" si="194"/>
        <v>1.770295501769432</v>
      </c>
      <c r="AL207" s="18">
        <f t="shared" si="194"/>
        <v>1.2011963292482351</v>
      </c>
      <c r="AM207" s="18">
        <f t="shared" si="194"/>
        <v>0.7847583659310976</v>
      </c>
      <c r="AN207" s="56">
        <f t="shared" si="170"/>
        <v>4</v>
      </c>
      <c r="AP207" s="18">
        <f t="shared" si="195"/>
        <v>4.3990376426070368</v>
      </c>
      <c r="AQ207" s="18">
        <f t="shared" si="195"/>
        <v>1.8521388681563755</v>
      </c>
      <c r="AR207" s="18">
        <f t="shared" si="195"/>
        <v>1.1601372366451868</v>
      </c>
      <c r="AS207" s="18">
        <f t="shared" si="195"/>
        <v>0.79308553391637748</v>
      </c>
      <c r="AT207" s="56">
        <f t="shared" si="171"/>
        <v>4</v>
      </c>
      <c r="AV207" s="18">
        <f t="shared" si="196"/>
        <v>4.3990376426070368</v>
      </c>
      <c r="AW207" s="18">
        <f t="shared" si="196"/>
        <v>1.8521388681563755</v>
      </c>
      <c r="AX207" s="18">
        <f t="shared" si="196"/>
        <v>1.1601372366451868</v>
      </c>
      <c r="AY207" s="18">
        <f t="shared" si="196"/>
        <v>0.79308553391637748</v>
      </c>
      <c r="AZ207" s="56">
        <f t="shared" si="172"/>
        <v>4</v>
      </c>
      <c r="BB207" s="18">
        <f t="shared" si="197"/>
        <v>4.3990376426070368</v>
      </c>
      <c r="BC207" s="18">
        <f t="shared" si="197"/>
        <v>1.8521388681563755</v>
      </c>
      <c r="BD207" s="18">
        <f t="shared" si="197"/>
        <v>1.1601372366451868</v>
      </c>
      <c r="BE207" s="18">
        <f t="shared" si="197"/>
        <v>0.79308553391637748</v>
      </c>
      <c r="BF207" s="56">
        <f t="shared" si="173"/>
        <v>4</v>
      </c>
      <c r="BH207" s="18">
        <f t="shared" si="198"/>
        <v>4.3990376426070368</v>
      </c>
      <c r="BI207" s="18">
        <f t="shared" si="198"/>
        <v>1.8521388681563755</v>
      </c>
      <c r="BJ207" s="18">
        <f t="shared" si="198"/>
        <v>1.1601372366451868</v>
      </c>
      <c r="BK207" s="18">
        <f t="shared" si="198"/>
        <v>0.79308553391637748</v>
      </c>
      <c r="BL207" s="56">
        <f t="shared" si="174"/>
        <v>4</v>
      </c>
      <c r="BN207" s="18">
        <f t="shared" si="199"/>
        <v>4.3990376426070368</v>
      </c>
      <c r="BO207" s="18">
        <f t="shared" si="199"/>
        <v>1.8521388681563755</v>
      </c>
      <c r="BP207" s="18">
        <f t="shared" si="199"/>
        <v>1.1601372366451868</v>
      </c>
      <c r="BQ207" s="18">
        <f t="shared" si="199"/>
        <v>0.79308553391637748</v>
      </c>
      <c r="BR207" s="56">
        <f t="shared" si="175"/>
        <v>4</v>
      </c>
      <c r="BT207" s="18">
        <f t="shared" si="200"/>
        <v>4.3990376426070368</v>
      </c>
      <c r="BU207" s="18">
        <f t="shared" si="200"/>
        <v>1.8521388681563755</v>
      </c>
      <c r="BV207" s="18">
        <f t="shared" si="200"/>
        <v>1.1601372366451868</v>
      </c>
      <c r="BW207" s="18">
        <f t="shared" si="200"/>
        <v>0.79308553391637748</v>
      </c>
      <c r="BX207" s="56">
        <f t="shared" si="176"/>
        <v>4</v>
      </c>
      <c r="BZ207" s="18">
        <f t="shared" si="201"/>
        <v>4.3990376426070368</v>
      </c>
      <c r="CA207" s="18">
        <f t="shared" si="201"/>
        <v>1.8521388681563755</v>
      </c>
      <c r="CB207" s="18">
        <f t="shared" si="201"/>
        <v>1.1601372366451868</v>
      </c>
      <c r="CC207" s="18">
        <f t="shared" si="201"/>
        <v>0.79308553391637748</v>
      </c>
      <c r="CD207" s="56">
        <f t="shared" si="177"/>
        <v>4</v>
      </c>
      <c r="CF207" s="18">
        <f t="shared" si="202"/>
        <v>4.3990376426070368</v>
      </c>
      <c r="CG207" s="18">
        <f t="shared" si="202"/>
        <v>1.8521388681563755</v>
      </c>
      <c r="CH207" s="18">
        <f t="shared" si="202"/>
        <v>1.1601372366451868</v>
      </c>
      <c r="CI207" s="18">
        <f t="shared" si="202"/>
        <v>0.79308553391637748</v>
      </c>
      <c r="CJ207" s="56">
        <f t="shared" si="178"/>
        <v>4</v>
      </c>
      <c r="CL207" s="18">
        <f t="shared" si="203"/>
        <v>4.3990376426070368</v>
      </c>
      <c r="CM207" s="18">
        <f t="shared" si="203"/>
        <v>1.8521388681563755</v>
      </c>
      <c r="CN207" s="18">
        <f t="shared" si="203"/>
        <v>1.1601372366451868</v>
      </c>
      <c r="CO207" s="18">
        <f t="shared" si="203"/>
        <v>0.79308553391637748</v>
      </c>
      <c r="CP207" s="56">
        <f t="shared" si="179"/>
        <v>4</v>
      </c>
    </row>
    <row r="208" spans="1:94" x14ac:dyDescent="0.25">
      <c r="A208" s="36" t="str">
        <f>KMeans_Data!A67</f>
        <v>Hafizabad</v>
      </c>
      <c r="B208" s="18">
        <f>KMeans_Data!H67</f>
        <v>-6.4893923599903938E-2</v>
      </c>
      <c r="C208" s="18">
        <f>KMeans_Data!I67</f>
        <v>-0.67265054538827607</v>
      </c>
      <c r="D208" s="18">
        <f>KMeans_Data!J67</f>
        <v>-0.82444601589876665</v>
      </c>
      <c r="E208" s="56">
        <f t="shared" si="166"/>
        <v>4</v>
      </c>
      <c r="F208" s="38">
        <f t="shared" si="167"/>
        <v>0.23308343999434836</v>
      </c>
      <c r="G208" s="18">
        <f>IF(COUNTIF(Distance_Matrix!$E$10:$DQ$10,$E208)&lt;=1,0,SUMIF(Distance_Matrix!$E$10:$DQ$10,$E208,Distance_Matrix!$E$76:$DQ$76)/(COUNTIF(Distance_Matrix!$E$10:$DQ$10,$E208)-1))</f>
        <v>0.84715450734707076</v>
      </c>
      <c r="H208" s="18">
        <f>MIN(IF(1=$E208,1E+99,IF(COUNTIF(Distance_Matrix!$E$10:$DQ$10,1)=0,1E+99,SUMIF(Distance_Matrix!$E$10:$DQ$10,1,Distance_Matrix!$E$76:$DQ$76)/COUNTIF(Distance_Matrix!$E$10:$DQ$10,1))),IF(2=$E208,1E+99,IF(COUNTIF(Distance_Matrix!$E$10:$DQ$10,2)=0,1E+99,SUMIF(Distance_Matrix!$E$10:$DQ$10,2,Distance_Matrix!$E$76:$DQ$76)/COUNTIF(Distance_Matrix!$E$10:$DQ$10,2))),IF(3=$E208,1E+99,IF(COUNTIF(Distance_Matrix!$E$10:$DQ$10,3)=0,1E+99,SUMIF(Distance_Matrix!$E$10:$DQ$10,3,Distance_Matrix!$E$76:$DQ$76)/COUNTIF(Distance_Matrix!$E$10:$DQ$10,3))),IF(4=$E208,1E+99,IF(COUNTIF(Distance_Matrix!$E$10:$DQ$10,4)=0,1E+99,SUMIF(Distance_Matrix!$E$10:$DQ$10,4,Distance_Matrix!$E$76:$DQ$76)/COUNTIF(Distance_Matrix!$E$10:$DQ$10,4))))</f>
        <v>1.2603308784323841</v>
      </c>
      <c r="I208" s="18">
        <f>IF(COUNTIF(Distance_Matrix!$E$10:$DQ$10,$E208)&lt;=1,0,(H208-G208)/MAX(G208,H208))</f>
        <v>0.32783166560135979</v>
      </c>
      <c r="X208" s="18">
        <f t="shared" si="192"/>
        <v>7.0690702006543615</v>
      </c>
      <c r="Y208" s="18">
        <f t="shared" si="192"/>
        <v>2.0402854698792918</v>
      </c>
      <c r="Z208" s="18">
        <f t="shared" si="192"/>
        <v>2.7543705577879942</v>
      </c>
      <c r="AA208" s="18">
        <f t="shared" si="192"/>
        <v>0.94042537367600576</v>
      </c>
      <c r="AB208" s="56">
        <f t="shared" si="168"/>
        <v>4</v>
      </c>
      <c r="AD208" s="18">
        <f t="shared" si="193"/>
        <v>6.0611101237761948</v>
      </c>
      <c r="AE208" s="18">
        <f t="shared" si="193"/>
        <v>1.1814710296522259</v>
      </c>
      <c r="AF208" s="18">
        <f t="shared" si="193"/>
        <v>2.21754296577459</v>
      </c>
      <c r="AG208" s="18">
        <f t="shared" si="193"/>
        <v>0.36066025239919713</v>
      </c>
      <c r="AH208" s="56">
        <f t="shared" si="169"/>
        <v>4</v>
      </c>
      <c r="AJ208" s="18">
        <f t="shared" si="194"/>
        <v>5.7149427615384543</v>
      </c>
      <c r="AK208" s="18">
        <f t="shared" si="194"/>
        <v>1.1786013682287739</v>
      </c>
      <c r="AL208" s="18">
        <f t="shared" si="194"/>
        <v>2.2825413696039685</v>
      </c>
      <c r="AM208" s="18">
        <f t="shared" si="194"/>
        <v>0.4750459746794507</v>
      </c>
      <c r="AN208" s="56">
        <f t="shared" si="170"/>
        <v>4</v>
      </c>
      <c r="AP208" s="18">
        <f t="shared" si="195"/>
        <v>5.4261367397610059</v>
      </c>
      <c r="AQ208" s="18">
        <f t="shared" si="195"/>
        <v>1.2386414747982963</v>
      </c>
      <c r="AR208" s="18">
        <f t="shared" si="195"/>
        <v>2.2394368922268555</v>
      </c>
      <c r="AS208" s="18">
        <f t="shared" si="195"/>
        <v>0.48278715806693567</v>
      </c>
      <c r="AT208" s="56">
        <f t="shared" si="171"/>
        <v>4</v>
      </c>
      <c r="AV208" s="18">
        <f t="shared" si="196"/>
        <v>5.4261367397610059</v>
      </c>
      <c r="AW208" s="18">
        <f t="shared" si="196"/>
        <v>1.2386414747982963</v>
      </c>
      <c r="AX208" s="18">
        <f t="shared" si="196"/>
        <v>2.2394368922268555</v>
      </c>
      <c r="AY208" s="18">
        <f t="shared" si="196"/>
        <v>0.48278715806693567</v>
      </c>
      <c r="AZ208" s="56">
        <f t="shared" si="172"/>
        <v>4</v>
      </c>
      <c r="BB208" s="18">
        <f t="shared" si="197"/>
        <v>5.4261367397610059</v>
      </c>
      <c r="BC208" s="18">
        <f t="shared" si="197"/>
        <v>1.2386414747982963</v>
      </c>
      <c r="BD208" s="18">
        <f t="shared" si="197"/>
        <v>2.2394368922268555</v>
      </c>
      <c r="BE208" s="18">
        <f t="shared" si="197"/>
        <v>0.48278715806693567</v>
      </c>
      <c r="BF208" s="56">
        <f t="shared" si="173"/>
        <v>4</v>
      </c>
      <c r="BH208" s="18">
        <f t="shared" si="198"/>
        <v>5.4261367397610059</v>
      </c>
      <c r="BI208" s="18">
        <f t="shared" si="198"/>
        <v>1.2386414747982963</v>
      </c>
      <c r="BJ208" s="18">
        <f t="shared" si="198"/>
        <v>2.2394368922268555</v>
      </c>
      <c r="BK208" s="18">
        <f t="shared" si="198"/>
        <v>0.48278715806693567</v>
      </c>
      <c r="BL208" s="56">
        <f t="shared" si="174"/>
        <v>4</v>
      </c>
      <c r="BN208" s="18">
        <f t="shared" si="199"/>
        <v>5.4261367397610059</v>
      </c>
      <c r="BO208" s="18">
        <f t="shared" si="199"/>
        <v>1.2386414747982963</v>
      </c>
      <c r="BP208" s="18">
        <f t="shared" si="199"/>
        <v>2.2394368922268555</v>
      </c>
      <c r="BQ208" s="18">
        <f t="shared" si="199"/>
        <v>0.48278715806693567</v>
      </c>
      <c r="BR208" s="56">
        <f t="shared" si="175"/>
        <v>4</v>
      </c>
      <c r="BT208" s="18">
        <f t="shared" si="200"/>
        <v>5.4261367397610059</v>
      </c>
      <c r="BU208" s="18">
        <f t="shared" si="200"/>
        <v>1.2386414747982963</v>
      </c>
      <c r="BV208" s="18">
        <f t="shared" si="200"/>
        <v>2.2394368922268555</v>
      </c>
      <c r="BW208" s="18">
        <f t="shared" si="200"/>
        <v>0.48278715806693567</v>
      </c>
      <c r="BX208" s="56">
        <f t="shared" si="176"/>
        <v>4</v>
      </c>
      <c r="BZ208" s="18">
        <f t="shared" si="201"/>
        <v>5.4261367397610059</v>
      </c>
      <c r="CA208" s="18">
        <f t="shared" si="201"/>
        <v>1.2386414747982963</v>
      </c>
      <c r="CB208" s="18">
        <f t="shared" si="201"/>
        <v>2.2394368922268555</v>
      </c>
      <c r="CC208" s="18">
        <f t="shared" si="201"/>
        <v>0.48278715806693567</v>
      </c>
      <c r="CD208" s="56">
        <f t="shared" si="177"/>
        <v>4</v>
      </c>
      <c r="CF208" s="18">
        <f t="shared" si="202"/>
        <v>5.4261367397610059</v>
      </c>
      <c r="CG208" s="18">
        <f t="shared" si="202"/>
        <v>1.2386414747982963</v>
      </c>
      <c r="CH208" s="18">
        <f t="shared" si="202"/>
        <v>2.2394368922268555</v>
      </c>
      <c r="CI208" s="18">
        <f t="shared" si="202"/>
        <v>0.48278715806693567</v>
      </c>
      <c r="CJ208" s="56">
        <f t="shared" si="178"/>
        <v>4</v>
      </c>
      <c r="CL208" s="18">
        <f t="shared" si="203"/>
        <v>5.4261367397610059</v>
      </c>
      <c r="CM208" s="18">
        <f t="shared" si="203"/>
        <v>1.2386414747982963</v>
      </c>
      <c r="CN208" s="18">
        <f t="shared" si="203"/>
        <v>2.2394368922268555</v>
      </c>
      <c r="CO208" s="18">
        <f t="shared" si="203"/>
        <v>0.48278715806693567</v>
      </c>
      <c r="CP208" s="56">
        <f t="shared" si="179"/>
        <v>4</v>
      </c>
    </row>
    <row r="209" spans="1:94" x14ac:dyDescent="0.25">
      <c r="A209" s="36" t="str">
        <f>KMeans_Data!A68</f>
        <v>Mirpurkhas</v>
      </c>
      <c r="B209" s="18">
        <f>KMeans_Data!H68</f>
        <v>-9.8484288830971004E-2</v>
      </c>
      <c r="C209" s="18">
        <f>KMeans_Data!I68</f>
        <v>0.16051258962499582</v>
      </c>
      <c r="D209" s="18">
        <f>KMeans_Data!J68</f>
        <v>0.26515989636960624</v>
      </c>
      <c r="E209" s="56">
        <f t="shared" si="166"/>
        <v>4</v>
      </c>
      <c r="F209" s="38">
        <f t="shared" si="167"/>
        <v>0.85783872426629681</v>
      </c>
      <c r="G209" s="18">
        <f>IF(COUNTIF(Distance_Matrix!$E$10:$DQ$10,$E209)&lt;=1,0,SUMIF(Distance_Matrix!$E$10:$DQ$10,$E209,Distance_Matrix!$E$77:$DQ$77)/(COUNTIF(Distance_Matrix!$E$10:$DQ$10,$E209)-1))</f>
        <v>1.1591618930790175</v>
      </c>
      <c r="H209" s="18">
        <f>MIN(IF(1=$E209,1E+99,IF(COUNTIF(Distance_Matrix!$E$10:$DQ$10,1)=0,1E+99,SUMIF(Distance_Matrix!$E$10:$DQ$10,1,Distance_Matrix!$E$77:$DQ$77)/COUNTIF(Distance_Matrix!$E$10:$DQ$10,1))),IF(2=$E209,1E+99,IF(COUNTIF(Distance_Matrix!$E$10:$DQ$10,2)=0,1E+99,SUMIF(Distance_Matrix!$E$10:$DQ$10,2,Distance_Matrix!$E$77:$DQ$77)/COUNTIF(Distance_Matrix!$E$10:$DQ$10,2))),IF(3=$E209,1E+99,IF(COUNTIF(Distance_Matrix!$E$10:$DQ$10,3)=0,1E+99,SUMIF(Distance_Matrix!$E$10:$DQ$10,3,Distance_Matrix!$E$77:$DQ$77)/COUNTIF(Distance_Matrix!$E$10:$DQ$10,3))),IF(4=$E209,1E+99,IF(COUNTIF(Distance_Matrix!$E$10:$DQ$10,4)=0,1E+99,SUMIF(Distance_Matrix!$E$10:$DQ$10,4,Distance_Matrix!$E$77:$DQ$77)/COUNTIF(Distance_Matrix!$E$10:$DQ$10,4))))</f>
        <v>1.2252830639155838</v>
      </c>
      <c r="I209" s="18">
        <f>IF(COUNTIF(Distance_Matrix!$E$10:$DQ$10,$E209)&lt;=1,0,(H209-G209)/MAX(G209,H209))</f>
        <v>5.3963996388937077E-2</v>
      </c>
      <c r="X209" s="18">
        <f t="shared" si="192"/>
        <v>5.9449744144455829</v>
      </c>
      <c r="Y209" s="18">
        <f t="shared" si="192"/>
        <v>2.5709715999444818</v>
      </c>
      <c r="Z209" s="18">
        <f t="shared" si="192"/>
        <v>1.67042015284584</v>
      </c>
      <c r="AA209" s="18">
        <f t="shared" si="192"/>
        <v>1.6244050418755513</v>
      </c>
      <c r="AB209" s="56">
        <f t="shared" si="168"/>
        <v>4</v>
      </c>
      <c r="AD209" s="18">
        <f t="shared" si="193"/>
        <v>4.9621727813443472</v>
      </c>
      <c r="AE209" s="18">
        <f t="shared" si="193"/>
        <v>1.8464842095497078</v>
      </c>
      <c r="AF209" s="18">
        <f t="shared" si="193"/>
        <v>1.0244795770359241</v>
      </c>
      <c r="AG209" s="18">
        <f t="shared" si="193"/>
        <v>1.0150925979916767</v>
      </c>
      <c r="AH209" s="56">
        <f t="shared" si="169"/>
        <v>4</v>
      </c>
      <c r="AJ209" s="18">
        <f t="shared" si="194"/>
        <v>4.6221892268449967</v>
      </c>
      <c r="AK209" s="18">
        <f t="shared" si="194"/>
        <v>1.8743318037177463</v>
      </c>
      <c r="AL209" s="18">
        <f t="shared" si="194"/>
        <v>1.0945523747133483</v>
      </c>
      <c r="AM209" s="18">
        <f t="shared" si="194"/>
        <v>0.92384946729373596</v>
      </c>
      <c r="AN209" s="56">
        <f t="shared" si="170"/>
        <v>4</v>
      </c>
      <c r="AP209" s="18">
        <f t="shared" si="195"/>
        <v>4.3279102935343206</v>
      </c>
      <c r="AQ209" s="18">
        <f t="shared" si="195"/>
        <v>1.9605659256645747</v>
      </c>
      <c r="AR209" s="18">
        <f t="shared" si="195"/>
        <v>1.0513439293641931</v>
      </c>
      <c r="AS209" s="18">
        <f t="shared" si="195"/>
        <v>0.92619583472735223</v>
      </c>
      <c r="AT209" s="56">
        <f t="shared" si="171"/>
        <v>4</v>
      </c>
      <c r="AV209" s="18">
        <f t="shared" si="196"/>
        <v>4.3279102935343206</v>
      </c>
      <c r="AW209" s="18">
        <f t="shared" si="196"/>
        <v>1.9605659256645747</v>
      </c>
      <c r="AX209" s="18">
        <f t="shared" si="196"/>
        <v>1.0513439293641931</v>
      </c>
      <c r="AY209" s="18">
        <f t="shared" si="196"/>
        <v>0.92619583472735223</v>
      </c>
      <c r="AZ209" s="56">
        <f t="shared" si="172"/>
        <v>4</v>
      </c>
      <c r="BB209" s="18">
        <f t="shared" si="197"/>
        <v>4.3279102935343206</v>
      </c>
      <c r="BC209" s="18">
        <f t="shared" si="197"/>
        <v>1.9605659256645747</v>
      </c>
      <c r="BD209" s="18">
        <f t="shared" si="197"/>
        <v>1.0513439293641931</v>
      </c>
      <c r="BE209" s="18">
        <f t="shared" si="197"/>
        <v>0.92619583472735223</v>
      </c>
      <c r="BF209" s="56">
        <f t="shared" si="173"/>
        <v>4</v>
      </c>
      <c r="BH209" s="18">
        <f t="shared" si="198"/>
        <v>4.3279102935343206</v>
      </c>
      <c r="BI209" s="18">
        <f t="shared" si="198"/>
        <v>1.9605659256645747</v>
      </c>
      <c r="BJ209" s="18">
        <f t="shared" si="198"/>
        <v>1.0513439293641931</v>
      </c>
      <c r="BK209" s="18">
        <f t="shared" si="198"/>
        <v>0.92619583472735223</v>
      </c>
      <c r="BL209" s="56">
        <f t="shared" si="174"/>
        <v>4</v>
      </c>
      <c r="BN209" s="18">
        <f t="shared" si="199"/>
        <v>4.3279102935343206</v>
      </c>
      <c r="BO209" s="18">
        <f t="shared" si="199"/>
        <v>1.9605659256645747</v>
      </c>
      <c r="BP209" s="18">
        <f t="shared" si="199"/>
        <v>1.0513439293641931</v>
      </c>
      <c r="BQ209" s="18">
        <f t="shared" si="199"/>
        <v>0.92619583472735223</v>
      </c>
      <c r="BR209" s="56">
        <f t="shared" si="175"/>
        <v>4</v>
      </c>
      <c r="BT209" s="18">
        <f t="shared" si="200"/>
        <v>4.3279102935343206</v>
      </c>
      <c r="BU209" s="18">
        <f t="shared" si="200"/>
        <v>1.9605659256645747</v>
      </c>
      <c r="BV209" s="18">
        <f t="shared" si="200"/>
        <v>1.0513439293641931</v>
      </c>
      <c r="BW209" s="18">
        <f t="shared" si="200"/>
        <v>0.92619583472735223</v>
      </c>
      <c r="BX209" s="56">
        <f t="shared" si="176"/>
        <v>4</v>
      </c>
      <c r="BZ209" s="18">
        <f t="shared" si="201"/>
        <v>4.3279102935343206</v>
      </c>
      <c r="CA209" s="18">
        <f t="shared" si="201"/>
        <v>1.9605659256645747</v>
      </c>
      <c r="CB209" s="18">
        <f t="shared" si="201"/>
        <v>1.0513439293641931</v>
      </c>
      <c r="CC209" s="18">
        <f t="shared" si="201"/>
        <v>0.92619583472735223</v>
      </c>
      <c r="CD209" s="56">
        <f t="shared" si="177"/>
        <v>4</v>
      </c>
      <c r="CF209" s="18">
        <f t="shared" si="202"/>
        <v>4.3279102935343206</v>
      </c>
      <c r="CG209" s="18">
        <f t="shared" si="202"/>
        <v>1.9605659256645747</v>
      </c>
      <c r="CH209" s="18">
        <f t="shared" si="202"/>
        <v>1.0513439293641931</v>
      </c>
      <c r="CI209" s="18">
        <f t="shared" si="202"/>
        <v>0.92619583472735223</v>
      </c>
      <c r="CJ209" s="56">
        <f t="shared" si="178"/>
        <v>4</v>
      </c>
      <c r="CL209" s="18">
        <f t="shared" si="203"/>
        <v>4.3279102935343206</v>
      </c>
      <c r="CM209" s="18">
        <f t="shared" si="203"/>
        <v>1.9605659256645747</v>
      </c>
      <c r="CN209" s="18">
        <f t="shared" si="203"/>
        <v>1.0513439293641931</v>
      </c>
      <c r="CO209" s="18">
        <f t="shared" si="203"/>
        <v>0.92619583472735223</v>
      </c>
      <c r="CP209" s="56">
        <f t="shared" si="179"/>
        <v>4</v>
      </c>
    </row>
    <row r="210" spans="1:94" x14ac:dyDescent="0.25">
      <c r="A210" s="36" t="str">
        <f>KMeans_Data!A69</f>
        <v>Kashmore</v>
      </c>
      <c r="B210" s="18">
        <f>KMeans_Data!H69</f>
        <v>-0.11018073651136755</v>
      </c>
      <c r="C210" s="18">
        <f>KMeans_Data!I69</f>
        <v>-0.14698313392952958</v>
      </c>
      <c r="D210" s="18">
        <f>KMeans_Data!J69</f>
        <v>0.38161671714246476</v>
      </c>
      <c r="E210" s="56">
        <f t="shared" ref="E210:E241" si="204">CP210</f>
        <v>4</v>
      </c>
      <c r="F210" s="38">
        <f t="shared" ref="F210:F241" si="205">($B210-INDEX($L$139:$O$139,E210))^2+($C210-INDEX($L$140:$O$140,E210))^2+($D210-INDEX($L$141:$O$141,E210))^2</f>
        <v>0.70332224458232595</v>
      </c>
      <c r="G210" s="18">
        <f>IF(COUNTIF(Distance_Matrix!$E$10:$DQ$10,$E210)&lt;=1,0,SUMIF(Distance_Matrix!$E$10:$DQ$10,$E210,Distance_Matrix!$E$78:$DQ$78)/(COUNTIF(Distance_Matrix!$E$10:$DQ$10,$E210)-1))</f>
        <v>1.0696926911701519</v>
      </c>
      <c r="H210" s="18">
        <f>MIN(IF(1=$E210,1E+99,IF(COUNTIF(Distance_Matrix!$E$10:$DQ$10,1)=0,1E+99,SUMIF(Distance_Matrix!$E$10:$DQ$10,1,Distance_Matrix!$E$78:$DQ$78)/COUNTIF(Distance_Matrix!$E$10:$DQ$10,1))),IF(2=$E210,1E+99,IF(COUNTIF(Distance_Matrix!$E$10:$DQ$10,2)=0,1E+99,SUMIF(Distance_Matrix!$E$10:$DQ$10,2,Distance_Matrix!$E$78:$DQ$78)/COUNTIF(Distance_Matrix!$E$10:$DQ$10,2))),IF(3=$E210,1E+99,IF(COUNTIF(Distance_Matrix!$E$10:$DQ$10,3)=0,1E+99,SUMIF(Distance_Matrix!$E$10:$DQ$10,3,Distance_Matrix!$E$78:$DQ$78)/COUNTIF(Distance_Matrix!$E$10:$DQ$10,3))),IF(4=$E210,1E+99,IF(COUNTIF(Distance_Matrix!$E$10:$DQ$10,4)=0,1E+99,SUMIF(Distance_Matrix!$E$10:$DQ$10,4,Distance_Matrix!$E$78:$DQ$78)/COUNTIF(Distance_Matrix!$E$10:$DQ$10,4))))</f>
        <v>1.3110135151667972</v>
      </c>
      <c r="I210" s="18">
        <f>IF(COUNTIF(Distance_Matrix!$E$10:$DQ$10,$E210)&lt;=1,0,(H210-G210)/MAX(G210,H210))</f>
        <v>0.18407195746257632</v>
      </c>
      <c r="X210" s="18">
        <f t="shared" si="192"/>
        <v>6.1007521178289013</v>
      </c>
      <c r="Y210" s="18">
        <f t="shared" si="192"/>
        <v>2.5471567724468125</v>
      </c>
      <c r="Z210" s="18">
        <f t="shared" si="192"/>
        <v>1.6669079250150307</v>
      </c>
      <c r="AA210" s="18">
        <f t="shared" si="192"/>
        <v>1.704065906333085</v>
      </c>
      <c r="AB210" s="56">
        <f t="shared" ref="AB210:AB241" si="206">MATCH(MIN(X210:AA210),X210:AA210,0)</f>
        <v>3</v>
      </c>
      <c r="AD210" s="18">
        <f t="shared" si="193"/>
        <v>5.1326163703268701</v>
      </c>
      <c r="AE210" s="18">
        <f t="shared" si="193"/>
        <v>1.8082509488051266</v>
      </c>
      <c r="AF210" s="18">
        <f t="shared" si="193"/>
        <v>1.1345427788301041</v>
      </c>
      <c r="AG210" s="18">
        <f t="shared" si="193"/>
        <v>0.95992148422062729</v>
      </c>
      <c r="AH210" s="56">
        <f t="shared" ref="AH210:AH241" si="207">MATCH(MIN(AD210:AG210),AD210:AG210,0)</f>
        <v>4</v>
      </c>
      <c r="AJ210" s="18">
        <f t="shared" si="194"/>
        <v>4.7896811228552298</v>
      </c>
      <c r="AK210" s="18">
        <f t="shared" si="194"/>
        <v>1.8399258665602791</v>
      </c>
      <c r="AL210" s="18">
        <f t="shared" si="194"/>
        <v>1.2193528682708794</v>
      </c>
      <c r="AM210" s="18">
        <f t="shared" si="194"/>
        <v>0.841775427990056</v>
      </c>
      <c r="AN210" s="56">
        <f t="shared" ref="AN210:AN241" si="208">MATCH(MIN(AJ210:AM210),AJ210:AM210,0)</f>
        <v>4</v>
      </c>
      <c r="AP210" s="18">
        <f t="shared" si="195"/>
        <v>4.4983560398414522</v>
      </c>
      <c r="AQ210" s="18">
        <f t="shared" si="195"/>
        <v>1.9331077082704258</v>
      </c>
      <c r="AR210" s="18">
        <f t="shared" si="195"/>
        <v>1.1708874030921939</v>
      </c>
      <c r="AS210" s="18">
        <f t="shared" si="195"/>
        <v>0.8386430972602863</v>
      </c>
      <c r="AT210" s="56">
        <f t="shared" ref="AT210:AT241" si="209">MATCH(MIN(AP210:AS210),AP210:AS210,0)</f>
        <v>4</v>
      </c>
      <c r="AV210" s="18">
        <f t="shared" si="196"/>
        <v>4.4983560398414522</v>
      </c>
      <c r="AW210" s="18">
        <f t="shared" si="196"/>
        <v>1.9331077082704258</v>
      </c>
      <c r="AX210" s="18">
        <f t="shared" si="196"/>
        <v>1.1708874030921939</v>
      </c>
      <c r="AY210" s="18">
        <f t="shared" si="196"/>
        <v>0.8386430972602863</v>
      </c>
      <c r="AZ210" s="56">
        <f t="shared" ref="AZ210:AZ241" si="210">MATCH(MIN(AV210:AY210),AV210:AY210,0)</f>
        <v>4</v>
      </c>
      <c r="BB210" s="18">
        <f t="shared" si="197"/>
        <v>4.4983560398414522</v>
      </c>
      <c r="BC210" s="18">
        <f t="shared" si="197"/>
        <v>1.9331077082704258</v>
      </c>
      <c r="BD210" s="18">
        <f t="shared" si="197"/>
        <v>1.1708874030921939</v>
      </c>
      <c r="BE210" s="18">
        <f t="shared" si="197"/>
        <v>0.8386430972602863</v>
      </c>
      <c r="BF210" s="56">
        <f t="shared" ref="BF210:BF241" si="211">MATCH(MIN(BB210:BE210),BB210:BE210,0)</f>
        <v>4</v>
      </c>
      <c r="BH210" s="18">
        <f t="shared" si="198"/>
        <v>4.4983560398414522</v>
      </c>
      <c r="BI210" s="18">
        <f t="shared" si="198"/>
        <v>1.9331077082704258</v>
      </c>
      <c r="BJ210" s="18">
        <f t="shared" si="198"/>
        <v>1.1708874030921939</v>
      </c>
      <c r="BK210" s="18">
        <f t="shared" si="198"/>
        <v>0.8386430972602863</v>
      </c>
      <c r="BL210" s="56">
        <f t="shared" ref="BL210:BL241" si="212">MATCH(MIN(BH210:BK210),BH210:BK210,0)</f>
        <v>4</v>
      </c>
      <c r="BN210" s="18">
        <f t="shared" si="199"/>
        <v>4.4983560398414522</v>
      </c>
      <c r="BO210" s="18">
        <f t="shared" si="199"/>
        <v>1.9331077082704258</v>
      </c>
      <c r="BP210" s="18">
        <f t="shared" si="199"/>
        <v>1.1708874030921939</v>
      </c>
      <c r="BQ210" s="18">
        <f t="shared" si="199"/>
        <v>0.8386430972602863</v>
      </c>
      <c r="BR210" s="56">
        <f t="shared" ref="BR210:BR241" si="213">MATCH(MIN(BN210:BQ210),BN210:BQ210,0)</f>
        <v>4</v>
      </c>
      <c r="BT210" s="18">
        <f t="shared" si="200"/>
        <v>4.4983560398414522</v>
      </c>
      <c r="BU210" s="18">
        <f t="shared" si="200"/>
        <v>1.9331077082704258</v>
      </c>
      <c r="BV210" s="18">
        <f t="shared" si="200"/>
        <v>1.1708874030921939</v>
      </c>
      <c r="BW210" s="18">
        <f t="shared" si="200"/>
        <v>0.8386430972602863</v>
      </c>
      <c r="BX210" s="56">
        <f t="shared" ref="BX210:BX241" si="214">MATCH(MIN(BT210:BW210),BT210:BW210,0)</f>
        <v>4</v>
      </c>
      <c r="BZ210" s="18">
        <f t="shared" si="201"/>
        <v>4.4983560398414522</v>
      </c>
      <c r="CA210" s="18">
        <f t="shared" si="201"/>
        <v>1.9331077082704258</v>
      </c>
      <c r="CB210" s="18">
        <f t="shared" si="201"/>
        <v>1.1708874030921939</v>
      </c>
      <c r="CC210" s="18">
        <f t="shared" si="201"/>
        <v>0.8386430972602863</v>
      </c>
      <c r="CD210" s="56">
        <f t="shared" ref="CD210:CD241" si="215">MATCH(MIN(BZ210:CC210),BZ210:CC210,0)</f>
        <v>4</v>
      </c>
      <c r="CF210" s="18">
        <f t="shared" si="202"/>
        <v>4.4983560398414522</v>
      </c>
      <c r="CG210" s="18">
        <f t="shared" si="202"/>
        <v>1.9331077082704258</v>
      </c>
      <c r="CH210" s="18">
        <f t="shared" si="202"/>
        <v>1.1708874030921939</v>
      </c>
      <c r="CI210" s="18">
        <f t="shared" si="202"/>
        <v>0.8386430972602863</v>
      </c>
      <c r="CJ210" s="56">
        <f t="shared" ref="CJ210:CJ241" si="216">MATCH(MIN(CF210:CI210),CF210:CI210,0)</f>
        <v>4</v>
      </c>
      <c r="CL210" s="18">
        <f t="shared" si="203"/>
        <v>4.4983560398414522</v>
      </c>
      <c r="CM210" s="18">
        <f t="shared" si="203"/>
        <v>1.9331077082704258</v>
      </c>
      <c r="CN210" s="18">
        <f t="shared" si="203"/>
        <v>1.1708874030921939</v>
      </c>
      <c r="CO210" s="18">
        <f t="shared" si="203"/>
        <v>0.8386430972602863</v>
      </c>
      <c r="CP210" s="56">
        <f t="shared" ref="CP210:CP241" si="217">MATCH(MIN(CL210:CO210),CL210:CO210,0)</f>
        <v>4</v>
      </c>
    </row>
    <row r="211" spans="1:94" x14ac:dyDescent="0.25">
      <c r="A211" s="36" t="str">
        <f>KMeans_Data!A70</f>
        <v>Naushero Feroz</v>
      </c>
      <c r="B211" s="18">
        <f>KMeans_Data!H70</f>
        <v>-0.13439300986668776</v>
      </c>
      <c r="C211" s="18">
        <f>KMeans_Data!I70</f>
        <v>-0.14698313392952958</v>
      </c>
      <c r="D211" s="18">
        <f>KMeans_Data!J70</f>
        <v>0.43043982201722641</v>
      </c>
      <c r="E211" s="56">
        <f t="shared" si="204"/>
        <v>4</v>
      </c>
      <c r="F211" s="38">
        <f t="shared" si="205"/>
        <v>0.77928445307270311</v>
      </c>
      <c r="G211" s="18">
        <f>IF(COUNTIF(Distance_Matrix!$E$10:$DQ$10,$E211)&lt;=1,0,SUMIF(Distance_Matrix!$E$10:$DQ$10,$E211,Distance_Matrix!$E$79:$DQ$79)/(COUNTIF(Distance_Matrix!$E$10:$DQ$10,$E211)-1))</f>
        <v>1.0994722560500712</v>
      </c>
      <c r="H211" s="18">
        <f>MIN(IF(1=$E211,1E+99,IF(COUNTIF(Distance_Matrix!$E$10:$DQ$10,1)=0,1E+99,SUMIF(Distance_Matrix!$E$10:$DQ$10,1,Distance_Matrix!$E$79:$DQ$79)/COUNTIF(Distance_Matrix!$E$10:$DQ$10,1))),IF(2=$E211,1E+99,IF(COUNTIF(Distance_Matrix!$E$10:$DQ$10,2)=0,1E+99,SUMIF(Distance_Matrix!$E$10:$DQ$10,2,Distance_Matrix!$E$79:$DQ$79)/COUNTIF(Distance_Matrix!$E$10:$DQ$10,2))),IF(3=$E211,1E+99,IF(COUNTIF(Distance_Matrix!$E$10:$DQ$10,3)=0,1E+99,SUMIF(Distance_Matrix!$E$10:$DQ$10,3,Distance_Matrix!$E$79:$DQ$79)/COUNTIF(Distance_Matrix!$E$10:$DQ$10,3))),IF(4=$E211,1E+99,IF(COUNTIF(Distance_Matrix!$E$10:$DQ$10,4)=0,1E+99,SUMIF(Distance_Matrix!$E$10:$DQ$10,4,Distance_Matrix!$E$79:$DQ$79)/COUNTIF(Distance_Matrix!$E$10:$DQ$10,4))))</f>
        <v>1.308413158534071</v>
      </c>
      <c r="I211" s="18">
        <f>IF(COUNTIF(Distance_Matrix!$E$10:$DQ$10,$E211)&lt;=1,0,(H211-G211)/MAX(G211,H211))</f>
        <v>0.15969030968634901</v>
      </c>
      <c r="X211" s="18">
        <f t="shared" si="192"/>
        <v>6.091443757222688</v>
      </c>
      <c r="Y211" s="18">
        <f t="shared" si="192"/>
        <v>2.5582677475268727</v>
      </c>
      <c r="Z211" s="18">
        <f t="shared" si="192"/>
        <v>1.6525144375726144</v>
      </c>
      <c r="AA211" s="18">
        <f t="shared" si="192"/>
        <v>1.7585629508139276</v>
      </c>
      <c r="AB211" s="56">
        <f t="shared" si="206"/>
        <v>3</v>
      </c>
      <c r="AD211" s="18">
        <f t="shared" si="193"/>
        <v>5.1266497345564463</v>
      </c>
      <c r="AE211" s="18">
        <f t="shared" si="193"/>
        <v>1.8293620236078871</v>
      </c>
      <c r="AF211" s="18">
        <f t="shared" si="193"/>
        <v>1.1297261304097004</v>
      </c>
      <c r="AG211" s="18">
        <f t="shared" si="193"/>
        <v>1.0070703479592997</v>
      </c>
      <c r="AH211" s="56">
        <f t="shared" si="207"/>
        <v>4</v>
      </c>
      <c r="AJ211" s="18">
        <f t="shared" si="194"/>
        <v>4.7842537378623415</v>
      </c>
      <c r="AK211" s="18">
        <f t="shared" si="194"/>
        <v>1.8621128226968398</v>
      </c>
      <c r="AL211" s="18">
        <f t="shared" si="194"/>
        <v>1.2156307552716692</v>
      </c>
      <c r="AM211" s="18">
        <f t="shared" si="194"/>
        <v>0.88748395451820228</v>
      </c>
      <c r="AN211" s="56">
        <f t="shared" si="208"/>
        <v>4</v>
      </c>
      <c r="AP211" s="18">
        <f t="shared" si="195"/>
        <v>4.493113104973971</v>
      </c>
      <c r="AQ211" s="18">
        <f t="shared" si="195"/>
        <v>1.9558757584598427</v>
      </c>
      <c r="AR211" s="18">
        <f t="shared" si="195"/>
        <v>1.1671725904442314</v>
      </c>
      <c r="AS211" s="18">
        <f t="shared" si="195"/>
        <v>0.88277089500770423</v>
      </c>
      <c r="AT211" s="56">
        <f t="shared" si="209"/>
        <v>4</v>
      </c>
      <c r="AV211" s="18">
        <f t="shared" si="196"/>
        <v>4.493113104973971</v>
      </c>
      <c r="AW211" s="18">
        <f t="shared" si="196"/>
        <v>1.9558757584598427</v>
      </c>
      <c r="AX211" s="18">
        <f t="shared" si="196"/>
        <v>1.1671725904442314</v>
      </c>
      <c r="AY211" s="18">
        <f t="shared" si="196"/>
        <v>0.88277089500770423</v>
      </c>
      <c r="AZ211" s="56">
        <f t="shared" si="210"/>
        <v>4</v>
      </c>
      <c r="BB211" s="18">
        <f t="shared" si="197"/>
        <v>4.493113104973971</v>
      </c>
      <c r="BC211" s="18">
        <f t="shared" si="197"/>
        <v>1.9558757584598427</v>
      </c>
      <c r="BD211" s="18">
        <f t="shared" si="197"/>
        <v>1.1671725904442314</v>
      </c>
      <c r="BE211" s="18">
        <f t="shared" si="197"/>
        <v>0.88277089500770423</v>
      </c>
      <c r="BF211" s="56">
        <f t="shared" si="211"/>
        <v>4</v>
      </c>
      <c r="BH211" s="18">
        <f t="shared" si="198"/>
        <v>4.493113104973971</v>
      </c>
      <c r="BI211" s="18">
        <f t="shared" si="198"/>
        <v>1.9558757584598427</v>
      </c>
      <c r="BJ211" s="18">
        <f t="shared" si="198"/>
        <v>1.1671725904442314</v>
      </c>
      <c r="BK211" s="18">
        <f t="shared" si="198"/>
        <v>0.88277089500770423</v>
      </c>
      <c r="BL211" s="56">
        <f t="shared" si="212"/>
        <v>4</v>
      </c>
      <c r="BN211" s="18">
        <f t="shared" si="199"/>
        <v>4.493113104973971</v>
      </c>
      <c r="BO211" s="18">
        <f t="shared" si="199"/>
        <v>1.9558757584598427</v>
      </c>
      <c r="BP211" s="18">
        <f t="shared" si="199"/>
        <v>1.1671725904442314</v>
      </c>
      <c r="BQ211" s="18">
        <f t="shared" si="199"/>
        <v>0.88277089500770423</v>
      </c>
      <c r="BR211" s="56">
        <f t="shared" si="213"/>
        <v>4</v>
      </c>
      <c r="BT211" s="18">
        <f t="shared" si="200"/>
        <v>4.493113104973971</v>
      </c>
      <c r="BU211" s="18">
        <f t="shared" si="200"/>
        <v>1.9558757584598427</v>
      </c>
      <c r="BV211" s="18">
        <f t="shared" si="200"/>
        <v>1.1671725904442314</v>
      </c>
      <c r="BW211" s="18">
        <f t="shared" si="200"/>
        <v>0.88277089500770423</v>
      </c>
      <c r="BX211" s="56">
        <f t="shared" si="214"/>
        <v>4</v>
      </c>
      <c r="BZ211" s="18">
        <f t="shared" si="201"/>
        <v>4.493113104973971</v>
      </c>
      <c r="CA211" s="18">
        <f t="shared" si="201"/>
        <v>1.9558757584598427</v>
      </c>
      <c r="CB211" s="18">
        <f t="shared" si="201"/>
        <v>1.1671725904442314</v>
      </c>
      <c r="CC211" s="18">
        <f t="shared" si="201"/>
        <v>0.88277089500770423</v>
      </c>
      <c r="CD211" s="56">
        <f t="shared" si="215"/>
        <v>4</v>
      </c>
      <c r="CF211" s="18">
        <f t="shared" si="202"/>
        <v>4.493113104973971</v>
      </c>
      <c r="CG211" s="18">
        <f t="shared" si="202"/>
        <v>1.9558757584598427</v>
      </c>
      <c r="CH211" s="18">
        <f t="shared" si="202"/>
        <v>1.1671725904442314</v>
      </c>
      <c r="CI211" s="18">
        <f t="shared" si="202"/>
        <v>0.88277089500770423</v>
      </c>
      <c r="CJ211" s="56">
        <f t="shared" si="216"/>
        <v>4</v>
      </c>
      <c r="CL211" s="18">
        <f t="shared" si="203"/>
        <v>4.493113104973971</v>
      </c>
      <c r="CM211" s="18">
        <f t="shared" si="203"/>
        <v>1.9558757584598427</v>
      </c>
      <c r="CN211" s="18">
        <f t="shared" si="203"/>
        <v>1.1671725904442314</v>
      </c>
      <c r="CO211" s="18">
        <f t="shared" si="203"/>
        <v>0.88277089500770423</v>
      </c>
      <c r="CP211" s="56">
        <f t="shared" si="217"/>
        <v>4</v>
      </c>
    </row>
    <row r="212" spans="1:94" x14ac:dyDescent="0.25">
      <c r="A212" s="36" t="str">
        <f>KMeans_Data!A71</f>
        <v>Tando M. Khan</v>
      </c>
      <c r="B212" s="18">
        <f>KMeans_Data!H71</f>
        <v>-0.17296398743636285</v>
      </c>
      <c r="C212" s="18">
        <f>KMeans_Data!I71</f>
        <v>-0.67265054538827607</v>
      </c>
      <c r="D212" s="18">
        <f>KMeans_Data!J71</f>
        <v>0.59726181533299938</v>
      </c>
      <c r="E212" s="56">
        <f t="shared" si="204"/>
        <v>4</v>
      </c>
      <c r="F212" s="38">
        <f t="shared" si="205"/>
        <v>0.97448406908549901</v>
      </c>
      <c r="G212" s="18">
        <f>IF(COUNTIF(Distance_Matrix!$E$10:$DQ$10,$E212)&lt;=1,0,SUMIF(Distance_Matrix!$E$10:$DQ$10,$E212,Distance_Matrix!$E$80:$DQ$80)/(COUNTIF(Distance_Matrix!$E$10:$DQ$10,$E212)-1))</f>
        <v>1.1737853248826127</v>
      </c>
      <c r="H212" s="18">
        <f>MIN(IF(1=$E212,1E+99,IF(COUNTIF(Distance_Matrix!$E$10:$DQ$10,1)=0,1E+99,SUMIF(Distance_Matrix!$E$10:$DQ$10,1,Distance_Matrix!$E$80:$DQ$80)/COUNTIF(Distance_Matrix!$E$10:$DQ$10,1))),IF(2=$E212,1E+99,IF(COUNTIF(Distance_Matrix!$E$10:$DQ$10,2)=0,1E+99,SUMIF(Distance_Matrix!$E$10:$DQ$10,2,Distance_Matrix!$E$80:$DQ$80)/COUNTIF(Distance_Matrix!$E$10:$DQ$10,2))),IF(3=$E212,1E+99,IF(COUNTIF(Distance_Matrix!$E$10:$DQ$10,3)=0,1E+99,SUMIF(Distance_Matrix!$E$10:$DQ$10,3,Distance_Matrix!$E$80:$DQ$80)/COUNTIF(Distance_Matrix!$E$10:$DQ$10,3))),IF(4=$E212,1E+99,IF(COUNTIF(Distance_Matrix!$E$10:$DQ$10,4)=0,1E+99,SUMIF(Distance_Matrix!$E$10:$DQ$10,4,Distance_Matrix!$E$80:$DQ$80)/COUNTIF(Distance_Matrix!$E$10:$DQ$10,4))))</f>
        <v>1.6314987646664079</v>
      </c>
      <c r="I212" s="18">
        <f>IF(COUNTIF(Distance_Matrix!$E$10:$DQ$10,$E212)&lt;=1,0,(H212-G212)/MAX(G212,H212))</f>
        <v>0.28054783104747477</v>
      </c>
      <c r="X212" s="18">
        <f t="shared" si="192"/>
        <v>6.4135297684832393</v>
      </c>
      <c r="Y212" s="18">
        <f t="shared" si="192"/>
        <v>2.5833134057316025</v>
      </c>
      <c r="Z212" s="18">
        <f t="shared" si="192"/>
        <v>1.8255167686819782</v>
      </c>
      <c r="AA212" s="18">
        <f t="shared" si="192"/>
        <v>1.996049580378717</v>
      </c>
      <c r="AB212" s="56">
        <f t="shared" si="206"/>
        <v>3</v>
      </c>
      <c r="AD212" s="18">
        <f t="shared" si="193"/>
        <v>5.4751267714779992</v>
      </c>
      <c r="AE212" s="18">
        <f t="shared" si="193"/>
        <v>1.8680393317588413</v>
      </c>
      <c r="AF212" s="18">
        <f t="shared" si="193"/>
        <v>1.5000592540198181</v>
      </c>
      <c r="AG212" s="18">
        <f t="shared" si="193"/>
        <v>1.1317106531494294</v>
      </c>
      <c r="AH212" s="56">
        <f t="shared" si="207"/>
        <v>4</v>
      </c>
      <c r="AJ212" s="18">
        <f t="shared" si="194"/>
        <v>5.1305119271804545</v>
      </c>
      <c r="AK212" s="18">
        <f t="shared" si="194"/>
        <v>1.9047190310691435</v>
      </c>
      <c r="AL212" s="18">
        <f t="shared" si="194"/>
        <v>1.5940750237435894</v>
      </c>
      <c r="AM212" s="18">
        <f t="shared" si="194"/>
        <v>1.0002353622313143</v>
      </c>
      <c r="AN212" s="56">
        <f t="shared" si="208"/>
        <v>4</v>
      </c>
      <c r="AP212" s="18">
        <f t="shared" si="195"/>
        <v>4.8457361950186852</v>
      </c>
      <c r="AQ212" s="18">
        <f t="shared" si="195"/>
        <v>2.0035566245462424</v>
      </c>
      <c r="AR212" s="18">
        <f t="shared" si="195"/>
        <v>1.5441049812504557</v>
      </c>
      <c r="AS212" s="18">
        <f t="shared" si="195"/>
        <v>0.98715959656253105</v>
      </c>
      <c r="AT212" s="56">
        <f t="shared" si="209"/>
        <v>4</v>
      </c>
      <c r="AV212" s="18">
        <f t="shared" si="196"/>
        <v>4.8457361950186852</v>
      </c>
      <c r="AW212" s="18">
        <f t="shared" si="196"/>
        <v>2.0035566245462424</v>
      </c>
      <c r="AX212" s="18">
        <f t="shared" si="196"/>
        <v>1.5441049812504557</v>
      </c>
      <c r="AY212" s="18">
        <f t="shared" si="196"/>
        <v>0.98715959656253105</v>
      </c>
      <c r="AZ212" s="56">
        <f t="shared" si="210"/>
        <v>4</v>
      </c>
      <c r="BB212" s="18">
        <f t="shared" si="197"/>
        <v>4.8457361950186852</v>
      </c>
      <c r="BC212" s="18">
        <f t="shared" si="197"/>
        <v>2.0035566245462424</v>
      </c>
      <c r="BD212" s="18">
        <f t="shared" si="197"/>
        <v>1.5441049812504557</v>
      </c>
      <c r="BE212" s="18">
        <f t="shared" si="197"/>
        <v>0.98715959656253105</v>
      </c>
      <c r="BF212" s="56">
        <f t="shared" si="211"/>
        <v>4</v>
      </c>
      <c r="BH212" s="18">
        <f t="shared" si="198"/>
        <v>4.8457361950186852</v>
      </c>
      <c r="BI212" s="18">
        <f t="shared" si="198"/>
        <v>2.0035566245462424</v>
      </c>
      <c r="BJ212" s="18">
        <f t="shared" si="198"/>
        <v>1.5441049812504557</v>
      </c>
      <c r="BK212" s="18">
        <f t="shared" si="198"/>
        <v>0.98715959656253105</v>
      </c>
      <c r="BL212" s="56">
        <f t="shared" si="212"/>
        <v>4</v>
      </c>
      <c r="BN212" s="18">
        <f t="shared" si="199"/>
        <v>4.8457361950186852</v>
      </c>
      <c r="BO212" s="18">
        <f t="shared" si="199"/>
        <v>2.0035566245462424</v>
      </c>
      <c r="BP212" s="18">
        <f t="shared" si="199"/>
        <v>1.5441049812504557</v>
      </c>
      <c r="BQ212" s="18">
        <f t="shared" si="199"/>
        <v>0.98715959656253105</v>
      </c>
      <c r="BR212" s="56">
        <f t="shared" si="213"/>
        <v>4</v>
      </c>
      <c r="BT212" s="18">
        <f t="shared" si="200"/>
        <v>4.8457361950186852</v>
      </c>
      <c r="BU212" s="18">
        <f t="shared" si="200"/>
        <v>2.0035566245462424</v>
      </c>
      <c r="BV212" s="18">
        <f t="shared" si="200"/>
        <v>1.5441049812504557</v>
      </c>
      <c r="BW212" s="18">
        <f t="shared" si="200"/>
        <v>0.98715959656253105</v>
      </c>
      <c r="BX212" s="56">
        <f t="shared" si="214"/>
        <v>4</v>
      </c>
      <c r="BZ212" s="18">
        <f t="shared" si="201"/>
        <v>4.8457361950186852</v>
      </c>
      <c r="CA212" s="18">
        <f t="shared" si="201"/>
        <v>2.0035566245462424</v>
      </c>
      <c r="CB212" s="18">
        <f t="shared" si="201"/>
        <v>1.5441049812504557</v>
      </c>
      <c r="CC212" s="18">
        <f t="shared" si="201"/>
        <v>0.98715959656253105</v>
      </c>
      <c r="CD212" s="56">
        <f t="shared" si="215"/>
        <v>4</v>
      </c>
      <c r="CF212" s="18">
        <f t="shared" si="202"/>
        <v>4.8457361950186852</v>
      </c>
      <c r="CG212" s="18">
        <f t="shared" si="202"/>
        <v>2.0035566245462424</v>
      </c>
      <c r="CH212" s="18">
        <f t="shared" si="202"/>
        <v>1.5441049812504557</v>
      </c>
      <c r="CI212" s="18">
        <f t="shared" si="202"/>
        <v>0.98715959656253105</v>
      </c>
      <c r="CJ212" s="56">
        <f t="shared" si="216"/>
        <v>4</v>
      </c>
      <c r="CL212" s="18">
        <f t="shared" si="203"/>
        <v>4.8457361950186852</v>
      </c>
      <c r="CM212" s="18">
        <f t="shared" si="203"/>
        <v>2.0035566245462424</v>
      </c>
      <c r="CN212" s="18">
        <f t="shared" si="203"/>
        <v>1.5441049812504557</v>
      </c>
      <c r="CO212" s="18">
        <f t="shared" si="203"/>
        <v>0.98715959656253105</v>
      </c>
      <c r="CP212" s="56">
        <f t="shared" si="217"/>
        <v>4</v>
      </c>
    </row>
    <row r="213" spans="1:94" x14ac:dyDescent="0.25">
      <c r="A213" s="36" t="str">
        <f>KMeans_Data!A72</f>
        <v>Chitral Lower</v>
      </c>
      <c r="B213" s="18">
        <f>KMeans_Data!H72</f>
        <v>-0.21462381690636909</v>
      </c>
      <c r="C213" s="18">
        <f>KMeans_Data!I72</f>
        <v>-0.67265054538827607</v>
      </c>
      <c r="D213" s="18">
        <f>KMeans_Data!J72</f>
        <v>0.19372787308524608</v>
      </c>
      <c r="E213" s="56">
        <f t="shared" si="204"/>
        <v>4</v>
      </c>
      <c r="F213" s="38">
        <f t="shared" si="205"/>
        <v>0.35800575275240004</v>
      </c>
      <c r="G213" s="18">
        <f>IF(COUNTIF(Distance_Matrix!$E$10:$DQ$10,$E213)&lt;=1,0,SUMIF(Distance_Matrix!$E$10:$DQ$10,$E213,Distance_Matrix!$E$81:$DQ$81)/(COUNTIF(Distance_Matrix!$E$10:$DQ$10,$E213)-1))</f>
        <v>0.89647454524189929</v>
      </c>
      <c r="H213" s="18">
        <f>MIN(IF(1=$E213,1E+99,IF(COUNTIF(Distance_Matrix!$E$10:$DQ$10,1)=0,1E+99,SUMIF(Distance_Matrix!$E$10:$DQ$10,1,Distance_Matrix!$E$81:$DQ$81)/COUNTIF(Distance_Matrix!$E$10:$DQ$10,1))),IF(2=$E213,1E+99,IF(COUNTIF(Distance_Matrix!$E$10:$DQ$10,2)=0,1E+99,SUMIF(Distance_Matrix!$E$10:$DQ$10,2,Distance_Matrix!$E$81:$DQ$81)/COUNTIF(Distance_Matrix!$E$10:$DQ$10,2))),IF(3=$E213,1E+99,IF(COUNTIF(Distance_Matrix!$E$10:$DQ$10,3)=0,1E+99,SUMIF(Distance_Matrix!$E$10:$DQ$10,3,Distance_Matrix!$E$81:$DQ$81)/COUNTIF(Distance_Matrix!$E$10:$DQ$10,3))),IF(4=$E213,1E+99,IF(COUNTIF(Distance_Matrix!$E$10:$DQ$10,4)=0,1E+99,SUMIF(Distance_Matrix!$E$10:$DQ$10,4,Distance_Matrix!$E$81:$DQ$81)/COUNTIF(Distance_Matrix!$E$10:$DQ$10,4))))</f>
        <v>1.687198108214375</v>
      </c>
      <c r="I213" s="18">
        <f>IF(COUNTIF(Distance_Matrix!$E$10:$DQ$10,$E213)&lt;=1,0,(H213-G213)/MAX(G213,H213))</f>
        <v>0.46866076907194265</v>
      </c>
      <c r="X213" s="18">
        <f t="shared" si="192"/>
        <v>6.6127372640193443</v>
      </c>
      <c r="Y213" s="18">
        <f t="shared" si="192"/>
        <v>2.2962073456330026</v>
      </c>
      <c r="Z213" s="18">
        <f t="shared" si="192"/>
        <v>2.0742743415084681</v>
      </c>
      <c r="AA213" s="18">
        <f t="shared" si="192"/>
        <v>1.6764111272591082</v>
      </c>
      <c r="AB213" s="56">
        <f t="shared" si="206"/>
        <v>4</v>
      </c>
      <c r="AD213" s="18">
        <f t="shared" si="193"/>
        <v>5.6493053515531111</v>
      </c>
      <c r="AE213" s="18">
        <f t="shared" si="193"/>
        <v>1.5258904151355734</v>
      </c>
      <c r="AF213" s="18">
        <f t="shared" si="193"/>
        <v>1.6455228166290459</v>
      </c>
      <c r="AG213" s="18">
        <f t="shared" si="193"/>
        <v>0.74681188474006766</v>
      </c>
      <c r="AH213" s="56">
        <f t="shared" si="207"/>
        <v>4</v>
      </c>
      <c r="AJ213" s="18">
        <f t="shared" si="194"/>
        <v>5.3029872994146379</v>
      </c>
      <c r="AK213" s="18">
        <f t="shared" si="194"/>
        <v>1.5578152388505921</v>
      </c>
      <c r="AL213" s="18">
        <f t="shared" si="194"/>
        <v>1.7337224321160567</v>
      </c>
      <c r="AM213" s="18">
        <f t="shared" si="194"/>
        <v>0.61751992829558811</v>
      </c>
      <c r="AN213" s="56">
        <f t="shared" si="208"/>
        <v>4</v>
      </c>
      <c r="AP213" s="18">
        <f t="shared" si="195"/>
        <v>5.0144944821445483</v>
      </c>
      <c r="AQ213" s="18">
        <f t="shared" si="195"/>
        <v>1.6546942247540559</v>
      </c>
      <c r="AR213" s="18">
        <f t="shared" si="195"/>
        <v>1.6837101619717836</v>
      </c>
      <c r="AS213" s="18">
        <f t="shared" si="195"/>
        <v>0.59833581937938496</v>
      </c>
      <c r="AT213" s="56">
        <f t="shared" si="209"/>
        <v>4</v>
      </c>
      <c r="AV213" s="18">
        <f t="shared" si="196"/>
        <v>5.0144944821445483</v>
      </c>
      <c r="AW213" s="18">
        <f t="shared" si="196"/>
        <v>1.6546942247540559</v>
      </c>
      <c r="AX213" s="18">
        <f t="shared" si="196"/>
        <v>1.6837101619717836</v>
      </c>
      <c r="AY213" s="18">
        <f t="shared" si="196"/>
        <v>0.59833581937938496</v>
      </c>
      <c r="AZ213" s="56">
        <f t="shared" si="210"/>
        <v>4</v>
      </c>
      <c r="BB213" s="18">
        <f t="shared" si="197"/>
        <v>5.0144944821445483</v>
      </c>
      <c r="BC213" s="18">
        <f t="shared" si="197"/>
        <v>1.6546942247540559</v>
      </c>
      <c r="BD213" s="18">
        <f t="shared" si="197"/>
        <v>1.6837101619717836</v>
      </c>
      <c r="BE213" s="18">
        <f t="shared" si="197"/>
        <v>0.59833581937938496</v>
      </c>
      <c r="BF213" s="56">
        <f t="shared" si="211"/>
        <v>4</v>
      </c>
      <c r="BH213" s="18">
        <f t="shared" si="198"/>
        <v>5.0144944821445483</v>
      </c>
      <c r="BI213" s="18">
        <f t="shared" si="198"/>
        <v>1.6546942247540559</v>
      </c>
      <c r="BJ213" s="18">
        <f t="shared" si="198"/>
        <v>1.6837101619717836</v>
      </c>
      <c r="BK213" s="18">
        <f t="shared" si="198"/>
        <v>0.59833581937938496</v>
      </c>
      <c r="BL213" s="56">
        <f t="shared" si="212"/>
        <v>4</v>
      </c>
      <c r="BN213" s="18">
        <f t="shared" si="199"/>
        <v>5.0144944821445483</v>
      </c>
      <c r="BO213" s="18">
        <f t="shared" si="199"/>
        <v>1.6546942247540559</v>
      </c>
      <c r="BP213" s="18">
        <f t="shared" si="199"/>
        <v>1.6837101619717836</v>
      </c>
      <c r="BQ213" s="18">
        <f t="shared" si="199"/>
        <v>0.59833581937938496</v>
      </c>
      <c r="BR213" s="56">
        <f t="shared" si="213"/>
        <v>4</v>
      </c>
      <c r="BT213" s="18">
        <f t="shared" si="200"/>
        <v>5.0144944821445483</v>
      </c>
      <c r="BU213" s="18">
        <f t="shared" si="200"/>
        <v>1.6546942247540559</v>
      </c>
      <c r="BV213" s="18">
        <f t="shared" si="200"/>
        <v>1.6837101619717836</v>
      </c>
      <c r="BW213" s="18">
        <f t="shared" si="200"/>
        <v>0.59833581937938496</v>
      </c>
      <c r="BX213" s="56">
        <f t="shared" si="214"/>
        <v>4</v>
      </c>
      <c r="BZ213" s="18">
        <f t="shared" si="201"/>
        <v>5.0144944821445483</v>
      </c>
      <c r="CA213" s="18">
        <f t="shared" si="201"/>
        <v>1.6546942247540559</v>
      </c>
      <c r="CB213" s="18">
        <f t="shared" si="201"/>
        <v>1.6837101619717836</v>
      </c>
      <c r="CC213" s="18">
        <f t="shared" si="201"/>
        <v>0.59833581937938496</v>
      </c>
      <c r="CD213" s="56">
        <f t="shared" si="215"/>
        <v>4</v>
      </c>
      <c r="CF213" s="18">
        <f t="shared" si="202"/>
        <v>5.0144944821445483</v>
      </c>
      <c r="CG213" s="18">
        <f t="shared" si="202"/>
        <v>1.6546942247540559</v>
      </c>
      <c r="CH213" s="18">
        <f t="shared" si="202"/>
        <v>1.6837101619717836</v>
      </c>
      <c r="CI213" s="18">
        <f t="shared" si="202"/>
        <v>0.59833581937938496</v>
      </c>
      <c r="CJ213" s="56">
        <f t="shared" si="216"/>
        <v>4</v>
      </c>
      <c r="CL213" s="18">
        <f t="shared" si="203"/>
        <v>5.0144944821445483</v>
      </c>
      <c r="CM213" s="18">
        <f t="shared" si="203"/>
        <v>1.6546942247540559</v>
      </c>
      <c r="CN213" s="18">
        <f t="shared" si="203"/>
        <v>1.6837101619717836</v>
      </c>
      <c r="CO213" s="18">
        <f t="shared" si="203"/>
        <v>0.59833581937938496</v>
      </c>
      <c r="CP213" s="56">
        <f t="shared" si="217"/>
        <v>4</v>
      </c>
    </row>
    <row r="214" spans="1:94" x14ac:dyDescent="0.25">
      <c r="A214" s="36" t="str">
        <f>KMeans_Data!A73</f>
        <v>Sujawal</v>
      </c>
      <c r="B214" s="18">
        <f>KMeans_Data!H73</f>
        <v>-0.21462381690636909</v>
      </c>
      <c r="C214" s="18">
        <f>KMeans_Data!I73</f>
        <v>-0.67265054538827607</v>
      </c>
      <c r="D214" s="18">
        <f>KMeans_Data!J73</f>
        <v>0.1092417215824385</v>
      </c>
      <c r="E214" s="56">
        <f t="shared" si="204"/>
        <v>4</v>
      </c>
      <c r="F214" s="38">
        <f t="shared" si="205"/>
        <v>0.26903148102829977</v>
      </c>
      <c r="G214" s="18">
        <f>IF(COUNTIF(Distance_Matrix!$E$10:$DQ$10,$E214)&lt;=1,0,SUMIF(Distance_Matrix!$E$10:$DQ$10,$E214,Distance_Matrix!$E$82:$DQ$82)/(COUNTIF(Distance_Matrix!$E$10:$DQ$10,$E214)-1))</f>
        <v>0.85549788549587047</v>
      </c>
      <c r="H214" s="18">
        <f>MIN(IF(1=$E214,1E+99,IF(COUNTIF(Distance_Matrix!$E$10:$DQ$10,1)=0,1E+99,SUMIF(Distance_Matrix!$E$10:$DQ$10,1,Distance_Matrix!$E$82:$DQ$82)/COUNTIF(Distance_Matrix!$E$10:$DQ$10,1))),IF(2=$E214,1E+99,IF(COUNTIF(Distance_Matrix!$E$10:$DQ$10,2)=0,1E+99,SUMIF(Distance_Matrix!$E$10:$DQ$10,2,Distance_Matrix!$E$82:$DQ$82)/COUNTIF(Distance_Matrix!$E$10:$DQ$10,2))),IF(3=$E214,1E+99,IF(COUNTIF(Distance_Matrix!$E$10:$DQ$10,3)=0,1E+99,SUMIF(Distance_Matrix!$E$10:$DQ$10,3,Distance_Matrix!$E$82:$DQ$82)/COUNTIF(Distance_Matrix!$E$10:$DQ$10,3))),IF(4=$E214,1E+99,IF(COUNTIF(Distance_Matrix!$E$10:$DQ$10,4)=0,1E+99,SUMIF(Distance_Matrix!$E$10:$DQ$10,4,Distance_Matrix!$E$82:$DQ$82)/COUNTIF(Distance_Matrix!$E$10:$DQ$10,4))))</f>
        <v>1.6234464741557497</v>
      </c>
      <c r="I214" s="18">
        <f>IF(COUNTIF(Distance_Matrix!$E$10:$DQ$10,$E214)&lt;=1,0,(H214-G214)/MAX(G214,H214))</f>
        <v>0.47303597678466119</v>
      </c>
      <c r="X214" s="18">
        <f t="shared" si="192"/>
        <v>6.6522414095383775</v>
      </c>
      <c r="Y214" s="18">
        <f t="shared" si="192"/>
        <v>2.2479744914703566</v>
      </c>
      <c r="Z214" s="18">
        <f t="shared" si="192"/>
        <v>2.1273163768296945</v>
      </c>
      <c r="AA214" s="18">
        <f t="shared" si="192"/>
        <v>1.6097128339429374</v>
      </c>
      <c r="AB214" s="56">
        <f t="shared" si="206"/>
        <v>4</v>
      </c>
      <c r="AD214" s="18">
        <f t="shared" si="193"/>
        <v>5.6841167201699223</v>
      </c>
      <c r="AE214" s="18">
        <f t="shared" si="193"/>
        <v>1.464485874989254</v>
      </c>
      <c r="AF214" s="18">
        <f t="shared" si="193"/>
        <v>1.6824965569867303</v>
      </c>
      <c r="AG214" s="18">
        <f t="shared" si="193"/>
        <v>0.66729632201119482</v>
      </c>
      <c r="AH214" s="56">
        <f t="shared" si="207"/>
        <v>4</v>
      </c>
      <c r="AJ214" s="18">
        <f t="shared" si="194"/>
        <v>5.3375568724283591</v>
      </c>
      <c r="AK214" s="18">
        <f t="shared" si="194"/>
        <v>1.4948751864415153</v>
      </c>
      <c r="AL214" s="18">
        <f t="shared" si="194"/>
        <v>1.7690484615991511</v>
      </c>
      <c r="AM214" s="18">
        <f t="shared" si="194"/>
        <v>0.53942293298027333</v>
      </c>
      <c r="AN214" s="56">
        <f t="shared" si="208"/>
        <v>4</v>
      </c>
      <c r="AP214" s="18">
        <f t="shared" si="195"/>
        <v>5.048571230223879</v>
      </c>
      <c r="AQ214" s="18">
        <f t="shared" si="195"/>
        <v>1.5908987254299849</v>
      </c>
      <c r="AR214" s="18">
        <f t="shared" si="195"/>
        <v>1.7193205304947197</v>
      </c>
      <c r="AS214" s="18">
        <f t="shared" si="195"/>
        <v>0.51868244719510204</v>
      </c>
      <c r="AT214" s="56">
        <f t="shared" si="209"/>
        <v>4</v>
      </c>
      <c r="AV214" s="18">
        <f t="shared" si="196"/>
        <v>5.048571230223879</v>
      </c>
      <c r="AW214" s="18">
        <f t="shared" si="196"/>
        <v>1.5908987254299849</v>
      </c>
      <c r="AX214" s="18">
        <f t="shared" si="196"/>
        <v>1.7193205304947197</v>
      </c>
      <c r="AY214" s="18">
        <f t="shared" si="196"/>
        <v>0.51868244719510204</v>
      </c>
      <c r="AZ214" s="56">
        <f t="shared" si="210"/>
        <v>4</v>
      </c>
      <c r="BB214" s="18">
        <f t="shared" si="197"/>
        <v>5.048571230223879</v>
      </c>
      <c r="BC214" s="18">
        <f t="shared" si="197"/>
        <v>1.5908987254299849</v>
      </c>
      <c r="BD214" s="18">
        <f t="shared" si="197"/>
        <v>1.7193205304947197</v>
      </c>
      <c r="BE214" s="18">
        <f t="shared" si="197"/>
        <v>0.51868244719510204</v>
      </c>
      <c r="BF214" s="56">
        <f t="shared" si="211"/>
        <v>4</v>
      </c>
      <c r="BH214" s="18">
        <f t="shared" si="198"/>
        <v>5.048571230223879</v>
      </c>
      <c r="BI214" s="18">
        <f t="shared" si="198"/>
        <v>1.5908987254299849</v>
      </c>
      <c r="BJ214" s="18">
        <f t="shared" si="198"/>
        <v>1.7193205304947197</v>
      </c>
      <c r="BK214" s="18">
        <f t="shared" si="198"/>
        <v>0.51868244719510204</v>
      </c>
      <c r="BL214" s="56">
        <f t="shared" si="212"/>
        <v>4</v>
      </c>
      <c r="BN214" s="18">
        <f t="shared" si="199"/>
        <v>5.048571230223879</v>
      </c>
      <c r="BO214" s="18">
        <f t="shared" si="199"/>
        <v>1.5908987254299849</v>
      </c>
      <c r="BP214" s="18">
        <f t="shared" si="199"/>
        <v>1.7193205304947197</v>
      </c>
      <c r="BQ214" s="18">
        <f t="shared" si="199"/>
        <v>0.51868244719510204</v>
      </c>
      <c r="BR214" s="56">
        <f t="shared" si="213"/>
        <v>4</v>
      </c>
      <c r="BT214" s="18">
        <f t="shared" si="200"/>
        <v>5.048571230223879</v>
      </c>
      <c r="BU214" s="18">
        <f t="shared" si="200"/>
        <v>1.5908987254299849</v>
      </c>
      <c r="BV214" s="18">
        <f t="shared" si="200"/>
        <v>1.7193205304947197</v>
      </c>
      <c r="BW214" s="18">
        <f t="shared" si="200"/>
        <v>0.51868244719510204</v>
      </c>
      <c r="BX214" s="56">
        <f t="shared" si="214"/>
        <v>4</v>
      </c>
      <c r="BZ214" s="18">
        <f t="shared" si="201"/>
        <v>5.048571230223879</v>
      </c>
      <c r="CA214" s="18">
        <f t="shared" si="201"/>
        <v>1.5908987254299849</v>
      </c>
      <c r="CB214" s="18">
        <f t="shared" si="201"/>
        <v>1.7193205304947197</v>
      </c>
      <c r="CC214" s="18">
        <f t="shared" si="201"/>
        <v>0.51868244719510204</v>
      </c>
      <c r="CD214" s="56">
        <f t="shared" si="215"/>
        <v>4</v>
      </c>
      <c r="CF214" s="18">
        <f t="shared" si="202"/>
        <v>5.048571230223879</v>
      </c>
      <c r="CG214" s="18">
        <f t="shared" si="202"/>
        <v>1.5908987254299849</v>
      </c>
      <c r="CH214" s="18">
        <f t="shared" si="202"/>
        <v>1.7193205304947197</v>
      </c>
      <c r="CI214" s="18">
        <f t="shared" si="202"/>
        <v>0.51868244719510204</v>
      </c>
      <c r="CJ214" s="56">
        <f t="shared" si="216"/>
        <v>4</v>
      </c>
      <c r="CL214" s="18">
        <f t="shared" si="203"/>
        <v>5.048571230223879</v>
      </c>
      <c r="CM214" s="18">
        <f t="shared" si="203"/>
        <v>1.5908987254299849</v>
      </c>
      <c r="CN214" s="18">
        <f t="shared" si="203"/>
        <v>1.7193205304947197</v>
      </c>
      <c r="CO214" s="18">
        <f t="shared" si="203"/>
        <v>0.51868244719510204</v>
      </c>
      <c r="CP214" s="56">
        <f t="shared" si="217"/>
        <v>4</v>
      </c>
    </row>
    <row r="215" spans="1:94" x14ac:dyDescent="0.25">
      <c r="A215" s="36" t="str">
        <f>KMeans_Data!A74</f>
        <v>Laiya</v>
      </c>
      <c r="B215" s="18">
        <f>KMeans_Data!H74</f>
        <v>-0.25991062981783247</v>
      </c>
      <c r="C215" s="18">
        <f>KMeans_Data!I74</f>
        <v>-0.67265054538827607</v>
      </c>
      <c r="D215" s="18">
        <f>KMeans_Data!J74</f>
        <v>-1.1456441163335547</v>
      </c>
      <c r="E215" s="56">
        <f t="shared" si="204"/>
        <v>4</v>
      </c>
      <c r="F215" s="38">
        <f t="shared" si="205"/>
        <v>0.63807674638440603</v>
      </c>
      <c r="G215" s="18">
        <f>IF(COUNTIF(Distance_Matrix!$E$10:$DQ$10,$E215)&lt;=1,0,SUMIF(Distance_Matrix!$E$10:$DQ$10,$E215,Distance_Matrix!$E$83:$DQ$83)/(COUNTIF(Distance_Matrix!$E$10:$DQ$10,$E215)-1))</f>
        <v>1.0114738970928885</v>
      </c>
      <c r="H215" s="18">
        <f>MIN(IF(1=$E215,1E+99,IF(COUNTIF(Distance_Matrix!$E$10:$DQ$10,1)=0,1E+99,SUMIF(Distance_Matrix!$E$10:$DQ$10,1,Distance_Matrix!$E$83:$DQ$83)/COUNTIF(Distance_Matrix!$E$10:$DQ$10,1))),IF(2=$E215,1E+99,IF(COUNTIF(Distance_Matrix!$E$10:$DQ$10,2)=0,1E+99,SUMIF(Distance_Matrix!$E$10:$DQ$10,2,Distance_Matrix!$E$83:$DQ$83)/COUNTIF(Distance_Matrix!$E$10:$DQ$10,2))),IF(3=$E215,1E+99,IF(COUNTIF(Distance_Matrix!$E$10:$DQ$10,3)=0,1E+99,SUMIF(Distance_Matrix!$E$10:$DQ$10,3,Distance_Matrix!$E$83:$DQ$83)/COUNTIF(Distance_Matrix!$E$10:$DQ$10,3))),IF(4=$E215,1E+99,IF(COUNTIF(Distance_Matrix!$E$10:$DQ$10,4)=0,1E+99,SUMIF(Distance_Matrix!$E$10:$DQ$10,4,Distance_Matrix!$E$83:$DQ$83)/COUNTIF(Distance_Matrix!$E$10:$DQ$10,4))))</f>
        <v>1.0470686411426058</v>
      </c>
      <c r="I215" s="18">
        <f>IF(COUNTIF(Distance_Matrix!$E$10:$DQ$10,$E215)&lt;=1,0,(H215-G215)/MAX(G215,H215))</f>
        <v>3.3994661525604285E-2</v>
      </c>
      <c r="X215" s="18">
        <f t="shared" si="192"/>
        <v>7.3508166372041472</v>
      </c>
      <c r="Y215" s="18">
        <f t="shared" si="192"/>
        <v>1.8198273519854962</v>
      </c>
      <c r="Z215" s="18">
        <f t="shared" si="192"/>
        <v>3.1035249453598421</v>
      </c>
      <c r="AA215" s="18">
        <f t="shared" si="192"/>
        <v>1.0470950502629917</v>
      </c>
      <c r="AB215" s="56">
        <f t="shared" si="206"/>
        <v>4</v>
      </c>
      <c r="AD215" s="18">
        <f t="shared" si="193"/>
        <v>6.3344973580195756</v>
      </c>
      <c r="AE215" s="18">
        <f t="shared" si="193"/>
        <v>1.003588125460054</v>
      </c>
      <c r="AF215" s="18">
        <f t="shared" si="193"/>
        <v>2.5329333054635614</v>
      </c>
      <c r="AG215" s="18">
        <f t="shared" si="193"/>
        <v>0.68684239222378352</v>
      </c>
      <c r="AH215" s="56">
        <f t="shared" si="207"/>
        <v>4</v>
      </c>
      <c r="AJ215" s="18">
        <f t="shared" si="194"/>
        <v>5.9915079155979329</v>
      </c>
      <c r="AK215" s="18">
        <f t="shared" si="194"/>
        <v>0.9856248634050998</v>
      </c>
      <c r="AL215" s="18">
        <f t="shared" si="194"/>
        <v>2.5940171599411306</v>
      </c>
      <c r="AM215" s="18">
        <f t="shared" si="194"/>
        <v>0.80237261450205177</v>
      </c>
      <c r="AN215" s="56">
        <f t="shared" si="208"/>
        <v>4</v>
      </c>
      <c r="AP215" s="18">
        <f t="shared" si="195"/>
        <v>5.7016334494440226</v>
      </c>
      <c r="AQ215" s="18">
        <f t="shared" si="195"/>
        <v>1.0208078166112284</v>
      </c>
      <c r="AR215" s="18">
        <f t="shared" si="195"/>
        <v>2.5525355982053579</v>
      </c>
      <c r="AS215" s="18">
        <f t="shared" si="195"/>
        <v>0.79879706207797607</v>
      </c>
      <c r="AT215" s="56">
        <f t="shared" si="209"/>
        <v>4</v>
      </c>
      <c r="AV215" s="18">
        <f t="shared" si="196"/>
        <v>5.7016334494440226</v>
      </c>
      <c r="AW215" s="18">
        <f t="shared" si="196"/>
        <v>1.0208078166112284</v>
      </c>
      <c r="AX215" s="18">
        <f t="shared" si="196"/>
        <v>2.5525355982053579</v>
      </c>
      <c r="AY215" s="18">
        <f t="shared" si="196"/>
        <v>0.79879706207797607</v>
      </c>
      <c r="AZ215" s="56">
        <f t="shared" si="210"/>
        <v>4</v>
      </c>
      <c r="BB215" s="18">
        <f t="shared" si="197"/>
        <v>5.7016334494440226</v>
      </c>
      <c r="BC215" s="18">
        <f t="shared" si="197"/>
        <v>1.0208078166112284</v>
      </c>
      <c r="BD215" s="18">
        <f t="shared" si="197"/>
        <v>2.5525355982053579</v>
      </c>
      <c r="BE215" s="18">
        <f t="shared" si="197"/>
        <v>0.79879706207797607</v>
      </c>
      <c r="BF215" s="56">
        <f t="shared" si="211"/>
        <v>4</v>
      </c>
      <c r="BH215" s="18">
        <f t="shared" si="198"/>
        <v>5.7016334494440226</v>
      </c>
      <c r="BI215" s="18">
        <f t="shared" si="198"/>
        <v>1.0208078166112284</v>
      </c>
      <c r="BJ215" s="18">
        <f t="shared" si="198"/>
        <v>2.5525355982053579</v>
      </c>
      <c r="BK215" s="18">
        <f t="shared" si="198"/>
        <v>0.79879706207797607</v>
      </c>
      <c r="BL215" s="56">
        <f t="shared" si="212"/>
        <v>4</v>
      </c>
      <c r="BN215" s="18">
        <f t="shared" si="199"/>
        <v>5.7016334494440226</v>
      </c>
      <c r="BO215" s="18">
        <f t="shared" si="199"/>
        <v>1.0208078166112284</v>
      </c>
      <c r="BP215" s="18">
        <f t="shared" si="199"/>
        <v>2.5525355982053579</v>
      </c>
      <c r="BQ215" s="18">
        <f t="shared" si="199"/>
        <v>0.79879706207797607</v>
      </c>
      <c r="BR215" s="56">
        <f t="shared" si="213"/>
        <v>4</v>
      </c>
      <c r="BT215" s="18">
        <f t="shared" si="200"/>
        <v>5.7016334494440226</v>
      </c>
      <c r="BU215" s="18">
        <f t="shared" si="200"/>
        <v>1.0208078166112284</v>
      </c>
      <c r="BV215" s="18">
        <f t="shared" si="200"/>
        <v>2.5525355982053579</v>
      </c>
      <c r="BW215" s="18">
        <f t="shared" si="200"/>
        <v>0.79879706207797607</v>
      </c>
      <c r="BX215" s="56">
        <f t="shared" si="214"/>
        <v>4</v>
      </c>
      <c r="BZ215" s="18">
        <f t="shared" si="201"/>
        <v>5.7016334494440226</v>
      </c>
      <c r="CA215" s="18">
        <f t="shared" si="201"/>
        <v>1.0208078166112284</v>
      </c>
      <c r="CB215" s="18">
        <f t="shared" si="201"/>
        <v>2.5525355982053579</v>
      </c>
      <c r="CC215" s="18">
        <f t="shared" si="201"/>
        <v>0.79879706207797607</v>
      </c>
      <c r="CD215" s="56">
        <f t="shared" si="215"/>
        <v>4</v>
      </c>
      <c r="CF215" s="18">
        <f t="shared" si="202"/>
        <v>5.7016334494440226</v>
      </c>
      <c r="CG215" s="18">
        <f t="shared" si="202"/>
        <v>1.0208078166112284</v>
      </c>
      <c r="CH215" s="18">
        <f t="shared" si="202"/>
        <v>2.5525355982053579</v>
      </c>
      <c r="CI215" s="18">
        <f t="shared" si="202"/>
        <v>0.79879706207797607</v>
      </c>
      <c r="CJ215" s="56">
        <f t="shared" si="216"/>
        <v>4</v>
      </c>
      <c r="CL215" s="18">
        <f t="shared" si="203"/>
        <v>5.7016334494440226</v>
      </c>
      <c r="CM215" s="18">
        <f t="shared" si="203"/>
        <v>1.0208078166112284</v>
      </c>
      <c r="CN215" s="18">
        <f t="shared" si="203"/>
        <v>2.5525355982053579</v>
      </c>
      <c r="CO215" s="18">
        <f t="shared" si="203"/>
        <v>0.79879706207797607</v>
      </c>
      <c r="CP215" s="56">
        <f t="shared" si="217"/>
        <v>4</v>
      </c>
    </row>
    <row r="216" spans="1:94" x14ac:dyDescent="0.25">
      <c r="A216" s="36" t="str">
        <f>KMeans_Data!A75</f>
        <v>Shigar</v>
      </c>
      <c r="B216" s="18">
        <f>KMeans_Data!H75</f>
        <v>-0.27592635554508732</v>
      </c>
      <c r="C216" s="18">
        <f>KMeans_Data!I75</f>
        <v>-0.67265054538827607</v>
      </c>
      <c r="D216" s="18">
        <f>KMeans_Data!J75</f>
        <v>0.2867168485915767</v>
      </c>
      <c r="E216" s="56">
        <f t="shared" si="204"/>
        <v>4</v>
      </c>
      <c r="F216" s="38">
        <f t="shared" si="205"/>
        <v>0.48673260234356946</v>
      </c>
      <c r="G216" s="18">
        <f>IF(COUNTIF(Distance_Matrix!$E$10:$DQ$10,$E216)&lt;=1,0,SUMIF(Distance_Matrix!$E$10:$DQ$10,$E216,Distance_Matrix!$E$84:$DQ$84)/(COUNTIF(Distance_Matrix!$E$10:$DQ$10,$E216)-1))</f>
        <v>0.95333536117765449</v>
      </c>
      <c r="H216" s="18">
        <f>MIN(IF(1=$E216,1E+99,IF(COUNTIF(Distance_Matrix!$E$10:$DQ$10,1)=0,1E+99,SUMIF(Distance_Matrix!$E$10:$DQ$10,1,Distance_Matrix!$E$84:$DQ$84)/COUNTIF(Distance_Matrix!$E$10:$DQ$10,1))),IF(2=$E216,1E+99,IF(COUNTIF(Distance_Matrix!$E$10:$DQ$10,2)=0,1E+99,SUMIF(Distance_Matrix!$E$10:$DQ$10,2,Distance_Matrix!$E$84:$DQ$84)/COUNTIF(Distance_Matrix!$E$10:$DQ$10,2))),IF(3=$E216,1E+99,IF(COUNTIF(Distance_Matrix!$E$10:$DQ$10,3)=0,1E+99,SUMIF(Distance_Matrix!$E$10:$DQ$10,3,Distance_Matrix!$E$84:$DQ$84)/COUNTIF(Distance_Matrix!$E$10:$DQ$10,3))),IF(4=$E216,1E+99,IF(COUNTIF(Distance_Matrix!$E$10:$DQ$10,4)=0,1E+99,SUMIF(Distance_Matrix!$E$10:$DQ$10,4,Distance_Matrix!$E$84:$DQ$84)/COUNTIF(Distance_Matrix!$E$10:$DQ$10,4))))</f>
        <v>1.7240681239483961</v>
      </c>
      <c r="I216" s="18">
        <f>IF(COUNTIF(Distance_Matrix!$E$10:$DQ$10,$E216)&lt;=1,0,(H216-G216)/MAX(G216,H216))</f>
        <v>0.44704310233730116</v>
      </c>
      <c r="X216" s="18">
        <f t="shared" si="192"/>
        <v>6.6029959991080132</v>
      </c>
      <c r="Y216" s="18">
        <f t="shared" si="192"/>
        <v>2.30334415944853</v>
      </c>
      <c r="Z216" s="18">
        <f t="shared" si="192"/>
        <v>2.0569594071030406</v>
      </c>
      <c r="AA216" s="18">
        <f t="shared" si="192"/>
        <v>1.7825065614331335</v>
      </c>
      <c r="AB216" s="56">
        <f t="shared" si="206"/>
        <v>4</v>
      </c>
      <c r="AD216" s="18">
        <f t="shared" si="193"/>
        <v>5.6454699689101036</v>
      </c>
      <c r="AE216" s="18">
        <f t="shared" si="193"/>
        <v>1.5571979009005332</v>
      </c>
      <c r="AF216" s="18">
        <f t="shared" si="193"/>
        <v>1.6411544492567542</v>
      </c>
      <c r="AG216" s="18">
        <f t="shared" si="193"/>
        <v>0.84878174103209281</v>
      </c>
      <c r="AH216" s="56">
        <f t="shared" si="207"/>
        <v>4</v>
      </c>
      <c r="AJ216" s="18">
        <f t="shared" si="194"/>
        <v>5.3001984203830306</v>
      </c>
      <c r="AK216" s="18">
        <f t="shared" si="194"/>
        <v>1.5917769514808393</v>
      </c>
      <c r="AL216" s="18">
        <f t="shared" si="194"/>
        <v>1.7309974175469727</v>
      </c>
      <c r="AM216" s="18">
        <f t="shared" si="194"/>
        <v>0.71927398422094602</v>
      </c>
      <c r="AN216" s="56">
        <f t="shared" si="208"/>
        <v>4</v>
      </c>
      <c r="AP216" s="18">
        <f t="shared" si="195"/>
        <v>5.0118612117964014</v>
      </c>
      <c r="AQ216" s="18">
        <f t="shared" si="195"/>
        <v>1.6899095523592056</v>
      </c>
      <c r="AR216" s="18">
        <f t="shared" si="195"/>
        <v>1.6809130451101457</v>
      </c>
      <c r="AS216" s="18">
        <f t="shared" si="195"/>
        <v>0.69766224087560413</v>
      </c>
      <c r="AT216" s="56">
        <f t="shared" si="209"/>
        <v>4</v>
      </c>
      <c r="AV216" s="18">
        <f t="shared" si="196"/>
        <v>5.0118612117964014</v>
      </c>
      <c r="AW216" s="18">
        <f t="shared" si="196"/>
        <v>1.6899095523592056</v>
      </c>
      <c r="AX216" s="18">
        <f t="shared" si="196"/>
        <v>1.6809130451101457</v>
      </c>
      <c r="AY216" s="18">
        <f t="shared" si="196"/>
        <v>0.69766224087560413</v>
      </c>
      <c r="AZ216" s="56">
        <f t="shared" si="210"/>
        <v>4</v>
      </c>
      <c r="BB216" s="18">
        <f t="shared" si="197"/>
        <v>5.0118612117964014</v>
      </c>
      <c r="BC216" s="18">
        <f t="shared" si="197"/>
        <v>1.6899095523592056</v>
      </c>
      <c r="BD216" s="18">
        <f t="shared" si="197"/>
        <v>1.6809130451101457</v>
      </c>
      <c r="BE216" s="18">
        <f t="shared" si="197"/>
        <v>0.69766224087560413</v>
      </c>
      <c r="BF216" s="56">
        <f t="shared" si="211"/>
        <v>4</v>
      </c>
      <c r="BH216" s="18">
        <f t="shared" si="198"/>
        <v>5.0118612117964014</v>
      </c>
      <c r="BI216" s="18">
        <f t="shared" si="198"/>
        <v>1.6899095523592056</v>
      </c>
      <c r="BJ216" s="18">
        <f t="shared" si="198"/>
        <v>1.6809130451101457</v>
      </c>
      <c r="BK216" s="18">
        <f t="shared" si="198"/>
        <v>0.69766224087560413</v>
      </c>
      <c r="BL216" s="56">
        <f t="shared" si="212"/>
        <v>4</v>
      </c>
      <c r="BN216" s="18">
        <f t="shared" si="199"/>
        <v>5.0118612117964014</v>
      </c>
      <c r="BO216" s="18">
        <f t="shared" si="199"/>
        <v>1.6899095523592056</v>
      </c>
      <c r="BP216" s="18">
        <f t="shared" si="199"/>
        <v>1.6809130451101457</v>
      </c>
      <c r="BQ216" s="18">
        <f t="shared" si="199"/>
        <v>0.69766224087560413</v>
      </c>
      <c r="BR216" s="56">
        <f t="shared" si="213"/>
        <v>4</v>
      </c>
      <c r="BT216" s="18">
        <f t="shared" si="200"/>
        <v>5.0118612117964014</v>
      </c>
      <c r="BU216" s="18">
        <f t="shared" si="200"/>
        <v>1.6899095523592056</v>
      </c>
      <c r="BV216" s="18">
        <f t="shared" si="200"/>
        <v>1.6809130451101457</v>
      </c>
      <c r="BW216" s="18">
        <f t="shared" si="200"/>
        <v>0.69766224087560413</v>
      </c>
      <c r="BX216" s="56">
        <f t="shared" si="214"/>
        <v>4</v>
      </c>
      <c r="BZ216" s="18">
        <f t="shared" si="201"/>
        <v>5.0118612117964014</v>
      </c>
      <c r="CA216" s="18">
        <f t="shared" si="201"/>
        <v>1.6899095523592056</v>
      </c>
      <c r="CB216" s="18">
        <f t="shared" si="201"/>
        <v>1.6809130451101457</v>
      </c>
      <c r="CC216" s="18">
        <f t="shared" si="201"/>
        <v>0.69766224087560413</v>
      </c>
      <c r="CD216" s="56">
        <f t="shared" si="215"/>
        <v>4</v>
      </c>
      <c r="CF216" s="18">
        <f t="shared" si="202"/>
        <v>5.0118612117964014</v>
      </c>
      <c r="CG216" s="18">
        <f t="shared" si="202"/>
        <v>1.6899095523592056</v>
      </c>
      <c r="CH216" s="18">
        <f t="shared" si="202"/>
        <v>1.6809130451101457</v>
      </c>
      <c r="CI216" s="18">
        <f t="shared" si="202"/>
        <v>0.69766224087560413</v>
      </c>
      <c r="CJ216" s="56">
        <f t="shared" si="216"/>
        <v>4</v>
      </c>
      <c r="CL216" s="18">
        <f t="shared" si="203"/>
        <v>5.0118612117964014</v>
      </c>
      <c r="CM216" s="18">
        <f t="shared" si="203"/>
        <v>1.6899095523592056</v>
      </c>
      <c r="CN216" s="18">
        <f t="shared" si="203"/>
        <v>1.6809130451101457</v>
      </c>
      <c r="CO216" s="18">
        <f t="shared" si="203"/>
        <v>0.69766224087560413</v>
      </c>
      <c r="CP216" s="56">
        <f t="shared" si="217"/>
        <v>4</v>
      </c>
    </row>
    <row r="217" spans="1:94" x14ac:dyDescent="0.25">
      <c r="A217" s="36" t="str">
        <f>KMeans_Data!A76</f>
        <v>Narowal</v>
      </c>
      <c r="B217" s="18">
        <f>KMeans_Data!H76</f>
        <v>-0.27592635554508732</v>
      </c>
      <c r="C217" s="18">
        <f>KMeans_Data!I76</f>
        <v>-0.67265054538827607</v>
      </c>
      <c r="D217" s="18">
        <f>KMeans_Data!J76</f>
        <v>-1.1456441163335547</v>
      </c>
      <c r="E217" s="56">
        <f t="shared" si="204"/>
        <v>4</v>
      </c>
      <c r="F217" s="38">
        <f t="shared" si="205"/>
        <v>0.6425366744106451</v>
      </c>
      <c r="G217" s="18">
        <f>IF(COUNTIF(Distance_Matrix!$E$10:$DQ$10,$E217)&lt;=1,0,SUMIF(Distance_Matrix!$E$10:$DQ$10,$E217,Distance_Matrix!$E$85:$DQ$85)/(COUNTIF(Distance_Matrix!$E$10:$DQ$10,$E217)-1))</f>
        <v>1.0133592949175225</v>
      </c>
      <c r="H217" s="18">
        <f>MIN(IF(1=$E217,1E+99,IF(COUNTIF(Distance_Matrix!$E$10:$DQ$10,1)=0,1E+99,SUMIF(Distance_Matrix!$E$10:$DQ$10,1,Distance_Matrix!$E$85:$DQ$85)/COUNTIF(Distance_Matrix!$E$10:$DQ$10,1))),IF(2=$E217,1E+99,IF(COUNTIF(Distance_Matrix!$E$10:$DQ$10,2)=0,1E+99,SUMIF(Distance_Matrix!$E$10:$DQ$10,2,Distance_Matrix!$E$85:$DQ$85)/COUNTIF(Distance_Matrix!$E$10:$DQ$10,2))),IF(3=$E217,1E+99,IF(COUNTIF(Distance_Matrix!$E$10:$DQ$10,3)=0,1E+99,SUMIF(Distance_Matrix!$E$10:$DQ$10,3,Distance_Matrix!$E$85:$DQ$85)/COUNTIF(Distance_Matrix!$E$10:$DQ$10,3))),IF(4=$E217,1E+99,IF(COUNTIF(Distance_Matrix!$E$10:$DQ$10,4)=0,1E+99,SUMIF(Distance_Matrix!$E$10:$DQ$10,4,Distance_Matrix!$E$85:$DQ$85)/COUNTIF(Distance_Matrix!$E$10:$DQ$10,4))))</f>
        <v>1.0315745109082652</v>
      </c>
      <c r="I217" s="18">
        <f>IF(COUNTIF(Distance_Matrix!$E$10:$DQ$10,$E217)&lt;=1,0,(H217-G217)/MAX(G217,H217))</f>
        <v>1.7657683277483134E-2</v>
      </c>
      <c r="X217" s="18">
        <f t="shared" si="192"/>
        <v>7.3585302822416772</v>
      </c>
      <c r="Y217" s="18">
        <f t="shared" si="192"/>
        <v>1.8038116262582413</v>
      </c>
      <c r="Z217" s="18">
        <f t="shared" si="192"/>
        <v>3.1102534157725112</v>
      </c>
      <c r="AA217" s="18">
        <f t="shared" si="192"/>
        <v>1.0609767705802609</v>
      </c>
      <c r="AB217" s="56">
        <f t="shared" si="206"/>
        <v>4</v>
      </c>
      <c r="AD217" s="18">
        <f t="shared" si="193"/>
        <v>6.3422709448125314</v>
      </c>
      <c r="AE217" s="18">
        <f t="shared" si="193"/>
        <v>0.987937025681763</v>
      </c>
      <c r="AF217" s="18">
        <f t="shared" si="193"/>
        <v>2.538463464377815</v>
      </c>
      <c r="AG217" s="18">
        <f t="shared" si="193"/>
        <v>0.69162139145718193</v>
      </c>
      <c r="AH217" s="56">
        <f t="shared" si="207"/>
        <v>4</v>
      </c>
      <c r="AJ217" s="18">
        <f t="shared" si="194"/>
        <v>5.9993855921152299</v>
      </c>
      <c r="AK217" s="18">
        <f t="shared" si="194"/>
        <v>0.96982815807668299</v>
      </c>
      <c r="AL217" s="18">
        <f t="shared" si="194"/>
        <v>2.599702542552488</v>
      </c>
      <c r="AM217" s="18">
        <f t="shared" si="194"/>
        <v>0.80608408568748458</v>
      </c>
      <c r="AN217" s="56">
        <f t="shared" si="208"/>
        <v>4</v>
      </c>
      <c r="AP217" s="18">
        <f t="shared" si="195"/>
        <v>5.7093559871752273</v>
      </c>
      <c r="AQ217" s="18">
        <f t="shared" si="195"/>
        <v>1.0048357982375984</v>
      </c>
      <c r="AR217" s="18">
        <f t="shared" si="195"/>
        <v>2.5581710694763702</v>
      </c>
      <c r="AS217" s="18">
        <f t="shared" si="195"/>
        <v>0.80158385363643969</v>
      </c>
      <c r="AT217" s="56">
        <f t="shared" si="209"/>
        <v>4</v>
      </c>
      <c r="AV217" s="18">
        <f t="shared" si="196"/>
        <v>5.7093559871752273</v>
      </c>
      <c r="AW217" s="18">
        <f t="shared" si="196"/>
        <v>1.0048357982375984</v>
      </c>
      <c r="AX217" s="18">
        <f t="shared" si="196"/>
        <v>2.5581710694763702</v>
      </c>
      <c r="AY217" s="18">
        <f t="shared" si="196"/>
        <v>0.80158385363643969</v>
      </c>
      <c r="AZ217" s="56">
        <f t="shared" si="210"/>
        <v>4</v>
      </c>
      <c r="BB217" s="18">
        <f t="shared" si="197"/>
        <v>5.7093559871752273</v>
      </c>
      <c r="BC217" s="18">
        <f t="shared" si="197"/>
        <v>1.0048357982375984</v>
      </c>
      <c r="BD217" s="18">
        <f t="shared" si="197"/>
        <v>2.5581710694763702</v>
      </c>
      <c r="BE217" s="18">
        <f t="shared" si="197"/>
        <v>0.80158385363643969</v>
      </c>
      <c r="BF217" s="56">
        <f t="shared" si="211"/>
        <v>4</v>
      </c>
      <c r="BH217" s="18">
        <f t="shared" si="198"/>
        <v>5.7093559871752273</v>
      </c>
      <c r="BI217" s="18">
        <f t="shared" si="198"/>
        <v>1.0048357982375984</v>
      </c>
      <c r="BJ217" s="18">
        <f t="shared" si="198"/>
        <v>2.5581710694763702</v>
      </c>
      <c r="BK217" s="18">
        <f t="shared" si="198"/>
        <v>0.80158385363643969</v>
      </c>
      <c r="BL217" s="56">
        <f t="shared" si="212"/>
        <v>4</v>
      </c>
      <c r="BN217" s="18">
        <f t="shared" si="199"/>
        <v>5.7093559871752273</v>
      </c>
      <c r="BO217" s="18">
        <f t="shared" si="199"/>
        <v>1.0048357982375984</v>
      </c>
      <c r="BP217" s="18">
        <f t="shared" si="199"/>
        <v>2.5581710694763702</v>
      </c>
      <c r="BQ217" s="18">
        <f t="shared" si="199"/>
        <v>0.80158385363643969</v>
      </c>
      <c r="BR217" s="56">
        <f t="shared" si="213"/>
        <v>4</v>
      </c>
      <c r="BT217" s="18">
        <f t="shared" si="200"/>
        <v>5.7093559871752273</v>
      </c>
      <c r="BU217" s="18">
        <f t="shared" si="200"/>
        <v>1.0048357982375984</v>
      </c>
      <c r="BV217" s="18">
        <f t="shared" si="200"/>
        <v>2.5581710694763702</v>
      </c>
      <c r="BW217" s="18">
        <f t="shared" si="200"/>
        <v>0.80158385363643969</v>
      </c>
      <c r="BX217" s="56">
        <f t="shared" si="214"/>
        <v>4</v>
      </c>
      <c r="BZ217" s="18">
        <f t="shared" si="201"/>
        <v>5.7093559871752273</v>
      </c>
      <c r="CA217" s="18">
        <f t="shared" si="201"/>
        <v>1.0048357982375984</v>
      </c>
      <c r="CB217" s="18">
        <f t="shared" si="201"/>
        <v>2.5581710694763702</v>
      </c>
      <c r="CC217" s="18">
        <f t="shared" si="201"/>
        <v>0.80158385363643969</v>
      </c>
      <c r="CD217" s="56">
        <f t="shared" si="215"/>
        <v>4</v>
      </c>
      <c r="CF217" s="18">
        <f t="shared" si="202"/>
        <v>5.7093559871752273</v>
      </c>
      <c r="CG217" s="18">
        <f t="shared" si="202"/>
        <v>1.0048357982375984</v>
      </c>
      <c r="CH217" s="18">
        <f t="shared" si="202"/>
        <v>2.5581710694763702</v>
      </c>
      <c r="CI217" s="18">
        <f t="shared" si="202"/>
        <v>0.80158385363643969</v>
      </c>
      <c r="CJ217" s="56">
        <f t="shared" si="216"/>
        <v>4</v>
      </c>
      <c r="CL217" s="18">
        <f t="shared" si="203"/>
        <v>5.7093559871752273</v>
      </c>
      <c r="CM217" s="18">
        <f t="shared" si="203"/>
        <v>1.0048357982375984</v>
      </c>
      <c r="CN217" s="18">
        <f t="shared" si="203"/>
        <v>2.5581710694763702</v>
      </c>
      <c r="CO217" s="18">
        <f t="shared" si="203"/>
        <v>0.80158385363643969</v>
      </c>
      <c r="CP217" s="56">
        <f t="shared" si="217"/>
        <v>4</v>
      </c>
    </row>
    <row r="218" spans="1:94" x14ac:dyDescent="0.25">
      <c r="A218" s="36" t="str">
        <f>KMeans_Data!A77</f>
        <v>Mandi Bahauddin</v>
      </c>
      <c r="B218" s="18">
        <f>KMeans_Data!H77</f>
        <v>-0.30951672077615416</v>
      </c>
      <c r="C218" s="18">
        <f>KMeans_Data!I77</f>
        <v>-0.67265054538827607</v>
      </c>
      <c r="D218" s="18">
        <f>KMeans_Data!J77</f>
        <v>-0.1820498150291911</v>
      </c>
      <c r="E218" s="56">
        <f t="shared" si="204"/>
        <v>4</v>
      </c>
      <c r="F218" s="38">
        <f t="shared" si="205"/>
        <v>9.7041742153415489E-2</v>
      </c>
      <c r="G218" s="18">
        <f>IF(COUNTIF(Distance_Matrix!$E$10:$DQ$10,$E218)&lt;=1,0,SUMIF(Distance_Matrix!$E$10:$DQ$10,$E218,Distance_Matrix!$E$86:$DQ$86)/(COUNTIF(Distance_Matrix!$E$10:$DQ$10,$E218)-1))</f>
        <v>0.76713484983543445</v>
      </c>
      <c r="H218" s="18">
        <f>MIN(IF(1=$E218,1E+99,IF(COUNTIF(Distance_Matrix!$E$10:$DQ$10,1)=0,1E+99,SUMIF(Distance_Matrix!$E$10:$DQ$10,1,Distance_Matrix!$E$86:$DQ$86)/COUNTIF(Distance_Matrix!$E$10:$DQ$10,1))),IF(2=$E218,1E+99,IF(COUNTIF(Distance_Matrix!$E$10:$DQ$10,2)=0,1E+99,SUMIF(Distance_Matrix!$E$10:$DQ$10,2,Distance_Matrix!$E$86:$DQ$86)/COUNTIF(Distance_Matrix!$E$10:$DQ$10,2))),IF(3=$E218,1E+99,IF(COUNTIF(Distance_Matrix!$E$10:$DQ$10,3)=0,1E+99,SUMIF(Distance_Matrix!$E$10:$DQ$10,3,Distance_Matrix!$E$86:$DQ$86)/COUNTIF(Distance_Matrix!$E$10:$DQ$10,3))),IF(4=$E218,1E+99,IF(COUNTIF(Distance_Matrix!$E$10:$DQ$10,4)=0,1E+99,SUMIF(Distance_Matrix!$E$10:$DQ$10,4,Distance_Matrix!$E$86:$DQ$86)/COUNTIF(Distance_Matrix!$E$10:$DQ$10,4))))</f>
        <v>1.3525589232056663</v>
      </c>
      <c r="I218" s="18">
        <f>IF(COUNTIF(Distance_Matrix!$E$10:$DQ$10,$E218)&lt;=1,0,(H218-G218)/MAX(G218,H218))</f>
        <v>0.43282703867919692</v>
      </c>
      <c r="X218" s="18">
        <f t="shared" si="192"/>
        <v>6.8439501868573736</v>
      </c>
      <c r="Y218" s="18">
        <f t="shared" si="192"/>
        <v>2.0154893426904752</v>
      </c>
      <c r="Z218" s="18">
        <f t="shared" si="192"/>
        <v>2.3769571381083732</v>
      </c>
      <c r="AA218" s="18">
        <f t="shared" si="192"/>
        <v>1.4550696614569665</v>
      </c>
      <c r="AB218" s="56">
        <f t="shared" si="206"/>
        <v>4</v>
      </c>
      <c r="AD218" s="18">
        <f t="shared" si="193"/>
        <v>5.8618830748159558</v>
      </c>
      <c r="AE218" s="18">
        <f t="shared" si="193"/>
        <v>1.1980384140555782</v>
      </c>
      <c r="AF218" s="18">
        <f t="shared" si="193"/>
        <v>1.8787137156176155</v>
      </c>
      <c r="AG218" s="18">
        <f t="shared" si="193"/>
        <v>0.45275146213991457</v>
      </c>
      <c r="AH218" s="56">
        <f t="shared" si="207"/>
        <v>4</v>
      </c>
      <c r="AJ218" s="18">
        <f t="shared" si="194"/>
        <v>5.5159565634961538</v>
      </c>
      <c r="AK218" s="18">
        <f t="shared" si="194"/>
        <v>1.2237373524965909</v>
      </c>
      <c r="AL218" s="18">
        <f t="shared" si="194"/>
        <v>1.9594554197328564</v>
      </c>
      <c r="AM218" s="18">
        <f t="shared" si="194"/>
        <v>0.35096548177002207</v>
      </c>
      <c r="AN218" s="56">
        <f t="shared" si="208"/>
        <v>4</v>
      </c>
      <c r="AP218" s="18">
        <f t="shared" si="195"/>
        <v>5.2250216280149679</v>
      </c>
      <c r="AQ218" s="18">
        <f t="shared" si="195"/>
        <v>1.316712980244424</v>
      </c>
      <c r="AR218" s="18">
        <f t="shared" si="195"/>
        <v>1.9112499891386143</v>
      </c>
      <c r="AS218" s="18">
        <f t="shared" si="195"/>
        <v>0.31151523582870788</v>
      </c>
      <c r="AT218" s="56">
        <f t="shared" si="209"/>
        <v>4</v>
      </c>
      <c r="AV218" s="18">
        <f t="shared" si="196"/>
        <v>5.2250216280149679</v>
      </c>
      <c r="AW218" s="18">
        <f t="shared" si="196"/>
        <v>1.316712980244424</v>
      </c>
      <c r="AX218" s="18">
        <f t="shared" si="196"/>
        <v>1.9112499891386143</v>
      </c>
      <c r="AY218" s="18">
        <f t="shared" si="196"/>
        <v>0.31151523582870788</v>
      </c>
      <c r="AZ218" s="56">
        <f t="shared" si="210"/>
        <v>4</v>
      </c>
      <c r="BB218" s="18">
        <f t="shared" si="197"/>
        <v>5.2250216280149679</v>
      </c>
      <c r="BC218" s="18">
        <f t="shared" si="197"/>
        <v>1.316712980244424</v>
      </c>
      <c r="BD218" s="18">
        <f t="shared" si="197"/>
        <v>1.9112499891386143</v>
      </c>
      <c r="BE218" s="18">
        <f t="shared" si="197"/>
        <v>0.31151523582870788</v>
      </c>
      <c r="BF218" s="56">
        <f t="shared" si="211"/>
        <v>4</v>
      </c>
      <c r="BH218" s="18">
        <f t="shared" si="198"/>
        <v>5.2250216280149679</v>
      </c>
      <c r="BI218" s="18">
        <f t="shared" si="198"/>
        <v>1.316712980244424</v>
      </c>
      <c r="BJ218" s="18">
        <f t="shared" si="198"/>
        <v>1.9112499891386143</v>
      </c>
      <c r="BK218" s="18">
        <f t="shared" si="198"/>
        <v>0.31151523582870788</v>
      </c>
      <c r="BL218" s="56">
        <f t="shared" si="212"/>
        <v>4</v>
      </c>
      <c r="BN218" s="18">
        <f t="shared" si="199"/>
        <v>5.2250216280149679</v>
      </c>
      <c r="BO218" s="18">
        <f t="shared" si="199"/>
        <v>1.316712980244424</v>
      </c>
      <c r="BP218" s="18">
        <f t="shared" si="199"/>
        <v>1.9112499891386143</v>
      </c>
      <c r="BQ218" s="18">
        <f t="shared" si="199"/>
        <v>0.31151523582870788</v>
      </c>
      <c r="BR218" s="56">
        <f t="shared" si="213"/>
        <v>4</v>
      </c>
      <c r="BT218" s="18">
        <f t="shared" si="200"/>
        <v>5.2250216280149679</v>
      </c>
      <c r="BU218" s="18">
        <f t="shared" si="200"/>
        <v>1.316712980244424</v>
      </c>
      <c r="BV218" s="18">
        <f t="shared" si="200"/>
        <v>1.9112499891386143</v>
      </c>
      <c r="BW218" s="18">
        <f t="shared" si="200"/>
        <v>0.31151523582870788</v>
      </c>
      <c r="BX218" s="56">
        <f t="shared" si="214"/>
        <v>4</v>
      </c>
      <c r="BZ218" s="18">
        <f t="shared" si="201"/>
        <v>5.2250216280149679</v>
      </c>
      <c r="CA218" s="18">
        <f t="shared" si="201"/>
        <v>1.316712980244424</v>
      </c>
      <c r="CB218" s="18">
        <f t="shared" si="201"/>
        <v>1.9112499891386143</v>
      </c>
      <c r="CC218" s="18">
        <f t="shared" si="201"/>
        <v>0.31151523582870788</v>
      </c>
      <c r="CD218" s="56">
        <f t="shared" si="215"/>
        <v>4</v>
      </c>
      <c r="CF218" s="18">
        <f t="shared" si="202"/>
        <v>5.2250216280149679</v>
      </c>
      <c r="CG218" s="18">
        <f t="shared" si="202"/>
        <v>1.316712980244424</v>
      </c>
      <c r="CH218" s="18">
        <f t="shared" si="202"/>
        <v>1.9112499891386143</v>
      </c>
      <c r="CI218" s="18">
        <f t="shared" si="202"/>
        <v>0.31151523582870788</v>
      </c>
      <c r="CJ218" s="56">
        <f t="shared" si="216"/>
        <v>4</v>
      </c>
      <c r="CL218" s="18">
        <f t="shared" si="203"/>
        <v>5.2250216280149679</v>
      </c>
      <c r="CM218" s="18">
        <f t="shared" si="203"/>
        <v>1.316712980244424</v>
      </c>
      <c r="CN218" s="18">
        <f t="shared" si="203"/>
        <v>1.9112499891386143</v>
      </c>
      <c r="CO218" s="18">
        <f t="shared" si="203"/>
        <v>0.31151523582870788</v>
      </c>
      <c r="CP218" s="56">
        <f t="shared" si="217"/>
        <v>4</v>
      </c>
    </row>
    <row r="219" spans="1:94" x14ac:dyDescent="0.25">
      <c r="A219" s="36" t="str">
        <f>KMeans_Data!A78</f>
        <v>Ghanche</v>
      </c>
      <c r="B219" s="18">
        <f>KMeans_Data!H78</f>
        <v>-0.3271614619727895</v>
      </c>
      <c r="C219" s="18">
        <f>KMeans_Data!I78</f>
        <v>-0.67265054538827607</v>
      </c>
      <c r="D219" s="18">
        <f>KMeans_Data!J78</f>
        <v>-0.24392704812240026</v>
      </c>
      <c r="E219" s="56">
        <f t="shared" si="204"/>
        <v>4</v>
      </c>
      <c r="F219" s="38">
        <f t="shared" si="205"/>
        <v>8.3675501962875251E-2</v>
      </c>
      <c r="G219" s="18">
        <f>IF(COUNTIF(Distance_Matrix!$E$10:$DQ$10,$E219)&lt;=1,0,SUMIF(Distance_Matrix!$E$10:$DQ$10,$E219,Distance_Matrix!$E$87:$DQ$87)/(COUNTIF(Distance_Matrix!$E$10:$DQ$10,$E219)-1))</f>
        <v>0.75991867304728389</v>
      </c>
      <c r="H219" s="18">
        <f>MIN(IF(1=$E219,1E+99,IF(COUNTIF(Distance_Matrix!$E$10:$DQ$10,1)=0,1E+99,SUMIF(Distance_Matrix!$E$10:$DQ$10,1,Distance_Matrix!$E$87:$DQ$87)/COUNTIF(Distance_Matrix!$E$10:$DQ$10,1))),IF(2=$E219,1E+99,IF(COUNTIF(Distance_Matrix!$E$10:$DQ$10,2)=0,1E+99,SUMIF(Distance_Matrix!$E$10:$DQ$10,2,Distance_Matrix!$E$87:$DQ$87)/COUNTIF(Distance_Matrix!$E$10:$DQ$10,2))),IF(3=$E219,1E+99,IF(COUNTIF(Distance_Matrix!$E$10:$DQ$10,3)=0,1E+99,SUMIF(Distance_Matrix!$E$10:$DQ$10,3,Distance_Matrix!$E$87:$DQ$87)/COUNTIF(Distance_Matrix!$E$10:$DQ$10,3))),IF(4=$E219,1E+99,IF(COUNTIF(Distance_Matrix!$E$10:$DQ$10,4)=0,1E+99,SUMIF(Distance_Matrix!$E$10:$DQ$10,4,Distance_Matrix!$E$87:$DQ$87)/COUNTIF(Distance_Matrix!$E$10:$DQ$10,4))))</f>
        <v>1.2987853227422024</v>
      </c>
      <c r="I219" s="18">
        <f>IF(COUNTIF(Distance_Matrix!$E$10:$DQ$10,$E219)&lt;=1,0,(H219-G219)/MAX(G219,H219))</f>
        <v>0.41490047682181797</v>
      </c>
      <c r="X219" s="18">
        <f t="shared" si="192"/>
        <v>6.8844268357778047</v>
      </c>
      <c r="Y219" s="18">
        <f t="shared" si="192"/>
        <v>1.9709434616357322</v>
      </c>
      <c r="Z219" s="18">
        <f t="shared" si="192"/>
        <v>2.4302456152411116</v>
      </c>
      <c r="AA219" s="18">
        <f t="shared" si="192"/>
        <v>1.4268240617135268</v>
      </c>
      <c r="AB219" s="56">
        <f t="shared" si="206"/>
        <v>4</v>
      </c>
      <c r="AD219" s="18">
        <f t="shared" si="193"/>
        <v>5.8996676267078225</v>
      </c>
      <c r="AE219" s="18">
        <f t="shared" si="193"/>
        <v>1.1460175806489361</v>
      </c>
      <c r="AF219" s="18">
        <f t="shared" si="193"/>
        <v>1.9228803104364292</v>
      </c>
      <c r="AG219" s="18">
        <f t="shared" si="193"/>
        <v>0.42044380252339703</v>
      </c>
      <c r="AH219" s="56">
        <f t="shared" si="207"/>
        <v>4</v>
      </c>
      <c r="AJ219" s="18">
        <f t="shared" si="194"/>
        <v>5.5539295169796263</v>
      </c>
      <c r="AK219" s="18">
        <f t="shared" si="194"/>
        <v>1.1703273875956408</v>
      </c>
      <c r="AL219" s="18">
        <f t="shared" si="194"/>
        <v>2.0023754819304416</v>
      </c>
      <c r="AM219" s="18">
        <f t="shared" si="194"/>
        <v>0.3323606159310854</v>
      </c>
      <c r="AN219" s="56">
        <f t="shared" si="208"/>
        <v>4</v>
      </c>
      <c r="AP219" s="18">
        <f t="shared" si="195"/>
        <v>5.262696158383684</v>
      </c>
      <c r="AQ219" s="18">
        <f t="shared" si="195"/>
        <v>1.2622708463105616</v>
      </c>
      <c r="AR219" s="18">
        <f t="shared" si="195"/>
        <v>1.9545448814279327</v>
      </c>
      <c r="AS219" s="18">
        <f t="shared" si="195"/>
        <v>0.28926718092945708</v>
      </c>
      <c r="AT219" s="56">
        <f t="shared" si="209"/>
        <v>4</v>
      </c>
      <c r="AV219" s="18">
        <f t="shared" si="196"/>
        <v>5.262696158383684</v>
      </c>
      <c r="AW219" s="18">
        <f t="shared" si="196"/>
        <v>1.2622708463105616</v>
      </c>
      <c r="AX219" s="18">
        <f t="shared" si="196"/>
        <v>1.9545448814279327</v>
      </c>
      <c r="AY219" s="18">
        <f t="shared" si="196"/>
        <v>0.28926718092945708</v>
      </c>
      <c r="AZ219" s="56">
        <f t="shared" si="210"/>
        <v>4</v>
      </c>
      <c r="BB219" s="18">
        <f t="shared" si="197"/>
        <v>5.262696158383684</v>
      </c>
      <c r="BC219" s="18">
        <f t="shared" si="197"/>
        <v>1.2622708463105616</v>
      </c>
      <c r="BD219" s="18">
        <f t="shared" si="197"/>
        <v>1.9545448814279327</v>
      </c>
      <c r="BE219" s="18">
        <f t="shared" si="197"/>
        <v>0.28926718092945708</v>
      </c>
      <c r="BF219" s="56">
        <f t="shared" si="211"/>
        <v>4</v>
      </c>
      <c r="BH219" s="18">
        <f t="shared" si="198"/>
        <v>5.262696158383684</v>
      </c>
      <c r="BI219" s="18">
        <f t="shared" si="198"/>
        <v>1.2622708463105616</v>
      </c>
      <c r="BJ219" s="18">
        <f t="shared" si="198"/>
        <v>1.9545448814279327</v>
      </c>
      <c r="BK219" s="18">
        <f t="shared" si="198"/>
        <v>0.28926718092945708</v>
      </c>
      <c r="BL219" s="56">
        <f t="shared" si="212"/>
        <v>4</v>
      </c>
      <c r="BN219" s="18">
        <f t="shared" si="199"/>
        <v>5.262696158383684</v>
      </c>
      <c r="BO219" s="18">
        <f t="shared" si="199"/>
        <v>1.2622708463105616</v>
      </c>
      <c r="BP219" s="18">
        <f t="shared" si="199"/>
        <v>1.9545448814279327</v>
      </c>
      <c r="BQ219" s="18">
        <f t="shared" si="199"/>
        <v>0.28926718092945708</v>
      </c>
      <c r="BR219" s="56">
        <f t="shared" si="213"/>
        <v>4</v>
      </c>
      <c r="BT219" s="18">
        <f t="shared" si="200"/>
        <v>5.262696158383684</v>
      </c>
      <c r="BU219" s="18">
        <f t="shared" si="200"/>
        <v>1.2622708463105616</v>
      </c>
      <c r="BV219" s="18">
        <f t="shared" si="200"/>
        <v>1.9545448814279327</v>
      </c>
      <c r="BW219" s="18">
        <f t="shared" si="200"/>
        <v>0.28926718092945708</v>
      </c>
      <c r="BX219" s="56">
        <f t="shared" si="214"/>
        <v>4</v>
      </c>
      <c r="BZ219" s="18">
        <f t="shared" si="201"/>
        <v>5.262696158383684</v>
      </c>
      <c r="CA219" s="18">
        <f t="shared" si="201"/>
        <v>1.2622708463105616</v>
      </c>
      <c r="CB219" s="18">
        <f t="shared" si="201"/>
        <v>1.9545448814279327</v>
      </c>
      <c r="CC219" s="18">
        <f t="shared" si="201"/>
        <v>0.28926718092945708</v>
      </c>
      <c r="CD219" s="56">
        <f t="shared" si="215"/>
        <v>4</v>
      </c>
      <c r="CF219" s="18">
        <f t="shared" si="202"/>
        <v>5.262696158383684</v>
      </c>
      <c r="CG219" s="18">
        <f t="shared" si="202"/>
        <v>1.2622708463105616</v>
      </c>
      <c r="CH219" s="18">
        <f t="shared" si="202"/>
        <v>1.9545448814279327</v>
      </c>
      <c r="CI219" s="18">
        <f t="shared" si="202"/>
        <v>0.28926718092945708</v>
      </c>
      <c r="CJ219" s="56">
        <f t="shared" si="216"/>
        <v>4</v>
      </c>
      <c r="CL219" s="18">
        <f t="shared" si="203"/>
        <v>5.262696158383684</v>
      </c>
      <c r="CM219" s="18">
        <f t="shared" si="203"/>
        <v>1.2622708463105616</v>
      </c>
      <c r="CN219" s="18">
        <f t="shared" si="203"/>
        <v>1.9545448814279327</v>
      </c>
      <c r="CO219" s="18">
        <f t="shared" si="203"/>
        <v>0.28926718092945708</v>
      </c>
      <c r="CP219" s="56">
        <f t="shared" si="217"/>
        <v>4</v>
      </c>
    </row>
    <row r="220" spans="1:94" x14ac:dyDescent="0.25">
      <c r="A220" s="36" t="str">
        <f>KMeans_Data!A79</f>
        <v>Hunza</v>
      </c>
      <c r="B220" s="18">
        <f>KMeans_Data!H79</f>
        <v>-0.3271614619727895</v>
      </c>
      <c r="C220" s="18">
        <f>KMeans_Data!I79</f>
        <v>-0.67265054538827607</v>
      </c>
      <c r="D220" s="18">
        <f>KMeans_Data!J79</f>
        <v>-1.1456441163335547</v>
      </c>
      <c r="E220" s="56">
        <f t="shared" si="204"/>
        <v>4</v>
      </c>
      <c r="F220" s="38">
        <f t="shared" si="205"/>
        <v>0.66024981043844266</v>
      </c>
      <c r="G220" s="18">
        <f>IF(COUNTIF(Distance_Matrix!$E$10:$DQ$10,$E220)&lt;=1,0,SUMIF(Distance_Matrix!$E$10:$DQ$10,$E220,Distance_Matrix!$E$88:$DQ$88)/(COUNTIF(Distance_Matrix!$E$10:$DQ$10,$E220)-1))</f>
        <v>1.022570184996346</v>
      </c>
      <c r="H220" s="18">
        <f>MIN(IF(1=$E220,1E+99,IF(COUNTIF(Distance_Matrix!$E$10:$DQ$10,1)=0,1E+99,SUMIF(Distance_Matrix!$E$10:$DQ$10,1,Distance_Matrix!$E$88:$DQ$88)/COUNTIF(Distance_Matrix!$E$10:$DQ$10,1))),IF(2=$E220,1E+99,IF(COUNTIF(Distance_Matrix!$E$10:$DQ$10,2)=0,1E+99,SUMIF(Distance_Matrix!$E$10:$DQ$10,2,Distance_Matrix!$E$88:$DQ$88)/COUNTIF(Distance_Matrix!$E$10:$DQ$10,2))),IF(3=$E220,1E+99,IF(COUNTIF(Distance_Matrix!$E$10:$DQ$10,3)=0,1E+99,SUMIF(Distance_Matrix!$E$10:$DQ$10,3,Distance_Matrix!$E$88:$DQ$88)/COUNTIF(Distance_Matrix!$E$10:$DQ$10,3))),IF(4=$E220,1E+99,IF(COUNTIF(Distance_Matrix!$E$10:$DQ$10,4)=0,1E+99,SUMIF(Distance_Matrix!$E$10:$DQ$10,4,Distance_Matrix!$E$88:$DQ$88)/COUNTIF(Distance_Matrix!$E$10:$DQ$10,4))))</f>
        <v>0.98212325628110531</v>
      </c>
      <c r="I220" s="18">
        <f>IF(COUNTIF(Distance_Matrix!$E$10:$DQ$10,$E220)&lt;=1,0,(H220-G220)/MAX(G220,H220))</f>
        <v>-3.9554183476790128E-2</v>
      </c>
      <c r="X220" s="18">
        <f t="shared" si="192"/>
        <v>7.3833858290521244</v>
      </c>
      <c r="Y220" s="18">
        <f t="shared" si="192"/>
        <v>1.752576519830539</v>
      </c>
      <c r="Z220" s="18">
        <f t="shared" si="192"/>
        <v>3.1322311072030558</v>
      </c>
      <c r="AA220" s="18">
        <f t="shared" si="192"/>
        <v>1.1057726854925323</v>
      </c>
      <c r="AB220" s="56">
        <f t="shared" si="206"/>
        <v>4</v>
      </c>
      <c r="AD220" s="18">
        <f t="shared" si="193"/>
        <v>6.367345866684806</v>
      </c>
      <c r="AE220" s="18">
        <f t="shared" si="193"/>
        <v>0.93795106209244083</v>
      </c>
      <c r="AF220" s="18">
        <f t="shared" si="193"/>
        <v>2.5567482736218503</v>
      </c>
      <c r="AG220" s="18">
        <f t="shared" si="193"/>
        <v>0.70912626629191489</v>
      </c>
      <c r="AH220" s="56">
        <f t="shared" si="207"/>
        <v>4</v>
      </c>
      <c r="AJ220" s="18">
        <f t="shared" si="194"/>
        <v>6.0248034457616724</v>
      </c>
      <c r="AK220" s="18">
        <f t="shared" si="194"/>
        <v>0.91934461345994645</v>
      </c>
      <c r="AL220" s="18">
        <f t="shared" si="194"/>
        <v>2.6184654604268731</v>
      </c>
      <c r="AM220" s="18">
        <f t="shared" si="194"/>
        <v>0.81994795893177341</v>
      </c>
      <c r="AN220" s="56">
        <f t="shared" si="208"/>
        <v>4</v>
      </c>
      <c r="AP220" s="18">
        <f t="shared" si="195"/>
        <v>5.7342913615865596</v>
      </c>
      <c r="AQ220" s="18">
        <f t="shared" si="195"/>
        <v>0.9537503595422181</v>
      </c>
      <c r="AR220" s="18">
        <f t="shared" si="195"/>
        <v>2.5767850960575922</v>
      </c>
      <c r="AS220" s="18">
        <f t="shared" si="195"/>
        <v>0.81255757361459791</v>
      </c>
      <c r="AT220" s="56">
        <f t="shared" si="209"/>
        <v>4</v>
      </c>
      <c r="AV220" s="18">
        <f t="shared" si="196"/>
        <v>5.7342913615865596</v>
      </c>
      <c r="AW220" s="18">
        <f t="shared" si="196"/>
        <v>0.9537503595422181</v>
      </c>
      <c r="AX220" s="18">
        <f t="shared" si="196"/>
        <v>2.5767850960575922</v>
      </c>
      <c r="AY220" s="18">
        <f t="shared" si="196"/>
        <v>0.81255757361459791</v>
      </c>
      <c r="AZ220" s="56">
        <f t="shared" si="210"/>
        <v>4</v>
      </c>
      <c r="BB220" s="18">
        <f t="shared" si="197"/>
        <v>5.7342913615865596</v>
      </c>
      <c r="BC220" s="18">
        <f t="shared" si="197"/>
        <v>0.9537503595422181</v>
      </c>
      <c r="BD220" s="18">
        <f t="shared" si="197"/>
        <v>2.5767850960575922</v>
      </c>
      <c r="BE220" s="18">
        <f t="shared" si="197"/>
        <v>0.81255757361459791</v>
      </c>
      <c r="BF220" s="56">
        <f t="shared" si="211"/>
        <v>4</v>
      </c>
      <c r="BH220" s="18">
        <f t="shared" si="198"/>
        <v>5.7342913615865596</v>
      </c>
      <c r="BI220" s="18">
        <f t="shared" si="198"/>
        <v>0.9537503595422181</v>
      </c>
      <c r="BJ220" s="18">
        <f t="shared" si="198"/>
        <v>2.5767850960575922</v>
      </c>
      <c r="BK220" s="18">
        <f t="shared" si="198"/>
        <v>0.81255757361459791</v>
      </c>
      <c r="BL220" s="56">
        <f t="shared" si="212"/>
        <v>4</v>
      </c>
      <c r="BN220" s="18">
        <f t="shared" si="199"/>
        <v>5.7342913615865596</v>
      </c>
      <c r="BO220" s="18">
        <f t="shared" si="199"/>
        <v>0.9537503595422181</v>
      </c>
      <c r="BP220" s="18">
        <f t="shared" si="199"/>
        <v>2.5767850960575922</v>
      </c>
      <c r="BQ220" s="18">
        <f t="shared" si="199"/>
        <v>0.81255757361459791</v>
      </c>
      <c r="BR220" s="56">
        <f t="shared" si="213"/>
        <v>4</v>
      </c>
      <c r="BT220" s="18">
        <f t="shared" si="200"/>
        <v>5.7342913615865596</v>
      </c>
      <c r="BU220" s="18">
        <f t="shared" si="200"/>
        <v>0.9537503595422181</v>
      </c>
      <c r="BV220" s="18">
        <f t="shared" si="200"/>
        <v>2.5767850960575922</v>
      </c>
      <c r="BW220" s="18">
        <f t="shared" si="200"/>
        <v>0.81255757361459791</v>
      </c>
      <c r="BX220" s="56">
        <f t="shared" si="214"/>
        <v>4</v>
      </c>
      <c r="BZ220" s="18">
        <f t="shared" si="201"/>
        <v>5.7342913615865596</v>
      </c>
      <c r="CA220" s="18">
        <f t="shared" si="201"/>
        <v>0.9537503595422181</v>
      </c>
      <c r="CB220" s="18">
        <f t="shared" si="201"/>
        <v>2.5767850960575922</v>
      </c>
      <c r="CC220" s="18">
        <f t="shared" si="201"/>
        <v>0.81255757361459791</v>
      </c>
      <c r="CD220" s="56">
        <f t="shared" si="215"/>
        <v>4</v>
      </c>
      <c r="CF220" s="18">
        <f t="shared" si="202"/>
        <v>5.7342913615865596</v>
      </c>
      <c r="CG220" s="18">
        <f t="shared" si="202"/>
        <v>0.9537503595422181</v>
      </c>
      <c r="CH220" s="18">
        <f t="shared" si="202"/>
        <v>2.5767850960575922</v>
      </c>
      <c r="CI220" s="18">
        <f t="shared" si="202"/>
        <v>0.81255757361459791</v>
      </c>
      <c r="CJ220" s="56">
        <f t="shared" si="216"/>
        <v>4</v>
      </c>
      <c r="CL220" s="18">
        <f t="shared" si="203"/>
        <v>5.7342913615865596</v>
      </c>
      <c r="CM220" s="18">
        <f t="shared" si="203"/>
        <v>0.9537503595422181</v>
      </c>
      <c r="CN220" s="18">
        <f t="shared" si="203"/>
        <v>2.5767850960575922</v>
      </c>
      <c r="CO220" s="18">
        <f t="shared" si="203"/>
        <v>0.81255757361459791</v>
      </c>
      <c r="CP220" s="56">
        <f t="shared" si="217"/>
        <v>4</v>
      </c>
    </row>
    <row r="221" spans="1:94" x14ac:dyDescent="0.25">
      <c r="A221" s="36" t="str">
        <f>KMeans_Data!A80</f>
        <v>Nankana Sahib</v>
      </c>
      <c r="B221" s="18">
        <f>KMeans_Data!H80</f>
        <v>-0.34542544181187113</v>
      </c>
      <c r="C221" s="18">
        <f>KMeans_Data!I80</f>
        <v>-0.67265054538827607</v>
      </c>
      <c r="D221" s="18">
        <f>KMeans_Data!J80</f>
        <v>-0.24392704812240026</v>
      </c>
      <c r="E221" s="56">
        <f t="shared" si="204"/>
        <v>4</v>
      </c>
      <c r="F221" s="38">
        <f t="shared" si="205"/>
        <v>9.1259103119216423E-2</v>
      </c>
      <c r="G221" s="18">
        <f>IF(COUNTIF(Distance_Matrix!$E$10:$DQ$10,$E221)&lt;=1,0,SUMIF(Distance_Matrix!$E$10:$DQ$10,$E221,Distance_Matrix!$E$89:$DQ$89)/(COUNTIF(Distance_Matrix!$E$10:$DQ$10,$E221)-1))</f>
        <v>0.76260865345842455</v>
      </c>
      <c r="H221" s="18">
        <f>MIN(IF(1=$E221,1E+99,IF(COUNTIF(Distance_Matrix!$E$10:$DQ$10,1)=0,1E+99,SUMIF(Distance_Matrix!$E$10:$DQ$10,1,Distance_Matrix!$E$89:$DQ$89)/COUNTIF(Distance_Matrix!$E$10:$DQ$10,1))),IF(2=$E221,1E+99,IF(COUNTIF(Distance_Matrix!$E$10:$DQ$10,2)=0,1E+99,SUMIF(Distance_Matrix!$E$10:$DQ$10,2,Distance_Matrix!$E$89:$DQ$89)/COUNTIF(Distance_Matrix!$E$10:$DQ$10,2))),IF(3=$E221,1E+99,IF(COUNTIF(Distance_Matrix!$E$10:$DQ$10,3)=0,1E+99,SUMIF(Distance_Matrix!$E$10:$DQ$10,3,Distance_Matrix!$E$89:$DQ$89)/COUNTIF(Distance_Matrix!$E$10:$DQ$10,3))),IF(4=$E221,1E+99,IF(COUNTIF(Distance_Matrix!$E$10:$DQ$10,4)=0,1E+99,SUMIF(Distance_Matrix!$E$10:$DQ$10,4,Distance_Matrix!$E$89:$DQ$89)/COUNTIF(Distance_Matrix!$E$10:$DQ$10,4))))</f>
        <v>1.2859411973798571</v>
      </c>
      <c r="I221" s="18">
        <f>IF(COUNTIF(Distance_Matrix!$E$10:$DQ$10,$E221)&lt;=1,0,(H221-G221)/MAX(G221,H221))</f>
        <v>0.40696459914943078</v>
      </c>
      <c r="X221" s="18">
        <f t="shared" si="192"/>
        <v>6.8939988968562389</v>
      </c>
      <c r="Y221" s="18">
        <f t="shared" si="192"/>
        <v>1.9547208643371412</v>
      </c>
      <c r="Z221" s="18">
        <f t="shared" si="192"/>
        <v>2.4405470008765069</v>
      </c>
      <c r="AA221" s="18">
        <f t="shared" si="192"/>
        <v>1.4393387843683685</v>
      </c>
      <c r="AB221" s="56">
        <f t="shared" si="206"/>
        <v>4</v>
      </c>
      <c r="AD221" s="18">
        <f t="shared" si="193"/>
        <v>5.9093953207613898</v>
      </c>
      <c r="AE221" s="18">
        <f t="shared" si="193"/>
        <v>1.131507320575956</v>
      </c>
      <c r="AF221" s="18">
        <f t="shared" si="193"/>
        <v>1.9318252775589502</v>
      </c>
      <c r="AG221" s="18">
        <f t="shared" si="193"/>
        <v>0.43218402397833261</v>
      </c>
      <c r="AH221" s="56">
        <f t="shared" si="207"/>
        <v>4</v>
      </c>
      <c r="AJ221" s="18">
        <f t="shared" si="194"/>
        <v>5.5638432048657593</v>
      </c>
      <c r="AK221" s="18">
        <f t="shared" si="194"/>
        <v>1.1562602834468874</v>
      </c>
      <c r="AL221" s="18">
        <f t="shared" si="194"/>
        <v>2.0113872254831229</v>
      </c>
      <c r="AM221" s="18">
        <f t="shared" si="194"/>
        <v>0.34607649038279398</v>
      </c>
      <c r="AN221" s="56">
        <f t="shared" si="208"/>
        <v>4</v>
      </c>
      <c r="AP221" s="18">
        <f t="shared" si="195"/>
        <v>5.2724719632585773</v>
      </c>
      <c r="AQ221" s="18">
        <f t="shared" si="195"/>
        <v>1.2485711581680918</v>
      </c>
      <c r="AR221" s="18">
        <f t="shared" si="195"/>
        <v>1.9635650205285076</v>
      </c>
      <c r="AS221" s="18">
        <f t="shared" si="195"/>
        <v>0.30209121655423288</v>
      </c>
      <c r="AT221" s="56">
        <f t="shared" si="209"/>
        <v>4</v>
      </c>
      <c r="AV221" s="18">
        <f t="shared" si="196"/>
        <v>5.2724719632585773</v>
      </c>
      <c r="AW221" s="18">
        <f t="shared" si="196"/>
        <v>1.2485711581680918</v>
      </c>
      <c r="AX221" s="18">
        <f t="shared" si="196"/>
        <v>1.9635650205285076</v>
      </c>
      <c r="AY221" s="18">
        <f t="shared" si="196"/>
        <v>0.30209121655423288</v>
      </c>
      <c r="AZ221" s="56">
        <f t="shared" si="210"/>
        <v>4</v>
      </c>
      <c r="BB221" s="18">
        <f t="shared" si="197"/>
        <v>5.2724719632585773</v>
      </c>
      <c r="BC221" s="18">
        <f t="shared" si="197"/>
        <v>1.2485711581680918</v>
      </c>
      <c r="BD221" s="18">
        <f t="shared" si="197"/>
        <v>1.9635650205285076</v>
      </c>
      <c r="BE221" s="18">
        <f t="shared" si="197"/>
        <v>0.30209121655423288</v>
      </c>
      <c r="BF221" s="56">
        <f t="shared" si="211"/>
        <v>4</v>
      </c>
      <c r="BH221" s="18">
        <f t="shared" si="198"/>
        <v>5.2724719632585773</v>
      </c>
      <c r="BI221" s="18">
        <f t="shared" si="198"/>
        <v>1.2485711581680918</v>
      </c>
      <c r="BJ221" s="18">
        <f t="shared" si="198"/>
        <v>1.9635650205285076</v>
      </c>
      <c r="BK221" s="18">
        <f t="shared" si="198"/>
        <v>0.30209121655423288</v>
      </c>
      <c r="BL221" s="56">
        <f t="shared" si="212"/>
        <v>4</v>
      </c>
      <c r="BN221" s="18">
        <f t="shared" si="199"/>
        <v>5.2724719632585773</v>
      </c>
      <c r="BO221" s="18">
        <f t="shared" si="199"/>
        <v>1.2485711581680918</v>
      </c>
      <c r="BP221" s="18">
        <f t="shared" si="199"/>
        <v>1.9635650205285076</v>
      </c>
      <c r="BQ221" s="18">
        <f t="shared" si="199"/>
        <v>0.30209121655423288</v>
      </c>
      <c r="BR221" s="56">
        <f t="shared" si="213"/>
        <v>4</v>
      </c>
      <c r="BT221" s="18">
        <f t="shared" si="200"/>
        <v>5.2724719632585773</v>
      </c>
      <c r="BU221" s="18">
        <f t="shared" si="200"/>
        <v>1.2485711581680918</v>
      </c>
      <c r="BV221" s="18">
        <f t="shared" si="200"/>
        <v>1.9635650205285076</v>
      </c>
      <c r="BW221" s="18">
        <f t="shared" si="200"/>
        <v>0.30209121655423288</v>
      </c>
      <c r="BX221" s="56">
        <f t="shared" si="214"/>
        <v>4</v>
      </c>
      <c r="BZ221" s="18">
        <f t="shared" si="201"/>
        <v>5.2724719632585773</v>
      </c>
      <c r="CA221" s="18">
        <f t="shared" si="201"/>
        <v>1.2485711581680918</v>
      </c>
      <c r="CB221" s="18">
        <f t="shared" si="201"/>
        <v>1.9635650205285076</v>
      </c>
      <c r="CC221" s="18">
        <f t="shared" si="201"/>
        <v>0.30209121655423288</v>
      </c>
      <c r="CD221" s="56">
        <f t="shared" si="215"/>
        <v>4</v>
      </c>
      <c r="CF221" s="18">
        <f t="shared" si="202"/>
        <v>5.2724719632585773</v>
      </c>
      <c r="CG221" s="18">
        <f t="shared" si="202"/>
        <v>1.2485711581680918</v>
      </c>
      <c r="CH221" s="18">
        <f t="shared" si="202"/>
        <v>1.9635650205285076</v>
      </c>
      <c r="CI221" s="18">
        <f t="shared" si="202"/>
        <v>0.30209121655423288</v>
      </c>
      <c r="CJ221" s="56">
        <f t="shared" si="216"/>
        <v>4</v>
      </c>
      <c r="CL221" s="18">
        <f t="shared" si="203"/>
        <v>5.2724719632585773</v>
      </c>
      <c r="CM221" s="18">
        <f t="shared" si="203"/>
        <v>1.2485711581680918</v>
      </c>
      <c r="CN221" s="18">
        <f t="shared" si="203"/>
        <v>1.9635650205285076</v>
      </c>
      <c r="CO221" s="18">
        <f t="shared" si="203"/>
        <v>0.30209121655423288</v>
      </c>
      <c r="CP221" s="56">
        <f t="shared" si="217"/>
        <v>4</v>
      </c>
    </row>
    <row r="222" spans="1:94" x14ac:dyDescent="0.25">
      <c r="A222" s="36" t="str">
        <f>KMeans_Data!A81</f>
        <v>Khushab</v>
      </c>
      <c r="B222" s="18">
        <f>KMeans_Data!H81</f>
        <v>-0.34542544181187113</v>
      </c>
      <c r="C222" s="18">
        <f>KMeans_Data!I81</f>
        <v>-0.67265054538827607</v>
      </c>
      <c r="D222" s="18">
        <f>KMeans_Data!J81</f>
        <v>-1.1456441163335547</v>
      </c>
      <c r="E222" s="56">
        <f t="shared" si="204"/>
        <v>4</v>
      </c>
      <c r="F222" s="38">
        <f t="shared" si="205"/>
        <v>0.66783341159478382</v>
      </c>
      <c r="G222" s="18">
        <f>IF(COUNTIF(Distance_Matrix!$E$10:$DQ$10,$E222)&lt;=1,0,SUMIF(Distance_Matrix!$E$10:$DQ$10,$E222,Distance_Matrix!$E$90:$DQ$90)/(COUNTIF(Distance_Matrix!$E$10:$DQ$10,$E222)-1))</f>
        <v>1.0269989519778147</v>
      </c>
      <c r="H222" s="18">
        <f>MIN(IF(1=$E222,1E+99,IF(COUNTIF(Distance_Matrix!$E$10:$DQ$10,1)=0,1E+99,SUMIF(Distance_Matrix!$E$10:$DQ$10,1,Distance_Matrix!$E$90:$DQ$90)/COUNTIF(Distance_Matrix!$E$10:$DQ$10,1))),IF(2=$E222,1E+99,IF(COUNTIF(Distance_Matrix!$E$10:$DQ$10,2)=0,1E+99,SUMIF(Distance_Matrix!$E$10:$DQ$10,2,Distance_Matrix!$E$90:$DQ$90)/COUNTIF(Distance_Matrix!$E$10:$DQ$10,2))),IF(3=$E222,1E+99,IF(COUNTIF(Distance_Matrix!$E$10:$DQ$10,3)=0,1E+99,SUMIF(Distance_Matrix!$E$10:$DQ$10,3,Distance_Matrix!$E$90:$DQ$90)/COUNTIF(Distance_Matrix!$E$10:$DQ$10,3))),IF(4=$E222,1E+99,IF(COUNTIF(Distance_Matrix!$E$10:$DQ$10,4)=0,1E+99,SUMIF(Distance_Matrix!$E$10:$DQ$10,4,Distance_Matrix!$E$90:$DQ$90)/COUNTIF(Distance_Matrix!$E$10:$DQ$10,4))))</f>
        <v>0.96454081821324533</v>
      </c>
      <c r="I222" s="18">
        <f>IF(COUNTIF(Distance_Matrix!$E$10:$DQ$10,$E222)&lt;=1,0,(H222-G222)/MAX(G222,H222))</f>
        <v>-6.0816161150200033E-2</v>
      </c>
      <c r="X222" s="18">
        <f t="shared" si="192"/>
        <v>7.39231183279799</v>
      </c>
      <c r="Y222" s="18">
        <f t="shared" si="192"/>
        <v>1.7343125399914574</v>
      </c>
      <c r="Z222" s="18">
        <f t="shared" si="192"/>
        <v>3.1402305045998049</v>
      </c>
      <c r="AA222" s="18">
        <f t="shared" si="192"/>
        <v>1.1218745317920775</v>
      </c>
      <c r="AB222" s="56">
        <f t="shared" si="206"/>
        <v>4</v>
      </c>
      <c r="AD222" s="18">
        <f t="shared" si="193"/>
        <v>6.3763601166653361</v>
      </c>
      <c r="AE222" s="18">
        <f t="shared" si="193"/>
        <v>0.9201655917501349</v>
      </c>
      <c r="AF222" s="18">
        <f t="shared" si="193"/>
        <v>2.563482387187384</v>
      </c>
      <c r="AG222" s="18">
        <f t="shared" si="193"/>
        <v>0.71614949629730418</v>
      </c>
      <c r="AH222" s="56">
        <f t="shared" si="207"/>
        <v>4</v>
      </c>
      <c r="AJ222" s="18">
        <f t="shared" si="194"/>
        <v>6.0339435437212252</v>
      </c>
      <c r="AK222" s="18">
        <f t="shared" si="194"/>
        <v>0.90136905161984415</v>
      </c>
      <c r="AL222" s="18">
        <f t="shared" si="194"/>
        <v>2.6253632829856222</v>
      </c>
      <c r="AM222" s="18">
        <f t="shared" si="194"/>
        <v>0.82560281826672732</v>
      </c>
      <c r="AN222" s="56">
        <f t="shared" si="208"/>
        <v>4</v>
      </c>
      <c r="AP222" s="18">
        <f t="shared" si="195"/>
        <v>5.743264504395353</v>
      </c>
      <c r="AQ222" s="18">
        <f t="shared" si="195"/>
        <v>0.93554368999557647</v>
      </c>
      <c r="AR222" s="18">
        <f t="shared" si="195"/>
        <v>2.5836337448623636</v>
      </c>
      <c r="AS222" s="18">
        <f t="shared" si="195"/>
        <v>0.81721075102741025</v>
      </c>
      <c r="AT222" s="56">
        <f t="shared" si="209"/>
        <v>4</v>
      </c>
      <c r="AV222" s="18">
        <f t="shared" si="196"/>
        <v>5.743264504395353</v>
      </c>
      <c r="AW222" s="18">
        <f t="shared" si="196"/>
        <v>0.93554368999557647</v>
      </c>
      <c r="AX222" s="18">
        <f t="shared" si="196"/>
        <v>2.5836337448623636</v>
      </c>
      <c r="AY222" s="18">
        <f t="shared" si="196"/>
        <v>0.81721075102741025</v>
      </c>
      <c r="AZ222" s="56">
        <f t="shared" si="210"/>
        <v>4</v>
      </c>
      <c r="BB222" s="18">
        <f t="shared" si="197"/>
        <v>5.743264504395353</v>
      </c>
      <c r="BC222" s="18">
        <f t="shared" si="197"/>
        <v>0.93554368999557647</v>
      </c>
      <c r="BD222" s="18">
        <f t="shared" si="197"/>
        <v>2.5836337448623636</v>
      </c>
      <c r="BE222" s="18">
        <f t="shared" si="197"/>
        <v>0.81721075102741025</v>
      </c>
      <c r="BF222" s="56">
        <f t="shared" si="211"/>
        <v>4</v>
      </c>
      <c r="BH222" s="18">
        <f t="shared" si="198"/>
        <v>5.743264504395353</v>
      </c>
      <c r="BI222" s="18">
        <f t="shared" si="198"/>
        <v>0.93554368999557647</v>
      </c>
      <c r="BJ222" s="18">
        <f t="shared" si="198"/>
        <v>2.5836337448623636</v>
      </c>
      <c r="BK222" s="18">
        <f t="shared" si="198"/>
        <v>0.81721075102741025</v>
      </c>
      <c r="BL222" s="56">
        <f t="shared" si="212"/>
        <v>4</v>
      </c>
      <c r="BN222" s="18">
        <f t="shared" si="199"/>
        <v>5.743264504395353</v>
      </c>
      <c r="BO222" s="18">
        <f t="shared" si="199"/>
        <v>0.93554368999557647</v>
      </c>
      <c r="BP222" s="18">
        <f t="shared" si="199"/>
        <v>2.5836337448623636</v>
      </c>
      <c r="BQ222" s="18">
        <f t="shared" si="199"/>
        <v>0.81721075102741025</v>
      </c>
      <c r="BR222" s="56">
        <f t="shared" si="213"/>
        <v>4</v>
      </c>
      <c r="BT222" s="18">
        <f t="shared" si="200"/>
        <v>5.743264504395353</v>
      </c>
      <c r="BU222" s="18">
        <f t="shared" si="200"/>
        <v>0.93554368999557647</v>
      </c>
      <c r="BV222" s="18">
        <f t="shared" si="200"/>
        <v>2.5836337448623636</v>
      </c>
      <c r="BW222" s="18">
        <f t="shared" si="200"/>
        <v>0.81721075102741025</v>
      </c>
      <c r="BX222" s="56">
        <f t="shared" si="214"/>
        <v>4</v>
      </c>
      <c r="BZ222" s="18">
        <f t="shared" si="201"/>
        <v>5.743264504395353</v>
      </c>
      <c r="CA222" s="18">
        <f t="shared" si="201"/>
        <v>0.93554368999557647</v>
      </c>
      <c r="CB222" s="18">
        <f t="shared" si="201"/>
        <v>2.5836337448623636</v>
      </c>
      <c r="CC222" s="18">
        <f t="shared" si="201"/>
        <v>0.81721075102741025</v>
      </c>
      <c r="CD222" s="56">
        <f t="shared" si="215"/>
        <v>4</v>
      </c>
      <c r="CF222" s="18">
        <f t="shared" si="202"/>
        <v>5.743264504395353</v>
      </c>
      <c r="CG222" s="18">
        <f t="shared" si="202"/>
        <v>0.93554368999557647</v>
      </c>
      <c r="CH222" s="18">
        <f t="shared" si="202"/>
        <v>2.5836337448623636</v>
      </c>
      <c r="CI222" s="18">
        <f t="shared" si="202"/>
        <v>0.81721075102741025</v>
      </c>
      <c r="CJ222" s="56">
        <f t="shared" si="216"/>
        <v>4</v>
      </c>
      <c r="CL222" s="18">
        <f t="shared" si="203"/>
        <v>5.743264504395353</v>
      </c>
      <c r="CM222" s="18">
        <f t="shared" si="203"/>
        <v>0.93554368999557647</v>
      </c>
      <c r="CN222" s="18">
        <f t="shared" si="203"/>
        <v>2.5836337448623636</v>
      </c>
      <c r="CO222" s="18">
        <f t="shared" si="203"/>
        <v>0.81721075102741025</v>
      </c>
      <c r="CP222" s="56">
        <f t="shared" si="217"/>
        <v>4</v>
      </c>
    </row>
    <row r="223" spans="1:94" x14ac:dyDescent="0.25">
      <c r="A223" s="36" t="str">
        <f>KMeans_Data!A82</f>
        <v>Sheikhupura</v>
      </c>
      <c r="B223" s="18">
        <f>KMeans_Data!H82</f>
        <v>-0.38399641938154599</v>
      </c>
      <c r="C223" s="18">
        <f>KMeans_Data!I82</f>
        <v>-0.67265054538827607</v>
      </c>
      <c r="D223" s="18">
        <f>KMeans_Data!J82</f>
        <v>-1.1456441163335547</v>
      </c>
      <c r="E223" s="56">
        <f t="shared" si="204"/>
        <v>4</v>
      </c>
      <c r="F223" s="38">
        <f t="shared" si="205"/>
        <v>0.68604109918150569</v>
      </c>
      <c r="G223" s="18">
        <f>IF(COUNTIF(Distance_Matrix!$E$10:$DQ$10,$E223)&lt;=1,0,SUMIF(Distance_Matrix!$E$10:$DQ$10,$E223,Distance_Matrix!$E$91:$DQ$91)/(COUNTIF(Distance_Matrix!$E$10:$DQ$10,$E223)-1))</f>
        <v>1.038622340467789</v>
      </c>
      <c r="H223" s="18">
        <f>MIN(IF(1=$E223,1E+99,IF(COUNTIF(Distance_Matrix!$E$10:$DQ$10,1)=0,1E+99,SUMIF(Distance_Matrix!$E$10:$DQ$10,1,Distance_Matrix!$E$91:$DQ$91)/COUNTIF(Distance_Matrix!$E$10:$DQ$10,1))),IF(2=$E223,1E+99,IF(COUNTIF(Distance_Matrix!$E$10:$DQ$10,2)=0,1E+99,SUMIF(Distance_Matrix!$E$10:$DQ$10,2,Distance_Matrix!$E$91:$DQ$91)/COUNTIF(Distance_Matrix!$E$10:$DQ$10,2))),IF(3=$E223,1E+99,IF(COUNTIF(Distance_Matrix!$E$10:$DQ$10,3)=0,1E+99,SUMIF(Distance_Matrix!$E$10:$DQ$10,3,Distance_Matrix!$E$91:$DQ$91)/COUNTIF(Distance_Matrix!$E$10:$DQ$10,3))),IF(4=$E223,1E+99,IF(COUNTIF(Distance_Matrix!$E$10:$DQ$10,4)=0,1E+99,SUMIF(Distance_Matrix!$E$10:$DQ$10,4,Distance_Matrix!$E$91:$DQ$91)/COUNTIF(Distance_Matrix!$E$10:$DQ$10,4))))</f>
        <v>0.92749556608606609</v>
      </c>
      <c r="I223" s="18">
        <f>IF(COUNTIF(Distance_Matrix!$E$10:$DQ$10,$E223)&lt;=1,0,(H223-G223)/MAX(G223,H223))</f>
        <v>-0.10699440022797133</v>
      </c>
      <c r="X223" s="18">
        <f t="shared" si="192"/>
        <v>7.4112748787545444</v>
      </c>
      <c r="Y223" s="18">
        <f t="shared" si="192"/>
        <v>1.6957415624217826</v>
      </c>
      <c r="Z223" s="18">
        <f t="shared" si="192"/>
        <v>3.1574046827609017</v>
      </c>
      <c r="AA223" s="18">
        <f t="shared" si="192"/>
        <v>1.1560905939655126</v>
      </c>
      <c r="AB223" s="56">
        <f t="shared" si="206"/>
        <v>4</v>
      </c>
      <c r="AD223" s="18">
        <f t="shared" si="193"/>
        <v>6.3955265920357043</v>
      </c>
      <c r="AE223" s="18">
        <f t="shared" si="193"/>
        <v>0.88266937830125769</v>
      </c>
      <c r="AF223" s="18">
        <f t="shared" si="193"/>
        <v>2.5780712815601219</v>
      </c>
      <c r="AG223" s="18">
        <f t="shared" si="193"/>
        <v>0.73225821123948087</v>
      </c>
      <c r="AH223" s="56">
        <f t="shared" si="207"/>
        <v>4</v>
      </c>
      <c r="AJ223" s="18">
        <f t="shared" si="194"/>
        <v>6.0533818796626386</v>
      </c>
      <c r="AK223" s="18">
        <f t="shared" si="194"/>
        <v>0.86344694987894954</v>
      </c>
      <c r="AL223" s="18">
        <f t="shared" si="194"/>
        <v>2.640286471963857</v>
      </c>
      <c r="AM223" s="18">
        <f t="shared" si="194"/>
        <v>0.83872749552498249</v>
      </c>
      <c r="AN223" s="56">
        <f t="shared" si="208"/>
        <v>4</v>
      </c>
      <c r="AP223" s="18">
        <f t="shared" si="195"/>
        <v>5.7623588336399232</v>
      </c>
      <c r="AQ223" s="18">
        <f t="shared" si="195"/>
        <v>0.89710139959002577</v>
      </c>
      <c r="AR223" s="18">
        <f t="shared" si="195"/>
        <v>2.5984596710855552</v>
      </c>
      <c r="AS223" s="18">
        <f t="shared" si="195"/>
        <v>0.82827598008242742</v>
      </c>
      <c r="AT223" s="56">
        <f t="shared" si="209"/>
        <v>4</v>
      </c>
      <c r="AV223" s="18">
        <f t="shared" si="196"/>
        <v>5.7623588336399232</v>
      </c>
      <c r="AW223" s="18">
        <f t="shared" si="196"/>
        <v>0.89710139959002577</v>
      </c>
      <c r="AX223" s="18">
        <f t="shared" si="196"/>
        <v>2.5984596710855552</v>
      </c>
      <c r="AY223" s="18">
        <f t="shared" si="196"/>
        <v>0.82827598008242742</v>
      </c>
      <c r="AZ223" s="56">
        <f t="shared" si="210"/>
        <v>4</v>
      </c>
      <c r="BB223" s="18">
        <f t="shared" si="197"/>
        <v>5.7623588336399232</v>
      </c>
      <c r="BC223" s="18">
        <f t="shared" si="197"/>
        <v>0.89710139959002577</v>
      </c>
      <c r="BD223" s="18">
        <f t="shared" si="197"/>
        <v>2.5984596710855552</v>
      </c>
      <c r="BE223" s="18">
        <f t="shared" si="197"/>
        <v>0.82827598008242742</v>
      </c>
      <c r="BF223" s="56">
        <f t="shared" si="211"/>
        <v>4</v>
      </c>
      <c r="BH223" s="18">
        <f t="shared" si="198"/>
        <v>5.7623588336399232</v>
      </c>
      <c r="BI223" s="18">
        <f t="shared" si="198"/>
        <v>0.89710139959002577</v>
      </c>
      <c r="BJ223" s="18">
        <f t="shared" si="198"/>
        <v>2.5984596710855552</v>
      </c>
      <c r="BK223" s="18">
        <f t="shared" si="198"/>
        <v>0.82827598008242742</v>
      </c>
      <c r="BL223" s="56">
        <f t="shared" si="212"/>
        <v>4</v>
      </c>
      <c r="BN223" s="18">
        <f t="shared" si="199"/>
        <v>5.7623588336399232</v>
      </c>
      <c r="BO223" s="18">
        <f t="shared" si="199"/>
        <v>0.89710139959002577</v>
      </c>
      <c r="BP223" s="18">
        <f t="shared" si="199"/>
        <v>2.5984596710855552</v>
      </c>
      <c r="BQ223" s="18">
        <f t="shared" si="199"/>
        <v>0.82827598008242742</v>
      </c>
      <c r="BR223" s="56">
        <f t="shared" si="213"/>
        <v>4</v>
      </c>
      <c r="BT223" s="18">
        <f t="shared" si="200"/>
        <v>5.7623588336399232</v>
      </c>
      <c r="BU223" s="18">
        <f t="shared" si="200"/>
        <v>0.89710139959002577</v>
      </c>
      <c r="BV223" s="18">
        <f t="shared" si="200"/>
        <v>2.5984596710855552</v>
      </c>
      <c r="BW223" s="18">
        <f t="shared" si="200"/>
        <v>0.82827598008242742</v>
      </c>
      <c r="BX223" s="56">
        <f t="shared" si="214"/>
        <v>4</v>
      </c>
      <c r="BZ223" s="18">
        <f t="shared" si="201"/>
        <v>5.7623588336399232</v>
      </c>
      <c r="CA223" s="18">
        <f t="shared" si="201"/>
        <v>0.89710139959002577</v>
      </c>
      <c r="CB223" s="18">
        <f t="shared" si="201"/>
        <v>2.5984596710855552</v>
      </c>
      <c r="CC223" s="18">
        <f t="shared" si="201"/>
        <v>0.82827598008242742</v>
      </c>
      <c r="CD223" s="56">
        <f t="shared" si="215"/>
        <v>4</v>
      </c>
      <c r="CF223" s="18">
        <f t="shared" si="202"/>
        <v>5.7623588336399232</v>
      </c>
      <c r="CG223" s="18">
        <f t="shared" si="202"/>
        <v>0.89710139959002577</v>
      </c>
      <c r="CH223" s="18">
        <f t="shared" si="202"/>
        <v>2.5984596710855552</v>
      </c>
      <c r="CI223" s="18">
        <f t="shared" si="202"/>
        <v>0.82827598008242742</v>
      </c>
      <c r="CJ223" s="56">
        <f t="shared" si="216"/>
        <v>4</v>
      </c>
      <c r="CL223" s="18">
        <f t="shared" si="203"/>
        <v>5.7623588336399232</v>
      </c>
      <c r="CM223" s="18">
        <f t="shared" si="203"/>
        <v>0.89710139959002577</v>
      </c>
      <c r="CN223" s="18">
        <f t="shared" si="203"/>
        <v>2.5984596710855552</v>
      </c>
      <c r="CO223" s="18">
        <f t="shared" si="203"/>
        <v>0.82827598008242742</v>
      </c>
      <c r="CP223" s="56">
        <f t="shared" si="217"/>
        <v>4</v>
      </c>
    </row>
    <row r="224" spans="1:94" x14ac:dyDescent="0.25">
      <c r="A224" s="36" t="str">
        <f>KMeans_Data!A83</f>
        <v>Diamer</v>
      </c>
      <c r="B224" s="18">
        <f>KMeans_Data!H83</f>
        <v>-0.40440962464593949</v>
      </c>
      <c r="C224" s="18">
        <f>KMeans_Data!I83</f>
        <v>-0.67265054538827607</v>
      </c>
      <c r="D224" s="18">
        <f>KMeans_Data!J83</f>
        <v>4.2930091906806002E-2</v>
      </c>
      <c r="E224" s="56">
        <f t="shared" si="204"/>
        <v>4</v>
      </c>
      <c r="F224" s="38">
        <f t="shared" si="205"/>
        <v>0.27783635756871972</v>
      </c>
      <c r="G224" s="18">
        <f>IF(COUNTIF(Distance_Matrix!$E$10:$DQ$10,$E224)&lt;=1,0,SUMIF(Distance_Matrix!$E$10:$DQ$10,$E224,Distance_Matrix!$E$92:$DQ$92)/(COUNTIF(Distance_Matrix!$E$10:$DQ$10,$E224)-1))</f>
        <v>0.85009663843902927</v>
      </c>
      <c r="H224" s="18">
        <f>MIN(IF(1=$E224,1E+99,IF(COUNTIF(Distance_Matrix!$E$10:$DQ$10,1)=0,1E+99,SUMIF(Distance_Matrix!$E$10:$DQ$10,1,Distance_Matrix!$E$92:$DQ$92)/COUNTIF(Distance_Matrix!$E$10:$DQ$10,1))),IF(2=$E224,1E+99,IF(COUNTIF(Distance_Matrix!$E$10:$DQ$10,2)=0,1E+99,SUMIF(Distance_Matrix!$E$10:$DQ$10,2,Distance_Matrix!$E$92:$DQ$92)/COUNTIF(Distance_Matrix!$E$10:$DQ$10,2))),IF(3=$E224,1E+99,IF(COUNTIF(Distance_Matrix!$E$10:$DQ$10,3)=0,1E+99,SUMIF(Distance_Matrix!$E$10:$DQ$10,3,Distance_Matrix!$E$92:$DQ$92)/COUNTIF(Distance_Matrix!$E$10:$DQ$10,3))),IF(4=$E224,1E+99,IF(COUNTIF(Distance_Matrix!$E$10:$DQ$10,4)=0,1E+99,SUMIF(Distance_Matrix!$E$10:$DQ$10,4,Distance_Matrix!$E$92:$DQ$92)/COUNTIF(Distance_Matrix!$E$10:$DQ$10,4))))</f>
        <v>1.4576145866267529</v>
      </c>
      <c r="I224" s="18">
        <f>IF(COUNTIF(Distance_Matrix!$E$10:$DQ$10,$E224)&lt;=1,0,(H224-G224)/MAX(G224,H224))</f>
        <v>0.41678915246975984</v>
      </c>
      <c r="X224" s="18">
        <f t="shared" si="192"/>
        <v>6.784830788256877</v>
      </c>
      <c r="Y224" s="18">
        <f t="shared" si="192"/>
        <v>2.0541260313792522</v>
      </c>
      <c r="Z224" s="18">
        <f t="shared" si="192"/>
        <v>2.2850867502514411</v>
      </c>
      <c r="AA224" s="18">
        <f t="shared" si="192"/>
        <v>1.6708406619776459</v>
      </c>
      <c r="AB224" s="56">
        <f t="shared" si="206"/>
        <v>4</v>
      </c>
      <c r="AD224" s="18">
        <f t="shared" si="193"/>
        <v>5.8148409685532618</v>
      </c>
      <c r="AE224" s="18">
        <f t="shared" si="193"/>
        <v>1.287255896035205</v>
      </c>
      <c r="AF224" s="18">
        <f t="shared" si="193"/>
        <v>1.8125955810677541</v>
      </c>
      <c r="AG224" s="18">
        <f t="shared" si="193"/>
        <v>0.67888317318669056</v>
      </c>
      <c r="AH224" s="56">
        <f t="shared" si="207"/>
        <v>4</v>
      </c>
      <c r="AJ224" s="18">
        <f t="shared" si="194"/>
        <v>5.4702253117596813</v>
      </c>
      <c r="AK224" s="18">
        <f t="shared" si="194"/>
        <v>1.320452380223728</v>
      </c>
      <c r="AL224" s="18">
        <f t="shared" si="194"/>
        <v>1.8979860998924096</v>
      </c>
      <c r="AM224" s="18">
        <f t="shared" si="194"/>
        <v>0.56266372746814086</v>
      </c>
      <c r="AN224" s="56">
        <f t="shared" si="208"/>
        <v>4</v>
      </c>
      <c r="AP224" s="18">
        <f t="shared" si="195"/>
        <v>5.1795028560262653</v>
      </c>
      <c r="AQ224" s="18">
        <f t="shared" si="195"/>
        <v>1.4180428702393835</v>
      </c>
      <c r="AR224" s="18">
        <f t="shared" si="195"/>
        <v>1.8488538118362396</v>
      </c>
      <c r="AS224" s="18">
        <f t="shared" si="195"/>
        <v>0.52710184743436417</v>
      </c>
      <c r="AT224" s="56">
        <f t="shared" si="209"/>
        <v>4</v>
      </c>
      <c r="AV224" s="18">
        <f t="shared" si="196"/>
        <v>5.1795028560262653</v>
      </c>
      <c r="AW224" s="18">
        <f t="shared" si="196"/>
        <v>1.4180428702393835</v>
      </c>
      <c r="AX224" s="18">
        <f t="shared" si="196"/>
        <v>1.8488538118362396</v>
      </c>
      <c r="AY224" s="18">
        <f t="shared" si="196"/>
        <v>0.52710184743436417</v>
      </c>
      <c r="AZ224" s="56">
        <f t="shared" si="210"/>
        <v>4</v>
      </c>
      <c r="BB224" s="18">
        <f t="shared" si="197"/>
        <v>5.1795028560262653</v>
      </c>
      <c r="BC224" s="18">
        <f t="shared" si="197"/>
        <v>1.4180428702393835</v>
      </c>
      <c r="BD224" s="18">
        <f t="shared" si="197"/>
        <v>1.8488538118362396</v>
      </c>
      <c r="BE224" s="18">
        <f t="shared" si="197"/>
        <v>0.52710184743436417</v>
      </c>
      <c r="BF224" s="56">
        <f t="shared" si="211"/>
        <v>4</v>
      </c>
      <c r="BH224" s="18">
        <f t="shared" si="198"/>
        <v>5.1795028560262653</v>
      </c>
      <c r="BI224" s="18">
        <f t="shared" si="198"/>
        <v>1.4180428702393835</v>
      </c>
      <c r="BJ224" s="18">
        <f t="shared" si="198"/>
        <v>1.8488538118362396</v>
      </c>
      <c r="BK224" s="18">
        <f t="shared" si="198"/>
        <v>0.52710184743436417</v>
      </c>
      <c r="BL224" s="56">
        <f t="shared" si="212"/>
        <v>4</v>
      </c>
      <c r="BN224" s="18">
        <f t="shared" si="199"/>
        <v>5.1795028560262653</v>
      </c>
      <c r="BO224" s="18">
        <f t="shared" si="199"/>
        <v>1.4180428702393835</v>
      </c>
      <c r="BP224" s="18">
        <f t="shared" si="199"/>
        <v>1.8488538118362396</v>
      </c>
      <c r="BQ224" s="18">
        <f t="shared" si="199"/>
        <v>0.52710184743436417</v>
      </c>
      <c r="BR224" s="56">
        <f t="shared" si="213"/>
        <v>4</v>
      </c>
      <c r="BT224" s="18">
        <f t="shared" si="200"/>
        <v>5.1795028560262653</v>
      </c>
      <c r="BU224" s="18">
        <f t="shared" si="200"/>
        <v>1.4180428702393835</v>
      </c>
      <c r="BV224" s="18">
        <f t="shared" si="200"/>
        <v>1.8488538118362396</v>
      </c>
      <c r="BW224" s="18">
        <f t="shared" si="200"/>
        <v>0.52710184743436417</v>
      </c>
      <c r="BX224" s="56">
        <f t="shared" si="214"/>
        <v>4</v>
      </c>
      <c r="BZ224" s="18">
        <f t="shared" si="201"/>
        <v>5.1795028560262653</v>
      </c>
      <c r="CA224" s="18">
        <f t="shared" si="201"/>
        <v>1.4180428702393835</v>
      </c>
      <c r="CB224" s="18">
        <f t="shared" si="201"/>
        <v>1.8488538118362396</v>
      </c>
      <c r="CC224" s="18">
        <f t="shared" si="201"/>
        <v>0.52710184743436417</v>
      </c>
      <c r="CD224" s="56">
        <f t="shared" si="215"/>
        <v>4</v>
      </c>
      <c r="CF224" s="18">
        <f t="shared" si="202"/>
        <v>5.1795028560262653</v>
      </c>
      <c r="CG224" s="18">
        <f t="shared" si="202"/>
        <v>1.4180428702393835</v>
      </c>
      <c r="CH224" s="18">
        <f t="shared" si="202"/>
        <v>1.8488538118362396</v>
      </c>
      <c r="CI224" s="18">
        <f t="shared" si="202"/>
        <v>0.52710184743436417</v>
      </c>
      <c r="CJ224" s="56">
        <f t="shared" si="216"/>
        <v>4</v>
      </c>
      <c r="CL224" s="18">
        <f t="shared" si="203"/>
        <v>5.1795028560262653</v>
      </c>
      <c r="CM224" s="18">
        <f t="shared" si="203"/>
        <v>1.4180428702393835</v>
      </c>
      <c r="CN224" s="18">
        <f t="shared" si="203"/>
        <v>1.8488538118362396</v>
      </c>
      <c r="CO224" s="18">
        <f t="shared" si="203"/>
        <v>0.52710184743436417</v>
      </c>
      <c r="CP224" s="56">
        <f t="shared" si="217"/>
        <v>4</v>
      </c>
    </row>
    <row r="225" spans="1:94" x14ac:dyDescent="0.25">
      <c r="A225" s="36" t="str">
        <f>KMeans_Data!A84</f>
        <v>Hangu</v>
      </c>
      <c r="B225" s="18">
        <f>KMeans_Data!H84</f>
        <v>-0.40440962464593949</v>
      </c>
      <c r="C225" s="18">
        <f>KMeans_Data!I84</f>
        <v>-0.14698313392952958</v>
      </c>
      <c r="D225" s="18">
        <f>KMeans_Data!J84</f>
        <v>0.13914828540559679</v>
      </c>
      <c r="E225" s="56">
        <f t="shared" si="204"/>
        <v>4</v>
      </c>
      <c r="F225" s="38">
        <f t="shared" si="205"/>
        <v>0.47084783775978978</v>
      </c>
      <c r="G225" s="18">
        <f>IF(COUNTIF(Distance_Matrix!$E$10:$DQ$10,$E225)&lt;=1,0,SUMIF(Distance_Matrix!$E$10:$DQ$10,$E225,Distance_Matrix!$E$93:$DQ$93)/(COUNTIF(Distance_Matrix!$E$10:$DQ$10,$E225)-1))</f>
        <v>0.9681995580206807</v>
      </c>
      <c r="H225" s="18">
        <f>MIN(IF(1=$E225,1E+99,IF(COUNTIF(Distance_Matrix!$E$10:$DQ$10,1)=0,1E+99,SUMIF(Distance_Matrix!$E$10:$DQ$10,1,Distance_Matrix!$E$93:$DQ$93)/COUNTIF(Distance_Matrix!$E$10:$DQ$10,1))),IF(2=$E225,1E+99,IF(COUNTIF(Distance_Matrix!$E$10:$DQ$10,2)=0,1E+99,SUMIF(Distance_Matrix!$E$10:$DQ$10,2,Distance_Matrix!$E$93:$DQ$93)/COUNTIF(Distance_Matrix!$E$10:$DQ$10,2))),IF(3=$E225,1E+99,IF(COUNTIF(Distance_Matrix!$E$10:$DQ$10,3)=0,1E+99,SUMIF(Distance_Matrix!$E$10:$DQ$10,3,Distance_Matrix!$E$93:$DQ$93)/COUNTIF(Distance_Matrix!$E$10:$DQ$10,3))),IF(4=$E225,1E+99,IF(COUNTIF(Distance_Matrix!$E$10:$DQ$10,4)=0,1E+99,SUMIF(Distance_Matrix!$E$10:$DQ$10,4,Distance_Matrix!$E$93:$DQ$93)/COUNTIF(Distance_Matrix!$E$10:$DQ$10,4))))</f>
        <v>1.5949261243388637</v>
      </c>
      <c r="I225" s="18">
        <f>IF(COUNTIF(Distance_Matrix!$E$10:$DQ$10,$E225)&lt;=1,0,(H225-G225)/MAX(G225,H225))</f>
        <v>0.39295021678698544</v>
      </c>
      <c r="X225" s="18">
        <f t="shared" si="192"/>
        <v>6.3834526327003553</v>
      </c>
      <c r="Y225" s="18">
        <f t="shared" si="192"/>
        <v>2.1757166284541909</v>
      </c>
      <c r="Z225" s="18">
        <f t="shared" si="192"/>
        <v>2.0315517886503232</v>
      </c>
      <c r="AA225" s="18">
        <f t="shared" si="192"/>
        <v>1.6593267180759232</v>
      </c>
      <c r="AB225" s="56">
        <f t="shared" si="206"/>
        <v>4</v>
      </c>
      <c r="AD225" s="18">
        <f t="shared" si="193"/>
        <v>5.4062317125391628</v>
      </c>
      <c r="AE225" s="18">
        <f t="shared" si="193"/>
        <v>1.4529644230728902</v>
      </c>
      <c r="AF225" s="18">
        <f t="shared" si="193"/>
        <v>1.4479303562784815</v>
      </c>
      <c r="AG225" s="18">
        <f t="shared" si="193"/>
        <v>0.81284017948977683</v>
      </c>
      <c r="AH225" s="56">
        <f t="shared" si="207"/>
        <v>4</v>
      </c>
      <c r="AJ225" s="18">
        <f t="shared" si="194"/>
        <v>5.0668539528905185</v>
      </c>
      <c r="AK225" s="18">
        <f t="shared" si="194"/>
        <v>1.4857215195548255</v>
      </c>
      <c r="AL225" s="18">
        <f t="shared" si="194"/>
        <v>1.5249111106009599</v>
      </c>
      <c r="AM225" s="18">
        <f t="shared" si="194"/>
        <v>0.70702870215751956</v>
      </c>
      <c r="AN225" s="56">
        <f t="shared" si="208"/>
        <v>4</v>
      </c>
      <c r="AP225" s="18">
        <f t="shared" si="195"/>
        <v>4.7727557532675569</v>
      </c>
      <c r="AQ225" s="18">
        <f t="shared" si="195"/>
        <v>1.5777326363416058</v>
      </c>
      <c r="AR225" s="18">
        <f t="shared" si="195"/>
        <v>1.4794654873650079</v>
      </c>
      <c r="AS225" s="18">
        <f t="shared" si="195"/>
        <v>0.68618353066784532</v>
      </c>
      <c r="AT225" s="56">
        <f t="shared" si="209"/>
        <v>4</v>
      </c>
      <c r="AV225" s="18">
        <f t="shared" si="196"/>
        <v>4.7727557532675569</v>
      </c>
      <c r="AW225" s="18">
        <f t="shared" si="196"/>
        <v>1.5777326363416058</v>
      </c>
      <c r="AX225" s="18">
        <f t="shared" si="196"/>
        <v>1.4794654873650079</v>
      </c>
      <c r="AY225" s="18">
        <f t="shared" si="196"/>
        <v>0.68618353066784532</v>
      </c>
      <c r="AZ225" s="56">
        <f t="shared" si="210"/>
        <v>4</v>
      </c>
      <c r="BB225" s="18">
        <f t="shared" si="197"/>
        <v>4.7727557532675569</v>
      </c>
      <c r="BC225" s="18">
        <f t="shared" si="197"/>
        <v>1.5777326363416058</v>
      </c>
      <c r="BD225" s="18">
        <f t="shared" si="197"/>
        <v>1.4794654873650079</v>
      </c>
      <c r="BE225" s="18">
        <f t="shared" si="197"/>
        <v>0.68618353066784532</v>
      </c>
      <c r="BF225" s="56">
        <f t="shared" si="211"/>
        <v>4</v>
      </c>
      <c r="BH225" s="18">
        <f t="shared" si="198"/>
        <v>4.7727557532675569</v>
      </c>
      <c r="BI225" s="18">
        <f t="shared" si="198"/>
        <v>1.5777326363416058</v>
      </c>
      <c r="BJ225" s="18">
        <f t="shared" si="198"/>
        <v>1.4794654873650079</v>
      </c>
      <c r="BK225" s="18">
        <f t="shared" si="198"/>
        <v>0.68618353066784532</v>
      </c>
      <c r="BL225" s="56">
        <f t="shared" si="212"/>
        <v>4</v>
      </c>
      <c r="BN225" s="18">
        <f t="shared" si="199"/>
        <v>4.7727557532675569</v>
      </c>
      <c r="BO225" s="18">
        <f t="shared" si="199"/>
        <v>1.5777326363416058</v>
      </c>
      <c r="BP225" s="18">
        <f t="shared" si="199"/>
        <v>1.4794654873650079</v>
      </c>
      <c r="BQ225" s="18">
        <f t="shared" si="199"/>
        <v>0.68618353066784532</v>
      </c>
      <c r="BR225" s="56">
        <f t="shared" si="213"/>
        <v>4</v>
      </c>
      <c r="BT225" s="18">
        <f t="shared" si="200"/>
        <v>4.7727557532675569</v>
      </c>
      <c r="BU225" s="18">
        <f t="shared" si="200"/>
        <v>1.5777326363416058</v>
      </c>
      <c r="BV225" s="18">
        <f t="shared" si="200"/>
        <v>1.4794654873650079</v>
      </c>
      <c r="BW225" s="18">
        <f t="shared" si="200"/>
        <v>0.68618353066784532</v>
      </c>
      <c r="BX225" s="56">
        <f t="shared" si="214"/>
        <v>4</v>
      </c>
      <c r="BZ225" s="18">
        <f t="shared" si="201"/>
        <v>4.7727557532675569</v>
      </c>
      <c r="CA225" s="18">
        <f t="shared" si="201"/>
        <v>1.5777326363416058</v>
      </c>
      <c r="CB225" s="18">
        <f t="shared" si="201"/>
        <v>1.4794654873650079</v>
      </c>
      <c r="CC225" s="18">
        <f t="shared" si="201"/>
        <v>0.68618353066784532</v>
      </c>
      <c r="CD225" s="56">
        <f t="shared" si="215"/>
        <v>4</v>
      </c>
      <c r="CF225" s="18">
        <f t="shared" si="202"/>
        <v>4.7727557532675569</v>
      </c>
      <c r="CG225" s="18">
        <f t="shared" si="202"/>
        <v>1.5777326363416058</v>
      </c>
      <c r="CH225" s="18">
        <f t="shared" si="202"/>
        <v>1.4794654873650079</v>
      </c>
      <c r="CI225" s="18">
        <f t="shared" si="202"/>
        <v>0.68618353066784532</v>
      </c>
      <c r="CJ225" s="56">
        <f t="shared" si="216"/>
        <v>4</v>
      </c>
      <c r="CL225" s="18">
        <f t="shared" si="203"/>
        <v>4.7727557532675569</v>
      </c>
      <c r="CM225" s="18">
        <f t="shared" si="203"/>
        <v>1.5777326363416058</v>
      </c>
      <c r="CN225" s="18">
        <f t="shared" si="203"/>
        <v>1.4794654873650079</v>
      </c>
      <c r="CO225" s="18">
        <f t="shared" si="203"/>
        <v>0.68618353066784532</v>
      </c>
      <c r="CP225" s="56">
        <f t="shared" si="217"/>
        <v>4</v>
      </c>
    </row>
    <row r="226" spans="1:94" x14ac:dyDescent="0.25">
      <c r="A226" s="36" t="str">
        <f>KMeans_Data!A85</f>
        <v>Mohmand</v>
      </c>
      <c r="B226" s="18">
        <f>KMeans_Data!H85</f>
        <v>-0.47094306176301559</v>
      </c>
      <c r="C226" s="18">
        <f>KMeans_Data!I85</f>
        <v>-0.14698313392952958</v>
      </c>
      <c r="D226" s="18">
        <f>KMeans_Data!J85</f>
        <v>-0.39984522290956798</v>
      </c>
      <c r="E226" s="56">
        <f t="shared" si="204"/>
        <v>4</v>
      </c>
      <c r="F226" s="38">
        <f t="shared" si="205"/>
        <v>0.24815105167183296</v>
      </c>
      <c r="G226" s="18">
        <f>IF(COUNTIF(Distance_Matrix!$E$10:$DQ$10,$E226)&lt;=1,0,SUMIF(Distance_Matrix!$E$10:$DQ$10,$E226,Distance_Matrix!$E$94:$DQ$94)/(COUNTIF(Distance_Matrix!$E$10:$DQ$10,$E226)-1))</f>
        <v>0.89325240381533266</v>
      </c>
      <c r="H226" s="18">
        <f>MIN(IF(1=$E226,1E+99,IF(COUNTIF(Distance_Matrix!$E$10:$DQ$10,1)=0,1E+99,SUMIF(Distance_Matrix!$E$10:$DQ$10,1,Distance_Matrix!$E$94:$DQ$94)/COUNTIF(Distance_Matrix!$E$10:$DQ$10,1))),IF(2=$E226,1E+99,IF(COUNTIF(Distance_Matrix!$E$10:$DQ$10,2)=0,1E+99,SUMIF(Distance_Matrix!$E$10:$DQ$10,2,Distance_Matrix!$E$94:$DQ$94)/COUNTIF(Distance_Matrix!$E$10:$DQ$10,2))),IF(3=$E226,1E+99,IF(COUNTIF(Distance_Matrix!$E$10:$DQ$10,3)=0,1E+99,SUMIF(Distance_Matrix!$E$10:$DQ$10,3,Distance_Matrix!$E$94:$DQ$94)/COUNTIF(Distance_Matrix!$E$10:$DQ$10,3))),IF(4=$E226,1E+99,IF(COUNTIF(Distance_Matrix!$E$10:$DQ$10,4)=0,1E+99,SUMIF(Distance_Matrix!$E$10:$DQ$10,4,Distance_Matrix!$E$94:$DQ$94)/COUNTIF(Distance_Matrix!$E$10:$DQ$10,4))))</f>
        <v>1.2112411982096212</v>
      </c>
      <c r="I226" s="18">
        <f>IF(COUNTIF(Distance_Matrix!$E$10:$DQ$10,$E226)&lt;=1,0,(H226-G226)/MAX(G226,H226))</f>
        <v>0.26253135615294387</v>
      </c>
      <c r="X226" s="18">
        <f t="shared" ref="X226:AA245" si="218">SQRT(($B226-X$139)^2+($C226-X$140)^2+($D226-X$141)^2)</f>
        <v>6.6999482057459137</v>
      </c>
      <c r="Y226" s="18">
        <f t="shared" si="218"/>
        <v>1.8495305652109939</v>
      </c>
      <c r="Z226" s="18">
        <f t="shared" si="218"/>
        <v>2.459485542954774</v>
      </c>
      <c r="AA226" s="18">
        <f t="shared" si="218"/>
        <v>1.3427760609254091</v>
      </c>
      <c r="AB226" s="56">
        <f t="shared" si="206"/>
        <v>4</v>
      </c>
      <c r="AD226" s="18">
        <f t="shared" ref="AD226:AG245" si="219">SQRT(($B226-AD$139)^2+($C226-AD$140)^2+($D226-AD$141)^2)</f>
        <v>5.6991317164551551</v>
      </c>
      <c r="AE226" s="18">
        <f t="shared" si="219"/>
        <v>1.0661001187822878</v>
      </c>
      <c r="AF226" s="18">
        <f t="shared" si="219"/>
        <v>1.8233009955293396</v>
      </c>
      <c r="AG226" s="18">
        <f t="shared" si="219"/>
        <v>0.54509176096687717</v>
      </c>
      <c r="AH226" s="56">
        <f t="shared" si="207"/>
        <v>4</v>
      </c>
      <c r="AJ226" s="18">
        <f t="shared" ref="AJ226:AM245" si="220">SQRT(($B226-AJ$139)^2+($C226-AJ$140)^2+($D226-AJ$141)^2)</f>
        <v>5.3608314794601615</v>
      </c>
      <c r="AK226" s="18">
        <f t="shared" si="220"/>
        <v>1.0861305282721561</v>
      </c>
      <c r="AL226" s="18">
        <f t="shared" si="220"/>
        <v>1.8878128209939951</v>
      </c>
      <c r="AM226" s="18">
        <f t="shared" si="220"/>
        <v>0.52408421610908651</v>
      </c>
      <c r="AN226" s="56">
        <f t="shared" si="208"/>
        <v>4</v>
      </c>
      <c r="AP226" s="18">
        <f t="shared" ref="AP226:AS245" si="221">SQRT(($B226-AP$139)^2+($C226-AP$140)^2+($D226-AP$141)^2)</f>
        <v>5.0655081888931361</v>
      </c>
      <c r="AQ226" s="18">
        <f t="shared" si="221"/>
        <v>1.1663189123030175</v>
      </c>
      <c r="AR226" s="18">
        <f t="shared" si="221"/>
        <v>1.8460704035239452</v>
      </c>
      <c r="AS226" s="18">
        <f t="shared" si="221"/>
        <v>0.49814762036150784</v>
      </c>
      <c r="AT226" s="56">
        <f t="shared" si="209"/>
        <v>4</v>
      </c>
      <c r="AV226" s="18">
        <f t="shared" ref="AV226:AY245" si="222">SQRT(($B226-AV$139)^2+($C226-AV$140)^2+($D226-AV$141)^2)</f>
        <v>5.0655081888931361</v>
      </c>
      <c r="AW226" s="18">
        <f t="shared" si="222"/>
        <v>1.1663189123030175</v>
      </c>
      <c r="AX226" s="18">
        <f t="shared" si="222"/>
        <v>1.8460704035239452</v>
      </c>
      <c r="AY226" s="18">
        <f t="shared" si="222"/>
        <v>0.49814762036150784</v>
      </c>
      <c r="AZ226" s="56">
        <f t="shared" si="210"/>
        <v>4</v>
      </c>
      <c r="BB226" s="18">
        <f t="shared" ref="BB226:BE245" si="223">SQRT(($B226-BB$139)^2+($C226-BB$140)^2+($D226-BB$141)^2)</f>
        <v>5.0655081888931361</v>
      </c>
      <c r="BC226" s="18">
        <f t="shared" si="223"/>
        <v>1.1663189123030175</v>
      </c>
      <c r="BD226" s="18">
        <f t="shared" si="223"/>
        <v>1.8460704035239452</v>
      </c>
      <c r="BE226" s="18">
        <f t="shared" si="223"/>
        <v>0.49814762036150784</v>
      </c>
      <c r="BF226" s="56">
        <f t="shared" si="211"/>
        <v>4</v>
      </c>
      <c r="BH226" s="18">
        <f t="shared" ref="BH226:BK245" si="224">SQRT(($B226-BH$139)^2+($C226-BH$140)^2+($D226-BH$141)^2)</f>
        <v>5.0655081888931361</v>
      </c>
      <c r="BI226" s="18">
        <f t="shared" si="224"/>
        <v>1.1663189123030175</v>
      </c>
      <c r="BJ226" s="18">
        <f t="shared" si="224"/>
        <v>1.8460704035239452</v>
      </c>
      <c r="BK226" s="18">
        <f t="shared" si="224"/>
        <v>0.49814762036150784</v>
      </c>
      <c r="BL226" s="56">
        <f t="shared" si="212"/>
        <v>4</v>
      </c>
      <c r="BN226" s="18">
        <f t="shared" ref="BN226:BQ245" si="225">SQRT(($B226-BN$139)^2+($C226-BN$140)^2+($D226-BN$141)^2)</f>
        <v>5.0655081888931361</v>
      </c>
      <c r="BO226" s="18">
        <f t="shared" si="225"/>
        <v>1.1663189123030175</v>
      </c>
      <c r="BP226" s="18">
        <f t="shared" si="225"/>
        <v>1.8460704035239452</v>
      </c>
      <c r="BQ226" s="18">
        <f t="shared" si="225"/>
        <v>0.49814762036150784</v>
      </c>
      <c r="BR226" s="56">
        <f t="shared" si="213"/>
        <v>4</v>
      </c>
      <c r="BT226" s="18">
        <f t="shared" ref="BT226:BW245" si="226">SQRT(($B226-BT$139)^2+($C226-BT$140)^2+($D226-BT$141)^2)</f>
        <v>5.0655081888931361</v>
      </c>
      <c r="BU226" s="18">
        <f t="shared" si="226"/>
        <v>1.1663189123030175</v>
      </c>
      <c r="BV226" s="18">
        <f t="shared" si="226"/>
        <v>1.8460704035239452</v>
      </c>
      <c r="BW226" s="18">
        <f t="shared" si="226"/>
        <v>0.49814762036150784</v>
      </c>
      <c r="BX226" s="56">
        <f t="shared" si="214"/>
        <v>4</v>
      </c>
      <c r="BZ226" s="18">
        <f t="shared" ref="BZ226:CC245" si="227">SQRT(($B226-BZ$139)^2+($C226-BZ$140)^2+($D226-BZ$141)^2)</f>
        <v>5.0655081888931361</v>
      </c>
      <c r="CA226" s="18">
        <f t="shared" si="227"/>
        <v>1.1663189123030175</v>
      </c>
      <c r="CB226" s="18">
        <f t="shared" si="227"/>
        <v>1.8460704035239452</v>
      </c>
      <c r="CC226" s="18">
        <f t="shared" si="227"/>
        <v>0.49814762036150784</v>
      </c>
      <c r="CD226" s="56">
        <f t="shared" si="215"/>
        <v>4</v>
      </c>
      <c r="CF226" s="18">
        <f t="shared" ref="CF226:CI245" si="228">SQRT(($B226-CF$139)^2+($C226-CF$140)^2+($D226-CF$141)^2)</f>
        <v>5.0655081888931361</v>
      </c>
      <c r="CG226" s="18">
        <f t="shared" si="228"/>
        <v>1.1663189123030175</v>
      </c>
      <c r="CH226" s="18">
        <f t="shared" si="228"/>
        <v>1.8460704035239452</v>
      </c>
      <c r="CI226" s="18">
        <f t="shared" si="228"/>
        <v>0.49814762036150784</v>
      </c>
      <c r="CJ226" s="56">
        <f t="shared" si="216"/>
        <v>4</v>
      </c>
      <c r="CL226" s="18">
        <f t="shared" ref="CL226:CO245" si="229">SQRT(($B226-CL$139)^2+($C226-CL$140)^2+($D226-CL$141)^2)</f>
        <v>5.0655081888931361</v>
      </c>
      <c r="CM226" s="18">
        <f t="shared" si="229"/>
        <v>1.1663189123030175</v>
      </c>
      <c r="CN226" s="18">
        <f t="shared" si="229"/>
        <v>1.8460704035239452</v>
      </c>
      <c r="CO226" s="18">
        <f t="shared" si="229"/>
        <v>0.49814762036150784</v>
      </c>
      <c r="CP226" s="56">
        <f t="shared" si="217"/>
        <v>4</v>
      </c>
    </row>
    <row r="227" spans="1:94" x14ac:dyDescent="0.25">
      <c r="A227" s="36" t="str">
        <f>KMeans_Data!A86</f>
        <v>Bahawal Nagar</v>
      </c>
      <c r="B227" s="18">
        <f>KMeans_Data!H86</f>
        <v>-0.47094306176301559</v>
      </c>
      <c r="C227" s="18">
        <f>KMeans_Data!I86</f>
        <v>-0.67265054538827607</v>
      </c>
      <c r="D227" s="18">
        <f>KMeans_Data!J86</f>
        <v>-0.39984522290956798</v>
      </c>
      <c r="E227" s="56">
        <f t="shared" si="204"/>
        <v>4</v>
      </c>
      <c r="F227" s="38">
        <f t="shared" si="205"/>
        <v>0.14483718670204387</v>
      </c>
      <c r="G227" s="18">
        <f>IF(COUNTIF(Distance_Matrix!$E$10:$DQ$10,$E227)&lt;=1,0,SUMIF(Distance_Matrix!$E$10:$DQ$10,$E227,Distance_Matrix!$E$95:$DQ$95)/(COUNTIF(Distance_Matrix!$E$10:$DQ$10,$E227)-1))</f>
        <v>0.79258423254366717</v>
      </c>
      <c r="H227" s="18">
        <f>MIN(IF(1=$E227,1E+99,IF(COUNTIF(Distance_Matrix!$E$10:$DQ$10,1)=0,1E+99,SUMIF(Distance_Matrix!$E$10:$DQ$10,1,Distance_Matrix!$E$95:$DQ$95)/COUNTIF(Distance_Matrix!$E$10:$DQ$10,1))),IF(2=$E227,1E+99,IF(COUNTIF(Distance_Matrix!$E$10:$DQ$10,2)=0,1E+99,SUMIF(Distance_Matrix!$E$10:$DQ$10,2,Distance_Matrix!$E$95:$DQ$95)/COUNTIF(Distance_Matrix!$E$10:$DQ$10,2))),IF(3=$E227,1E+99,IF(COUNTIF(Distance_Matrix!$E$10:$DQ$10,3)=0,1E+99,SUMIF(Distance_Matrix!$E$10:$DQ$10,3,Distance_Matrix!$E$95:$DQ$95)/COUNTIF(Distance_Matrix!$E$10:$DQ$10,3))),IF(4=$E227,1E+99,IF(COUNTIF(Distance_Matrix!$E$10:$DQ$10,4)=0,1E+99,SUMIF(Distance_Matrix!$E$10:$DQ$10,4,Distance_Matrix!$E$95:$DQ$95)/COUNTIF(Distance_Matrix!$E$10:$DQ$10,4))))</f>
        <v>1.0960221771649397</v>
      </c>
      <c r="I227" s="18">
        <f>IF(COUNTIF(Distance_Matrix!$E$10:$DQ$10,$E227)&lt;=1,0,(H227-G227)/MAX(G227,H227))</f>
        <v>0.27685383648547135</v>
      </c>
      <c r="X227" s="18">
        <f t="shared" si="218"/>
        <v>7.0403370809162977</v>
      </c>
      <c r="Y227" s="18">
        <f t="shared" si="218"/>
        <v>1.7732560684176326</v>
      </c>
      <c r="Z227" s="18">
        <f t="shared" si="218"/>
        <v>2.6226032521928966</v>
      </c>
      <c r="AA227" s="18">
        <f t="shared" si="218"/>
        <v>1.4420033901708058</v>
      </c>
      <c r="AB227" s="56">
        <f t="shared" si="206"/>
        <v>4</v>
      </c>
      <c r="AD227" s="18">
        <f t="shared" si="219"/>
        <v>6.050139381169676</v>
      </c>
      <c r="AE227" s="18">
        <f t="shared" si="219"/>
        <v>0.9380729307864496</v>
      </c>
      <c r="AF227" s="18">
        <f t="shared" si="219"/>
        <v>2.0884584330535105</v>
      </c>
      <c r="AG227" s="18">
        <f t="shared" si="219"/>
        <v>0.46230316986669368</v>
      </c>
      <c r="AH227" s="56">
        <f t="shared" si="207"/>
        <v>4</v>
      </c>
      <c r="AJ227" s="18">
        <f t="shared" si="220"/>
        <v>5.7059898100170736</v>
      </c>
      <c r="AK227" s="18">
        <f t="shared" si="220"/>
        <v>0.96077618863678316</v>
      </c>
      <c r="AL227" s="18">
        <f t="shared" si="220"/>
        <v>2.1652438285192872</v>
      </c>
      <c r="AM227" s="18">
        <f t="shared" si="220"/>
        <v>0.42735677782215586</v>
      </c>
      <c r="AN227" s="56">
        <f t="shared" si="208"/>
        <v>4</v>
      </c>
      <c r="AP227" s="18">
        <f t="shared" si="221"/>
        <v>5.4134331516185163</v>
      </c>
      <c r="AQ227" s="18">
        <f t="shared" si="221"/>
        <v>1.0517032261638897</v>
      </c>
      <c r="AR227" s="18">
        <f t="shared" si="221"/>
        <v>2.1184369693971972</v>
      </c>
      <c r="AS227" s="18">
        <f t="shared" si="221"/>
        <v>0.38057481091375961</v>
      </c>
      <c r="AT227" s="56">
        <f t="shared" si="209"/>
        <v>4</v>
      </c>
      <c r="AV227" s="18">
        <f t="shared" si="222"/>
        <v>5.4134331516185163</v>
      </c>
      <c r="AW227" s="18">
        <f t="shared" si="222"/>
        <v>1.0517032261638897</v>
      </c>
      <c r="AX227" s="18">
        <f t="shared" si="222"/>
        <v>2.1184369693971972</v>
      </c>
      <c r="AY227" s="18">
        <f t="shared" si="222"/>
        <v>0.38057481091375961</v>
      </c>
      <c r="AZ227" s="56">
        <f t="shared" si="210"/>
        <v>4</v>
      </c>
      <c r="BB227" s="18">
        <f t="shared" si="223"/>
        <v>5.4134331516185163</v>
      </c>
      <c r="BC227" s="18">
        <f t="shared" si="223"/>
        <v>1.0517032261638897</v>
      </c>
      <c r="BD227" s="18">
        <f t="shared" si="223"/>
        <v>2.1184369693971972</v>
      </c>
      <c r="BE227" s="18">
        <f t="shared" si="223"/>
        <v>0.38057481091375961</v>
      </c>
      <c r="BF227" s="56">
        <f t="shared" si="211"/>
        <v>4</v>
      </c>
      <c r="BH227" s="18">
        <f t="shared" si="224"/>
        <v>5.4134331516185163</v>
      </c>
      <c r="BI227" s="18">
        <f t="shared" si="224"/>
        <v>1.0517032261638897</v>
      </c>
      <c r="BJ227" s="18">
        <f t="shared" si="224"/>
        <v>2.1184369693971972</v>
      </c>
      <c r="BK227" s="18">
        <f t="shared" si="224"/>
        <v>0.38057481091375961</v>
      </c>
      <c r="BL227" s="56">
        <f t="shared" si="212"/>
        <v>4</v>
      </c>
      <c r="BN227" s="18">
        <f t="shared" si="225"/>
        <v>5.4134331516185163</v>
      </c>
      <c r="BO227" s="18">
        <f t="shared" si="225"/>
        <v>1.0517032261638897</v>
      </c>
      <c r="BP227" s="18">
        <f t="shared" si="225"/>
        <v>2.1184369693971972</v>
      </c>
      <c r="BQ227" s="18">
        <f t="shared" si="225"/>
        <v>0.38057481091375961</v>
      </c>
      <c r="BR227" s="56">
        <f t="shared" si="213"/>
        <v>4</v>
      </c>
      <c r="BT227" s="18">
        <f t="shared" si="226"/>
        <v>5.4134331516185163</v>
      </c>
      <c r="BU227" s="18">
        <f t="shared" si="226"/>
        <v>1.0517032261638897</v>
      </c>
      <c r="BV227" s="18">
        <f t="shared" si="226"/>
        <v>2.1184369693971972</v>
      </c>
      <c r="BW227" s="18">
        <f t="shared" si="226"/>
        <v>0.38057481091375961</v>
      </c>
      <c r="BX227" s="56">
        <f t="shared" si="214"/>
        <v>4</v>
      </c>
      <c r="BZ227" s="18">
        <f t="shared" si="227"/>
        <v>5.4134331516185163</v>
      </c>
      <c r="CA227" s="18">
        <f t="shared" si="227"/>
        <v>1.0517032261638897</v>
      </c>
      <c r="CB227" s="18">
        <f t="shared" si="227"/>
        <v>2.1184369693971972</v>
      </c>
      <c r="CC227" s="18">
        <f t="shared" si="227"/>
        <v>0.38057481091375961</v>
      </c>
      <c r="CD227" s="56">
        <f t="shared" si="215"/>
        <v>4</v>
      </c>
      <c r="CF227" s="18">
        <f t="shared" si="228"/>
        <v>5.4134331516185163</v>
      </c>
      <c r="CG227" s="18">
        <f t="shared" si="228"/>
        <v>1.0517032261638897</v>
      </c>
      <c r="CH227" s="18">
        <f t="shared" si="228"/>
        <v>2.1184369693971972</v>
      </c>
      <c r="CI227" s="18">
        <f t="shared" si="228"/>
        <v>0.38057481091375961</v>
      </c>
      <c r="CJ227" s="56">
        <f t="shared" si="216"/>
        <v>4</v>
      </c>
      <c r="CL227" s="18">
        <f t="shared" si="229"/>
        <v>5.4134331516185163</v>
      </c>
      <c r="CM227" s="18">
        <f t="shared" si="229"/>
        <v>1.0517032261638897</v>
      </c>
      <c r="CN227" s="18">
        <f t="shared" si="229"/>
        <v>2.1184369693971972</v>
      </c>
      <c r="CO227" s="18">
        <f t="shared" si="229"/>
        <v>0.38057481091375961</v>
      </c>
      <c r="CP227" s="56">
        <f t="shared" si="217"/>
        <v>4</v>
      </c>
    </row>
    <row r="228" spans="1:94" x14ac:dyDescent="0.25">
      <c r="A228" s="36" t="str">
        <f>KMeans_Data!A87</f>
        <v>Ghizer</v>
      </c>
      <c r="B228" s="18">
        <f>KMeans_Data!H87</f>
        <v>-0.5205491527213375</v>
      </c>
      <c r="C228" s="18">
        <f>KMeans_Data!I87</f>
        <v>-0.67265054538827607</v>
      </c>
      <c r="D228" s="18">
        <f>KMeans_Data!J87</f>
        <v>-0.50324791546397885</v>
      </c>
      <c r="E228" s="56">
        <f t="shared" si="204"/>
        <v>4</v>
      </c>
      <c r="F228" s="38">
        <f t="shared" si="205"/>
        <v>0.19706878527272254</v>
      </c>
      <c r="G228" s="18">
        <f>IF(COUNTIF(Distance_Matrix!$E$10:$DQ$10,$E228)&lt;=1,0,SUMIF(Distance_Matrix!$E$10:$DQ$10,$E228,Distance_Matrix!$E$96:$DQ$96)/(COUNTIF(Distance_Matrix!$E$10:$DQ$10,$E228)-1))</f>
        <v>0.82361434069693129</v>
      </c>
      <c r="H228" s="18">
        <f>MIN(IF(1=$E228,1E+99,IF(COUNTIF(Distance_Matrix!$E$10:$DQ$10,1)=0,1E+99,SUMIF(Distance_Matrix!$E$10:$DQ$10,1,Distance_Matrix!$E$96:$DQ$96)/COUNTIF(Distance_Matrix!$E$10:$DQ$10,1))),IF(2=$E228,1E+99,IF(COUNTIF(Distance_Matrix!$E$10:$DQ$10,2)=0,1E+99,SUMIF(Distance_Matrix!$E$10:$DQ$10,2,Distance_Matrix!$E$96:$DQ$96)/COUNTIF(Distance_Matrix!$E$10:$DQ$10,2))),IF(3=$E228,1E+99,IF(COUNTIF(Distance_Matrix!$E$10:$DQ$10,3)=0,1E+99,SUMIF(Distance_Matrix!$E$10:$DQ$10,3,Distance_Matrix!$E$96:$DQ$96)/COUNTIF(Distance_Matrix!$E$10:$DQ$10,3))),IF(4=$E228,1E+99,IF(COUNTIF(Distance_Matrix!$E$10:$DQ$10,4)=0,1E+99,SUMIF(Distance_Matrix!$E$10:$DQ$10,4,Distance_Matrix!$E$96:$DQ$96)/COUNTIF(Distance_Matrix!$E$10:$DQ$10,4))))</f>
        <v>0.99674512691938499</v>
      </c>
      <c r="I228" s="18">
        <f>IF(COUNTIF(Distance_Matrix!$E$10:$DQ$10,$E228)&lt;=1,0,(H228-G228)/MAX(G228,H228))</f>
        <v>0.17369614512944212</v>
      </c>
      <c r="X228" s="18">
        <f t="shared" si="218"/>
        <v>7.1208456226614238</v>
      </c>
      <c r="Y228" s="18">
        <f t="shared" si="218"/>
        <v>1.6863400260996402</v>
      </c>
      <c r="Z228" s="18">
        <f t="shared" si="218"/>
        <v>2.7253656976307941</v>
      </c>
      <c r="AA228" s="18">
        <f t="shared" si="218"/>
        <v>1.4314584704603783</v>
      </c>
      <c r="AB228" s="56">
        <f t="shared" si="206"/>
        <v>4</v>
      </c>
      <c r="AD228" s="18">
        <f t="shared" si="219"/>
        <v>6.1269561608018481</v>
      </c>
      <c r="AE228" s="18">
        <f t="shared" si="219"/>
        <v>0.84024735825901498</v>
      </c>
      <c r="AF228" s="18">
        <f t="shared" si="219"/>
        <v>2.1786323666184275</v>
      </c>
      <c r="AG228" s="18">
        <f t="shared" si="219"/>
        <v>0.49378338027252078</v>
      </c>
      <c r="AH228" s="56">
        <f t="shared" si="207"/>
        <v>4</v>
      </c>
      <c r="AJ228" s="18">
        <f t="shared" si="220"/>
        <v>5.7834598065775769</v>
      </c>
      <c r="AK228" s="18">
        <f t="shared" si="220"/>
        <v>0.85998394613274631</v>
      </c>
      <c r="AL228" s="18">
        <f t="shared" si="220"/>
        <v>2.2535522084974611</v>
      </c>
      <c r="AM228" s="18">
        <f t="shared" si="220"/>
        <v>0.48770221778924955</v>
      </c>
      <c r="AN228" s="56">
        <f t="shared" si="208"/>
        <v>4</v>
      </c>
      <c r="AP228" s="18">
        <f t="shared" si="221"/>
        <v>5.4904654348822399</v>
      </c>
      <c r="AQ228" s="18">
        <f t="shared" si="221"/>
        <v>0.94856162655699761</v>
      </c>
      <c r="AR228" s="18">
        <f t="shared" si="221"/>
        <v>2.2073993648917636</v>
      </c>
      <c r="AS228" s="18">
        <f t="shared" si="221"/>
        <v>0.44392430128651722</v>
      </c>
      <c r="AT228" s="56">
        <f t="shared" si="209"/>
        <v>4</v>
      </c>
      <c r="AV228" s="18">
        <f t="shared" si="222"/>
        <v>5.4904654348822399</v>
      </c>
      <c r="AW228" s="18">
        <f t="shared" si="222"/>
        <v>0.94856162655699761</v>
      </c>
      <c r="AX228" s="18">
        <f t="shared" si="222"/>
        <v>2.2073993648917636</v>
      </c>
      <c r="AY228" s="18">
        <f t="shared" si="222"/>
        <v>0.44392430128651722</v>
      </c>
      <c r="AZ228" s="56">
        <f t="shared" si="210"/>
        <v>4</v>
      </c>
      <c r="BB228" s="18">
        <f t="shared" si="223"/>
        <v>5.4904654348822399</v>
      </c>
      <c r="BC228" s="18">
        <f t="shared" si="223"/>
        <v>0.94856162655699761</v>
      </c>
      <c r="BD228" s="18">
        <f t="shared" si="223"/>
        <v>2.2073993648917636</v>
      </c>
      <c r="BE228" s="18">
        <f t="shared" si="223"/>
        <v>0.44392430128651722</v>
      </c>
      <c r="BF228" s="56">
        <f t="shared" si="211"/>
        <v>4</v>
      </c>
      <c r="BH228" s="18">
        <f t="shared" si="224"/>
        <v>5.4904654348822399</v>
      </c>
      <c r="BI228" s="18">
        <f t="shared" si="224"/>
        <v>0.94856162655699761</v>
      </c>
      <c r="BJ228" s="18">
        <f t="shared" si="224"/>
        <v>2.2073993648917636</v>
      </c>
      <c r="BK228" s="18">
        <f t="shared" si="224"/>
        <v>0.44392430128651722</v>
      </c>
      <c r="BL228" s="56">
        <f t="shared" si="212"/>
        <v>4</v>
      </c>
      <c r="BN228" s="18">
        <f t="shared" si="225"/>
        <v>5.4904654348822399</v>
      </c>
      <c r="BO228" s="18">
        <f t="shared" si="225"/>
        <v>0.94856162655699761</v>
      </c>
      <c r="BP228" s="18">
        <f t="shared" si="225"/>
        <v>2.2073993648917636</v>
      </c>
      <c r="BQ228" s="18">
        <f t="shared" si="225"/>
        <v>0.44392430128651722</v>
      </c>
      <c r="BR228" s="56">
        <f t="shared" si="213"/>
        <v>4</v>
      </c>
      <c r="BT228" s="18">
        <f t="shared" si="226"/>
        <v>5.4904654348822399</v>
      </c>
      <c r="BU228" s="18">
        <f t="shared" si="226"/>
        <v>0.94856162655699761</v>
      </c>
      <c r="BV228" s="18">
        <f t="shared" si="226"/>
        <v>2.2073993648917636</v>
      </c>
      <c r="BW228" s="18">
        <f t="shared" si="226"/>
        <v>0.44392430128651722</v>
      </c>
      <c r="BX228" s="56">
        <f t="shared" si="214"/>
        <v>4</v>
      </c>
      <c r="BZ228" s="18">
        <f t="shared" si="227"/>
        <v>5.4904654348822399</v>
      </c>
      <c r="CA228" s="18">
        <f t="shared" si="227"/>
        <v>0.94856162655699761</v>
      </c>
      <c r="CB228" s="18">
        <f t="shared" si="227"/>
        <v>2.2073993648917636</v>
      </c>
      <c r="CC228" s="18">
        <f t="shared" si="227"/>
        <v>0.44392430128651722</v>
      </c>
      <c r="CD228" s="56">
        <f t="shared" si="215"/>
        <v>4</v>
      </c>
      <c r="CF228" s="18">
        <f t="shared" si="228"/>
        <v>5.4904654348822399</v>
      </c>
      <c r="CG228" s="18">
        <f t="shared" si="228"/>
        <v>0.94856162655699761</v>
      </c>
      <c r="CH228" s="18">
        <f t="shared" si="228"/>
        <v>2.2073993648917636</v>
      </c>
      <c r="CI228" s="18">
        <f t="shared" si="228"/>
        <v>0.44392430128651722</v>
      </c>
      <c r="CJ228" s="56">
        <f t="shared" si="216"/>
        <v>4</v>
      </c>
      <c r="CL228" s="18">
        <f t="shared" si="229"/>
        <v>5.4904654348822399</v>
      </c>
      <c r="CM228" s="18">
        <f t="shared" si="229"/>
        <v>0.94856162655699761</v>
      </c>
      <c r="CN228" s="18">
        <f t="shared" si="229"/>
        <v>2.2073993648917636</v>
      </c>
      <c r="CO228" s="18">
        <f t="shared" si="229"/>
        <v>0.44392430128651722</v>
      </c>
      <c r="CP228" s="56">
        <f t="shared" si="217"/>
        <v>4</v>
      </c>
    </row>
    <row r="229" spans="1:94" x14ac:dyDescent="0.25">
      <c r="A229" s="36" t="str">
        <f>KMeans_Data!A88</f>
        <v>Mianwali</v>
      </c>
      <c r="B229" s="18">
        <f>KMeans_Data!H88</f>
        <v>-0.54724577455296852</v>
      </c>
      <c r="C229" s="18">
        <f>KMeans_Data!I88</f>
        <v>-0.67265054538827607</v>
      </c>
      <c r="D229" s="18">
        <f>KMeans_Data!J88</f>
        <v>-0.82444601589876665</v>
      </c>
      <c r="E229" s="56">
        <f t="shared" si="204"/>
        <v>4</v>
      </c>
      <c r="F229" s="38">
        <f t="shared" si="205"/>
        <v>0.40420958455589207</v>
      </c>
      <c r="G229" s="18">
        <f>IF(COUNTIF(Distance_Matrix!$E$10:$DQ$10,$E229)&lt;=1,0,SUMIF(Distance_Matrix!$E$10:$DQ$10,$E229,Distance_Matrix!$E$97:$DQ$97)/(COUNTIF(Distance_Matrix!$E$10:$DQ$10,$E229)-1))</f>
        <v>0.93311399444947518</v>
      </c>
      <c r="H229" s="18">
        <f>MIN(IF(1=$E229,1E+99,IF(COUNTIF(Distance_Matrix!$E$10:$DQ$10,1)=0,1E+99,SUMIF(Distance_Matrix!$E$10:$DQ$10,1,Distance_Matrix!$E$97:$DQ$97)/COUNTIF(Distance_Matrix!$E$10:$DQ$10,1))),IF(2=$E229,1E+99,IF(COUNTIF(Distance_Matrix!$E$10:$DQ$10,2)=0,1E+99,SUMIF(Distance_Matrix!$E$10:$DQ$10,2,Distance_Matrix!$E$97:$DQ$97)/COUNTIF(Distance_Matrix!$E$10:$DQ$10,2))),IF(3=$E229,1E+99,IF(COUNTIF(Distance_Matrix!$E$10:$DQ$10,3)=0,1E+99,SUMIF(Distance_Matrix!$E$10:$DQ$10,3,Distance_Matrix!$E$97:$DQ$97)/COUNTIF(Distance_Matrix!$E$10:$DQ$10,3))),IF(4=$E229,1E+99,IF(COUNTIF(Distance_Matrix!$E$10:$DQ$10,4)=0,1E+99,SUMIF(Distance_Matrix!$E$10:$DQ$10,4,Distance_Matrix!$E$97:$DQ$97)/COUNTIF(Distance_Matrix!$E$10:$DQ$10,4))))</f>
        <v>0.82107101566784269</v>
      </c>
      <c r="I229" s="18">
        <f>IF(COUNTIF(Distance_Matrix!$E$10:$DQ$10,$E229)&lt;=1,0,(H229-G229)/MAX(G229,H229))</f>
        <v>-0.12007426686139924</v>
      </c>
      <c r="X229" s="18">
        <f t="shared" si="218"/>
        <v>7.3092925798473285</v>
      </c>
      <c r="Y229" s="18">
        <f t="shared" si="218"/>
        <v>1.5657907219695728</v>
      </c>
      <c r="Z229" s="18">
        <f t="shared" si="218"/>
        <v>2.980360147150797</v>
      </c>
      <c r="AA229" s="18">
        <f t="shared" si="218"/>
        <v>1.3425907007716069</v>
      </c>
      <c r="AB229" s="56">
        <f t="shared" si="206"/>
        <v>4</v>
      </c>
      <c r="AD229" s="18">
        <f t="shared" si="219"/>
        <v>6.3041056050625439</v>
      </c>
      <c r="AE229" s="18">
        <f t="shared" si="219"/>
        <v>0.70280353018440411</v>
      </c>
      <c r="AF229" s="18">
        <f t="shared" si="219"/>
        <v>2.4081035538059234</v>
      </c>
      <c r="AG229" s="18">
        <f t="shared" si="219"/>
        <v>0.60438747337830212</v>
      </c>
      <c r="AH229" s="56">
        <f t="shared" si="207"/>
        <v>4</v>
      </c>
      <c r="AJ229" s="18">
        <f t="shared" si="220"/>
        <v>5.961734277197567</v>
      </c>
      <c r="AK229" s="18">
        <f t="shared" si="220"/>
        <v>0.70398036526616603</v>
      </c>
      <c r="AL229" s="18">
        <f t="shared" si="220"/>
        <v>2.4771182211858891</v>
      </c>
      <c r="AM229" s="18">
        <f t="shared" si="220"/>
        <v>0.66503115638644938</v>
      </c>
      <c r="AN229" s="56">
        <f t="shared" si="208"/>
        <v>4</v>
      </c>
      <c r="AP229" s="18">
        <f t="shared" si="221"/>
        <v>5.6686650233764997</v>
      </c>
      <c r="AQ229" s="18">
        <f t="shared" si="221"/>
        <v>0.77241890813494118</v>
      </c>
      <c r="AR229" s="18">
        <f t="shared" si="221"/>
        <v>2.4329612681327699</v>
      </c>
      <c r="AS229" s="18">
        <f t="shared" si="221"/>
        <v>0.63577479075211218</v>
      </c>
      <c r="AT229" s="56">
        <f t="shared" si="209"/>
        <v>4</v>
      </c>
      <c r="AV229" s="18">
        <f t="shared" si="222"/>
        <v>5.6686650233764997</v>
      </c>
      <c r="AW229" s="18">
        <f t="shared" si="222"/>
        <v>0.77241890813494118</v>
      </c>
      <c r="AX229" s="18">
        <f t="shared" si="222"/>
        <v>2.4329612681327699</v>
      </c>
      <c r="AY229" s="18">
        <f t="shared" si="222"/>
        <v>0.63577479075211218</v>
      </c>
      <c r="AZ229" s="56">
        <f t="shared" si="210"/>
        <v>4</v>
      </c>
      <c r="BB229" s="18">
        <f t="shared" si="223"/>
        <v>5.6686650233764997</v>
      </c>
      <c r="BC229" s="18">
        <f t="shared" si="223"/>
        <v>0.77241890813494118</v>
      </c>
      <c r="BD229" s="18">
        <f t="shared" si="223"/>
        <v>2.4329612681327699</v>
      </c>
      <c r="BE229" s="18">
        <f t="shared" si="223"/>
        <v>0.63577479075211218</v>
      </c>
      <c r="BF229" s="56">
        <f t="shared" si="211"/>
        <v>4</v>
      </c>
      <c r="BH229" s="18">
        <f t="shared" si="224"/>
        <v>5.6686650233764997</v>
      </c>
      <c r="BI229" s="18">
        <f t="shared" si="224"/>
        <v>0.77241890813494118</v>
      </c>
      <c r="BJ229" s="18">
        <f t="shared" si="224"/>
        <v>2.4329612681327699</v>
      </c>
      <c r="BK229" s="18">
        <f t="shared" si="224"/>
        <v>0.63577479075211218</v>
      </c>
      <c r="BL229" s="56">
        <f t="shared" si="212"/>
        <v>4</v>
      </c>
      <c r="BN229" s="18">
        <f t="shared" si="225"/>
        <v>5.6686650233764997</v>
      </c>
      <c r="BO229" s="18">
        <f t="shared" si="225"/>
        <v>0.77241890813494118</v>
      </c>
      <c r="BP229" s="18">
        <f t="shared" si="225"/>
        <v>2.4329612681327699</v>
      </c>
      <c r="BQ229" s="18">
        <f t="shared" si="225"/>
        <v>0.63577479075211218</v>
      </c>
      <c r="BR229" s="56">
        <f t="shared" si="213"/>
        <v>4</v>
      </c>
      <c r="BT229" s="18">
        <f t="shared" si="226"/>
        <v>5.6686650233764997</v>
      </c>
      <c r="BU229" s="18">
        <f t="shared" si="226"/>
        <v>0.77241890813494118</v>
      </c>
      <c r="BV229" s="18">
        <f t="shared" si="226"/>
        <v>2.4329612681327699</v>
      </c>
      <c r="BW229" s="18">
        <f t="shared" si="226"/>
        <v>0.63577479075211218</v>
      </c>
      <c r="BX229" s="56">
        <f t="shared" si="214"/>
        <v>4</v>
      </c>
      <c r="BZ229" s="18">
        <f t="shared" si="227"/>
        <v>5.6686650233764997</v>
      </c>
      <c r="CA229" s="18">
        <f t="shared" si="227"/>
        <v>0.77241890813494118</v>
      </c>
      <c r="CB229" s="18">
        <f t="shared" si="227"/>
        <v>2.4329612681327699</v>
      </c>
      <c r="CC229" s="18">
        <f t="shared" si="227"/>
        <v>0.63577479075211218</v>
      </c>
      <c r="CD229" s="56">
        <f t="shared" si="215"/>
        <v>4</v>
      </c>
      <c r="CF229" s="18">
        <f t="shared" si="228"/>
        <v>5.6686650233764997</v>
      </c>
      <c r="CG229" s="18">
        <f t="shared" si="228"/>
        <v>0.77241890813494118</v>
      </c>
      <c r="CH229" s="18">
        <f t="shared" si="228"/>
        <v>2.4329612681327699</v>
      </c>
      <c r="CI229" s="18">
        <f t="shared" si="228"/>
        <v>0.63577479075211218</v>
      </c>
      <c r="CJ229" s="56">
        <f t="shared" si="216"/>
        <v>4</v>
      </c>
      <c r="CL229" s="18">
        <f t="shared" si="229"/>
        <v>5.6686650233764997</v>
      </c>
      <c r="CM229" s="18">
        <f t="shared" si="229"/>
        <v>0.77241890813494118</v>
      </c>
      <c r="CN229" s="18">
        <f t="shared" si="229"/>
        <v>2.4329612681327699</v>
      </c>
      <c r="CO229" s="18">
        <f t="shared" si="229"/>
        <v>0.63577479075211218</v>
      </c>
      <c r="CP229" s="56">
        <f t="shared" si="217"/>
        <v>4</v>
      </c>
    </row>
    <row r="230" spans="1:94" x14ac:dyDescent="0.25">
      <c r="A230" s="36" t="str">
        <f>KMeans_Data!A89</f>
        <v>Kharmang</v>
      </c>
      <c r="B230" s="18">
        <f>KMeans_Data!H89</f>
        <v>-0.60513538281414725</v>
      </c>
      <c r="C230" s="18">
        <f>KMeans_Data!I89</f>
        <v>-0.67265054538827607</v>
      </c>
      <c r="D230" s="18">
        <f>KMeans_Data!J89</f>
        <v>-3.44812518432112E-2</v>
      </c>
      <c r="E230" s="56">
        <f t="shared" si="204"/>
        <v>4</v>
      </c>
      <c r="F230" s="38">
        <f t="shared" si="205"/>
        <v>0.37009383859120698</v>
      </c>
      <c r="G230" s="18">
        <f>IF(COUNTIF(Distance_Matrix!$E$10:$DQ$10,$E230)&lt;=1,0,SUMIF(Distance_Matrix!$E$10:$DQ$10,$E230,Distance_Matrix!$E$98:$DQ$98)/(COUNTIF(Distance_Matrix!$E$10:$DQ$10,$E230)-1))</f>
        <v>0.89274682507959036</v>
      </c>
      <c r="H230" s="18">
        <f>MIN(IF(1=$E230,1E+99,IF(COUNTIF(Distance_Matrix!$E$10:$DQ$10,1)=0,1E+99,SUMIF(Distance_Matrix!$E$10:$DQ$10,1,Distance_Matrix!$E$98:$DQ$98)/COUNTIF(Distance_Matrix!$E$10:$DQ$10,1))),IF(2=$E230,1E+99,IF(COUNTIF(Distance_Matrix!$E$10:$DQ$10,2)=0,1E+99,SUMIF(Distance_Matrix!$E$10:$DQ$10,2,Distance_Matrix!$E$98:$DQ$98)/COUNTIF(Distance_Matrix!$E$10:$DQ$10,2))),IF(3=$E230,1E+99,IF(COUNTIF(Distance_Matrix!$E$10:$DQ$10,3)=0,1E+99,SUMIF(Distance_Matrix!$E$10:$DQ$10,3,Distance_Matrix!$E$98:$DQ$98)/COUNTIF(Distance_Matrix!$E$10:$DQ$10,3))),IF(4=$E230,1E+99,IF(COUNTIF(Distance_Matrix!$E$10:$DQ$10,4)=0,1E+99,SUMIF(Distance_Matrix!$E$10:$DQ$10,4,Distance_Matrix!$E$98:$DQ$98)/COUNTIF(Distance_Matrix!$E$10:$DQ$10,4))))</f>
        <v>1.2879319285165209</v>
      </c>
      <c r="I230" s="18">
        <f>IF(COUNTIF(Distance_Matrix!$E$10:$DQ$10,$E230)&lt;=1,0,(H230-G230)/MAX(G230,H230))</f>
        <v>0.30683694897766589</v>
      </c>
      <c r="X230" s="18">
        <f t="shared" si="218"/>
        <v>6.9320982715787478</v>
      </c>
      <c r="Y230" s="18">
        <f t="shared" si="218"/>
        <v>1.8463845039341165</v>
      </c>
      <c r="Z230" s="18">
        <f t="shared" si="218"/>
        <v>2.4632705018895025</v>
      </c>
      <c r="AA230" s="18">
        <f t="shared" si="218"/>
        <v>1.75371916113307</v>
      </c>
      <c r="AB230" s="56">
        <f t="shared" si="206"/>
        <v>4</v>
      </c>
      <c r="AD230" s="18">
        <f t="shared" si="219"/>
        <v>5.9604370479086315</v>
      </c>
      <c r="AE230" s="18">
        <f t="shared" si="219"/>
        <v>1.1027314981764171</v>
      </c>
      <c r="AF230" s="18">
        <f t="shared" si="219"/>
        <v>1.966629020760144</v>
      </c>
      <c r="AG230" s="18">
        <f t="shared" si="219"/>
        <v>0.74719674913547662</v>
      </c>
      <c r="AH230" s="56">
        <f t="shared" si="207"/>
        <v>4</v>
      </c>
      <c r="AJ230" s="18">
        <f t="shared" si="220"/>
        <v>5.6180211810702714</v>
      </c>
      <c r="AK230" s="18">
        <f t="shared" si="220"/>
        <v>1.1394252596587702</v>
      </c>
      <c r="AL230" s="18">
        <f t="shared" si="220"/>
        <v>2.0502907773400532</v>
      </c>
      <c r="AM230" s="18">
        <f t="shared" si="220"/>
        <v>0.65307466976695405</v>
      </c>
      <c r="AN230" s="56">
        <f t="shared" si="208"/>
        <v>4</v>
      </c>
      <c r="AP230" s="18">
        <f t="shared" si="221"/>
        <v>5.3257646972360186</v>
      </c>
      <c r="AQ230" s="18">
        <f t="shared" si="221"/>
        <v>1.2383559038193757</v>
      </c>
      <c r="AR230" s="18">
        <f t="shared" si="221"/>
        <v>2.0020358646663805</v>
      </c>
      <c r="AS230" s="18">
        <f t="shared" si="221"/>
        <v>0.60835338298657216</v>
      </c>
      <c r="AT230" s="56">
        <f t="shared" si="209"/>
        <v>4</v>
      </c>
      <c r="AV230" s="18">
        <f t="shared" si="222"/>
        <v>5.3257646972360186</v>
      </c>
      <c r="AW230" s="18">
        <f t="shared" si="222"/>
        <v>1.2383559038193757</v>
      </c>
      <c r="AX230" s="18">
        <f t="shared" si="222"/>
        <v>2.0020358646663805</v>
      </c>
      <c r="AY230" s="18">
        <f t="shared" si="222"/>
        <v>0.60835338298657216</v>
      </c>
      <c r="AZ230" s="56">
        <f t="shared" si="210"/>
        <v>4</v>
      </c>
      <c r="BB230" s="18">
        <f t="shared" si="223"/>
        <v>5.3257646972360186</v>
      </c>
      <c r="BC230" s="18">
        <f t="shared" si="223"/>
        <v>1.2383559038193757</v>
      </c>
      <c r="BD230" s="18">
        <f t="shared" si="223"/>
        <v>2.0020358646663805</v>
      </c>
      <c r="BE230" s="18">
        <f t="shared" si="223"/>
        <v>0.60835338298657216</v>
      </c>
      <c r="BF230" s="56">
        <f t="shared" si="211"/>
        <v>4</v>
      </c>
      <c r="BH230" s="18">
        <f t="shared" si="224"/>
        <v>5.3257646972360186</v>
      </c>
      <c r="BI230" s="18">
        <f t="shared" si="224"/>
        <v>1.2383559038193757</v>
      </c>
      <c r="BJ230" s="18">
        <f t="shared" si="224"/>
        <v>2.0020358646663805</v>
      </c>
      <c r="BK230" s="18">
        <f t="shared" si="224"/>
        <v>0.60835338298657216</v>
      </c>
      <c r="BL230" s="56">
        <f t="shared" si="212"/>
        <v>4</v>
      </c>
      <c r="BN230" s="18">
        <f t="shared" si="225"/>
        <v>5.3257646972360186</v>
      </c>
      <c r="BO230" s="18">
        <f t="shared" si="225"/>
        <v>1.2383559038193757</v>
      </c>
      <c r="BP230" s="18">
        <f t="shared" si="225"/>
        <v>2.0020358646663805</v>
      </c>
      <c r="BQ230" s="18">
        <f t="shared" si="225"/>
        <v>0.60835338298657216</v>
      </c>
      <c r="BR230" s="56">
        <f t="shared" si="213"/>
        <v>4</v>
      </c>
      <c r="BT230" s="18">
        <f t="shared" si="226"/>
        <v>5.3257646972360186</v>
      </c>
      <c r="BU230" s="18">
        <f t="shared" si="226"/>
        <v>1.2383559038193757</v>
      </c>
      <c r="BV230" s="18">
        <f t="shared" si="226"/>
        <v>2.0020358646663805</v>
      </c>
      <c r="BW230" s="18">
        <f t="shared" si="226"/>
        <v>0.60835338298657216</v>
      </c>
      <c r="BX230" s="56">
        <f t="shared" si="214"/>
        <v>4</v>
      </c>
      <c r="BZ230" s="18">
        <f t="shared" si="227"/>
        <v>5.3257646972360186</v>
      </c>
      <c r="CA230" s="18">
        <f t="shared" si="227"/>
        <v>1.2383559038193757</v>
      </c>
      <c r="CB230" s="18">
        <f t="shared" si="227"/>
        <v>2.0020358646663805</v>
      </c>
      <c r="CC230" s="18">
        <f t="shared" si="227"/>
        <v>0.60835338298657216</v>
      </c>
      <c r="CD230" s="56">
        <f t="shared" si="215"/>
        <v>4</v>
      </c>
      <c r="CF230" s="18">
        <f t="shared" si="228"/>
        <v>5.3257646972360186</v>
      </c>
      <c r="CG230" s="18">
        <f t="shared" si="228"/>
        <v>1.2383559038193757</v>
      </c>
      <c r="CH230" s="18">
        <f t="shared" si="228"/>
        <v>2.0020358646663805</v>
      </c>
      <c r="CI230" s="18">
        <f t="shared" si="228"/>
        <v>0.60835338298657216</v>
      </c>
      <c r="CJ230" s="56">
        <f t="shared" si="216"/>
        <v>4</v>
      </c>
      <c r="CL230" s="18">
        <f t="shared" si="229"/>
        <v>5.3257646972360186</v>
      </c>
      <c r="CM230" s="18">
        <f t="shared" si="229"/>
        <v>1.2383559038193757</v>
      </c>
      <c r="CN230" s="18">
        <f t="shared" si="229"/>
        <v>2.0020358646663805</v>
      </c>
      <c r="CO230" s="18">
        <f t="shared" si="229"/>
        <v>0.60835338298657216</v>
      </c>
      <c r="CP230" s="56">
        <f t="shared" si="217"/>
        <v>4</v>
      </c>
    </row>
    <row r="231" spans="1:94" x14ac:dyDescent="0.25">
      <c r="A231" s="36" t="str">
        <f>KMeans_Data!A90</f>
        <v>Attock</v>
      </c>
      <c r="B231" s="18">
        <f>KMeans_Data!H90</f>
        <v>-0.63668868079673557</v>
      </c>
      <c r="C231" s="18">
        <f>KMeans_Data!I90</f>
        <v>-0.67265054538827607</v>
      </c>
      <c r="D231" s="18">
        <f>KMeans_Data!J90</f>
        <v>-1.1456441163335547</v>
      </c>
      <c r="E231" s="56">
        <f t="shared" si="204"/>
        <v>2</v>
      </c>
      <c r="F231" s="38">
        <f t="shared" si="205"/>
        <v>0.41684071399412109</v>
      </c>
      <c r="G231" s="18">
        <f>IF(COUNTIF(Distance_Matrix!$E$10:$DQ$10,$E231)&lt;=1,0,SUMIF(Distance_Matrix!$E$10:$DQ$10,$E231,Distance_Matrix!$E$99:$DQ$99)/(COUNTIF(Distance_Matrix!$E$10:$DQ$10,$E231)-1))</f>
        <v>0.71731376254806001</v>
      </c>
      <c r="H231" s="18">
        <f>MIN(IF(1=$E231,1E+99,IF(COUNTIF(Distance_Matrix!$E$10:$DQ$10,1)=0,1E+99,SUMIF(Distance_Matrix!$E$10:$DQ$10,1,Distance_Matrix!$E$99:$DQ$99)/COUNTIF(Distance_Matrix!$E$10:$DQ$10,1))),IF(2=$E231,1E+99,IF(COUNTIF(Distance_Matrix!$E$10:$DQ$10,2)=0,1E+99,SUMIF(Distance_Matrix!$E$10:$DQ$10,2,Distance_Matrix!$E$99:$DQ$99)/COUNTIF(Distance_Matrix!$E$10:$DQ$10,2))),IF(3=$E231,1E+99,IF(COUNTIF(Distance_Matrix!$E$10:$DQ$10,3)=0,1E+99,SUMIF(Distance_Matrix!$E$10:$DQ$10,3,Distance_Matrix!$E$99:$DQ$99)/COUNTIF(Distance_Matrix!$E$10:$DQ$10,3))),IF(4=$E231,1E+99,IF(COUNTIF(Distance_Matrix!$E$10:$DQ$10,4)=0,1E+99,SUMIF(Distance_Matrix!$E$10:$DQ$10,4,Distance_Matrix!$E$99:$DQ$99)/COUNTIF(Distance_Matrix!$E$10:$DQ$10,4))))</f>
        <v>1.124011790682784</v>
      </c>
      <c r="I231" s="18">
        <f>IF(COUNTIF(Distance_Matrix!$E$10:$DQ$10,$E231)&lt;=1,0,(H231-G231)/MAX(G231,H231))</f>
        <v>0.36182719034261568</v>
      </c>
      <c r="X231" s="18">
        <f t="shared" si="218"/>
        <v>7.5392108031360259</v>
      </c>
      <c r="Y231" s="18">
        <f t="shared" si="218"/>
        <v>1.443049301006593</v>
      </c>
      <c r="Z231" s="18">
        <f t="shared" si="218"/>
        <v>3.278929330896613</v>
      </c>
      <c r="AA231" s="18">
        <f t="shared" si="218"/>
        <v>1.3859213030549966</v>
      </c>
      <c r="AB231" s="56">
        <f t="shared" si="206"/>
        <v>4</v>
      </c>
      <c r="AD231" s="18">
        <f t="shared" si="219"/>
        <v>6.525341415648894</v>
      </c>
      <c r="AE231" s="18">
        <f t="shared" si="219"/>
        <v>0.64018498025709758</v>
      </c>
      <c r="AF231" s="18">
        <f t="shared" si="219"/>
        <v>2.6854173032462803</v>
      </c>
      <c r="AG231" s="18">
        <f t="shared" si="219"/>
        <v>0.87330306344670527</v>
      </c>
      <c r="AH231" s="56">
        <f t="shared" si="207"/>
        <v>2</v>
      </c>
      <c r="AJ231" s="18">
        <f t="shared" si="220"/>
        <v>6.1851695745204296</v>
      </c>
      <c r="AK231" s="18">
        <f t="shared" si="220"/>
        <v>0.61699879990451434</v>
      </c>
      <c r="AL231" s="18">
        <f t="shared" si="220"/>
        <v>2.7494581585338307</v>
      </c>
      <c r="AM231" s="18">
        <f t="shared" si="220"/>
        <v>0.95925508003303273</v>
      </c>
      <c r="AN231" s="56">
        <f t="shared" si="208"/>
        <v>2</v>
      </c>
      <c r="AP231" s="18">
        <f t="shared" si="221"/>
        <v>5.8921694786701622</v>
      </c>
      <c r="AQ231" s="18">
        <f t="shared" si="221"/>
        <v>0.64563202677231024</v>
      </c>
      <c r="AR231" s="18">
        <f t="shared" si="221"/>
        <v>2.7071994871360525</v>
      </c>
      <c r="AS231" s="18">
        <f t="shared" si="221"/>
        <v>0.93751060554103893</v>
      </c>
      <c r="AT231" s="56">
        <f t="shared" si="209"/>
        <v>2</v>
      </c>
      <c r="AV231" s="18">
        <f t="shared" si="222"/>
        <v>5.8921694786701622</v>
      </c>
      <c r="AW231" s="18">
        <f t="shared" si="222"/>
        <v>0.64563202677231024</v>
      </c>
      <c r="AX231" s="18">
        <f t="shared" si="222"/>
        <v>2.7071994871360525</v>
      </c>
      <c r="AY231" s="18">
        <f t="shared" si="222"/>
        <v>0.93751060554103893</v>
      </c>
      <c r="AZ231" s="56">
        <f t="shared" si="210"/>
        <v>2</v>
      </c>
      <c r="BB231" s="18">
        <f t="shared" si="223"/>
        <v>5.8921694786701622</v>
      </c>
      <c r="BC231" s="18">
        <f t="shared" si="223"/>
        <v>0.64563202677231024</v>
      </c>
      <c r="BD231" s="18">
        <f t="shared" si="223"/>
        <v>2.7071994871360525</v>
      </c>
      <c r="BE231" s="18">
        <f t="shared" si="223"/>
        <v>0.93751060554103893</v>
      </c>
      <c r="BF231" s="56">
        <f t="shared" si="211"/>
        <v>2</v>
      </c>
      <c r="BH231" s="18">
        <f t="shared" si="224"/>
        <v>5.8921694786701622</v>
      </c>
      <c r="BI231" s="18">
        <f t="shared" si="224"/>
        <v>0.64563202677231024</v>
      </c>
      <c r="BJ231" s="18">
        <f t="shared" si="224"/>
        <v>2.7071994871360525</v>
      </c>
      <c r="BK231" s="18">
        <f t="shared" si="224"/>
        <v>0.93751060554103893</v>
      </c>
      <c r="BL231" s="56">
        <f t="shared" si="212"/>
        <v>2</v>
      </c>
      <c r="BN231" s="18">
        <f t="shared" si="225"/>
        <v>5.8921694786701622</v>
      </c>
      <c r="BO231" s="18">
        <f t="shared" si="225"/>
        <v>0.64563202677231024</v>
      </c>
      <c r="BP231" s="18">
        <f t="shared" si="225"/>
        <v>2.7071994871360525</v>
      </c>
      <c r="BQ231" s="18">
        <f t="shared" si="225"/>
        <v>0.93751060554103893</v>
      </c>
      <c r="BR231" s="56">
        <f t="shared" si="213"/>
        <v>2</v>
      </c>
      <c r="BT231" s="18">
        <f t="shared" si="226"/>
        <v>5.8921694786701622</v>
      </c>
      <c r="BU231" s="18">
        <f t="shared" si="226"/>
        <v>0.64563202677231024</v>
      </c>
      <c r="BV231" s="18">
        <f t="shared" si="226"/>
        <v>2.7071994871360525</v>
      </c>
      <c r="BW231" s="18">
        <f t="shared" si="226"/>
        <v>0.93751060554103893</v>
      </c>
      <c r="BX231" s="56">
        <f t="shared" si="214"/>
        <v>2</v>
      </c>
      <c r="BZ231" s="18">
        <f t="shared" si="227"/>
        <v>5.8921694786701622</v>
      </c>
      <c r="CA231" s="18">
        <f t="shared" si="227"/>
        <v>0.64563202677231024</v>
      </c>
      <c r="CB231" s="18">
        <f t="shared" si="227"/>
        <v>2.7071994871360525</v>
      </c>
      <c r="CC231" s="18">
        <f t="shared" si="227"/>
        <v>0.93751060554103893</v>
      </c>
      <c r="CD231" s="56">
        <f t="shared" si="215"/>
        <v>2</v>
      </c>
      <c r="CF231" s="18">
        <f t="shared" si="228"/>
        <v>5.8921694786701622</v>
      </c>
      <c r="CG231" s="18">
        <f t="shared" si="228"/>
        <v>0.64563202677231024</v>
      </c>
      <c r="CH231" s="18">
        <f t="shared" si="228"/>
        <v>2.7071994871360525</v>
      </c>
      <c r="CI231" s="18">
        <f t="shared" si="228"/>
        <v>0.93751060554103893</v>
      </c>
      <c r="CJ231" s="56">
        <f t="shared" si="216"/>
        <v>2</v>
      </c>
      <c r="CL231" s="18">
        <f t="shared" si="229"/>
        <v>5.8921694786701622</v>
      </c>
      <c r="CM231" s="18">
        <f t="shared" si="229"/>
        <v>0.64563202677231024</v>
      </c>
      <c r="CN231" s="18">
        <f t="shared" si="229"/>
        <v>2.7071994871360525</v>
      </c>
      <c r="CO231" s="18">
        <f t="shared" si="229"/>
        <v>0.93751060554103893</v>
      </c>
      <c r="CP231" s="56">
        <f t="shared" si="217"/>
        <v>2</v>
      </c>
    </row>
    <row r="232" spans="1:94" x14ac:dyDescent="0.25">
      <c r="A232" s="36" t="str">
        <f>KMeans_Data!A91</f>
        <v>Chitral Upper</v>
      </c>
      <c r="B232" s="18">
        <f>KMeans_Data!H91</f>
        <v>-0.63668868079673557</v>
      </c>
      <c r="C232" s="18">
        <f>KMeans_Data!I91</f>
        <v>-0.67265054538827607</v>
      </c>
      <c r="D232" s="18">
        <f>KMeans_Data!J91</f>
        <v>-0.31535907140676028</v>
      </c>
      <c r="E232" s="56">
        <f t="shared" si="204"/>
        <v>4</v>
      </c>
      <c r="F232" s="38">
        <f t="shared" si="205"/>
        <v>0.28871782241721128</v>
      </c>
      <c r="G232" s="18">
        <f>IF(COUNTIF(Distance_Matrix!$E$10:$DQ$10,$E232)&lt;=1,0,SUMIF(Distance_Matrix!$E$10:$DQ$10,$E232,Distance_Matrix!$E$100:$DQ$100)/(COUNTIF(Distance_Matrix!$E$10:$DQ$10,$E232)-1))</f>
        <v>0.85912353258998575</v>
      </c>
      <c r="H232" s="18">
        <f>MIN(IF(1=$E232,1E+99,IF(COUNTIF(Distance_Matrix!$E$10:$DQ$10,1)=0,1E+99,SUMIF(Distance_Matrix!$E$10:$DQ$10,1,Distance_Matrix!$E$100:$DQ$100)/COUNTIF(Distance_Matrix!$E$10:$DQ$10,1))),IF(2=$E232,1E+99,IF(COUNTIF(Distance_Matrix!$E$10:$DQ$10,2)=0,1E+99,SUMIF(Distance_Matrix!$E$10:$DQ$10,2,Distance_Matrix!$E$100:$DQ$100)/COUNTIF(Distance_Matrix!$E$10:$DQ$10,2))),IF(3=$E232,1E+99,IF(COUNTIF(Distance_Matrix!$E$10:$DQ$10,3)=0,1E+99,SUMIF(Distance_Matrix!$E$10:$DQ$10,3,Distance_Matrix!$E$100:$DQ$100)/COUNTIF(Distance_Matrix!$E$10:$DQ$10,3))),IF(4=$E232,1E+99,IF(COUNTIF(Distance_Matrix!$E$10:$DQ$10,4)=0,1E+99,SUMIF(Distance_Matrix!$E$10:$DQ$10,4,Distance_Matrix!$E$100:$DQ$100)/COUNTIF(Distance_Matrix!$E$10:$DQ$10,4))))</f>
        <v>1.0488280032281505</v>
      </c>
      <c r="I232" s="18">
        <f>IF(COUNTIF(Distance_Matrix!$E$10:$DQ$10,$E232)&lt;=1,0,(H232-G232)/MAX(G232,H232))</f>
        <v>0.18087281237179031</v>
      </c>
      <c r="X232" s="18">
        <f t="shared" si="218"/>
        <v>7.0869805101477814</v>
      </c>
      <c r="Y232" s="18">
        <f t="shared" si="218"/>
        <v>1.6648617182711321</v>
      </c>
      <c r="Z232" s="18">
        <f t="shared" si="218"/>
        <v>2.6639479151350605</v>
      </c>
      <c r="AA232" s="18">
        <f t="shared" si="218"/>
        <v>1.6155962101003916</v>
      </c>
      <c r="AB232" s="56">
        <f t="shared" si="206"/>
        <v>4</v>
      </c>
      <c r="AD232" s="18">
        <f t="shared" si="219"/>
        <v>6.1023134938668502</v>
      </c>
      <c r="AE232" s="18">
        <f t="shared" si="219"/>
        <v>0.86590000279588986</v>
      </c>
      <c r="AF232" s="18">
        <f t="shared" si="219"/>
        <v>2.1301648850902746</v>
      </c>
      <c r="AG232" s="18">
        <f t="shared" si="219"/>
        <v>0.63489693882463705</v>
      </c>
      <c r="AH232" s="56">
        <f t="shared" si="207"/>
        <v>4</v>
      </c>
      <c r="AJ232" s="18">
        <f t="shared" si="220"/>
        <v>5.7599301520507895</v>
      </c>
      <c r="AK232" s="18">
        <f t="shared" si="220"/>
        <v>0.89682928869166134</v>
      </c>
      <c r="AL232" s="18">
        <f t="shared" si="220"/>
        <v>2.2088184313146164</v>
      </c>
      <c r="AM232" s="18">
        <f t="shared" si="220"/>
        <v>0.58610484205318447</v>
      </c>
      <c r="AN232" s="56">
        <f t="shared" si="208"/>
        <v>4</v>
      </c>
      <c r="AP232" s="18">
        <f t="shared" si="221"/>
        <v>5.4665399557483623</v>
      </c>
      <c r="AQ232" s="18">
        <f t="shared" si="221"/>
        <v>0.99350866847597608</v>
      </c>
      <c r="AR232" s="18">
        <f t="shared" si="221"/>
        <v>2.1618059376249534</v>
      </c>
      <c r="AS232" s="18">
        <f t="shared" si="221"/>
        <v>0.53732468993822657</v>
      </c>
      <c r="AT232" s="56">
        <f t="shared" si="209"/>
        <v>4</v>
      </c>
      <c r="AV232" s="18">
        <f t="shared" si="222"/>
        <v>5.4665399557483623</v>
      </c>
      <c r="AW232" s="18">
        <f t="shared" si="222"/>
        <v>0.99350866847597608</v>
      </c>
      <c r="AX232" s="18">
        <f t="shared" si="222"/>
        <v>2.1618059376249534</v>
      </c>
      <c r="AY232" s="18">
        <f t="shared" si="222"/>
        <v>0.53732468993822657</v>
      </c>
      <c r="AZ232" s="56">
        <f t="shared" si="210"/>
        <v>4</v>
      </c>
      <c r="BB232" s="18">
        <f t="shared" si="223"/>
        <v>5.4665399557483623</v>
      </c>
      <c r="BC232" s="18">
        <f t="shared" si="223"/>
        <v>0.99350866847597608</v>
      </c>
      <c r="BD232" s="18">
        <f t="shared" si="223"/>
        <v>2.1618059376249534</v>
      </c>
      <c r="BE232" s="18">
        <f t="shared" si="223"/>
        <v>0.53732468993822657</v>
      </c>
      <c r="BF232" s="56">
        <f t="shared" si="211"/>
        <v>4</v>
      </c>
      <c r="BH232" s="18">
        <f t="shared" si="224"/>
        <v>5.4665399557483623</v>
      </c>
      <c r="BI232" s="18">
        <f t="shared" si="224"/>
        <v>0.99350866847597608</v>
      </c>
      <c r="BJ232" s="18">
        <f t="shared" si="224"/>
        <v>2.1618059376249534</v>
      </c>
      <c r="BK232" s="18">
        <f t="shared" si="224"/>
        <v>0.53732468993822657</v>
      </c>
      <c r="BL232" s="56">
        <f t="shared" si="212"/>
        <v>4</v>
      </c>
      <c r="BN232" s="18">
        <f t="shared" si="225"/>
        <v>5.4665399557483623</v>
      </c>
      <c r="BO232" s="18">
        <f t="shared" si="225"/>
        <v>0.99350866847597608</v>
      </c>
      <c r="BP232" s="18">
        <f t="shared" si="225"/>
        <v>2.1618059376249534</v>
      </c>
      <c r="BQ232" s="18">
        <f t="shared" si="225"/>
        <v>0.53732468993822657</v>
      </c>
      <c r="BR232" s="56">
        <f t="shared" si="213"/>
        <v>4</v>
      </c>
      <c r="BT232" s="18">
        <f t="shared" si="226"/>
        <v>5.4665399557483623</v>
      </c>
      <c r="BU232" s="18">
        <f t="shared" si="226"/>
        <v>0.99350866847597608</v>
      </c>
      <c r="BV232" s="18">
        <f t="shared" si="226"/>
        <v>2.1618059376249534</v>
      </c>
      <c r="BW232" s="18">
        <f t="shared" si="226"/>
        <v>0.53732468993822657</v>
      </c>
      <c r="BX232" s="56">
        <f t="shared" si="214"/>
        <v>4</v>
      </c>
      <c r="BZ232" s="18">
        <f t="shared" si="227"/>
        <v>5.4665399557483623</v>
      </c>
      <c r="CA232" s="18">
        <f t="shared" si="227"/>
        <v>0.99350866847597608</v>
      </c>
      <c r="CB232" s="18">
        <f t="shared" si="227"/>
        <v>2.1618059376249534</v>
      </c>
      <c r="CC232" s="18">
        <f t="shared" si="227"/>
        <v>0.53732468993822657</v>
      </c>
      <c r="CD232" s="56">
        <f t="shared" si="215"/>
        <v>4</v>
      </c>
      <c r="CF232" s="18">
        <f t="shared" si="228"/>
        <v>5.4665399557483623</v>
      </c>
      <c r="CG232" s="18">
        <f t="shared" si="228"/>
        <v>0.99350866847597608</v>
      </c>
      <c r="CH232" s="18">
        <f t="shared" si="228"/>
        <v>2.1618059376249534</v>
      </c>
      <c r="CI232" s="18">
        <f t="shared" si="228"/>
        <v>0.53732468993822657</v>
      </c>
      <c r="CJ232" s="56">
        <f t="shared" si="216"/>
        <v>4</v>
      </c>
      <c r="CL232" s="18">
        <f t="shared" si="229"/>
        <v>5.4665399557483623</v>
      </c>
      <c r="CM232" s="18">
        <f t="shared" si="229"/>
        <v>0.99350866847597608</v>
      </c>
      <c r="CN232" s="18">
        <f t="shared" si="229"/>
        <v>2.1618059376249534</v>
      </c>
      <c r="CO232" s="18">
        <f t="shared" si="229"/>
        <v>0.53732468993822657</v>
      </c>
      <c r="CP232" s="56">
        <f t="shared" si="217"/>
        <v>4</v>
      </c>
    </row>
    <row r="233" spans="1:94" x14ac:dyDescent="0.25">
      <c r="A233" s="36" t="str">
        <f>KMeans_Data!A92</f>
        <v>Matiari</v>
      </c>
      <c r="B233" s="18">
        <f>KMeans_Data!H92</f>
        <v>-0.70618776706351938</v>
      </c>
      <c r="C233" s="18">
        <f>KMeans_Data!I92</f>
        <v>-0.14698313392952958</v>
      </c>
      <c r="D233" s="18">
        <f>KMeans_Data!J92</f>
        <v>0.62851349158581915</v>
      </c>
      <c r="E233" s="56">
        <f t="shared" si="204"/>
        <v>4</v>
      </c>
      <c r="F233" s="38">
        <f t="shared" si="205"/>
        <v>1.4711003908956002</v>
      </c>
      <c r="G233" s="18">
        <f>IF(COUNTIF(Distance_Matrix!$E$10:$DQ$10,$E233)&lt;=1,0,SUMIF(Distance_Matrix!$E$10:$DQ$10,$E233,Distance_Matrix!$E$101:$DQ$101)/(COUNTIF(Distance_Matrix!$E$10:$DQ$10,$E233)-1))</f>
        <v>1.3606318097325607</v>
      </c>
      <c r="H233" s="18">
        <f>MIN(IF(1=$E233,1E+99,IF(COUNTIF(Distance_Matrix!$E$10:$DQ$10,1)=0,1E+99,SUMIF(Distance_Matrix!$E$10:$DQ$10,1,Distance_Matrix!$E$101:$DQ$101)/COUNTIF(Distance_Matrix!$E$10:$DQ$10,1))),IF(2=$E233,1E+99,IF(COUNTIF(Distance_Matrix!$E$10:$DQ$10,2)=0,1E+99,SUMIF(Distance_Matrix!$E$10:$DQ$10,2,Distance_Matrix!$E$101:$DQ$101)/COUNTIF(Distance_Matrix!$E$10:$DQ$10,2))),IF(3=$E233,1E+99,IF(COUNTIF(Distance_Matrix!$E$10:$DQ$10,3)=0,1E+99,SUMIF(Distance_Matrix!$E$10:$DQ$10,3,Distance_Matrix!$E$101:$DQ$101)/COUNTIF(Distance_Matrix!$E$10:$DQ$10,3))),IF(4=$E233,1E+99,IF(COUNTIF(Distance_Matrix!$E$10:$DQ$10,4)=0,1E+99,SUMIF(Distance_Matrix!$E$10:$DQ$10,4,Distance_Matrix!$E$101:$DQ$101)/COUNTIF(Distance_Matrix!$E$10:$DQ$10,4))))</f>
        <v>1.6821894712713295</v>
      </c>
      <c r="I233" s="18">
        <f>IF(COUNTIF(Distance_Matrix!$E$10:$DQ$10,$E233)&lt;=1,0,(H233-G233)/MAX(G233,H233))</f>
        <v>0.19115424690879126</v>
      </c>
      <c r="X233" s="18">
        <f t="shared" si="218"/>
        <v>6.3444455343865602</v>
      </c>
      <c r="Y233" s="18">
        <f t="shared" si="218"/>
        <v>2.3044742649072281</v>
      </c>
      <c r="Z233" s="18">
        <f t="shared" si="218"/>
        <v>2.0062365515196272</v>
      </c>
      <c r="AA233" s="18">
        <f t="shared" si="218"/>
        <v>2.230507321178711</v>
      </c>
      <c r="AB233" s="56">
        <f t="shared" si="206"/>
        <v>3</v>
      </c>
      <c r="AD233" s="18">
        <f t="shared" si="219"/>
        <v>5.4036832324589623</v>
      </c>
      <c r="AE233" s="18">
        <f t="shared" si="219"/>
        <v>1.7286506496035972</v>
      </c>
      <c r="AF233" s="18">
        <f t="shared" si="219"/>
        <v>1.5208802521847635</v>
      </c>
      <c r="AG233" s="18">
        <f t="shared" si="219"/>
        <v>1.3553576746370313</v>
      </c>
      <c r="AH233" s="56">
        <f t="shared" si="207"/>
        <v>4</v>
      </c>
      <c r="AJ233" s="18">
        <f t="shared" si="220"/>
        <v>5.0717971837034073</v>
      </c>
      <c r="AK233" s="18">
        <f t="shared" si="220"/>
        <v>1.7717457620032167</v>
      </c>
      <c r="AL233" s="18">
        <f t="shared" si="220"/>
        <v>1.6018335381515831</v>
      </c>
      <c r="AM233" s="18">
        <f t="shared" si="220"/>
        <v>1.2395891696139694</v>
      </c>
      <c r="AN233" s="56">
        <f t="shared" si="208"/>
        <v>4</v>
      </c>
      <c r="AP233" s="18">
        <f t="shared" si="221"/>
        <v>4.7806105468177584</v>
      </c>
      <c r="AQ233" s="18">
        <f t="shared" si="221"/>
        <v>1.8654164157688027</v>
      </c>
      <c r="AR233" s="18">
        <f t="shared" si="221"/>
        <v>1.5589866672614825</v>
      </c>
      <c r="AS233" s="18">
        <f t="shared" si="221"/>
        <v>1.2128892739634562</v>
      </c>
      <c r="AT233" s="56">
        <f t="shared" si="209"/>
        <v>4</v>
      </c>
      <c r="AV233" s="18">
        <f t="shared" si="222"/>
        <v>4.7806105468177584</v>
      </c>
      <c r="AW233" s="18">
        <f t="shared" si="222"/>
        <v>1.8654164157688027</v>
      </c>
      <c r="AX233" s="18">
        <f t="shared" si="222"/>
        <v>1.5589866672614825</v>
      </c>
      <c r="AY233" s="18">
        <f t="shared" si="222"/>
        <v>1.2128892739634562</v>
      </c>
      <c r="AZ233" s="56">
        <f t="shared" si="210"/>
        <v>4</v>
      </c>
      <c r="BB233" s="18">
        <f t="shared" si="223"/>
        <v>4.7806105468177584</v>
      </c>
      <c r="BC233" s="18">
        <f t="shared" si="223"/>
        <v>1.8654164157688027</v>
      </c>
      <c r="BD233" s="18">
        <f t="shared" si="223"/>
        <v>1.5589866672614825</v>
      </c>
      <c r="BE233" s="18">
        <f t="shared" si="223"/>
        <v>1.2128892739634562</v>
      </c>
      <c r="BF233" s="56">
        <f t="shared" si="211"/>
        <v>4</v>
      </c>
      <c r="BH233" s="18">
        <f t="shared" si="224"/>
        <v>4.7806105468177584</v>
      </c>
      <c r="BI233" s="18">
        <f t="shared" si="224"/>
        <v>1.8654164157688027</v>
      </c>
      <c r="BJ233" s="18">
        <f t="shared" si="224"/>
        <v>1.5589866672614825</v>
      </c>
      <c r="BK233" s="18">
        <f t="shared" si="224"/>
        <v>1.2128892739634562</v>
      </c>
      <c r="BL233" s="56">
        <f t="shared" si="212"/>
        <v>4</v>
      </c>
      <c r="BN233" s="18">
        <f t="shared" si="225"/>
        <v>4.7806105468177584</v>
      </c>
      <c r="BO233" s="18">
        <f t="shared" si="225"/>
        <v>1.8654164157688027</v>
      </c>
      <c r="BP233" s="18">
        <f t="shared" si="225"/>
        <v>1.5589866672614825</v>
      </c>
      <c r="BQ233" s="18">
        <f t="shared" si="225"/>
        <v>1.2128892739634562</v>
      </c>
      <c r="BR233" s="56">
        <f t="shared" si="213"/>
        <v>4</v>
      </c>
      <c r="BT233" s="18">
        <f t="shared" si="226"/>
        <v>4.7806105468177584</v>
      </c>
      <c r="BU233" s="18">
        <f t="shared" si="226"/>
        <v>1.8654164157688027</v>
      </c>
      <c r="BV233" s="18">
        <f t="shared" si="226"/>
        <v>1.5589866672614825</v>
      </c>
      <c r="BW233" s="18">
        <f t="shared" si="226"/>
        <v>1.2128892739634562</v>
      </c>
      <c r="BX233" s="56">
        <f t="shared" si="214"/>
        <v>4</v>
      </c>
      <c r="BZ233" s="18">
        <f t="shared" si="227"/>
        <v>4.7806105468177584</v>
      </c>
      <c r="CA233" s="18">
        <f t="shared" si="227"/>
        <v>1.8654164157688027</v>
      </c>
      <c r="CB233" s="18">
        <f t="shared" si="227"/>
        <v>1.5589866672614825</v>
      </c>
      <c r="CC233" s="18">
        <f t="shared" si="227"/>
        <v>1.2128892739634562</v>
      </c>
      <c r="CD233" s="56">
        <f t="shared" si="215"/>
        <v>4</v>
      </c>
      <c r="CF233" s="18">
        <f t="shared" si="228"/>
        <v>4.7806105468177584</v>
      </c>
      <c r="CG233" s="18">
        <f t="shared" si="228"/>
        <v>1.8654164157688027</v>
      </c>
      <c r="CH233" s="18">
        <f t="shared" si="228"/>
        <v>1.5589866672614825</v>
      </c>
      <c r="CI233" s="18">
        <f t="shared" si="228"/>
        <v>1.2128892739634562</v>
      </c>
      <c r="CJ233" s="56">
        <f t="shared" si="216"/>
        <v>4</v>
      </c>
      <c r="CL233" s="18">
        <f t="shared" si="229"/>
        <v>4.7806105468177584</v>
      </c>
      <c r="CM233" s="18">
        <f t="shared" si="229"/>
        <v>1.8654164157688027</v>
      </c>
      <c r="CN233" s="18">
        <f t="shared" si="229"/>
        <v>1.5589866672614825</v>
      </c>
      <c r="CO233" s="18">
        <f t="shared" si="229"/>
        <v>1.2128892739634562</v>
      </c>
      <c r="CP233" s="56">
        <f t="shared" si="217"/>
        <v>4</v>
      </c>
    </row>
    <row r="234" spans="1:94" x14ac:dyDescent="0.25">
      <c r="A234" s="36" t="str">
        <f>KMeans_Data!A93</f>
        <v>Lakki Marwat</v>
      </c>
      <c r="B234" s="18">
        <f>KMeans_Data!H93</f>
        <v>-0.74475874463319425</v>
      </c>
      <c r="C234" s="18">
        <f>KMeans_Data!I93</f>
        <v>-0.14698313392952958</v>
      </c>
      <c r="D234" s="18">
        <f>KMeans_Data!J93</f>
        <v>-0.1820498150291911</v>
      </c>
      <c r="E234" s="56">
        <f t="shared" si="204"/>
        <v>4</v>
      </c>
      <c r="F234" s="38">
        <f t="shared" si="205"/>
        <v>0.5472044517286383</v>
      </c>
      <c r="G234" s="18">
        <f>IF(COUNTIF(Distance_Matrix!$E$10:$DQ$10,$E234)&lt;=1,0,SUMIF(Distance_Matrix!$E$10:$DQ$10,$E234,Distance_Matrix!$E$102:$DQ$102)/(COUNTIF(Distance_Matrix!$E$10:$DQ$10,$E234)-1))</f>
        <v>1.0170387019744631</v>
      </c>
      <c r="H234" s="18">
        <f>MIN(IF(1=$E234,1E+99,IF(COUNTIF(Distance_Matrix!$E$10:$DQ$10,1)=0,1E+99,SUMIF(Distance_Matrix!$E$10:$DQ$10,1,Distance_Matrix!$E$102:$DQ$102)/COUNTIF(Distance_Matrix!$E$10:$DQ$10,1))),IF(2=$E234,1E+99,IF(COUNTIF(Distance_Matrix!$E$10:$DQ$10,2)=0,1E+99,SUMIF(Distance_Matrix!$E$10:$DQ$10,2,Distance_Matrix!$E$102:$DQ$102)/COUNTIF(Distance_Matrix!$E$10:$DQ$10,2))),IF(3=$E234,1E+99,IF(COUNTIF(Distance_Matrix!$E$10:$DQ$10,3)=0,1E+99,SUMIF(Distance_Matrix!$E$10:$DQ$10,3,Distance_Matrix!$E$102:$DQ$102)/COUNTIF(Distance_Matrix!$E$10:$DQ$10,3))),IF(4=$E234,1E+99,IF(COUNTIF(Distance_Matrix!$E$10:$DQ$10,4)=0,1E+99,SUMIF(Distance_Matrix!$E$10:$DQ$10,4,Distance_Matrix!$E$102:$DQ$102)/COUNTIF(Distance_Matrix!$E$10:$DQ$10,4))))</f>
        <v>1.2143430213632402</v>
      </c>
      <c r="I234" s="18">
        <f>IF(COUNTIF(Distance_Matrix!$E$10:$DQ$10,$E234)&lt;=1,0,(H234-G234)/MAX(G234,H234))</f>
        <v>0.16247824207634531</v>
      </c>
      <c r="X234" s="18">
        <f t="shared" si="218"/>
        <v>6.7432716431257811</v>
      </c>
      <c r="Y234" s="18">
        <f t="shared" si="218"/>
        <v>1.7282967825727553</v>
      </c>
      <c r="Z234" s="18">
        <f t="shared" si="218"/>
        <v>2.4865230223264101</v>
      </c>
      <c r="AA234" s="18">
        <f t="shared" si="218"/>
        <v>1.6916898584203452</v>
      </c>
      <c r="AB234" s="56">
        <f t="shared" si="206"/>
        <v>4</v>
      </c>
      <c r="AD234" s="18">
        <f t="shared" si="219"/>
        <v>5.7568444108483954</v>
      </c>
      <c r="AE234" s="18">
        <f t="shared" si="219"/>
        <v>1.0346349927776675</v>
      </c>
      <c r="AF234" s="18">
        <f t="shared" si="219"/>
        <v>1.8655146825248465</v>
      </c>
      <c r="AG234" s="18">
        <f t="shared" si="219"/>
        <v>0.83250049627490275</v>
      </c>
      <c r="AH234" s="56">
        <f t="shared" si="207"/>
        <v>4</v>
      </c>
      <c r="AJ234" s="18">
        <f t="shared" si="220"/>
        <v>5.4220535649194508</v>
      </c>
      <c r="AK234" s="18">
        <f t="shared" si="220"/>
        <v>1.0678537555717285</v>
      </c>
      <c r="AL234" s="18">
        <f t="shared" si="220"/>
        <v>1.9347160864053876</v>
      </c>
      <c r="AM234" s="18">
        <f t="shared" si="220"/>
        <v>0.77658650963618514</v>
      </c>
      <c r="AN234" s="56">
        <f t="shared" si="208"/>
        <v>4</v>
      </c>
      <c r="AP234" s="18">
        <f t="shared" si="221"/>
        <v>5.125953816362733</v>
      </c>
      <c r="AQ234" s="18">
        <f t="shared" si="221"/>
        <v>1.1551451087712361</v>
      </c>
      <c r="AR234" s="18">
        <f t="shared" si="221"/>
        <v>1.8924649490134757</v>
      </c>
      <c r="AS234" s="18">
        <f t="shared" si="221"/>
        <v>0.73973268937409975</v>
      </c>
      <c r="AT234" s="56">
        <f t="shared" si="209"/>
        <v>4</v>
      </c>
      <c r="AV234" s="18">
        <f t="shared" si="222"/>
        <v>5.125953816362733</v>
      </c>
      <c r="AW234" s="18">
        <f t="shared" si="222"/>
        <v>1.1551451087712361</v>
      </c>
      <c r="AX234" s="18">
        <f t="shared" si="222"/>
        <v>1.8924649490134757</v>
      </c>
      <c r="AY234" s="18">
        <f t="shared" si="222"/>
        <v>0.73973268937409975</v>
      </c>
      <c r="AZ234" s="56">
        <f t="shared" si="210"/>
        <v>4</v>
      </c>
      <c r="BB234" s="18">
        <f t="shared" si="223"/>
        <v>5.125953816362733</v>
      </c>
      <c r="BC234" s="18">
        <f t="shared" si="223"/>
        <v>1.1551451087712361</v>
      </c>
      <c r="BD234" s="18">
        <f t="shared" si="223"/>
        <v>1.8924649490134757</v>
      </c>
      <c r="BE234" s="18">
        <f t="shared" si="223"/>
        <v>0.73973268937409975</v>
      </c>
      <c r="BF234" s="56">
        <f t="shared" si="211"/>
        <v>4</v>
      </c>
      <c r="BH234" s="18">
        <f t="shared" si="224"/>
        <v>5.125953816362733</v>
      </c>
      <c r="BI234" s="18">
        <f t="shared" si="224"/>
        <v>1.1551451087712361</v>
      </c>
      <c r="BJ234" s="18">
        <f t="shared" si="224"/>
        <v>1.8924649490134757</v>
      </c>
      <c r="BK234" s="18">
        <f t="shared" si="224"/>
        <v>0.73973268937409975</v>
      </c>
      <c r="BL234" s="56">
        <f t="shared" si="212"/>
        <v>4</v>
      </c>
      <c r="BN234" s="18">
        <f t="shared" si="225"/>
        <v>5.125953816362733</v>
      </c>
      <c r="BO234" s="18">
        <f t="shared" si="225"/>
        <v>1.1551451087712361</v>
      </c>
      <c r="BP234" s="18">
        <f t="shared" si="225"/>
        <v>1.8924649490134757</v>
      </c>
      <c r="BQ234" s="18">
        <f t="shared" si="225"/>
        <v>0.73973268937409975</v>
      </c>
      <c r="BR234" s="56">
        <f t="shared" si="213"/>
        <v>4</v>
      </c>
      <c r="BT234" s="18">
        <f t="shared" si="226"/>
        <v>5.125953816362733</v>
      </c>
      <c r="BU234" s="18">
        <f t="shared" si="226"/>
        <v>1.1551451087712361</v>
      </c>
      <c r="BV234" s="18">
        <f t="shared" si="226"/>
        <v>1.8924649490134757</v>
      </c>
      <c r="BW234" s="18">
        <f t="shared" si="226"/>
        <v>0.73973268937409975</v>
      </c>
      <c r="BX234" s="56">
        <f t="shared" si="214"/>
        <v>4</v>
      </c>
      <c r="BZ234" s="18">
        <f t="shared" si="227"/>
        <v>5.125953816362733</v>
      </c>
      <c r="CA234" s="18">
        <f t="shared" si="227"/>
        <v>1.1551451087712361</v>
      </c>
      <c r="CB234" s="18">
        <f t="shared" si="227"/>
        <v>1.8924649490134757</v>
      </c>
      <c r="CC234" s="18">
        <f t="shared" si="227"/>
        <v>0.73973268937409975</v>
      </c>
      <c r="CD234" s="56">
        <f t="shared" si="215"/>
        <v>4</v>
      </c>
      <c r="CF234" s="18">
        <f t="shared" si="228"/>
        <v>5.125953816362733</v>
      </c>
      <c r="CG234" s="18">
        <f t="shared" si="228"/>
        <v>1.1551451087712361</v>
      </c>
      <c r="CH234" s="18">
        <f t="shared" si="228"/>
        <v>1.8924649490134757</v>
      </c>
      <c r="CI234" s="18">
        <f t="shared" si="228"/>
        <v>0.73973268937409975</v>
      </c>
      <c r="CJ234" s="56">
        <f t="shared" si="216"/>
        <v>4</v>
      </c>
      <c r="CL234" s="18">
        <f t="shared" si="229"/>
        <v>5.125953816362733</v>
      </c>
      <c r="CM234" s="18">
        <f t="shared" si="229"/>
        <v>1.1551451087712361</v>
      </c>
      <c r="CN234" s="18">
        <f t="shared" si="229"/>
        <v>1.8924649490134757</v>
      </c>
      <c r="CO234" s="18">
        <f t="shared" si="229"/>
        <v>0.73973268937409975</v>
      </c>
      <c r="CP234" s="56">
        <f t="shared" si="217"/>
        <v>4</v>
      </c>
    </row>
    <row r="235" spans="1:94" x14ac:dyDescent="0.25">
      <c r="A235" s="36" t="str">
        <f>KMeans_Data!A94</f>
        <v>Taftan</v>
      </c>
      <c r="B235" s="18">
        <f>KMeans_Data!H94</f>
        <v>-0.74475874463319425</v>
      </c>
      <c r="C235" s="18">
        <f>KMeans_Data!I94</f>
        <v>-0.67265054538827607</v>
      </c>
      <c r="D235" s="18">
        <f>KMeans_Data!J94</f>
        <v>-1.1456441163335547</v>
      </c>
      <c r="E235" s="56">
        <f t="shared" si="204"/>
        <v>2</v>
      </c>
      <c r="F235" s="38">
        <f t="shared" si="205"/>
        <v>0.2899118687601821</v>
      </c>
      <c r="G235" s="18">
        <f>IF(COUNTIF(Distance_Matrix!$E$10:$DQ$10,$E235)&lt;=1,0,SUMIF(Distance_Matrix!$E$10:$DQ$10,$E235,Distance_Matrix!$E$103:$DQ$103)/(COUNTIF(Distance_Matrix!$E$10:$DQ$10,$E235)-1))</f>
        <v>0.62283531856510577</v>
      </c>
      <c r="H235" s="18">
        <f>MIN(IF(1=$E235,1E+99,IF(COUNTIF(Distance_Matrix!$E$10:$DQ$10,1)=0,1E+99,SUMIF(Distance_Matrix!$E$10:$DQ$10,1,Distance_Matrix!$E$103:$DQ$103)/COUNTIF(Distance_Matrix!$E$10:$DQ$10,1))),IF(2=$E235,1E+99,IF(COUNTIF(Distance_Matrix!$E$10:$DQ$10,2)=0,1E+99,SUMIF(Distance_Matrix!$E$10:$DQ$10,2,Distance_Matrix!$E$103:$DQ$103)/COUNTIF(Distance_Matrix!$E$10:$DQ$10,2))),IF(3=$E235,1E+99,IF(COUNTIF(Distance_Matrix!$E$10:$DQ$10,3)=0,1E+99,SUMIF(Distance_Matrix!$E$10:$DQ$10,3,Distance_Matrix!$E$103:$DQ$103)/COUNTIF(Distance_Matrix!$E$10:$DQ$10,3))),IF(4=$E235,1E+99,IF(COUNTIF(Distance_Matrix!$E$10:$DQ$10,4)=0,1E+99,SUMIF(Distance_Matrix!$E$10:$DQ$10,4,Distance_Matrix!$E$103:$DQ$103)/COUNTIF(Distance_Matrix!$E$10:$DQ$10,4))))</f>
        <v>1.1805808989617659</v>
      </c>
      <c r="I235" s="18">
        <f>IF(COUNTIF(Distance_Matrix!$E$10:$DQ$10,$E235)&lt;=1,0,(H235-G235)/MAX(G235,H235))</f>
        <v>0.47243317326847856</v>
      </c>
      <c r="X235" s="18">
        <f t="shared" si="218"/>
        <v>7.595834527091335</v>
      </c>
      <c r="Y235" s="18">
        <f t="shared" si="218"/>
        <v>1.3349792371701343</v>
      </c>
      <c r="Z235" s="18">
        <f t="shared" si="218"/>
        <v>3.3353981460163755</v>
      </c>
      <c r="AA235" s="18">
        <f t="shared" si="218"/>
        <v>1.4864813577861453</v>
      </c>
      <c r="AB235" s="56">
        <f t="shared" si="206"/>
        <v>2</v>
      </c>
      <c r="AD235" s="18">
        <f t="shared" si="219"/>
        <v>6.5830399860432847</v>
      </c>
      <c r="AE235" s="18">
        <f t="shared" si="219"/>
        <v>0.5393493197029644</v>
      </c>
      <c r="AF235" s="18">
        <f t="shared" si="219"/>
        <v>2.7371693554542849</v>
      </c>
      <c r="AG235" s="18">
        <f t="shared" si="219"/>
        <v>0.94788996960161231</v>
      </c>
      <c r="AH235" s="56">
        <f t="shared" si="207"/>
        <v>2</v>
      </c>
      <c r="AJ235" s="18">
        <f t="shared" si="220"/>
        <v>6.2438051361938651</v>
      </c>
      <c r="AK235" s="18">
        <f t="shared" si="220"/>
        <v>0.51345565843598451</v>
      </c>
      <c r="AL235" s="18">
        <f t="shared" si="220"/>
        <v>2.8018127569217026</v>
      </c>
      <c r="AM235" s="18">
        <f t="shared" si="220"/>
        <v>1.0255914304242364</v>
      </c>
      <c r="AN235" s="56">
        <f t="shared" si="208"/>
        <v>2</v>
      </c>
      <c r="AP235" s="18">
        <f t="shared" si="221"/>
        <v>5.9500983117715052</v>
      </c>
      <c r="AQ235" s="18">
        <f t="shared" si="221"/>
        <v>0.53843464669371166</v>
      </c>
      <c r="AR235" s="18">
        <f t="shared" si="221"/>
        <v>2.7594669267344649</v>
      </c>
      <c r="AS235" s="18">
        <f t="shared" si="221"/>
        <v>1.0002028670786023</v>
      </c>
      <c r="AT235" s="56">
        <f t="shared" si="209"/>
        <v>2</v>
      </c>
      <c r="AV235" s="18">
        <f t="shared" si="222"/>
        <v>5.9500983117715052</v>
      </c>
      <c r="AW235" s="18">
        <f t="shared" si="222"/>
        <v>0.53843464669371166</v>
      </c>
      <c r="AX235" s="18">
        <f t="shared" si="222"/>
        <v>2.7594669267344649</v>
      </c>
      <c r="AY235" s="18">
        <f t="shared" si="222"/>
        <v>1.0002028670786023</v>
      </c>
      <c r="AZ235" s="56">
        <f t="shared" si="210"/>
        <v>2</v>
      </c>
      <c r="BB235" s="18">
        <f t="shared" si="223"/>
        <v>5.9500983117715052</v>
      </c>
      <c r="BC235" s="18">
        <f t="shared" si="223"/>
        <v>0.53843464669371166</v>
      </c>
      <c r="BD235" s="18">
        <f t="shared" si="223"/>
        <v>2.7594669267344649</v>
      </c>
      <c r="BE235" s="18">
        <f t="shared" si="223"/>
        <v>1.0002028670786023</v>
      </c>
      <c r="BF235" s="56">
        <f t="shared" si="211"/>
        <v>2</v>
      </c>
      <c r="BH235" s="18">
        <f t="shared" si="224"/>
        <v>5.9500983117715052</v>
      </c>
      <c r="BI235" s="18">
        <f t="shared" si="224"/>
        <v>0.53843464669371166</v>
      </c>
      <c r="BJ235" s="18">
        <f t="shared" si="224"/>
        <v>2.7594669267344649</v>
      </c>
      <c r="BK235" s="18">
        <f t="shared" si="224"/>
        <v>1.0002028670786023</v>
      </c>
      <c r="BL235" s="56">
        <f t="shared" si="212"/>
        <v>2</v>
      </c>
      <c r="BN235" s="18">
        <f t="shared" si="225"/>
        <v>5.9500983117715052</v>
      </c>
      <c r="BO235" s="18">
        <f t="shared" si="225"/>
        <v>0.53843464669371166</v>
      </c>
      <c r="BP235" s="18">
        <f t="shared" si="225"/>
        <v>2.7594669267344649</v>
      </c>
      <c r="BQ235" s="18">
        <f t="shared" si="225"/>
        <v>1.0002028670786023</v>
      </c>
      <c r="BR235" s="56">
        <f t="shared" si="213"/>
        <v>2</v>
      </c>
      <c r="BT235" s="18">
        <f t="shared" si="226"/>
        <v>5.9500983117715052</v>
      </c>
      <c r="BU235" s="18">
        <f t="shared" si="226"/>
        <v>0.53843464669371166</v>
      </c>
      <c r="BV235" s="18">
        <f t="shared" si="226"/>
        <v>2.7594669267344649</v>
      </c>
      <c r="BW235" s="18">
        <f t="shared" si="226"/>
        <v>1.0002028670786023</v>
      </c>
      <c r="BX235" s="56">
        <f t="shared" si="214"/>
        <v>2</v>
      </c>
      <c r="BZ235" s="18">
        <f t="shared" si="227"/>
        <v>5.9500983117715052</v>
      </c>
      <c r="CA235" s="18">
        <f t="shared" si="227"/>
        <v>0.53843464669371166</v>
      </c>
      <c r="CB235" s="18">
        <f t="shared" si="227"/>
        <v>2.7594669267344649</v>
      </c>
      <c r="CC235" s="18">
        <f t="shared" si="227"/>
        <v>1.0002028670786023</v>
      </c>
      <c r="CD235" s="56">
        <f t="shared" si="215"/>
        <v>2</v>
      </c>
      <c r="CF235" s="18">
        <f t="shared" si="228"/>
        <v>5.9500983117715052</v>
      </c>
      <c r="CG235" s="18">
        <f t="shared" si="228"/>
        <v>0.53843464669371166</v>
      </c>
      <c r="CH235" s="18">
        <f t="shared" si="228"/>
        <v>2.7594669267344649</v>
      </c>
      <c r="CI235" s="18">
        <f t="shared" si="228"/>
        <v>1.0002028670786023</v>
      </c>
      <c r="CJ235" s="56">
        <f t="shared" si="216"/>
        <v>2</v>
      </c>
      <c r="CL235" s="18">
        <f t="shared" si="229"/>
        <v>5.9500983117715052</v>
      </c>
      <c r="CM235" s="18">
        <f t="shared" si="229"/>
        <v>0.53843464669371166</v>
      </c>
      <c r="CN235" s="18">
        <f t="shared" si="229"/>
        <v>2.7594669267344649</v>
      </c>
      <c r="CO235" s="18">
        <f t="shared" si="229"/>
        <v>1.0002028670786023</v>
      </c>
      <c r="CP235" s="56">
        <f t="shared" si="217"/>
        <v>2</v>
      </c>
    </row>
    <row r="236" spans="1:94" x14ac:dyDescent="0.25">
      <c r="A236" s="36" t="str">
        <f>KMeans_Data!A95</f>
        <v>Orakzai</v>
      </c>
      <c r="B236" s="18">
        <f>KMeans_Data!H95</f>
        <v>-0.78641857410320049</v>
      </c>
      <c r="C236" s="18">
        <f>KMeans_Data!I95</f>
        <v>-0.67265054538827607</v>
      </c>
      <c r="D236" s="18">
        <f>KMeans_Data!J95</f>
        <v>-0.39984522290956798</v>
      </c>
      <c r="E236" s="56">
        <f t="shared" si="204"/>
        <v>4</v>
      </c>
      <c r="F236" s="38">
        <f t="shared" si="205"/>
        <v>0.46031158033970238</v>
      </c>
      <c r="G236" s="18">
        <f>IF(COUNTIF(Distance_Matrix!$E$10:$DQ$10,$E236)&lt;=1,0,SUMIF(Distance_Matrix!$E$10:$DQ$10,$E236,Distance_Matrix!$E$104:$DQ$104)/(COUNTIF(Distance_Matrix!$E$10:$DQ$10,$E236)-1))</f>
        <v>0.94869111821439567</v>
      </c>
      <c r="H236" s="18">
        <f>MIN(IF(1=$E236,1E+99,IF(COUNTIF(Distance_Matrix!$E$10:$DQ$10,1)=0,1E+99,SUMIF(Distance_Matrix!$E$10:$DQ$10,1,Distance_Matrix!$E$104:$DQ$104)/COUNTIF(Distance_Matrix!$E$10:$DQ$10,1))),IF(2=$E236,1E+99,IF(COUNTIF(Distance_Matrix!$E$10:$DQ$10,2)=0,1E+99,SUMIF(Distance_Matrix!$E$10:$DQ$10,2,Distance_Matrix!$E$104:$DQ$104)/COUNTIF(Distance_Matrix!$E$10:$DQ$10,2))),IF(3=$E236,1E+99,IF(COUNTIF(Distance_Matrix!$E$10:$DQ$10,3)=0,1E+99,SUMIF(Distance_Matrix!$E$10:$DQ$10,3,Distance_Matrix!$E$104:$DQ$104)/COUNTIF(Distance_Matrix!$E$10:$DQ$10,3))),IF(4=$E236,1E+99,IF(COUNTIF(Distance_Matrix!$E$10:$DQ$10,4)=0,1E+99,SUMIF(Distance_Matrix!$E$10:$DQ$10,4,Distance_Matrix!$E$104:$DQ$104)/COUNTIF(Distance_Matrix!$E$10:$DQ$10,4))))</f>
        <v>0.90462137795422337</v>
      </c>
      <c r="I236" s="18">
        <f>IF(COUNTIF(Distance_Matrix!$E$10:$DQ$10,$E236)&lt;=1,0,(H236-G236)/MAX(G236,H236))</f>
        <v>-4.6453202116110599E-2</v>
      </c>
      <c r="X236" s="18">
        <f t="shared" si="218"/>
        <v>7.2131090036106817</v>
      </c>
      <c r="Y236" s="18">
        <f t="shared" si="218"/>
        <v>1.4929471121798834</v>
      </c>
      <c r="Z236" s="18">
        <f t="shared" si="218"/>
        <v>2.8158876730251468</v>
      </c>
      <c r="AA236" s="18">
        <f t="shared" si="218"/>
        <v>1.6980661534517425</v>
      </c>
      <c r="AB236" s="56">
        <f t="shared" si="206"/>
        <v>2</v>
      </c>
      <c r="AD236" s="18">
        <f t="shared" si="219"/>
        <v>6.2267900980490349</v>
      </c>
      <c r="AE236" s="18">
        <f t="shared" si="219"/>
        <v>0.70258849750311292</v>
      </c>
      <c r="AF236" s="18">
        <f t="shared" si="219"/>
        <v>2.2675362975769842</v>
      </c>
      <c r="AG236" s="18">
        <f t="shared" si="219"/>
        <v>0.75571867891867917</v>
      </c>
      <c r="AH236" s="56">
        <f t="shared" si="207"/>
        <v>2</v>
      </c>
      <c r="AJ236" s="18">
        <f t="shared" si="220"/>
        <v>5.8861371332795258</v>
      </c>
      <c r="AK236" s="18">
        <f t="shared" si="220"/>
        <v>0.73637828565995078</v>
      </c>
      <c r="AL236" s="18">
        <f t="shared" si="220"/>
        <v>2.3446850905429124</v>
      </c>
      <c r="AM236" s="18">
        <f t="shared" si="220"/>
        <v>0.72653168324412332</v>
      </c>
      <c r="AN236" s="56">
        <f t="shared" si="208"/>
        <v>4</v>
      </c>
      <c r="AP236" s="18">
        <f t="shared" si="221"/>
        <v>5.5918416104288546</v>
      </c>
      <c r="AQ236" s="18">
        <f t="shared" si="221"/>
        <v>0.83450945935170928</v>
      </c>
      <c r="AR236" s="18">
        <f t="shared" si="221"/>
        <v>2.2984171374624078</v>
      </c>
      <c r="AS236" s="18">
        <f t="shared" si="221"/>
        <v>0.67846265950286633</v>
      </c>
      <c r="AT236" s="56">
        <f t="shared" si="209"/>
        <v>4</v>
      </c>
      <c r="AV236" s="18">
        <f t="shared" si="222"/>
        <v>5.5918416104288546</v>
      </c>
      <c r="AW236" s="18">
        <f t="shared" si="222"/>
        <v>0.83450945935170928</v>
      </c>
      <c r="AX236" s="18">
        <f t="shared" si="222"/>
        <v>2.2984171374624078</v>
      </c>
      <c r="AY236" s="18">
        <f t="shared" si="222"/>
        <v>0.67846265950286633</v>
      </c>
      <c r="AZ236" s="56">
        <f t="shared" si="210"/>
        <v>4</v>
      </c>
      <c r="BB236" s="18">
        <f t="shared" si="223"/>
        <v>5.5918416104288546</v>
      </c>
      <c r="BC236" s="18">
        <f t="shared" si="223"/>
        <v>0.83450945935170928</v>
      </c>
      <c r="BD236" s="18">
        <f t="shared" si="223"/>
        <v>2.2984171374624078</v>
      </c>
      <c r="BE236" s="18">
        <f t="shared" si="223"/>
        <v>0.67846265950286633</v>
      </c>
      <c r="BF236" s="56">
        <f t="shared" si="211"/>
        <v>4</v>
      </c>
      <c r="BH236" s="18">
        <f t="shared" si="224"/>
        <v>5.5918416104288546</v>
      </c>
      <c r="BI236" s="18">
        <f t="shared" si="224"/>
        <v>0.83450945935170928</v>
      </c>
      <c r="BJ236" s="18">
        <f t="shared" si="224"/>
        <v>2.2984171374624078</v>
      </c>
      <c r="BK236" s="18">
        <f t="shared" si="224"/>
        <v>0.67846265950286633</v>
      </c>
      <c r="BL236" s="56">
        <f t="shared" si="212"/>
        <v>4</v>
      </c>
      <c r="BN236" s="18">
        <f t="shared" si="225"/>
        <v>5.5918416104288546</v>
      </c>
      <c r="BO236" s="18">
        <f t="shared" si="225"/>
        <v>0.83450945935170928</v>
      </c>
      <c r="BP236" s="18">
        <f t="shared" si="225"/>
        <v>2.2984171374624078</v>
      </c>
      <c r="BQ236" s="18">
        <f t="shared" si="225"/>
        <v>0.67846265950286633</v>
      </c>
      <c r="BR236" s="56">
        <f t="shared" si="213"/>
        <v>4</v>
      </c>
      <c r="BT236" s="18">
        <f t="shared" si="226"/>
        <v>5.5918416104288546</v>
      </c>
      <c r="BU236" s="18">
        <f t="shared" si="226"/>
        <v>0.83450945935170928</v>
      </c>
      <c r="BV236" s="18">
        <f t="shared" si="226"/>
        <v>2.2984171374624078</v>
      </c>
      <c r="BW236" s="18">
        <f t="shared" si="226"/>
        <v>0.67846265950286633</v>
      </c>
      <c r="BX236" s="56">
        <f t="shared" si="214"/>
        <v>4</v>
      </c>
      <c r="BZ236" s="18">
        <f t="shared" si="227"/>
        <v>5.5918416104288546</v>
      </c>
      <c r="CA236" s="18">
        <f t="shared" si="227"/>
        <v>0.83450945935170928</v>
      </c>
      <c r="CB236" s="18">
        <f t="shared" si="227"/>
        <v>2.2984171374624078</v>
      </c>
      <c r="CC236" s="18">
        <f t="shared" si="227"/>
        <v>0.67846265950286633</v>
      </c>
      <c r="CD236" s="56">
        <f t="shared" si="215"/>
        <v>4</v>
      </c>
      <c r="CF236" s="18">
        <f t="shared" si="228"/>
        <v>5.5918416104288546</v>
      </c>
      <c r="CG236" s="18">
        <f t="shared" si="228"/>
        <v>0.83450945935170928</v>
      </c>
      <c r="CH236" s="18">
        <f t="shared" si="228"/>
        <v>2.2984171374624078</v>
      </c>
      <c r="CI236" s="18">
        <f t="shared" si="228"/>
        <v>0.67846265950286633</v>
      </c>
      <c r="CJ236" s="56">
        <f t="shared" si="216"/>
        <v>4</v>
      </c>
      <c r="CL236" s="18">
        <f t="shared" si="229"/>
        <v>5.5918416104288546</v>
      </c>
      <c r="CM236" s="18">
        <f t="shared" si="229"/>
        <v>0.83450945935170928</v>
      </c>
      <c r="CN236" s="18">
        <f t="shared" si="229"/>
        <v>2.2984171374624078</v>
      </c>
      <c r="CO236" s="18">
        <f t="shared" si="229"/>
        <v>0.67846265950286633</v>
      </c>
      <c r="CP236" s="56">
        <f t="shared" si="217"/>
        <v>4</v>
      </c>
    </row>
    <row r="237" spans="1:94" x14ac:dyDescent="0.25">
      <c r="A237" s="36" t="str">
        <f>KMeans_Data!A96</f>
        <v>North Waziristan</v>
      </c>
      <c r="B237" s="18">
        <f>KMeans_Data!H96</f>
        <v>-0.8317053870146639</v>
      </c>
      <c r="C237" s="18">
        <f>KMeans_Data!I96</f>
        <v>-0.67265054538827607</v>
      </c>
      <c r="D237" s="18">
        <f>KMeans_Data!J96</f>
        <v>-0.31535907140676028</v>
      </c>
      <c r="E237" s="56">
        <f t="shared" si="204"/>
        <v>4</v>
      </c>
      <c r="F237" s="38">
        <f t="shared" si="205"/>
        <v>0.52488868687271339</v>
      </c>
      <c r="G237" s="18">
        <f>IF(COUNTIF(Distance_Matrix!$E$10:$DQ$10,$E237)&lt;=1,0,SUMIF(Distance_Matrix!$E$10:$DQ$10,$E237,Distance_Matrix!$E$105:$DQ$105)/(COUNTIF(Distance_Matrix!$E$10:$DQ$10,$E237)-1))</f>
        <v>0.97625700408895277</v>
      </c>
      <c r="H237" s="18">
        <f>MIN(IF(1=$E237,1E+99,IF(COUNTIF(Distance_Matrix!$E$10:$DQ$10,1)=0,1E+99,SUMIF(Distance_Matrix!$E$10:$DQ$10,1,Distance_Matrix!$E$105:$DQ$105)/COUNTIF(Distance_Matrix!$E$10:$DQ$10,1))),IF(2=$E237,1E+99,IF(COUNTIF(Distance_Matrix!$E$10:$DQ$10,2)=0,1E+99,SUMIF(Distance_Matrix!$E$10:$DQ$10,2,Distance_Matrix!$E$105:$DQ$105)/COUNTIF(Distance_Matrix!$E$10:$DQ$10,2))),IF(3=$E237,1E+99,IF(COUNTIF(Distance_Matrix!$E$10:$DQ$10,3)=0,1E+99,SUMIF(Distance_Matrix!$E$10:$DQ$10,3,Distance_Matrix!$E$105:$DQ$105)/COUNTIF(Distance_Matrix!$E$10:$DQ$10,3))),IF(4=$E237,1E+99,IF(COUNTIF(Distance_Matrix!$E$10:$DQ$10,4)=0,1E+99,SUMIF(Distance_Matrix!$E$10:$DQ$10,4,Distance_Matrix!$E$105:$DQ$105)/COUNTIF(Distance_Matrix!$E$10:$DQ$10,4))))</f>
        <v>0.95190131296430902</v>
      </c>
      <c r="I237" s="18">
        <f>IF(COUNTIF(Distance_Matrix!$E$10:$DQ$10,$E237)&lt;=1,0,(H237-G237)/MAX(G237,H237))</f>
        <v>-2.4948032149969143E-2</v>
      </c>
      <c r="X237" s="18">
        <f t="shared" si="218"/>
        <v>7.1964396719425361</v>
      </c>
      <c r="Y237" s="18">
        <f t="shared" si="218"/>
        <v>1.4989858616691543</v>
      </c>
      <c r="Z237" s="18">
        <f t="shared" si="218"/>
        <v>2.7906228532659427</v>
      </c>
      <c r="AA237" s="18">
        <f t="shared" si="218"/>
        <v>1.7743580684314197</v>
      </c>
      <c r="AB237" s="56">
        <f t="shared" si="206"/>
        <v>2</v>
      </c>
      <c r="AD237" s="18">
        <f t="shared" si="219"/>
        <v>6.2145009629797547</v>
      </c>
      <c r="AE237" s="18">
        <f t="shared" si="219"/>
        <v>0.74304004873424645</v>
      </c>
      <c r="AF237" s="18">
        <f t="shared" si="219"/>
        <v>2.2496591747008496</v>
      </c>
      <c r="AG237" s="18">
        <f t="shared" si="219"/>
        <v>0.81558181045659506</v>
      </c>
      <c r="AH237" s="56">
        <f t="shared" si="207"/>
        <v>2</v>
      </c>
      <c r="AJ237" s="18">
        <f t="shared" si="220"/>
        <v>5.8744245329575175</v>
      </c>
      <c r="AK237" s="18">
        <f t="shared" si="220"/>
        <v>0.78104802044975707</v>
      </c>
      <c r="AL237" s="18">
        <f t="shared" si="220"/>
        <v>2.3281530173522986</v>
      </c>
      <c r="AM237" s="18">
        <f t="shared" si="220"/>
        <v>0.7733525066187632</v>
      </c>
      <c r="AN237" s="56">
        <f t="shared" si="208"/>
        <v>4</v>
      </c>
      <c r="AP237" s="18">
        <f t="shared" si="221"/>
        <v>5.5801384459787489</v>
      </c>
      <c r="AQ237" s="18">
        <f t="shared" si="221"/>
        <v>0.88032232660135823</v>
      </c>
      <c r="AR237" s="18">
        <f t="shared" si="221"/>
        <v>2.2816594018508338</v>
      </c>
      <c r="AS237" s="18">
        <f t="shared" si="221"/>
        <v>0.72449201988200906</v>
      </c>
      <c r="AT237" s="56">
        <f t="shared" si="209"/>
        <v>4</v>
      </c>
      <c r="AV237" s="18">
        <f t="shared" si="222"/>
        <v>5.5801384459787489</v>
      </c>
      <c r="AW237" s="18">
        <f t="shared" si="222"/>
        <v>0.88032232660135823</v>
      </c>
      <c r="AX237" s="18">
        <f t="shared" si="222"/>
        <v>2.2816594018508338</v>
      </c>
      <c r="AY237" s="18">
        <f t="shared" si="222"/>
        <v>0.72449201988200906</v>
      </c>
      <c r="AZ237" s="56">
        <f t="shared" si="210"/>
        <v>4</v>
      </c>
      <c r="BB237" s="18">
        <f t="shared" si="223"/>
        <v>5.5801384459787489</v>
      </c>
      <c r="BC237" s="18">
        <f t="shared" si="223"/>
        <v>0.88032232660135823</v>
      </c>
      <c r="BD237" s="18">
        <f t="shared" si="223"/>
        <v>2.2816594018508338</v>
      </c>
      <c r="BE237" s="18">
        <f t="shared" si="223"/>
        <v>0.72449201988200906</v>
      </c>
      <c r="BF237" s="56">
        <f t="shared" si="211"/>
        <v>4</v>
      </c>
      <c r="BH237" s="18">
        <f t="shared" si="224"/>
        <v>5.5801384459787489</v>
      </c>
      <c r="BI237" s="18">
        <f t="shared" si="224"/>
        <v>0.88032232660135823</v>
      </c>
      <c r="BJ237" s="18">
        <f t="shared" si="224"/>
        <v>2.2816594018508338</v>
      </c>
      <c r="BK237" s="18">
        <f t="shared" si="224"/>
        <v>0.72449201988200906</v>
      </c>
      <c r="BL237" s="56">
        <f t="shared" si="212"/>
        <v>4</v>
      </c>
      <c r="BN237" s="18">
        <f t="shared" si="225"/>
        <v>5.5801384459787489</v>
      </c>
      <c r="BO237" s="18">
        <f t="shared" si="225"/>
        <v>0.88032232660135823</v>
      </c>
      <c r="BP237" s="18">
        <f t="shared" si="225"/>
        <v>2.2816594018508338</v>
      </c>
      <c r="BQ237" s="18">
        <f t="shared" si="225"/>
        <v>0.72449201988200906</v>
      </c>
      <c r="BR237" s="56">
        <f t="shared" si="213"/>
        <v>4</v>
      </c>
      <c r="BT237" s="18">
        <f t="shared" si="226"/>
        <v>5.5801384459787489</v>
      </c>
      <c r="BU237" s="18">
        <f t="shared" si="226"/>
        <v>0.88032232660135823</v>
      </c>
      <c r="BV237" s="18">
        <f t="shared" si="226"/>
        <v>2.2816594018508338</v>
      </c>
      <c r="BW237" s="18">
        <f t="shared" si="226"/>
        <v>0.72449201988200906</v>
      </c>
      <c r="BX237" s="56">
        <f t="shared" si="214"/>
        <v>4</v>
      </c>
      <c r="BZ237" s="18">
        <f t="shared" si="227"/>
        <v>5.5801384459787489</v>
      </c>
      <c r="CA237" s="18">
        <f t="shared" si="227"/>
        <v>0.88032232660135823</v>
      </c>
      <c r="CB237" s="18">
        <f t="shared" si="227"/>
        <v>2.2816594018508338</v>
      </c>
      <c r="CC237" s="18">
        <f t="shared" si="227"/>
        <v>0.72449201988200906</v>
      </c>
      <c r="CD237" s="56">
        <f t="shared" si="215"/>
        <v>4</v>
      </c>
      <c r="CF237" s="18">
        <f t="shared" si="228"/>
        <v>5.5801384459787489</v>
      </c>
      <c r="CG237" s="18">
        <f t="shared" si="228"/>
        <v>0.88032232660135823</v>
      </c>
      <c r="CH237" s="18">
        <f t="shared" si="228"/>
        <v>2.2816594018508338</v>
      </c>
      <c r="CI237" s="18">
        <f t="shared" si="228"/>
        <v>0.72449201988200906</v>
      </c>
      <c r="CJ237" s="56">
        <f t="shared" si="216"/>
        <v>4</v>
      </c>
      <c r="CL237" s="18">
        <f t="shared" si="229"/>
        <v>5.5801384459787489</v>
      </c>
      <c r="CM237" s="18">
        <f t="shared" si="229"/>
        <v>0.88032232660135823</v>
      </c>
      <c r="CN237" s="18">
        <f t="shared" si="229"/>
        <v>2.2816594018508338</v>
      </c>
      <c r="CO237" s="18">
        <f t="shared" si="229"/>
        <v>0.72449201988200906</v>
      </c>
      <c r="CP237" s="56">
        <f t="shared" si="217"/>
        <v>4</v>
      </c>
    </row>
    <row r="238" spans="1:94" x14ac:dyDescent="0.25">
      <c r="A238" s="36" t="str">
        <f>KMeans_Data!A97</f>
        <v>Kasur</v>
      </c>
      <c r="B238" s="18">
        <f>KMeans_Data!H97</f>
        <v>-0.8317053870146639</v>
      </c>
      <c r="C238" s="18">
        <f>KMeans_Data!I97</f>
        <v>-0.67265054538827607</v>
      </c>
      <c r="D238" s="18">
        <f>KMeans_Data!J97</f>
        <v>-1.1456441163335547</v>
      </c>
      <c r="E238" s="56">
        <f t="shared" si="204"/>
        <v>2</v>
      </c>
      <c r="F238" s="38">
        <f t="shared" si="205"/>
        <v>0.20474863837004259</v>
      </c>
      <c r="G238" s="18">
        <f>IF(COUNTIF(Distance_Matrix!$E$10:$DQ$10,$E238)&lt;=1,0,SUMIF(Distance_Matrix!$E$10:$DQ$10,$E238,Distance_Matrix!$E$106:$DQ$106)/(COUNTIF(Distance_Matrix!$E$10:$DQ$10,$E238)-1))</f>
        <v>0.55582868241901895</v>
      </c>
      <c r="H238" s="18">
        <f>MIN(IF(1=$E238,1E+99,IF(COUNTIF(Distance_Matrix!$E$10:$DQ$10,1)=0,1E+99,SUMIF(Distance_Matrix!$E$10:$DQ$10,1,Distance_Matrix!$E$106:$DQ$106)/COUNTIF(Distance_Matrix!$E$10:$DQ$10,1))),IF(2=$E238,1E+99,IF(COUNTIF(Distance_Matrix!$E$10:$DQ$10,2)=0,1E+99,SUMIF(Distance_Matrix!$E$10:$DQ$10,2,Distance_Matrix!$E$106:$DQ$106)/COUNTIF(Distance_Matrix!$E$10:$DQ$10,2))),IF(3=$E238,1E+99,IF(COUNTIF(Distance_Matrix!$E$10:$DQ$10,3)=0,1E+99,SUMIF(Distance_Matrix!$E$10:$DQ$10,3,Distance_Matrix!$E$106:$DQ$106)/COUNTIF(Distance_Matrix!$E$10:$DQ$10,3))),IF(4=$E238,1E+99,IF(COUNTIF(Distance_Matrix!$E$10:$DQ$10,4)=0,1E+99,SUMIF(Distance_Matrix!$E$10:$DQ$10,4,Distance_Matrix!$E$106:$DQ$106)/COUNTIF(Distance_Matrix!$E$10:$DQ$10,4))))</f>
        <v>1.2303679498333178</v>
      </c>
      <c r="I238" s="18">
        <f>IF(COUNTIF(Distance_Matrix!$E$10:$DQ$10,$E238)&lt;=1,0,(H238-G238)/MAX(G238,H238))</f>
        <v>0.54824190398139105</v>
      </c>
      <c r="X238" s="18">
        <f t="shared" si="218"/>
        <v>7.6421954132838588</v>
      </c>
      <c r="Y238" s="18">
        <f t="shared" si="218"/>
        <v>1.2480325947886648</v>
      </c>
      <c r="Z238" s="18">
        <f t="shared" si="218"/>
        <v>3.38265206186386</v>
      </c>
      <c r="AA238" s="18">
        <f t="shared" si="218"/>
        <v>1.5681113797108259</v>
      </c>
      <c r="AB238" s="56">
        <f t="shared" si="206"/>
        <v>2</v>
      </c>
      <c r="AD238" s="18">
        <f t="shared" si="219"/>
        <v>6.6303750144489992</v>
      </c>
      <c r="AE238" s="18">
        <f t="shared" si="219"/>
        <v>0.46061101607305244</v>
      </c>
      <c r="AF238" s="18">
        <f t="shared" si="219"/>
        <v>2.7811562446613047</v>
      </c>
      <c r="AG238" s="18">
        <f t="shared" si="219"/>
        <v>1.0122933405116141</v>
      </c>
      <c r="AH238" s="56">
        <f t="shared" si="207"/>
        <v>2</v>
      </c>
      <c r="AJ238" s="18">
        <f t="shared" si="220"/>
        <v>6.2919306180601327</v>
      </c>
      <c r="AK238" s="18">
        <f t="shared" si="220"/>
        <v>0.43176470012832657</v>
      </c>
      <c r="AL238" s="18">
        <f t="shared" si="220"/>
        <v>2.8462146396959755</v>
      </c>
      <c r="AM238" s="18">
        <f t="shared" si="220"/>
        <v>1.0838475548639281</v>
      </c>
      <c r="AN238" s="56">
        <f t="shared" si="208"/>
        <v>2</v>
      </c>
      <c r="AP238" s="18">
        <f t="shared" si="221"/>
        <v>5.997711826510927</v>
      </c>
      <c r="AQ238" s="18">
        <f t="shared" si="221"/>
        <v>0.45249158928099714</v>
      </c>
      <c r="AR238" s="18">
        <f t="shared" si="221"/>
        <v>2.8038355474694856</v>
      </c>
      <c r="AS238" s="18">
        <f t="shared" si="221"/>
        <v>1.0559815339092951</v>
      </c>
      <c r="AT238" s="56">
        <f t="shared" si="209"/>
        <v>2</v>
      </c>
      <c r="AV238" s="18">
        <f t="shared" si="222"/>
        <v>5.997711826510927</v>
      </c>
      <c r="AW238" s="18">
        <f t="shared" si="222"/>
        <v>0.45249158928099714</v>
      </c>
      <c r="AX238" s="18">
        <f t="shared" si="222"/>
        <v>2.8038355474694856</v>
      </c>
      <c r="AY238" s="18">
        <f t="shared" si="222"/>
        <v>1.0559815339092951</v>
      </c>
      <c r="AZ238" s="56">
        <f t="shared" si="210"/>
        <v>2</v>
      </c>
      <c r="BB238" s="18">
        <f t="shared" si="223"/>
        <v>5.997711826510927</v>
      </c>
      <c r="BC238" s="18">
        <f t="shared" si="223"/>
        <v>0.45249158928099714</v>
      </c>
      <c r="BD238" s="18">
        <f t="shared" si="223"/>
        <v>2.8038355474694856</v>
      </c>
      <c r="BE238" s="18">
        <f t="shared" si="223"/>
        <v>1.0559815339092951</v>
      </c>
      <c r="BF238" s="56">
        <f t="shared" si="211"/>
        <v>2</v>
      </c>
      <c r="BH238" s="18">
        <f t="shared" si="224"/>
        <v>5.997711826510927</v>
      </c>
      <c r="BI238" s="18">
        <f t="shared" si="224"/>
        <v>0.45249158928099714</v>
      </c>
      <c r="BJ238" s="18">
        <f t="shared" si="224"/>
        <v>2.8038355474694856</v>
      </c>
      <c r="BK238" s="18">
        <f t="shared" si="224"/>
        <v>1.0559815339092951</v>
      </c>
      <c r="BL238" s="56">
        <f t="shared" si="212"/>
        <v>2</v>
      </c>
      <c r="BN238" s="18">
        <f t="shared" si="225"/>
        <v>5.997711826510927</v>
      </c>
      <c r="BO238" s="18">
        <f t="shared" si="225"/>
        <v>0.45249158928099714</v>
      </c>
      <c r="BP238" s="18">
        <f t="shared" si="225"/>
        <v>2.8038355474694856</v>
      </c>
      <c r="BQ238" s="18">
        <f t="shared" si="225"/>
        <v>1.0559815339092951</v>
      </c>
      <c r="BR238" s="56">
        <f t="shared" si="213"/>
        <v>2</v>
      </c>
      <c r="BT238" s="18">
        <f t="shared" si="226"/>
        <v>5.997711826510927</v>
      </c>
      <c r="BU238" s="18">
        <f t="shared" si="226"/>
        <v>0.45249158928099714</v>
      </c>
      <c r="BV238" s="18">
        <f t="shared" si="226"/>
        <v>2.8038355474694856</v>
      </c>
      <c r="BW238" s="18">
        <f t="shared" si="226"/>
        <v>1.0559815339092951</v>
      </c>
      <c r="BX238" s="56">
        <f t="shared" si="214"/>
        <v>2</v>
      </c>
      <c r="BZ238" s="18">
        <f t="shared" si="227"/>
        <v>5.997711826510927</v>
      </c>
      <c r="CA238" s="18">
        <f t="shared" si="227"/>
        <v>0.45249158928099714</v>
      </c>
      <c r="CB238" s="18">
        <f t="shared" si="227"/>
        <v>2.8038355474694856</v>
      </c>
      <c r="CC238" s="18">
        <f t="shared" si="227"/>
        <v>1.0559815339092951</v>
      </c>
      <c r="CD238" s="56">
        <f t="shared" si="215"/>
        <v>2</v>
      </c>
      <c r="CF238" s="18">
        <f t="shared" si="228"/>
        <v>5.997711826510927</v>
      </c>
      <c r="CG238" s="18">
        <f t="shared" si="228"/>
        <v>0.45249158928099714</v>
      </c>
      <c r="CH238" s="18">
        <f t="shared" si="228"/>
        <v>2.8038355474694856</v>
      </c>
      <c r="CI238" s="18">
        <f t="shared" si="228"/>
        <v>1.0559815339092951</v>
      </c>
      <c r="CJ238" s="56">
        <f t="shared" si="216"/>
        <v>2</v>
      </c>
      <c r="CL238" s="18">
        <f t="shared" si="229"/>
        <v>5.997711826510927</v>
      </c>
      <c r="CM238" s="18">
        <f t="shared" si="229"/>
        <v>0.45249158928099714</v>
      </c>
      <c r="CN238" s="18">
        <f t="shared" si="229"/>
        <v>2.8038355474694856</v>
      </c>
      <c r="CO238" s="18">
        <f t="shared" si="229"/>
        <v>1.0559815339092951</v>
      </c>
      <c r="CP238" s="56">
        <f t="shared" si="217"/>
        <v>2</v>
      </c>
    </row>
    <row r="239" spans="1:94" x14ac:dyDescent="0.25">
      <c r="A239" s="36" t="str">
        <f>KMeans_Data!A98</f>
        <v>Rajanpur</v>
      </c>
      <c r="B239" s="18">
        <f>KMeans_Data!H98</f>
        <v>-0.88131147797298559</v>
      </c>
      <c r="C239" s="18">
        <f>KMeans_Data!I98</f>
        <v>-0.67265054538827607</v>
      </c>
      <c r="D239" s="18">
        <f>KMeans_Data!J98</f>
        <v>-1.1456441163335547</v>
      </c>
      <c r="E239" s="56">
        <f t="shared" si="204"/>
        <v>2</v>
      </c>
      <c r="F239" s="38">
        <f t="shared" si="205"/>
        <v>0.16293389344383863</v>
      </c>
      <c r="G239" s="18">
        <f>IF(COUNTIF(Distance_Matrix!$E$10:$DQ$10,$E239)&lt;=1,0,SUMIF(Distance_Matrix!$E$10:$DQ$10,$E239,Distance_Matrix!$E$107:$DQ$107)/(COUNTIF(Distance_Matrix!$E$10:$DQ$10,$E239)-1))</f>
        <v>0.52255110794184201</v>
      </c>
      <c r="H239" s="18">
        <f>MIN(IF(1=$E239,1E+99,IF(COUNTIF(Distance_Matrix!$E$10:$DQ$10,1)=0,1E+99,SUMIF(Distance_Matrix!$E$10:$DQ$10,1,Distance_Matrix!$E$107:$DQ$107)/COUNTIF(Distance_Matrix!$E$10:$DQ$10,1))),IF(2=$E239,1E+99,IF(COUNTIF(Distance_Matrix!$E$10:$DQ$10,2)=0,1E+99,SUMIF(Distance_Matrix!$E$10:$DQ$10,2,Distance_Matrix!$E$107:$DQ$107)/COUNTIF(Distance_Matrix!$E$10:$DQ$10,2))),IF(3=$E239,1E+99,IF(COUNTIF(Distance_Matrix!$E$10:$DQ$10,3)=0,1E+99,SUMIF(Distance_Matrix!$E$10:$DQ$10,3,Distance_Matrix!$E$107:$DQ$107)/COUNTIF(Distance_Matrix!$E$10:$DQ$10,3))),IF(4=$E239,1E+99,IF(COUNTIF(Distance_Matrix!$E$10:$DQ$10,4)=0,1E+99,SUMIF(Distance_Matrix!$E$10:$DQ$10,4,Distance_Matrix!$E$107:$DQ$107)/COUNTIF(Distance_Matrix!$E$10:$DQ$10,4))))</f>
        <v>1.2603442406450758</v>
      </c>
      <c r="I239" s="18">
        <f>IF(COUNTIF(Distance_Matrix!$E$10:$DQ$10,$E239)&lt;=1,0,(H239-G239)/MAX(G239,H239))</f>
        <v>0.58539017270838067</v>
      </c>
      <c r="X239" s="18">
        <f t="shared" si="218"/>
        <v>7.6689619977801469</v>
      </c>
      <c r="Y239" s="18">
        <f t="shared" si="218"/>
        <v>1.198426503830343</v>
      </c>
      <c r="Z239" s="18">
        <f t="shared" si="218"/>
        <v>3.4103119353684268</v>
      </c>
      <c r="AA239" s="18">
        <f t="shared" si="218"/>
        <v>1.6149328167294064</v>
      </c>
      <c r="AB239" s="56">
        <f t="shared" si="206"/>
        <v>2</v>
      </c>
      <c r="AD239" s="18">
        <f t="shared" si="219"/>
        <v>6.6577392498362089</v>
      </c>
      <c r="AE239" s="18">
        <f t="shared" si="219"/>
        <v>0.41715127923040168</v>
      </c>
      <c r="AF239" s="18">
        <f t="shared" si="219"/>
        <v>2.8071501743654452</v>
      </c>
      <c r="AG239" s="18">
        <f t="shared" si="219"/>
        <v>1.0504938612894712</v>
      </c>
      <c r="AH239" s="56">
        <f t="shared" si="207"/>
        <v>2</v>
      </c>
      <c r="AJ239" s="18">
        <f t="shared" si="220"/>
        <v>6.319759629346172</v>
      </c>
      <c r="AK239" s="18">
        <f t="shared" si="220"/>
        <v>0.38618675270464387</v>
      </c>
      <c r="AL239" s="18">
        <f t="shared" si="220"/>
        <v>2.8724192062724692</v>
      </c>
      <c r="AM239" s="18">
        <f t="shared" si="220"/>
        <v>1.118754266932902</v>
      </c>
      <c r="AN239" s="56">
        <f t="shared" si="208"/>
        <v>2</v>
      </c>
      <c r="AP239" s="18">
        <f t="shared" si="221"/>
        <v>6.0252705580503001</v>
      </c>
      <c r="AQ239" s="18">
        <f t="shared" si="221"/>
        <v>0.4036507072257382</v>
      </c>
      <c r="AR239" s="18">
        <f t="shared" si="221"/>
        <v>2.8300346643734473</v>
      </c>
      <c r="AS239" s="18">
        <f t="shared" si="221"/>
        <v>1.0896358060149449</v>
      </c>
      <c r="AT239" s="56">
        <f t="shared" si="209"/>
        <v>2</v>
      </c>
      <c r="AV239" s="18">
        <f t="shared" si="222"/>
        <v>6.0252705580503001</v>
      </c>
      <c r="AW239" s="18">
        <f t="shared" si="222"/>
        <v>0.4036507072257382</v>
      </c>
      <c r="AX239" s="18">
        <f t="shared" si="222"/>
        <v>2.8300346643734473</v>
      </c>
      <c r="AY239" s="18">
        <f t="shared" si="222"/>
        <v>1.0896358060149449</v>
      </c>
      <c r="AZ239" s="56">
        <f t="shared" si="210"/>
        <v>2</v>
      </c>
      <c r="BB239" s="18">
        <f t="shared" si="223"/>
        <v>6.0252705580503001</v>
      </c>
      <c r="BC239" s="18">
        <f t="shared" si="223"/>
        <v>0.4036507072257382</v>
      </c>
      <c r="BD239" s="18">
        <f t="shared" si="223"/>
        <v>2.8300346643734473</v>
      </c>
      <c r="BE239" s="18">
        <f t="shared" si="223"/>
        <v>1.0896358060149449</v>
      </c>
      <c r="BF239" s="56">
        <f t="shared" si="211"/>
        <v>2</v>
      </c>
      <c r="BH239" s="18">
        <f t="shared" si="224"/>
        <v>6.0252705580503001</v>
      </c>
      <c r="BI239" s="18">
        <f t="shared" si="224"/>
        <v>0.4036507072257382</v>
      </c>
      <c r="BJ239" s="18">
        <f t="shared" si="224"/>
        <v>2.8300346643734473</v>
      </c>
      <c r="BK239" s="18">
        <f t="shared" si="224"/>
        <v>1.0896358060149449</v>
      </c>
      <c r="BL239" s="56">
        <f t="shared" si="212"/>
        <v>2</v>
      </c>
      <c r="BN239" s="18">
        <f t="shared" si="225"/>
        <v>6.0252705580503001</v>
      </c>
      <c r="BO239" s="18">
        <f t="shared" si="225"/>
        <v>0.4036507072257382</v>
      </c>
      <c r="BP239" s="18">
        <f t="shared" si="225"/>
        <v>2.8300346643734473</v>
      </c>
      <c r="BQ239" s="18">
        <f t="shared" si="225"/>
        <v>1.0896358060149449</v>
      </c>
      <c r="BR239" s="56">
        <f t="shared" si="213"/>
        <v>2</v>
      </c>
      <c r="BT239" s="18">
        <f t="shared" si="226"/>
        <v>6.0252705580503001</v>
      </c>
      <c r="BU239" s="18">
        <f t="shared" si="226"/>
        <v>0.4036507072257382</v>
      </c>
      <c r="BV239" s="18">
        <f t="shared" si="226"/>
        <v>2.8300346643734473</v>
      </c>
      <c r="BW239" s="18">
        <f t="shared" si="226"/>
        <v>1.0896358060149449</v>
      </c>
      <c r="BX239" s="56">
        <f t="shared" si="214"/>
        <v>2</v>
      </c>
      <c r="BZ239" s="18">
        <f t="shared" si="227"/>
        <v>6.0252705580503001</v>
      </c>
      <c r="CA239" s="18">
        <f t="shared" si="227"/>
        <v>0.4036507072257382</v>
      </c>
      <c r="CB239" s="18">
        <f t="shared" si="227"/>
        <v>2.8300346643734473</v>
      </c>
      <c r="CC239" s="18">
        <f t="shared" si="227"/>
        <v>1.0896358060149449</v>
      </c>
      <c r="CD239" s="56">
        <f t="shared" si="215"/>
        <v>2</v>
      </c>
      <c r="CF239" s="18">
        <f t="shared" si="228"/>
        <v>6.0252705580503001</v>
      </c>
      <c r="CG239" s="18">
        <f t="shared" si="228"/>
        <v>0.4036507072257382</v>
      </c>
      <c r="CH239" s="18">
        <f t="shared" si="228"/>
        <v>2.8300346643734473</v>
      </c>
      <c r="CI239" s="18">
        <f t="shared" si="228"/>
        <v>1.0896358060149449</v>
      </c>
      <c r="CJ239" s="56">
        <f t="shared" si="216"/>
        <v>2</v>
      </c>
      <c r="CL239" s="18">
        <f t="shared" si="229"/>
        <v>6.0252705580503001</v>
      </c>
      <c r="CM239" s="18">
        <f t="shared" si="229"/>
        <v>0.4036507072257382</v>
      </c>
      <c r="CN239" s="18">
        <f t="shared" si="229"/>
        <v>2.8300346643734473</v>
      </c>
      <c r="CO239" s="18">
        <f t="shared" si="229"/>
        <v>1.0896358060149449</v>
      </c>
      <c r="CP239" s="56">
        <f t="shared" si="217"/>
        <v>2</v>
      </c>
    </row>
    <row r="240" spans="1:94" x14ac:dyDescent="0.25">
      <c r="A240" s="36" t="str">
        <f>KMeans_Data!A99</f>
        <v>Umerkot</v>
      </c>
      <c r="B240" s="18">
        <f>KMeans_Data!H99</f>
        <v>-0.88131147797298559</v>
      </c>
      <c r="C240" s="18">
        <f>KMeans_Data!I99</f>
        <v>-0.14698313392952958</v>
      </c>
      <c r="D240" s="18">
        <f>KMeans_Data!J99</f>
        <v>-0.82444601589876665</v>
      </c>
      <c r="E240" s="56">
        <f t="shared" si="204"/>
        <v>2</v>
      </c>
      <c r="F240" s="38">
        <f t="shared" si="205"/>
        <v>0.47422699136542268</v>
      </c>
      <c r="G240" s="18">
        <f>IF(COUNTIF(Distance_Matrix!$E$10:$DQ$10,$E240)&lt;=1,0,SUMIF(Distance_Matrix!$E$10:$DQ$10,$E240,Distance_Matrix!$E$108:$DQ$108)/(COUNTIF(Distance_Matrix!$E$10:$DQ$10,$E240)-1))</f>
        <v>0.81667714269528491</v>
      </c>
      <c r="H240" s="18">
        <f>MIN(IF(1=$E240,1E+99,IF(COUNTIF(Distance_Matrix!$E$10:$DQ$10,1)=0,1E+99,SUMIF(Distance_Matrix!$E$10:$DQ$10,1,Distance_Matrix!$E$108:$DQ$108)/COUNTIF(Distance_Matrix!$E$10:$DQ$10,1))),IF(2=$E240,1E+99,IF(COUNTIF(Distance_Matrix!$E$10:$DQ$10,2)=0,1E+99,SUMIF(Distance_Matrix!$E$10:$DQ$10,2,Distance_Matrix!$E$108:$DQ$108)/COUNTIF(Distance_Matrix!$E$10:$DQ$10,2))),IF(3=$E240,1E+99,IF(COUNTIF(Distance_Matrix!$E$10:$DQ$10,3)=0,1E+99,SUMIF(Distance_Matrix!$E$10:$DQ$10,3,Distance_Matrix!$E$108:$DQ$108)/COUNTIF(Distance_Matrix!$E$10:$DQ$10,3))),IF(4=$E240,1E+99,IF(COUNTIF(Distance_Matrix!$E$10:$DQ$10,4)=0,1E+99,SUMIF(Distance_Matrix!$E$10:$DQ$10,4,Distance_Matrix!$E$108:$DQ$108)/COUNTIF(Distance_Matrix!$E$10:$DQ$10,4))))</f>
        <v>1.1756041934310499</v>
      </c>
      <c r="I240" s="18">
        <f>IF(COUNTIF(Distance_Matrix!$E$10:$DQ$10,$E240)&lt;=1,0,(H240-G240)/MAX(G240,H240))</f>
        <v>0.30531283636222956</v>
      </c>
      <c r="X240" s="18">
        <f t="shared" si="218"/>
        <v>7.1703290216323134</v>
      </c>
      <c r="Y240" s="18">
        <f t="shared" si="218"/>
        <v>1.3474867466048319</v>
      </c>
      <c r="Z240" s="18">
        <f t="shared" si="218"/>
        <v>3.0370836754197215</v>
      </c>
      <c r="AA240" s="18">
        <f t="shared" si="218"/>
        <v>1.5604005879269436</v>
      </c>
      <c r="AB240" s="56">
        <f t="shared" si="206"/>
        <v>2</v>
      </c>
      <c r="AD240" s="18">
        <f t="shared" si="219"/>
        <v>6.162092180712996</v>
      </c>
      <c r="AE240" s="18">
        <f t="shared" si="219"/>
        <v>0.63134391318726779</v>
      </c>
      <c r="AF240" s="18">
        <f t="shared" si="219"/>
        <v>2.3759104727571994</v>
      </c>
      <c r="AG240" s="18">
        <f t="shared" si="219"/>
        <v>0.94038397039366517</v>
      </c>
      <c r="AH240" s="56">
        <f t="shared" si="207"/>
        <v>2</v>
      </c>
      <c r="AJ240" s="18">
        <f t="shared" si="220"/>
        <v>5.8301808765595782</v>
      </c>
      <c r="AK240" s="18">
        <f t="shared" si="220"/>
        <v>0.63725021649049529</v>
      </c>
      <c r="AL240" s="18">
        <f t="shared" si="220"/>
        <v>2.4343001322649087</v>
      </c>
      <c r="AM240" s="18">
        <f t="shared" si="220"/>
        <v>0.97828655240370654</v>
      </c>
      <c r="AN240" s="56">
        <f t="shared" si="208"/>
        <v>2</v>
      </c>
      <c r="AP240" s="18">
        <f t="shared" si="221"/>
        <v>5.5339138841608744</v>
      </c>
      <c r="AQ240" s="18">
        <f t="shared" si="221"/>
        <v>0.68864140985379518</v>
      </c>
      <c r="AR240" s="18">
        <f t="shared" si="221"/>
        <v>2.395512932738225</v>
      </c>
      <c r="AS240" s="18">
        <f t="shared" si="221"/>
        <v>0.94803932008259018</v>
      </c>
      <c r="AT240" s="56">
        <f t="shared" si="209"/>
        <v>2</v>
      </c>
      <c r="AV240" s="18">
        <f t="shared" si="222"/>
        <v>5.5339138841608744</v>
      </c>
      <c r="AW240" s="18">
        <f t="shared" si="222"/>
        <v>0.68864140985379518</v>
      </c>
      <c r="AX240" s="18">
        <f t="shared" si="222"/>
        <v>2.395512932738225</v>
      </c>
      <c r="AY240" s="18">
        <f t="shared" si="222"/>
        <v>0.94803932008259018</v>
      </c>
      <c r="AZ240" s="56">
        <f t="shared" si="210"/>
        <v>2</v>
      </c>
      <c r="BB240" s="18">
        <f t="shared" si="223"/>
        <v>5.5339138841608744</v>
      </c>
      <c r="BC240" s="18">
        <f t="shared" si="223"/>
        <v>0.68864140985379518</v>
      </c>
      <c r="BD240" s="18">
        <f t="shared" si="223"/>
        <v>2.395512932738225</v>
      </c>
      <c r="BE240" s="18">
        <f t="shared" si="223"/>
        <v>0.94803932008259018</v>
      </c>
      <c r="BF240" s="56">
        <f t="shared" si="211"/>
        <v>2</v>
      </c>
      <c r="BH240" s="18">
        <f t="shared" si="224"/>
        <v>5.5339138841608744</v>
      </c>
      <c r="BI240" s="18">
        <f t="shared" si="224"/>
        <v>0.68864140985379518</v>
      </c>
      <c r="BJ240" s="18">
        <f t="shared" si="224"/>
        <v>2.395512932738225</v>
      </c>
      <c r="BK240" s="18">
        <f t="shared" si="224"/>
        <v>0.94803932008259018</v>
      </c>
      <c r="BL240" s="56">
        <f t="shared" si="212"/>
        <v>2</v>
      </c>
      <c r="BN240" s="18">
        <f t="shared" si="225"/>
        <v>5.5339138841608744</v>
      </c>
      <c r="BO240" s="18">
        <f t="shared" si="225"/>
        <v>0.68864140985379518</v>
      </c>
      <c r="BP240" s="18">
        <f t="shared" si="225"/>
        <v>2.395512932738225</v>
      </c>
      <c r="BQ240" s="18">
        <f t="shared" si="225"/>
        <v>0.94803932008259018</v>
      </c>
      <c r="BR240" s="56">
        <f t="shared" si="213"/>
        <v>2</v>
      </c>
      <c r="BT240" s="18">
        <f t="shared" si="226"/>
        <v>5.5339138841608744</v>
      </c>
      <c r="BU240" s="18">
        <f t="shared" si="226"/>
        <v>0.68864140985379518</v>
      </c>
      <c r="BV240" s="18">
        <f t="shared" si="226"/>
        <v>2.395512932738225</v>
      </c>
      <c r="BW240" s="18">
        <f t="shared" si="226"/>
        <v>0.94803932008259018</v>
      </c>
      <c r="BX240" s="56">
        <f t="shared" si="214"/>
        <v>2</v>
      </c>
      <c r="BZ240" s="18">
        <f t="shared" si="227"/>
        <v>5.5339138841608744</v>
      </c>
      <c r="CA240" s="18">
        <f t="shared" si="227"/>
        <v>0.68864140985379518</v>
      </c>
      <c r="CB240" s="18">
        <f t="shared" si="227"/>
        <v>2.395512932738225</v>
      </c>
      <c r="CC240" s="18">
        <f t="shared" si="227"/>
        <v>0.94803932008259018</v>
      </c>
      <c r="CD240" s="56">
        <f t="shared" si="215"/>
        <v>2</v>
      </c>
      <c r="CF240" s="18">
        <f t="shared" si="228"/>
        <v>5.5339138841608744</v>
      </c>
      <c r="CG240" s="18">
        <f t="shared" si="228"/>
        <v>0.68864140985379518</v>
      </c>
      <c r="CH240" s="18">
        <f t="shared" si="228"/>
        <v>2.395512932738225</v>
      </c>
      <c r="CI240" s="18">
        <f t="shared" si="228"/>
        <v>0.94803932008259018</v>
      </c>
      <c r="CJ240" s="56">
        <f t="shared" si="216"/>
        <v>2</v>
      </c>
      <c r="CL240" s="18">
        <f t="shared" si="229"/>
        <v>5.5339138841608744</v>
      </c>
      <c r="CM240" s="18">
        <f t="shared" si="229"/>
        <v>0.68864140985379518</v>
      </c>
      <c r="CN240" s="18">
        <f t="shared" si="229"/>
        <v>2.395512932738225</v>
      </c>
      <c r="CO240" s="18">
        <f t="shared" si="229"/>
        <v>0.94803932008259018</v>
      </c>
      <c r="CP240" s="56">
        <f t="shared" si="217"/>
        <v>2</v>
      </c>
    </row>
    <row r="241" spans="1:94" x14ac:dyDescent="0.25">
      <c r="A241" s="36" t="str">
        <f>KMeans_Data!A100</f>
        <v>Tando Allahyar</v>
      </c>
      <c r="B241" s="18">
        <f>KMeans_Data!H100</f>
        <v>-0.88131147797298559</v>
      </c>
      <c r="C241" s="18">
        <f>KMeans_Data!I100</f>
        <v>-0.67265054538827607</v>
      </c>
      <c r="D241" s="18">
        <f>KMeans_Data!J100</f>
        <v>0.26515989636960624</v>
      </c>
      <c r="E241" s="56">
        <f t="shared" si="204"/>
        <v>4</v>
      </c>
      <c r="F241" s="38">
        <f t="shared" si="205"/>
        <v>1.0034343255363727</v>
      </c>
      <c r="G241" s="18">
        <f>IF(COUNTIF(Distance_Matrix!$E$10:$DQ$10,$E241)&lt;=1,0,SUMIF(Distance_Matrix!$E$10:$DQ$10,$E241,Distance_Matrix!$E$109:$DQ$109)/(COUNTIF(Distance_Matrix!$E$10:$DQ$10,$E241)-1))</f>
        <v>1.1757278866655689</v>
      </c>
      <c r="H241" s="18">
        <f>MIN(IF(1=$E241,1E+99,IF(COUNTIF(Distance_Matrix!$E$10:$DQ$10,1)=0,1E+99,SUMIF(Distance_Matrix!$E$10:$DQ$10,1,Distance_Matrix!$E$109:$DQ$109)/COUNTIF(Distance_Matrix!$E$10:$DQ$10,1))),IF(2=$E241,1E+99,IF(COUNTIF(Distance_Matrix!$E$10:$DQ$10,2)=0,1E+99,SUMIF(Distance_Matrix!$E$10:$DQ$10,2,Distance_Matrix!$E$109:$DQ$109)/COUNTIF(Distance_Matrix!$E$10:$DQ$10,2))),IF(3=$E241,1E+99,IF(COUNTIF(Distance_Matrix!$E$10:$DQ$10,3)=0,1E+99,SUMIF(Distance_Matrix!$E$10:$DQ$10,3,Distance_Matrix!$E$109:$DQ$109)/COUNTIF(Distance_Matrix!$E$10:$DQ$10,3))),IF(4=$E241,1E+99,IF(COUNTIF(Distance_Matrix!$E$10:$DQ$10,4)=0,1E+99,SUMIF(Distance_Matrix!$E$10:$DQ$10,4,Distance_Matrix!$E$109:$DQ$109)/COUNTIF(Distance_Matrix!$E$10:$DQ$10,4))))</f>
        <v>1.4527326305609547</v>
      </c>
      <c r="I241" s="18">
        <f>IF(COUNTIF(Distance_Matrix!$E$10:$DQ$10,$E241)&lt;=1,0,(H241-G241)/MAX(G241,H241))</f>
        <v>0.19067840707097206</v>
      </c>
      <c r="X241" s="18">
        <f t="shared" si="218"/>
        <v>6.9565010417417197</v>
      </c>
      <c r="Y241" s="18">
        <f t="shared" si="218"/>
        <v>1.8511061685766055</v>
      </c>
      <c r="Z241" s="18">
        <f t="shared" si="218"/>
        <v>2.4978253127828713</v>
      </c>
      <c r="AA241" s="18">
        <f t="shared" si="218"/>
        <v>2.1443824203739674</v>
      </c>
      <c r="AB241" s="56">
        <f t="shared" si="206"/>
        <v>2</v>
      </c>
      <c r="AD241" s="18">
        <f t="shared" si="219"/>
        <v>6.0056409271011759</v>
      </c>
      <c r="AE241" s="18">
        <f t="shared" si="219"/>
        <v>1.2532530645575661</v>
      </c>
      <c r="AF241" s="18">
        <f t="shared" si="219"/>
        <v>2.0385568610591385</v>
      </c>
      <c r="AG241" s="18">
        <f t="shared" si="219"/>
        <v>1.1452386508209169</v>
      </c>
      <c r="AH241" s="56">
        <f t="shared" si="207"/>
        <v>4</v>
      </c>
      <c r="AJ241" s="18">
        <f t="shared" si="220"/>
        <v>5.6680973347918915</v>
      </c>
      <c r="AK241" s="18">
        <f t="shared" si="220"/>
        <v>1.299206450948158</v>
      </c>
      <c r="AL241" s="18">
        <f t="shared" si="220"/>
        <v>2.1248288459482647</v>
      </c>
      <c r="AM241" s="18">
        <f t="shared" si="220"/>
        <v>1.0444016693762634</v>
      </c>
      <c r="AN241" s="56">
        <f t="shared" si="208"/>
        <v>4</v>
      </c>
      <c r="AP241" s="18">
        <f t="shared" si="221"/>
        <v>5.3766181802485473</v>
      </c>
      <c r="AQ241" s="18">
        <f t="shared" si="221"/>
        <v>1.3967236238088476</v>
      </c>
      <c r="AR241" s="18">
        <f t="shared" si="221"/>
        <v>2.0774696868438514</v>
      </c>
      <c r="AS241" s="18">
        <f t="shared" si="221"/>
        <v>1.0017156909704332</v>
      </c>
      <c r="AT241" s="56">
        <f t="shared" si="209"/>
        <v>4</v>
      </c>
      <c r="AV241" s="18">
        <f t="shared" si="222"/>
        <v>5.3766181802485473</v>
      </c>
      <c r="AW241" s="18">
        <f t="shared" si="222"/>
        <v>1.3967236238088476</v>
      </c>
      <c r="AX241" s="18">
        <f t="shared" si="222"/>
        <v>2.0774696868438514</v>
      </c>
      <c r="AY241" s="18">
        <f t="shared" si="222"/>
        <v>1.0017156909704332</v>
      </c>
      <c r="AZ241" s="56">
        <f t="shared" si="210"/>
        <v>4</v>
      </c>
      <c r="BB241" s="18">
        <f t="shared" si="223"/>
        <v>5.3766181802485473</v>
      </c>
      <c r="BC241" s="18">
        <f t="shared" si="223"/>
        <v>1.3967236238088476</v>
      </c>
      <c r="BD241" s="18">
        <f t="shared" si="223"/>
        <v>2.0774696868438514</v>
      </c>
      <c r="BE241" s="18">
        <f t="shared" si="223"/>
        <v>1.0017156909704332</v>
      </c>
      <c r="BF241" s="56">
        <f t="shared" si="211"/>
        <v>4</v>
      </c>
      <c r="BH241" s="18">
        <f t="shared" si="224"/>
        <v>5.3766181802485473</v>
      </c>
      <c r="BI241" s="18">
        <f t="shared" si="224"/>
        <v>1.3967236238088476</v>
      </c>
      <c r="BJ241" s="18">
        <f t="shared" si="224"/>
        <v>2.0774696868438514</v>
      </c>
      <c r="BK241" s="18">
        <f t="shared" si="224"/>
        <v>1.0017156909704332</v>
      </c>
      <c r="BL241" s="56">
        <f t="shared" si="212"/>
        <v>4</v>
      </c>
      <c r="BN241" s="18">
        <f t="shared" si="225"/>
        <v>5.3766181802485473</v>
      </c>
      <c r="BO241" s="18">
        <f t="shared" si="225"/>
        <v>1.3967236238088476</v>
      </c>
      <c r="BP241" s="18">
        <f t="shared" si="225"/>
        <v>2.0774696868438514</v>
      </c>
      <c r="BQ241" s="18">
        <f t="shared" si="225"/>
        <v>1.0017156909704332</v>
      </c>
      <c r="BR241" s="56">
        <f t="shared" si="213"/>
        <v>4</v>
      </c>
      <c r="BT241" s="18">
        <f t="shared" si="226"/>
        <v>5.3766181802485473</v>
      </c>
      <c r="BU241" s="18">
        <f t="shared" si="226"/>
        <v>1.3967236238088476</v>
      </c>
      <c r="BV241" s="18">
        <f t="shared" si="226"/>
        <v>2.0774696868438514</v>
      </c>
      <c r="BW241" s="18">
        <f t="shared" si="226"/>
        <v>1.0017156909704332</v>
      </c>
      <c r="BX241" s="56">
        <f t="shared" si="214"/>
        <v>4</v>
      </c>
      <c r="BZ241" s="18">
        <f t="shared" si="227"/>
        <v>5.3766181802485473</v>
      </c>
      <c r="CA241" s="18">
        <f t="shared" si="227"/>
        <v>1.3967236238088476</v>
      </c>
      <c r="CB241" s="18">
        <f t="shared" si="227"/>
        <v>2.0774696868438514</v>
      </c>
      <c r="CC241" s="18">
        <f t="shared" si="227"/>
        <v>1.0017156909704332</v>
      </c>
      <c r="CD241" s="56">
        <f t="shared" si="215"/>
        <v>4</v>
      </c>
      <c r="CF241" s="18">
        <f t="shared" si="228"/>
        <v>5.3766181802485473</v>
      </c>
      <c r="CG241" s="18">
        <f t="shared" si="228"/>
        <v>1.3967236238088476</v>
      </c>
      <c r="CH241" s="18">
        <f t="shared" si="228"/>
        <v>2.0774696868438514</v>
      </c>
      <c r="CI241" s="18">
        <f t="shared" si="228"/>
        <v>1.0017156909704332</v>
      </c>
      <c r="CJ241" s="56">
        <f t="shared" si="216"/>
        <v>4</v>
      </c>
      <c r="CL241" s="18">
        <f t="shared" si="229"/>
        <v>5.3766181802485473</v>
      </c>
      <c r="CM241" s="18">
        <f t="shared" si="229"/>
        <v>1.3967236238088476</v>
      </c>
      <c r="CN241" s="18">
        <f t="shared" si="229"/>
        <v>2.0774696868438514</v>
      </c>
      <c r="CO241" s="18">
        <f t="shared" si="229"/>
        <v>1.0017156909704332</v>
      </c>
      <c r="CP241" s="56">
        <f t="shared" si="217"/>
        <v>4</v>
      </c>
    </row>
    <row r="242" spans="1:94" x14ac:dyDescent="0.25">
      <c r="A242" s="36" t="str">
        <f>KMeans_Data!A101</f>
        <v>Mirpur</v>
      </c>
      <c r="B242" s="18">
        <f>KMeans_Data!H101</f>
        <v>-0.88131147797298559</v>
      </c>
      <c r="C242" s="18">
        <f>KMeans_Data!I101</f>
        <v>-0.67265054538827607</v>
      </c>
      <c r="D242" s="18">
        <f>KMeans_Data!J101</f>
        <v>-1.1456441163335547</v>
      </c>
      <c r="E242" s="56">
        <f t="shared" ref="E242:E262" si="230">CP242</f>
        <v>2</v>
      </c>
      <c r="F242" s="38">
        <f t="shared" ref="F242:F273" si="231">($B242-INDEX($L$139:$O$139,E242))^2+($C242-INDEX($L$140:$O$140,E242))^2+($D242-INDEX($L$141:$O$141,E242))^2</f>
        <v>0.16293389344383863</v>
      </c>
      <c r="G242" s="18">
        <f>IF(COUNTIF(Distance_Matrix!$E$10:$DQ$10,$E242)&lt;=1,0,SUMIF(Distance_Matrix!$E$10:$DQ$10,$E242,Distance_Matrix!$E$110:$DQ$110)/(COUNTIF(Distance_Matrix!$E$10:$DQ$10,$E242)-1))</f>
        <v>0.52255110794184201</v>
      </c>
      <c r="H242" s="18">
        <f>MIN(IF(1=$E242,1E+99,IF(COUNTIF(Distance_Matrix!$E$10:$DQ$10,1)=0,1E+99,SUMIF(Distance_Matrix!$E$10:$DQ$10,1,Distance_Matrix!$E$110:$DQ$110)/COUNTIF(Distance_Matrix!$E$10:$DQ$10,1))),IF(2=$E242,1E+99,IF(COUNTIF(Distance_Matrix!$E$10:$DQ$10,2)=0,1E+99,SUMIF(Distance_Matrix!$E$10:$DQ$10,2,Distance_Matrix!$E$110:$DQ$110)/COUNTIF(Distance_Matrix!$E$10:$DQ$10,2))),IF(3=$E242,1E+99,IF(COUNTIF(Distance_Matrix!$E$10:$DQ$10,3)=0,1E+99,SUMIF(Distance_Matrix!$E$10:$DQ$10,3,Distance_Matrix!$E$110:$DQ$110)/COUNTIF(Distance_Matrix!$E$10:$DQ$10,3))),IF(4=$E242,1E+99,IF(COUNTIF(Distance_Matrix!$E$10:$DQ$10,4)=0,1E+99,SUMIF(Distance_Matrix!$E$10:$DQ$10,4,Distance_Matrix!$E$110:$DQ$110)/COUNTIF(Distance_Matrix!$E$10:$DQ$10,4))))</f>
        <v>1.2603442406450758</v>
      </c>
      <c r="I242" s="18">
        <f>IF(COUNTIF(Distance_Matrix!$E$10:$DQ$10,$E242)&lt;=1,0,(H242-G242)/MAX(G242,H242))</f>
        <v>0.58539017270838067</v>
      </c>
      <c r="X242" s="18">
        <f t="shared" si="218"/>
        <v>7.6689619977801469</v>
      </c>
      <c r="Y242" s="18">
        <f t="shared" si="218"/>
        <v>1.198426503830343</v>
      </c>
      <c r="Z242" s="18">
        <f t="shared" si="218"/>
        <v>3.4103119353684268</v>
      </c>
      <c r="AA242" s="18">
        <f t="shared" si="218"/>
        <v>1.6149328167294064</v>
      </c>
      <c r="AB242" s="56">
        <f t="shared" ref="AB242:AB273" si="232">MATCH(MIN(X242:AA242),X242:AA242,0)</f>
        <v>2</v>
      </c>
      <c r="AD242" s="18">
        <f t="shared" si="219"/>
        <v>6.6577392498362089</v>
      </c>
      <c r="AE242" s="18">
        <f t="shared" si="219"/>
        <v>0.41715127923040168</v>
      </c>
      <c r="AF242" s="18">
        <f t="shared" si="219"/>
        <v>2.8071501743654452</v>
      </c>
      <c r="AG242" s="18">
        <f t="shared" si="219"/>
        <v>1.0504938612894712</v>
      </c>
      <c r="AH242" s="56">
        <f t="shared" ref="AH242:AH273" si="233">MATCH(MIN(AD242:AG242),AD242:AG242,0)</f>
        <v>2</v>
      </c>
      <c r="AJ242" s="18">
        <f t="shared" si="220"/>
        <v>6.319759629346172</v>
      </c>
      <c r="AK242" s="18">
        <f t="shared" si="220"/>
        <v>0.38618675270464387</v>
      </c>
      <c r="AL242" s="18">
        <f t="shared" si="220"/>
        <v>2.8724192062724692</v>
      </c>
      <c r="AM242" s="18">
        <f t="shared" si="220"/>
        <v>1.118754266932902</v>
      </c>
      <c r="AN242" s="56">
        <f t="shared" ref="AN242:AN273" si="234">MATCH(MIN(AJ242:AM242),AJ242:AM242,0)</f>
        <v>2</v>
      </c>
      <c r="AP242" s="18">
        <f t="shared" si="221"/>
        <v>6.0252705580503001</v>
      </c>
      <c r="AQ242" s="18">
        <f t="shared" si="221"/>
        <v>0.4036507072257382</v>
      </c>
      <c r="AR242" s="18">
        <f t="shared" si="221"/>
        <v>2.8300346643734473</v>
      </c>
      <c r="AS242" s="18">
        <f t="shared" si="221"/>
        <v>1.0896358060149449</v>
      </c>
      <c r="AT242" s="56">
        <f t="shared" ref="AT242:AT273" si="235">MATCH(MIN(AP242:AS242),AP242:AS242,0)</f>
        <v>2</v>
      </c>
      <c r="AV242" s="18">
        <f t="shared" si="222"/>
        <v>6.0252705580503001</v>
      </c>
      <c r="AW242" s="18">
        <f t="shared" si="222"/>
        <v>0.4036507072257382</v>
      </c>
      <c r="AX242" s="18">
        <f t="shared" si="222"/>
        <v>2.8300346643734473</v>
      </c>
      <c r="AY242" s="18">
        <f t="shared" si="222"/>
        <v>1.0896358060149449</v>
      </c>
      <c r="AZ242" s="56">
        <f t="shared" ref="AZ242:AZ273" si="236">MATCH(MIN(AV242:AY242),AV242:AY242,0)</f>
        <v>2</v>
      </c>
      <c r="BB242" s="18">
        <f t="shared" si="223"/>
        <v>6.0252705580503001</v>
      </c>
      <c r="BC242" s="18">
        <f t="shared" si="223"/>
        <v>0.4036507072257382</v>
      </c>
      <c r="BD242" s="18">
        <f t="shared" si="223"/>
        <v>2.8300346643734473</v>
      </c>
      <c r="BE242" s="18">
        <f t="shared" si="223"/>
        <v>1.0896358060149449</v>
      </c>
      <c r="BF242" s="56">
        <f t="shared" ref="BF242:BF273" si="237">MATCH(MIN(BB242:BE242),BB242:BE242,0)</f>
        <v>2</v>
      </c>
      <c r="BH242" s="18">
        <f t="shared" si="224"/>
        <v>6.0252705580503001</v>
      </c>
      <c r="BI242" s="18">
        <f t="shared" si="224"/>
        <v>0.4036507072257382</v>
      </c>
      <c r="BJ242" s="18">
        <f t="shared" si="224"/>
        <v>2.8300346643734473</v>
      </c>
      <c r="BK242" s="18">
        <f t="shared" si="224"/>
        <v>1.0896358060149449</v>
      </c>
      <c r="BL242" s="56">
        <f t="shared" ref="BL242:BL273" si="238">MATCH(MIN(BH242:BK242),BH242:BK242,0)</f>
        <v>2</v>
      </c>
      <c r="BN242" s="18">
        <f t="shared" si="225"/>
        <v>6.0252705580503001</v>
      </c>
      <c r="BO242" s="18">
        <f t="shared" si="225"/>
        <v>0.4036507072257382</v>
      </c>
      <c r="BP242" s="18">
        <f t="shared" si="225"/>
        <v>2.8300346643734473</v>
      </c>
      <c r="BQ242" s="18">
        <f t="shared" si="225"/>
        <v>1.0896358060149449</v>
      </c>
      <c r="BR242" s="56">
        <f t="shared" ref="BR242:BR273" si="239">MATCH(MIN(BN242:BQ242),BN242:BQ242,0)</f>
        <v>2</v>
      </c>
      <c r="BT242" s="18">
        <f t="shared" si="226"/>
        <v>6.0252705580503001</v>
      </c>
      <c r="BU242" s="18">
        <f t="shared" si="226"/>
        <v>0.4036507072257382</v>
      </c>
      <c r="BV242" s="18">
        <f t="shared" si="226"/>
        <v>2.8300346643734473</v>
      </c>
      <c r="BW242" s="18">
        <f t="shared" si="226"/>
        <v>1.0896358060149449</v>
      </c>
      <c r="BX242" s="56">
        <f t="shared" ref="BX242:BX273" si="240">MATCH(MIN(BT242:BW242),BT242:BW242,0)</f>
        <v>2</v>
      </c>
      <c r="BZ242" s="18">
        <f t="shared" si="227"/>
        <v>6.0252705580503001</v>
      </c>
      <c r="CA242" s="18">
        <f t="shared" si="227"/>
        <v>0.4036507072257382</v>
      </c>
      <c r="CB242" s="18">
        <f t="shared" si="227"/>
        <v>2.8300346643734473</v>
      </c>
      <c r="CC242" s="18">
        <f t="shared" si="227"/>
        <v>1.0896358060149449</v>
      </c>
      <c r="CD242" s="56">
        <f t="shared" ref="CD242:CD273" si="241">MATCH(MIN(BZ242:CC242),BZ242:CC242,0)</f>
        <v>2</v>
      </c>
      <c r="CF242" s="18">
        <f t="shared" si="228"/>
        <v>6.0252705580503001</v>
      </c>
      <c r="CG242" s="18">
        <f t="shared" si="228"/>
        <v>0.4036507072257382</v>
      </c>
      <c r="CH242" s="18">
        <f t="shared" si="228"/>
        <v>2.8300346643734473</v>
      </c>
      <c r="CI242" s="18">
        <f t="shared" si="228"/>
        <v>1.0896358060149449</v>
      </c>
      <c r="CJ242" s="56">
        <f t="shared" ref="CJ242:CJ273" si="242">MATCH(MIN(CF242:CI242),CF242:CI242,0)</f>
        <v>2</v>
      </c>
      <c r="CL242" s="18">
        <f t="shared" si="229"/>
        <v>6.0252705580503001</v>
      </c>
      <c r="CM242" s="18">
        <f t="shared" si="229"/>
        <v>0.4036507072257382</v>
      </c>
      <c r="CN242" s="18">
        <f t="shared" si="229"/>
        <v>2.8300346643734473</v>
      </c>
      <c r="CO242" s="18">
        <f t="shared" si="229"/>
        <v>1.0896358060149449</v>
      </c>
      <c r="CP242" s="56">
        <f t="shared" ref="CP242:CP273" si="243">MATCH(MIN(CL242:CO242),CL242:CO242,0)</f>
        <v>2</v>
      </c>
    </row>
    <row r="243" spans="1:94" x14ac:dyDescent="0.25">
      <c r="A243" s="36" t="str">
        <f>KMeans_Data!A102</f>
        <v>Tank</v>
      </c>
      <c r="B243" s="18">
        <f>KMeans_Data!H102</f>
        <v>-0.9361484674096654</v>
      </c>
      <c r="C243" s="18">
        <f>KMeans_Data!I102</f>
        <v>-0.67265054538827607</v>
      </c>
      <c r="D243" s="18">
        <f>KMeans_Data!J102</f>
        <v>-3.44812518432112E-2</v>
      </c>
      <c r="E243" s="56">
        <f t="shared" si="230"/>
        <v>4</v>
      </c>
      <c r="F243" s="38">
        <f t="shared" si="231"/>
        <v>0.79508771734636707</v>
      </c>
      <c r="G243" s="18">
        <f>IF(COUNTIF(Distance_Matrix!$E$10:$DQ$10,$E243)&lt;=1,0,SUMIF(Distance_Matrix!$E$10:$DQ$10,$E243,Distance_Matrix!$E$111:$DQ$111)/(COUNTIF(Distance_Matrix!$E$10:$DQ$10,$E243)-1))</f>
        <v>1.0930009492541175</v>
      </c>
      <c r="H243" s="18">
        <f>MIN(IF(1=$E243,1E+99,IF(COUNTIF(Distance_Matrix!$E$10:$DQ$10,1)=0,1E+99,SUMIF(Distance_Matrix!$E$10:$DQ$10,1,Distance_Matrix!$E$111:$DQ$111)/COUNTIF(Distance_Matrix!$E$10:$DQ$10,1))),IF(2=$E243,1E+99,IF(COUNTIF(Distance_Matrix!$E$10:$DQ$10,2)=0,1E+99,SUMIF(Distance_Matrix!$E$10:$DQ$10,2,Distance_Matrix!$E$111:$DQ$111)/COUNTIF(Distance_Matrix!$E$10:$DQ$10,2))),IF(3=$E243,1E+99,IF(COUNTIF(Distance_Matrix!$E$10:$DQ$10,3)=0,1E+99,SUMIF(Distance_Matrix!$E$10:$DQ$10,3,Distance_Matrix!$E$111:$DQ$111)/COUNTIF(Distance_Matrix!$E$10:$DQ$10,3))),IF(4=$E243,1E+99,IF(COUNTIF(Distance_Matrix!$E$10:$DQ$10,4)=0,1E+99,SUMIF(Distance_Matrix!$E$10:$DQ$10,4,Distance_Matrix!$E$111:$DQ$111)/COUNTIF(Distance_Matrix!$E$10:$DQ$10,4))))</f>
        <v>1.1632777690475229</v>
      </c>
      <c r="I243" s="18">
        <f>IF(COUNTIF(Distance_Matrix!$E$10:$DQ$10,$E243)&lt;=1,0,(H243-G243)/MAX(G243,H243))</f>
        <v>6.0412759242315067E-2</v>
      </c>
      <c r="X243" s="18">
        <f t="shared" si="218"/>
        <v>7.1226294067257934</v>
      </c>
      <c r="Y243" s="18">
        <f t="shared" si="218"/>
        <v>1.5945155655726664</v>
      </c>
      <c r="Z243" s="18">
        <f t="shared" si="218"/>
        <v>2.6952979135147523</v>
      </c>
      <c r="AA243" s="18">
        <f t="shared" si="218"/>
        <v>2.0032894147356153</v>
      </c>
      <c r="AB243" s="56">
        <f t="shared" si="232"/>
        <v>2</v>
      </c>
      <c r="AD243" s="18">
        <f t="shared" si="219"/>
        <v>6.1559997408458171</v>
      </c>
      <c r="AE243" s="18">
        <f t="shared" si="219"/>
        <v>0.9511152694837709</v>
      </c>
      <c r="AF243" s="18">
        <f t="shared" si="219"/>
        <v>2.1863423724757296</v>
      </c>
      <c r="AG243" s="18">
        <f t="shared" si="219"/>
        <v>1.0135448646645304</v>
      </c>
      <c r="AH243" s="56">
        <f t="shared" si="233"/>
        <v>2</v>
      </c>
      <c r="AJ243" s="18">
        <f t="shared" si="220"/>
        <v>5.8178420038824239</v>
      </c>
      <c r="AK243" s="18">
        <f t="shared" si="220"/>
        <v>0.99633188827751706</v>
      </c>
      <c r="AL243" s="18">
        <f t="shared" si="220"/>
        <v>2.2686557754112426</v>
      </c>
      <c r="AM243" s="18">
        <f t="shared" si="220"/>
        <v>0.93952393128263345</v>
      </c>
      <c r="AN243" s="56">
        <f t="shared" si="234"/>
        <v>4</v>
      </c>
      <c r="AP243" s="18">
        <f t="shared" si="221"/>
        <v>5.5242997137282348</v>
      </c>
      <c r="AQ243" s="18">
        <f t="shared" si="221"/>
        <v>1.0943750380658661</v>
      </c>
      <c r="AR243" s="18">
        <f t="shared" si="221"/>
        <v>2.2217623251909191</v>
      </c>
      <c r="AS243" s="18">
        <f t="shared" si="221"/>
        <v>0.89167691309485364</v>
      </c>
      <c r="AT243" s="56">
        <f t="shared" si="235"/>
        <v>4</v>
      </c>
      <c r="AV243" s="18">
        <f t="shared" si="222"/>
        <v>5.5242997137282348</v>
      </c>
      <c r="AW243" s="18">
        <f t="shared" si="222"/>
        <v>1.0943750380658661</v>
      </c>
      <c r="AX243" s="18">
        <f t="shared" si="222"/>
        <v>2.2217623251909191</v>
      </c>
      <c r="AY243" s="18">
        <f t="shared" si="222"/>
        <v>0.89167691309485364</v>
      </c>
      <c r="AZ243" s="56">
        <f t="shared" si="236"/>
        <v>4</v>
      </c>
      <c r="BB243" s="18">
        <f t="shared" si="223"/>
        <v>5.5242997137282348</v>
      </c>
      <c r="BC243" s="18">
        <f t="shared" si="223"/>
        <v>1.0943750380658661</v>
      </c>
      <c r="BD243" s="18">
        <f t="shared" si="223"/>
        <v>2.2217623251909191</v>
      </c>
      <c r="BE243" s="18">
        <f t="shared" si="223"/>
        <v>0.89167691309485364</v>
      </c>
      <c r="BF243" s="56">
        <f t="shared" si="237"/>
        <v>4</v>
      </c>
      <c r="BH243" s="18">
        <f t="shared" si="224"/>
        <v>5.5242997137282348</v>
      </c>
      <c r="BI243" s="18">
        <f t="shared" si="224"/>
        <v>1.0943750380658661</v>
      </c>
      <c r="BJ243" s="18">
        <f t="shared" si="224"/>
        <v>2.2217623251909191</v>
      </c>
      <c r="BK243" s="18">
        <f t="shared" si="224"/>
        <v>0.89167691309485364</v>
      </c>
      <c r="BL243" s="56">
        <f t="shared" si="238"/>
        <v>4</v>
      </c>
      <c r="BN243" s="18">
        <f t="shared" si="225"/>
        <v>5.5242997137282348</v>
      </c>
      <c r="BO243" s="18">
        <f t="shared" si="225"/>
        <v>1.0943750380658661</v>
      </c>
      <c r="BP243" s="18">
        <f t="shared" si="225"/>
        <v>2.2217623251909191</v>
      </c>
      <c r="BQ243" s="18">
        <f t="shared" si="225"/>
        <v>0.89167691309485364</v>
      </c>
      <c r="BR243" s="56">
        <f t="shared" si="239"/>
        <v>4</v>
      </c>
      <c r="BT243" s="18">
        <f t="shared" si="226"/>
        <v>5.5242997137282348</v>
      </c>
      <c r="BU243" s="18">
        <f t="shared" si="226"/>
        <v>1.0943750380658661</v>
      </c>
      <c r="BV243" s="18">
        <f t="shared" si="226"/>
        <v>2.2217623251909191</v>
      </c>
      <c r="BW243" s="18">
        <f t="shared" si="226"/>
        <v>0.89167691309485364</v>
      </c>
      <c r="BX243" s="56">
        <f t="shared" si="240"/>
        <v>4</v>
      </c>
      <c r="BZ243" s="18">
        <f t="shared" si="227"/>
        <v>5.5242997137282348</v>
      </c>
      <c r="CA243" s="18">
        <f t="shared" si="227"/>
        <v>1.0943750380658661</v>
      </c>
      <c r="CB243" s="18">
        <f t="shared" si="227"/>
        <v>2.2217623251909191</v>
      </c>
      <c r="CC243" s="18">
        <f t="shared" si="227"/>
        <v>0.89167691309485364</v>
      </c>
      <c r="CD243" s="56">
        <f t="shared" si="241"/>
        <v>4</v>
      </c>
      <c r="CF243" s="18">
        <f t="shared" si="228"/>
        <v>5.5242997137282348</v>
      </c>
      <c r="CG243" s="18">
        <f t="shared" si="228"/>
        <v>1.0943750380658661</v>
      </c>
      <c r="CH243" s="18">
        <f t="shared" si="228"/>
        <v>2.2217623251909191</v>
      </c>
      <c r="CI243" s="18">
        <f t="shared" si="228"/>
        <v>0.89167691309485364</v>
      </c>
      <c r="CJ243" s="56">
        <f t="shared" si="242"/>
        <v>4</v>
      </c>
      <c r="CL243" s="18">
        <f t="shared" si="229"/>
        <v>5.5242997137282348</v>
      </c>
      <c r="CM243" s="18">
        <f t="shared" si="229"/>
        <v>1.0943750380658661</v>
      </c>
      <c r="CN243" s="18">
        <f t="shared" si="229"/>
        <v>2.2217623251909191</v>
      </c>
      <c r="CO243" s="18">
        <f t="shared" si="229"/>
        <v>0.89167691309485364</v>
      </c>
      <c r="CP243" s="56">
        <f t="shared" si="243"/>
        <v>4</v>
      </c>
    </row>
    <row r="244" spans="1:94" x14ac:dyDescent="0.25">
      <c r="A244" s="36" t="str">
        <f>KMeans_Data!A103</f>
        <v>Sahiwal</v>
      </c>
      <c r="B244" s="18">
        <f>KMeans_Data!H103</f>
        <v>-0.9361484674096654</v>
      </c>
      <c r="C244" s="18">
        <f>KMeans_Data!I103</f>
        <v>-0.67265054538827607</v>
      </c>
      <c r="D244" s="18">
        <f>KMeans_Data!J103</f>
        <v>-1.1456441163335547</v>
      </c>
      <c r="E244" s="56">
        <f t="shared" si="230"/>
        <v>2</v>
      </c>
      <c r="F244" s="38">
        <f t="shared" si="231"/>
        <v>0.12243718155194316</v>
      </c>
      <c r="G244" s="18">
        <f>IF(COUNTIF(Distance_Matrix!$E$10:$DQ$10,$E244)&lt;=1,0,SUMIF(Distance_Matrix!$E$10:$DQ$10,$E244,Distance_Matrix!$E$112:$DQ$112)/(COUNTIF(Distance_Matrix!$E$10:$DQ$10,$E244)-1))</f>
        <v>0.49566998948893409</v>
      </c>
      <c r="H244" s="18">
        <f>MIN(IF(1=$E244,1E+99,IF(COUNTIF(Distance_Matrix!$E$10:$DQ$10,1)=0,1E+99,SUMIF(Distance_Matrix!$E$10:$DQ$10,1,Distance_Matrix!$E$112:$DQ$112)/COUNTIF(Distance_Matrix!$E$10:$DQ$10,1))),IF(2=$E244,1E+99,IF(COUNTIF(Distance_Matrix!$E$10:$DQ$10,2)=0,1E+99,SUMIF(Distance_Matrix!$E$10:$DQ$10,2,Distance_Matrix!$E$112:$DQ$112)/COUNTIF(Distance_Matrix!$E$10:$DQ$10,2))),IF(3=$E244,1E+99,IF(COUNTIF(Distance_Matrix!$E$10:$DQ$10,3)=0,1E+99,SUMIF(Distance_Matrix!$E$10:$DQ$10,3,Distance_Matrix!$E$112:$DQ$112)/COUNTIF(Distance_Matrix!$E$10:$DQ$10,3))),IF(4=$E244,1E+99,IF(COUNTIF(Distance_Matrix!$E$10:$DQ$10,4)=0,1E+99,SUMIF(Distance_Matrix!$E$10:$DQ$10,4,Distance_Matrix!$E$112:$DQ$112)/COUNTIF(Distance_Matrix!$E$10:$DQ$10,4))))</f>
        <v>1.2947206649707723</v>
      </c>
      <c r="I244" s="18">
        <f>IF(COUNTIF(Distance_Matrix!$E$10:$DQ$10,$E244)&lt;=1,0,(H244-G244)/MAX(G244,H244))</f>
        <v>0.61716067187347823</v>
      </c>
      <c r="X244" s="18">
        <f t="shared" si="218"/>
        <v>7.6988147546876338</v>
      </c>
      <c r="Y244" s="18">
        <f t="shared" si="218"/>
        <v>1.1435895143936632</v>
      </c>
      <c r="Z244" s="18">
        <f t="shared" si="218"/>
        <v>3.4414619554110497</v>
      </c>
      <c r="AA244" s="18">
        <f t="shared" si="218"/>
        <v>1.6668789901397698</v>
      </c>
      <c r="AB244" s="56">
        <f t="shared" si="232"/>
        <v>2</v>
      </c>
      <c r="AD244" s="18">
        <f t="shared" si="219"/>
        <v>6.6882868893616445</v>
      </c>
      <c r="AE244" s="18">
        <f t="shared" si="219"/>
        <v>0.37090784549098182</v>
      </c>
      <c r="AF244" s="18">
        <f t="shared" si="219"/>
        <v>2.8366175606619874</v>
      </c>
      <c r="AG244" s="18">
        <f t="shared" si="219"/>
        <v>1.0937886234354441</v>
      </c>
      <c r="AH244" s="56">
        <f t="shared" si="233"/>
        <v>2</v>
      </c>
      <c r="AJ244" s="18">
        <f t="shared" si="220"/>
        <v>6.3508321827787766</v>
      </c>
      <c r="AK244" s="18">
        <f t="shared" si="220"/>
        <v>0.33712878531307311</v>
      </c>
      <c r="AL244" s="18">
        <f t="shared" si="220"/>
        <v>2.9020985006398163</v>
      </c>
      <c r="AM244" s="18">
        <f t="shared" si="220"/>
        <v>1.1585903192153366</v>
      </c>
      <c r="AN244" s="56">
        <f t="shared" si="234"/>
        <v>2</v>
      </c>
      <c r="AP244" s="18">
        <f t="shared" si="221"/>
        <v>6.0560622492406573</v>
      </c>
      <c r="AQ244" s="18">
        <f t="shared" si="221"/>
        <v>0.34991024785213587</v>
      </c>
      <c r="AR244" s="18">
        <f t="shared" si="221"/>
        <v>2.8597185972960006</v>
      </c>
      <c r="AS244" s="18">
        <f t="shared" si="221"/>
        <v>1.1282096834420572</v>
      </c>
      <c r="AT244" s="56">
        <f t="shared" si="235"/>
        <v>2</v>
      </c>
      <c r="AV244" s="18">
        <f t="shared" si="222"/>
        <v>6.0560622492406573</v>
      </c>
      <c r="AW244" s="18">
        <f t="shared" si="222"/>
        <v>0.34991024785213587</v>
      </c>
      <c r="AX244" s="18">
        <f t="shared" si="222"/>
        <v>2.8597185972960006</v>
      </c>
      <c r="AY244" s="18">
        <f t="shared" si="222"/>
        <v>1.1282096834420572</v>
      </c>
      <c r="AZ244" s="56">
        <f t="shared" si="236"/>
        <v>2</v>
      </c>
      <c r="BB244" s="18">
        <f t="shared" si="223"/>
        <v>6.0560622492406573</v>
      </c>
      <c r="BC244" s="18">
        <f t="shared" si="223"/>
        <v>0.34991024785213587</v>
      </c>
      <c r="BD244" s="18">
        <f t="shared" si="223"/>
        <v>2.8597185972960006</v>
      </c>
      <c r="BE244" s="18">
        <f t="shared" si="223"/>
        <v>1.1282096834420572</v>
      </c>
      <c r="BF244" s="56">
        <f t="shared" si="237"/>
        <v>2</v>
      </c>
      <c r="BH244" s="18">
        <f t="shared" si="224"/>
        <v>6.0560622492406573</v>
      </c>
      <c r="BI244" s="18">
        <f t="shared" si="224"/>
        <v>0.34991024785213587</v>
      </c>
      <c r="BJ244" s="18">
        <f t="shared" si="224"/>
        <v>2.8597185972960006</v>
      </c>
      <c r="BK244" s="18">
        <f t="shared" si="224"/>
        <v>1.1282096834420572</v>
      </c>
      <c r="BL244" s="56">
        <f t="shared" si="238"/>
        <v>2</v>
      </c>
      <c r="BN244" s="18">
        <f t="shared" si="225"/>
        <v>6.0560622492406573</v>
      </c>
      <c r="BO244" s="18">
        <f t="shared" si="225"/>
        <v>0.34991024785213587</v>
      </c>
      <c r="BP244" s="18">
        <f t="shared" si="225"/>
        <v>2.8597185972960006</v>
      </c>
      <c r="BQ244" s="18">
        <f t="shared" si="225"/>
        <v>1.1282096834420572</v>
      </c>
      <c r="BR244" s="56">
        <f t="shared" si="239"/>
        <v>2</v>
      </c>
      <c r="BT244" s="18">
        <f t="shared" si="226"/>
        <v>6.0560622492406573</v>
      </c>
      <c r="BU244" s="18">
        <f t="shared" si="226"/>
        <v>0.34991024785213587</v>
      </c>
      <c r="BV244" s="18">
        <f t="shared" si="226"/>
        <v>2.8597185972960006</v>
      </c>
      <c r="BW244" s="18">
        <f t="shared" si="226"/>
        <v>1.1282096834420572</v>
      </c>
      <c r="BX244" s="56">
        <f t="shared" si="240"/>
        <v>2</v>
      </c>
      <c r="BZ244" s="18">
        <f t="shared" si="227"/>
        <v>6.0560622492406573</v>
      </c>
      <c r="CA244" s="18">
        <f t="shared" si="227"/>
        <v>0.34991024785213587</v>
      </c>
      <c r="CB244" s="18">
        <f t="shared" si="227"/>
        <v>2.8597185972960006</v>
      </c>
      <c r="CC244" s="18">
        <f t="shared" si="227"/>
        <v>1.1282096834420572</v>
      </c>
      <c r="CD244" s="56">
        <f t="shared" si="241"/>
        <v>2</v>
      </c>
      <c r="CF244" s="18">
        <f t="shared" si="228"/>
        <v>6.0560622492406573</v>
      </c>
      <c r="CG244" s="18">
        <f t="shared" si="228"/>
        <v>0.34991024785213587</v>
      </c>
      <c r="CH244" s="18">
        <f t="shared" si="228"/>
        <v>2.8597185972960006</v>
      </c>
      <c r="CI244" s="18">
        <f t="shared" si="228"/>
        <v>1.1282096834420572</v>
      </c>
      <c r="CJ244" s="56">
        <f t="shared" si="242"/>
        <v>2</v>
      </c>
      <c r="CL244" s="18">
        <f t="shared" si="229"/>
        <v>6.0560622492406573</v>
      </c>
      <c r="CM244" s="18">
        <f t="shared" si="229"/>
        <v>0.34991024785213587</v>
      </c>
      <c r="CN244" s="18">
        <f t="shared" si="229"/>
        <v>2.8597185972960006</v>
      </c>
      <c r="CO244" s="18">
        <f t="shared" si="229"/>
        <v>1.1282096834420572</v>
      </c>
      <c r="CP244" s="56">
        <f t="shared" si="243"/>
        <v>2</v>
      </c>
    </row>
    <row r="245" spans="1:94" x14ac:dyDescent="0.25">
      <c r="A245" s="36" t="str">
        <f>KMeans_Data!A104</f>
        <v>Chiniot</v>
      </c>
      <c r="B245" s="18">
        <f>KMeans_Data!H104</f>
        <v>-0.9361484674096654</v>
      </c>
      <c r="C245" s="18">
        <f>KMeans_Data!I104</f>
        <v>-0.67265054538827607</v>
      </c>
      <c r="D245" s="18">
        <f>KMeans_Data!J104</f>
        <v>-1.1456441163335547</v>
      </c>
      <c r="E245" s="56">
        <f t="shared" si="230"/>
        <v>2</v>
      </c>
      <c r="F245" s="38">
        <f t="shared" si="231"/>
        <v>0.12243718155194316</v>
      </c>
      <c r="G245" s="18">
        <f>IF(COUNTIF(Distance_Matrix!$E$10:$DQ$10,$E245)&lt;=1,0,SUMIF(Distance_Matrix!$E$10:$DQ$10,$E245,Distance_Matrix!$E$113:$DQ$113)/(COUNTIF(Distance_Matrix!$E$10:$DQ$10,$E245)-1))</f>
        <v>0.49566998948893409</v>
      </c>
      <c r="H245" s="18">
        <f>MIN(IF(1=$E245,1E+99,IF(COUNTIF(Distance_Matrix!$E$10:$DQ$10,1)=0,1E+99,SUMIF(Distance_Matrix!$E$10:$DQ$10,1,Distance_Matrix!$E$113:$DQ$113)/COUNTIF(Distance_Matrix!$E$10:$DQ$10,1))),IF(2=$E245,1E+99,IF(COUNTIF(Distance_Matrix!$E$10:$DQ$10,2)=0,1E+99,SUMIF(Distance_Matrix!$E$10:$DQ$10,2,Distance_Matrix!$E$113:$DQ$113)/COUNTIF(Distance_Matrix!$E$10:$DQ$10,2))),IF(3=$E245,1E+99,IF(COUNTIF(Distance_Matrix!$E$10:$DQ$10,3)=0,1E+99,SUMIF(Distance_Matrix!$E$10:$DQ$10,3,Distance_Matrix!$E$113:$DQ$113)/COUNTIF(Distance_Matrix!$E$10:$DQ$10,3))),IF(4=$E245,1E+99,IF(COUNTIF(Distance_Matrix!$E$10:$DQ$10,4)=0,1E+99,SUMIF(Distance_Matrix!$E$10:$DQ$10,4,Distance_Matrix!$E$113:$DQ$113)/COUNTIF(Distance_Matrix!$E$10:$DQ$10,4))))</f>
        <v>1.2947206649707723</v>
      </c>
      <c r="I245" s="18">
        <f>IF(COUNTIF(Distance_Matrix!$E$10:$DQ$10,$E245)&lt;=1,0,(H245-G245)/MAX(G245,H245))</f>
        <v>0.61716067187347823</v>
      </c>
      <c r="X245" s="18">
        <f t="shared" si="218"/>
        <v>7.6988147546876338</v>
      </c>
      <c r="Y245" s="18">
        <f t="shared" si="218"/>
        <v>1.1435895143936632</v>
      </c>
      <c r="Z245" s="18">
        <f t="shared" si="218"/>
        <v>3.4414619554110497</v>
      </c>
      <c r="AA245" s="18">
        <f t="shared" si="218"/>
        <v>1.6668789901397698</v>
      </c>
      <c r="AB245" s="56">
        <f t="shared" si="232"/>
        <v>2</v>
      </c>
      <c r="AD245" s="18">
        <f t="shared" si="219"/>
        <v>6.6882868893616445</v>
      </c>
      <c r="AE245" s="18">
        <f t="shared" si="219"/>
        <v>0.37090784549098182</v>
      </c>
      <c r="AF245" s="18">
        <f t="shared" si="219"/>
        <v>2.8366175606619874</v>
      </c>
      <c r="AG245" s="18">
        <f t="shared" si="219"/>
        <v>1.0937886234354441</v>
      </c>
      <c r="AH245" s="56">
        <f t="shared" si="233"/>
        <v>2</v>
      </c>
      <c r="AJ245" s="18">
        <f t="shared" si="220"/>
        <v>6.3508321827787766</v>
      </c>
      <c r="AK245" s="18">
        <f t="shared" si="220"/>
        <v>0.33712878531307311</v>
      </c>
      <c r="AL245" s="18">
        <f t="shared" si="220"/>
        <v>2.9020985006398163</v>
      </c>
      <c r="AM245" s="18">
        <f t="shared" si="220"/>
        <v>1.1585903192153366</v>
      </c>
      <c r="AN245" s="56">
        <f t="shared" si="234"/>
        <v>2</v>
      </c>
      <c r="AP245" s="18">
        <f t="shared" si="221"/>
        <v>6.0560622492406573</v>
      </c>
      <c r="AQ245" s="18">
        <f t="shared" si="221"/>
        <v>0.34991024785213587</v>
      </c>
      <c r="AR245" s="18">
        <f t="shared" si="221"/>
        <v>2.8597185972960006</v>
      </c>
      <c r="AS245" s="18">
        <f t="shared" si="221"/>
        <v>1.1282096834420572</v>
      </c>
      <c r="AT245" s="56">
        <f t="shared" si="235"/>
        <v>2</v>
      </c>
      <c r="AV245" s="18">
        <f t="shared" si="222"/>
        <v>6.0560622492406573</v>
      </c>
      <c r="AW245" s="18">
        <f t="shared" si="222"/>
        <v>0.34991024785213587</v>
      </c>
      <c r="AX245" s="18">
        <f t="shared" si="222"/>
        <v>2.8597185972960006</v>
      </c>
      <c r="AY245" s="18">
        <f t="shared" si="222"/>
        <v>1.1282096834420572</v>
      </c>
      <c r="AZ245" s="56">
        <f t="shared" si="236"/>
        <v>2</v>
      </c>
      <c r="BB245" s="18">
        <f t="shared" si="223"/>
        <v>6.0560622492406573</v>
      </c>
      <c r="BC245" s="18">
        <f t="shared" si="223"/>
        <v>0.34991024785213587</v>
      </c>
      <c r="BD245" s="18">
        <f t="shared" si="223"/>
        <v>2.8597185972960006</v>
      </c>
      <c r="BE245" s="18">
        <f t="shared" si="223"/>
        <v>1.1282096834420572</v>
      </c>
      <c r="BF245" s="56">
        <f t="shared" si="237"/>
        <v>2</v>
      </c>
      <c r="BH245" s="18">
        <f t="shared" si="224"/>
        <v>6.0560622492406573</v>
      </c>
      <c r="BI245" s="18">
        <f t="shared" si="224"/>
        <v>0.34991024785213587</v>
      </c>
      <c r="BJ245" s="18">
        <f t="shared" si="224"/>
        <v>2.8597185972960006</v>
      </c>
      <c r="BK245" s="18">
        <f t="shared" si="224"/>
        <v>1.1282096834420572</v>
      </c>
      <c r="BL245" s="56">
        <f t="shared" si="238"/>
        <v>2</v>
      </c>
      <c r="BN245" s="18">
        <f t="shared" si="225"/>
        <v>6.0560622492406573</v>
      </c>
      <c r="BO245" s="18">
        <f t="shared" si="225"/>
        <v>0.34991024785213587</v>
      </c>
      <c r="BP245" s="18">
        <f t="shared" si="225"/>
        <v>2.8597185972960006</v>
      </c>
      <c r="BQ245" s="18">
        <f t="shared" si="225"/>
        <v>1.1282096834420572</v>
      </c>
      <c r="BR245" s="56">
        <f t="shared" si="239"/>
        <v>2</v>
      </c>
      <c r="BT245" s="18">
        <f t="shared" si="226"/>
        <v>6.0560622492406573</v>
      </c>
      <c r="BU245" s="18">
        <f t="shared" si="226"/>
        <v>0.34991024785213587</v>
      </c>
      <c r="BV245" s="18">
        <f t="shared" si="226"/>
        <v>2.8597185972960006</v>
      </c>
      <c r="BW245" s="18">
        <f t="shared" si="226"/>
        <v>1.1282096834420572</v>
      </c>
      <c r="BX245" s="56">
        <f t="shared" si="240"/>
        <v>2</v>
      </c>
      <c r="BZ245" s="18">
        <f t="shared" si="227"/>
        <v>6.0560622492406573</v>
      </c>
      <c r="CA245" s="18">
        <f t="shared" si="227"/>
        <v>0.34991024785213587</v>
      </c>
      <c r="CB245" s="18">
        <f t="shared" si="227"/>
        <v>2.8597185972960006</v>
      </c>
      <c r="CC245" s="18">
        <f t="shared" si="227"/>
        <v>1.1282096834420572</v>
      </c>
      <c r="CD245" s="56">
        <f t="shared" si="241"/>
        <v>2</v>
      </c>
      <c r="CF245" s="18">
        <f t="shared" si="228"/>
        <v>6.0560622492406573</v>
      </c>
      <c r="CG245" s="18">
        <f t="shared" si="228"/>
        <v>0.34991024785213587</v>
      </c>
      <c r="CH245" s="18">
        <f t="shared" si="228"/>
        <v>2.8597185972960006</v>
      </c>
      <c r="CI245" s="18">
        <f t="shared" si="228"/>
        <v>1.1282096834420572</v>
      </c>
      <c r="CJ245" s="56">
        <f t="shared" si="242"/>
        <v>2</v>
      </c>
      <c r="CL245" s="18">
        <f t="shared" si="229"/>
        <v>6.0560622492406573</v>
      </c>
      <c r="CM245" s="18">
        <f t="shared" si="229"/>
        <v>0.34991024785213587</v>
      </c>
      <c r="CN245" s="18">
        <f t="shared" si="229"/>
        <v>2.8597185972960006</v>
      </c>
      <c r="CO245" s="18">
        <f t="shared" si="229"/>
        <v>1.1282096834420572</v>
      </c>
      <c r="CP245" s="56">
        <f t="shared" si="243"/>
        <v>2</v>
      </c>
    </row>
    <row r="246" spans="1:94" x14ac:dyDescent="0.25">
      <c r="A246" s="36" t="str">
        <f>KMeans_Data!A105</f>
        <v>South Waziristan</v>
      </c>
      <c r="B246" s="18">
        <f>KMeans_Data!H105</f>
        <v>-0.9361484674096654</v>
      </c>
      <c r="C246" s="18">
        <f>KMeans_Data!I105</f>
        <v>-0.67265054538827607</v>
      </c>
      <c r="D246" s="18">
        <f>KMeans_Data!J105</f>
        <v>-0.50324791546397885</v>
      </c>
      <c r="E246" s="56">
        <f t="shared" si="230"/>
        <v>2</v>
      </c>
      <c r="F246" s="38">
        <f t="shared" si="231"/>
        <v>0.44291955829662372</v>
      </c>
      <c r="G246" s="18">
        <f>IF(COUNTIF(Distance_Matrix!$E$10:$DQ$10,$E246)&lt;=1,0,SUMIF(Distance_Matrix!$E$10:$DQ$10,$E246,Distance_Matrix!$E$114:$DQ$114)/(COUNTIF(Distance_Matrix!$E$10:$DQ$10,$E246)-1))</f>
        <v>0.78915235215809576</v>
      </c>
      <c r="H246" s="18">
        <f>MIN(IF(1=$E246,1E+99,IF(COUNTIF(Distance_Matrix!$E$10:$DQ$10,1)=0,1E+99,SUMIF(Distance_Matrix!$E$10:$DQ$10,1,Distance_Matrix!$E$114:$DQ$114)/COUNTIF(Distance_Matrix!$E$10:$DQ$10,1))),IF(2=$E246,1E+99,IF(COUNTIF(Distance_Matrix!$E$10:$DQ$10,2)=0,1E+99,SUMIF(Distance_Matrix!$E$10:$DQ$10,2,Distance_Matrix!$E$114:$DQ$114)/COUNTIF(Distance_Matrix!$E$10:$DQ$10,2))),IF(3=$E246,1E+99,IF(COUNTIF(Distance_Matrix!$E$10:$DQ$10,3)=0,1E+99,SUMIF(Distance_Matrix!$E$10:$DQ$10,3,Distance_Matrix!$E$114:$DQ$114)/COUNTIF(Distance_Matrix!$E$10:$DQ$10,3))),IF(4=$E246,1E+99,IF(COUNTIF(Distance_Matrix!$E$10:$DQ$10,4)=0,1E+99,SUMIF(Distance_Matrix!$E$10:$DQ$10,4,Distance_Matrix!$E$114:$DQ$114)/COUNTIF(Distance_Matrix!$E$10:$DQ$10,4))))</f>
        <v>1.0491633946933085</v>
      </c>
      <c r="I246" s="18">
        <f>IF(COUNTIF(Distance_Matrix!$E$10:$DQ$10,$E246)&lt;=1,0,(H246-G246)/MAX(G246,H246))</f>
        <v>0.24782702470402068</v>
      </c>
      <c r="X246" s="18">
        <f t="shared" ref="X246:AA262" si="244">SQRT(($B246-X$139)^2+($C246-X$140)^2+($D246-X$141)^2)</f>
        <v>7.3507445801816038</v>
      </c>
      <c r="Y246" s="18">
        <f t="shared" si="244"/>
        <v>1.3116668236723832</v>
      </c>
      <c r="Z246" s="18">
        <f t="shared" si="244"/>
        <v>2.9824911910641334</v>
      </c>
      <c r="AA246" s="18">
        <f t="shared" si="244"/>
        <v>1.7863813833168558</v>
      </c>
      <c r="AB246" s="56">
        <f t="shared" si="232"/>
        <v>2</v>
      </c>
      <c r="AD246" s="18">
        <f t="shared" ref="AD246:AG262" si="245">SQRT(($B246-AD$139)^2+($C246-AD$140)^2+($D246-AD$141)^2)</f>
        <v>6.3623472573879667</v>
      </c>
      <c r="AE246" s="18">
        <f t="shared" si="245"/>
        <v>0.52904790295023363</v>
      </c>
      <c r="AF246" s="18">
        <f t="shared" si="245"/>
        <v>2.4201067711414437</v>
      </c>
      <c r="AG246" s="18">
        <f t="shared" si="245"/>
        <v>0.89301606733880345</v>
      </c>
      <c r="AH246" s="56">
        <f t="shared" si="233"/>
        <v>2</v>
      </c>
      <c r="AJ246" s="18">
        <f t="shared" ref="AJ246:AM262" si="246">SQRT(($B246-AJ$139)^2+($C246-AJ$140)^2+($D246-AJ$141)^2)</f>
        <v>6.0234800187544799</v>
      </c>
      <c r="AK246" s="18">
        <f t="shared" si="246"/>
        <v>0.56631284521110148</v>
      </c>
      <c r="AL246" s="18">
        <f t="shared" si="246"/>
        <v>2.4954858046658566</v>
      </c>
      <c r="AM246" s="18">
        <f t="shared" si="246"/>
        <v>0.88061001859152022</v>
      </c>
      <c r="AN246" s="56">
        <f t="shared" si="234"/>
        <v>2</v>
      </c>
      <c r="AP246" s="18">
        <f t="shared" ref="AP246:AS262" si="247">SQRT(($B246-AP$139)^2+($C246-AP$140)^2+($D246-AP$141)^2)</f>
        <v>5.7284057220070377</v>
      </c>
      <c r="AQ246" s="18">
        <f t="shared" si="247"/>
        <v>0.6655220193927649</v>
      </c>
      <c r="AR246" s="18">
        <f t="shared" si="247"/>
        <v>2.4500402917036697</v>
      </c>
      <c r="AS246" s="18">
        <f t="shared" si="247"/>
        <v>0.83397273616367329</v>
      </c>
      <c r="AT246" s="56">
        <f t="shared" si="235"/>
        <v>2</v>
      </c>
      <c r="AV246" s="18">
        <f t="shared" ref="AV246:AY262" si="248">SQRT(($B246-AV$139)^2+($C246-AV$140)^2+($D246-AV$141)^2)</f>
        <v>5.7284057220070377</v>
      </c>
      <c r="AW246" s="18">
        <f t="shared" si="248"/>
        <v>0.6655220193927649</v>
      </c>
      <c r="AX246" s="18">
        <f t="shared" si="248"/>
        <v>2.4500402917036697</v>
      </c>
      <c r="AY246" s="18">
        <f t="shared" si="248"/>
        <v>0.83397273616367329</v>
      </c>
      <c r="AZ246" s="56">
        <f t="shared" si="236"/>
        <v>2</v>
      </c>
      <c r="BB246" s="18">
        <f t="shared" ref="BB246:BE262" si="249">SQRT(($B246-BB$139)^2+($C246-BB$140)^2+($D246-BB$141)^2)</f>
        <v>5.7284057220070377</v>
      </c>
      <c r="BC246" s="18">
        <f t="shared" si="249"/>
        <v>0.6655220193927649</v>
      </c>
      <c r="BD246" s="18">
        <f t="shared" si="249"/>
        <v>2.4500402917036697</v>
      </c>
      <c r="BE246" s="18">
        <f t="shared" si="249"/>
        <v>0.83397273616367329</v>
      </c>
      <c r="BF246" s="56">
        <f t="shared" si="237"/>
        <v>2</v>
      </c>
      <c r="BH246" s="18">
        <f t="shared" ref="BH246:BK262" si="250">SQRT(($B246-BH$139)^2+($C246-BH$140)^2+($D246-BH$141)^2)</f>
        <v>5.7284057220070377</v>
      </c>
      <c r="BI246" s="18">
        <f t="shared" si="250"/>
        <v>0.6655220193927649</v>
      </c>
      <c r="BJ246" s="18">
        <f t="shared" si="250"/>
        <v>2.4500402917036697</v>
      </c>
      <c r="BK246" s="18">
        <f t="shared" si="250"/>
        <v>0.83397273616367329</v>
      </c>
      <c r="BL246" s="56">
        <f t="shared" si="238"/>
        <v>2</v>
      </c>
      <c r="BN246" s="18">
        <f t="shared" ref="BN246:BQ262" si="251">SQRT(($B246-BN$139)^2+($C246-BN$140)^2+($D246-BN$141)^2)</f>
        <v>5.7284057220070377</v>
      </c>
      <c r="BO246" s="18">
        <f t="shared" si="251"/>
        <v>0.6655220193927649</v>
      </c>
      <c r="BP246" s="18">
        <f t="shared" si="251"/>
        <v>2.4500402917036697</v>
      </c>
      <c r="BQ246" s="18">
        <f t="shared" si="251"/>
        <v>0.83397273616367329</v>
      </c>
      <c r="BR246" s="56">
        <f t="shared" si="239"/>
        <v>2</v>
      </c>
      <c r="BT246" s="18">
        <f t="shared" ref="BT246:BW262" si="252">SQRT(($B246-BT$139)^2+($C246-BT$140)^2+($D246-BT$141)^2)</f>
        <v>5.7284057220070377</v>
      </c>
      <c r="BU246" s="18">
        <f t="shared" si="252"/>
        <v>0.6655220193927649</v>
      </c>
      <c r="BV246" s="18">
        <f t="shared" si="252"/>
        <v>2.4500402917036697</v>
      </c>
      <c r="BW246" s="18">
        <f t="shared" si="252"/>
        <v>0.83397273616367329</v>
      </c>
      <c r="BX246" s="56">
        <f t="shared" si="240"/>
        <v>2</v>
      </c>
      <c r="BZ246" s="18">
        <f t="shared" ref="BZ246:CC262" si="253">SQRT(($B246-BZ$139)^2+($C246-BZ$140)^2+($D246-BZ$141)^2)</f>
        <v>5.7284057220070377</v>
      </c>
      <c r="CA246" s="18">
        <f t="shared" si="253"/>
        <v>0.6655220193927649</v>
      </c>
      <c r="CB246" s="18">
        <f t="shared" si="253"/>
        <v>2.4500402917036697</v>
      </c>
      <c r="CC246" s="18">
        <f t="shared" si="253"/>
        <v>0.83397273616367329</v>
      </c>
      <c r="CD246" s="56">
        <f t="shared" si="241"/>
        <v>2</v>
      </c>
      <c r="CF246" s="18">
        <f t="shared" ref="CF246:CI262" si="254">SQRT(($B246-CF$139)^2+($C246-CF$140)^2+($D246-CF$141)^2)</f>
        <v>5.7284057220070377</v>
      </c>
      <c r="CG246" s="18">
        <f t="shared" si="254"/>
        <v>0.6655220193927649</v>
      </c>
      <c r="CH246" s="18">
        <f t="shared" si="254"/>
        <v>2.4500402917036697</v>
      </c>
      <c r="CI246" s="18">
        <f t="shared" si="254"/>
        <v>0.83397273616367329</v>
      </c>
      <c r="CJ246" s="56">
        <f t="shared" si="242"/>
        <v>2</v>
      </c>
      <c r="CL246" s="18">
        <f t="shared" ref="CL246:CO262" si="255">SQRT(($B246-CL$139)^2+($C246-CL$140)^2+($D246-CL$141)^2)</f>
        <v>5.7284057220070377</v>
      </c>
      <c r="CM246" s="18">
        <f t="shared" si="255"/>
        <v>0.6655220193927649</v>
      </c>
      <c r="CN246" s="18">
        <f t="shared" si="255"/>
        <v>2.4500402917036697</v>
      </c>
      <c r="CO246" s="18">
        <f t="shared" si="255"/>
        <v>0.83397273616367329</v>
      </c>
      <c r="CP246" s="56">
        <f t="shared" si="243"/>
        <v>2</v>
      </c>
    </row>
    <row r="247" spans="1:94" x14ac:dyDescent="0.25">
      <c r="A247" s="36" t="str">
        <f>KMeans_Data!A106</f>
        <v>Toba Tek Singh</v>
      </c>
      <c r="B247" s="18">
        <f>KMeans_Data!H106</f>
        <v>-0.99745100604838388</v>
      </c>
      <c r="C247" s="18">
        <f>KMeans_Data!I106</f>
        <v>-0.67265054538827607</v>
      </c>
      <c r="D247" s="18">
        <f>KMeans_Data!J106</f>
        <v>-1.1456441163335547</v>
      </c>
      <c r="E247" s="56">
        <f t="shared" si="230"/>
        <v>2</v>
      </c>
      <c r="F247" s="38">
        <f t="shared" si="231"/>
        <v>8.4285357210402423E-2</v>
      </c>
      <c r="G247" s="18">
        <f>IF(COUNTIF(Distance_Matrix!$E$10:$DQ$10,$E247)&lt;=1,0,SUMIF(Distance_Matrix!$E$10:$DQ$10,$E247,Distance_Matrix!$E$115:$DQ$115)/(COUNTIF(Distance_Matrix!$E$10:$DQ$10,$E247)-1))</f>
        <v>0.4768616919795825</v>
      </c>
      <c r="H247" s="18">
        <f>MIN(IF(1=$E247,1E+99,IF(COUNTIF(Distance_Matrix!$E$10:$DQ$10,1)=0,1E+99,SUMIF(Distance_Matrix!$E$10:$DQ$10,1,Distance_Matrix!$E$115:$DQ$115)/COUNTIF(Distance_Matrix!$E$10:$DQ$10,1))),IF(2=$E247,1E+99,IF(COUNTIF(Distance_Matrix!$E$10:$DQ$10,2)=0,1E+99,SUMIF(Distance_Matrix!$E$10:$DQ$10,2,Distance_Matrix!$E$115:$DQ$115)/COUNTIF(Distance_Matrix!$E$10:$DQ$10,2))),IF(3=$E247,1E+99,IF(COUNTIF(Distance_Matrix!$E$10:$DQ$10,3)=0,1E+99,SUMIF(Distance_Matrix!$E$10:$DQ$10,3,Distance_Matrix!$E$115:$DQ$115)/COUNTIF(Distance_Matrix!$E$10:$DQ$10,3))),IF(4=$E247,1E+99,IF(COUNTIF(Distance_Matrix!$E$10:$DQ$10,4)=0,1E+99,SUMIF(Distance_Matrix!$E$10:$DQ$10,4,Distance_Matrix!$E$115:$DQ$115)/COUNTIF(Distance_Matrix!$E$10:$DQ$10,4))))</f>
        <v>1.3345978353351842</v>
      </c>
      <c r="I247" s="18">
        <f>IF(COUNTIF(Distance_Matrix!$E$10:$DQ$10,$E247)&lt;=1,0,(H247-G247)/MAX(G247,H247))</f>
        <v>0.64269259296391812</v>
      </c>
      <c r="X247" s="18">
        <f t="shared" si="244"/>
        <v>7.7325112391913207</v>
      </c>
      <c r="Y247" s="18">
        <f t="shared" si="244"/>
        <v>1.0822869757549447</v>
      </c>
      <c r="Z247" s="18">
        <f t="shared" si="244"/>
        <v>3.4769782447328597</v>
      </c>
      <c r="AA247" s="18">
        <f t="shared" si="244"/>
        <v>1.7251617082042925</v>
      </c>
      <c r="AB247" s="56">
        <f t="shared" si="232"/>
        <v>2</v>
      </c>
      <c r="AD247" s="18">
        <f t="shared" si="245"/>
        <v>6.7228014513887091</v>
      </c>
      <c r="AE247" s="18">
        <f t="shared" si="245"/>
        <v>0.32241737208560023</v>
      </c>
      <c r="AF247" s="18">
        <f t="shared" si="245"/>
        <v>2.8704414879613873</v>
      </c>
      <c r="AG247" s="18">
        <f t="shared" si="245"/>
        <v>1.1433613789050179</v>
      </c>
      <c r="AH247" s="56">
        <f t="shared" si="233"/>
        <v>2</v>
      </c>
      <c r="AJ247" s="18">
        <f t="shared" si="246"/>
        <v>6.3859468177325613</v>
      </c>
      <c r="AK247" s="18">
        <f t="shared" si="246"/>
        <v>0.28479342094009558</v>
      </c>
      <c r="AL247" s="18">
        <f t="shared" si="246"/>
        <v>2.9361345221131416</v>
      </c>
      <c r="AM247" s="18">
        <f t="shared" si="246"/>
        <v>1.2045198107883839</v>
      </c>
      <c r="AN247" s="56">
        <f t="shared" si="234"/>
        <v>2</v>
      </c>
      <c r="AP247" s="18">
        <f t="shared" si="247"/>
        <v>6.0908846199130027</v>
      </c>
      <c r="AQ247" s="18">
        <f t="shared" si="247"/>
        <v>0.29031940550091107</v>
      </c>
      <c r="AR247" s="18">
        <f t="shared" si="247"/>
        <v>2.8937722467802285</v>
      </c>
      <c r="AS247" s="18">
        <f t="shared" si="247"/>
        <v>1.1728659374519996</v>
      </c>
      <c r="AT247" s="56">
        <f t="shared" si="235"/>
        <v>2</v>
      </c>
      <c r="AV247" s="18">
        <f t="shared" si="248"/>
        <v>6.0908846199130027</v>
      </c>
      <c r="AW247" s="18">
        <f t="shared" si="248"/>
        <v>0.29031940550091107</v>
      </c>
      <c r="AX247" s="18">
        <f t="shared" si="248"/>
        <v>2.8937722467802285</v>
      </c>
      <c r="AY247" s="18">
        <f t="shared" si="248"/>
        <v>1.1728659374519996</v>
      </c>
      <c r="AZ247" s="56">
        <f t="shared" si="236"/>
        <v>2</v>
      </c>
      <c r="BB247" s="18">
        <f t="shared" si="249"/>
        <v>6.0908846199130027</v>
      </c>
      <c r="BC247" s="18">
        <f t="shared" si="249"/>
        <v>0.29031940550091107</v>
      </c>
      <c r="BD247" s="18">
        <f t="shared" si="249"/>
        <v>2.8937722467802285</v>
      </c>
      <c r="BE247" s="18">
        <f t="shared" si="249"/>
        <v>1.1728659374519996</v>
      </c>
      <c r="BF247" s="56">
        <f t="shared" si="237"/>
        <v>2</v>
      </c>
      <c r="BH247" s="18">
        <f t="shared" si="250"/>
        <v>6.0908846199130027</v>
      </c>
      <c r="BI247" s="18">
        <f t="shared" si="250"/>
        <v>0.29031940550091107</v>
      </c>
      <c r="BJ247" s="18">
        <f t="shared" si="250"/>
        <v>2.8937722467802285</v>
      </c>
      <c r="BK247" s="18">
        <f t="shared" si="250"/>
        <v>1.1728659374519996</v>
      </c>
      <c r="BL247" s="56">
        <f t="shared" si="238"/>
        <v>2</v>
      </c>
      <c r="BN247" s="18">
        <f t="shared" si="251"/>
        <v>6.0908846199130027</v>
      </c>
      <c r="BO247" s="18">
        <f t="shared" si="251"/>
        <v>0.29031940550091107</v>
      </c>
      <c r="BP247" s="18">
        <f t="shared" si="251"/>
        <v>2.8937722467802285</v>
      </c>
      <c r="BQ247" s="18">
        <f t="shared" si="251"/>
        <v>1.1728659374519996</v>
      </c>
      <c r="BR247" s="56">
        <f t="shared" si="239"/>
        <v>2</v>
      </c>
      <c r="BT247" s="18">
        <f t="shared" si="252"/>
        <v>6.0908846199130027</v>
      </c>
      <c r="BU247" s="18">
        <f t="shared" si="252"/>
        <v>0.29031940550091107</v>
      </c>
      <c r="BV247" s="18">
        <f t="shared" si="252"/>
        <v>2.8937722467802285</v>
      </c>
      <c r="BW247" s="18">
        <f t="shared" si="252"/>
        <v>1.1728659374519996</v>
      </c>
      <c r="BX247" s="56">
        <f t="shared" si="240"/>
        <v>2</v>
      </c>
      <c r="BZ247" s="18">
        <f t="shared" si="253"/>
        <v>6.0908846199130027</v>
      </c>
      <c r="CA247" s="18">
        <f t="shared" si="253"/>
        <v>0.29031940550091107</v>
      </c>
      <c r="CB247" s="18">
        <f t="shared" si="253"/>
        <v>2.8937722467802285</v>
      </c>
      <c r="CC247" s="18">
        <f t="shared" si="253"/>
        <v>1.1728659374519996</v>
      </c>
      <c r="CD247" s="56">
        <f t="shared" si="241"/>
        <v>2</v>
      </c>
      <c r="CF247" s="18">
        <f t="shared" si="254"/>
        <v>6.0908846199130027</v>
      </c>
      <c r="CG247" s="18">
        <f t="shared" si="254"/>
        <v>0.29031940550091107</v>
      </c>
      <c r="CH247" s="18">
        <f t="shared" si="254"/>
        <v>2.8937722467802285</v>
      </c>
      <c r="CI247" s="18">
        <f t="shared" si="254"/>
        <v>1.1728659374519996</v>
      </c>
      <c r="CJ247" s="56">
        <f t="shared" si="242"/>
        <v>2</v>
      </c>
      <c r="CL247" s="18">
        <f t="shared" si="255"/>
        <v>6.0908846199130027</v>
      </c>
      <c r="CM247" s="18">
        <f t="shared" si="255"/>
        <v>0.29031940550091107</v>
      </c>
      <c r="CN247" s="18">
        <f t="shared" si="255"/>
        <v>2.8937722467802285</v>
      </c>
      <c r="CO247" s="18">
        <f t="shared" si="255"/>
        <v>1.1728659374519996</v>
      </c>
      <c r="CP247" s="56">
        <f t="shared" si="243"/>
        <v>2</v>
      </c>
    </row>
    <row r="248" spans="1:94" x14ac:dyDescent="0.25">
      <c r="A248" s="36" t="str">
        <f>KMeans_Data!A107</f>
        <v>Khanewal</v>
      </c>
      <c r="B248" s="18">
        <f>KMeans_Data!H107</f>
        <v>-0.99745100604838388</v>
      </c>
      <c r="C248" s="18">
        <f>KMeans_Data!I107</f>
        <v>-0.67265054538827607</v>
      </c>
      <c r="D248" s="18">
        <f>KMeans_Data!J107</f>
        <v>-1.1456441163335547</v>
      </c>
      <c r="E248" s="56">
        <f t="shared" si="230"/>
        <v>2</v>
      </c>
      <c r="F248" s="38">
        <f t="shared" si="231"/>
        <v>8.4285357210402423E-2</v>
      </c>
      <c r="G248" s="18">
        <f>IF(COUNTIF(Distance_Matrix!$E$10:$DQ$10,$E248)&lt;=1,0,SUMIF(Distance_Matrix!$E$10:$DQ$10,$E248,Distance_Matrix!$E$116:$DQ$116)/(COUNTIF(Distance_Matrix!$E$10:$DQ$10,$E248)-1))</f>
        <v>0.4768616919795825</v>
      </c>
      <c r="H248" s="18">
        <f>MIN(IF(1=$E248,1E+99,IF(COUNTIF(Distance_Matrix!$E$10:$DQ$10,1)=0,1E+99,SUMIF(Distance_Matrix!$E$10:$DQ$10,1,Distance_Matrix!$E$116:$DQ$116)/COUNTIF(Distance_Matrix!$E$10:$DQ$10,1))),IF(2=$E248,1E+99,IF(COUNTIF(Distance_Matrix!$E$10:$DQ$10,2)=0,1E+99,SUMIF(Distance_Matrix!$E$10:$DQ$10,2,Distance_Matrix!$E$116:$DQ$116)/COUNTIF(Distance_Matrix!$E$10:$DQ$10,2))),IF(3=$E248,1E+99,IF(COUNTIF(Distance_Matrix!$E$10:$DQ$10,3)=0,1E+99,SUMIF(Distance_Matrix!$E$10:$DQ$10,3,Distance_Matrix!$E$116:$DQ$116)/COUNTIF(Distance_Matrix!$E$10:$DQ$10,3))),IF(4=$E248,1E+99,IF(COUNTIF(Distance_Matrix!$E$10:$DQ$10,4)=0,1E+99,SUMIF(Distance_Matrix!$E$10:$DQ$10,4,Distance_Matrix!$E$116:$DQ$116)/COUNTIF(Distance_Matrix!$E$10:$DQ$10,4))))</f>
        <v>1.3345978353351842</v>
      </c>
      <c r="I248" s="18">
        <f>IF(COUNTIF(Distance_Matrix!$E$10:$DQ$10,$E248)&lt;=1,0,(H248-G248)/MAX(G248,H248))</f>
        <v>0.64269259296391812</v>
      </c>
      <c r="X248" s="18">
        <f t="shared" si="244"/>
        <v>7.7325112391913207</v>
      </c>
      <c r="Y248" s="18">
        <f t="shared" si="244"/>
        <v>1.0822869757549447</v>
      </c>
      <c r="Z248" s="18">
        <f t="shared" si="244"/>
        <v>3.4769782447328597</v>
      </c>
      <c r="AA248" s="18">
        <f t="shared" si="244"/>
        <v>1.7251617082042925</v>
      </c>
      <c r="AB248" s="56">
        <f t="shared" si="232"/>
        <v>2</v>
      </c>
      <c r="AD248" s="18">
        <f t="shared" si="245"/>
        <v>6.7228014513887091</v>
      </c>
      <c r="AE248" s="18">
        <f t="shared" si="245"/>
        <v>0.32241737208560023</v>
      </c>
      <c r="AF248" s="18">
        <f t="shared" si="245"/>
        <v>2.8704414879613873</v>
      </c>
      <c r="AG248" s="18">
        <f t="shared" si="245"/>
        <v>1.1433613789050179</v>
      </c>
      <c r="AH248" s="56">
        <f t="shared" si="233"/>
        <v>2</v>
      </c>
      <c r="AJ248" s="18">
        <f t="shared" si="246"/>
        <v>6.3859468177325613</v>
      </c>
      <c r="AK248" s="18">
        <f t="shared" si="246"/>
        <v>0.28479342094009558</v>
      </c>
      <c r="AL248" s="18">
        <f t="shared" si="246"/>
        <v>2.9361345221131416</v>
      </c>
      <c r="AM248" s="18">
        <f t="shared" si="246"/>
        <v>1.2045198107883839</v>
      </c>
      <c r="AN248" s="56">
        <f t="shared" si="234"/>
        <v>2</v>
      </c>
      <c r="AP248" s="18">
        <f t="shared" si="247"/>
        <v>6.0908846199130027</v>
      </c>
      <c r="AQ248" s="18">
        <f t="shared" si="247"/>
        <v>0.29031940550091107</v>
      </c>
      <c r="AR248" s="18">
        <f t="shared" si="247"/>
        <v>2.8937722467802285</v>
      </c>
      <c r="AS248" s="18">
        <f t="shared" si="247"/>
        <v>1.1728659374519996</v>
      </c>
      <c r="AT248" s="56">
        <f t="shared" si="235"/>
        <v>2</v>
      </c>
      <c r="AV248" s="18">
        <f t="shared" si="248"/>
        <v>6.0908846199130027</v>
      </c>
      <c r="AW248" s="18">
        <f t="shared" si="248"/>
        <v>0.29031940550091107</v>
      </c>
      <c r="AX248" s="18">
        <f t="shared" si="248"/>
        <v>2.8937722467802285</v>
      </c>
      <c r="AY248" s="18">
        <f t="shared" si="248"/>
        <v>1.1728659374519996</v>
      </c>
      <c r="AZ248" s="56">
        <f t="shared" si="236"/>
        <v>2</v>
      </c>
      <c r="BB248" s="18">
        <f t="shared" si="249"/>
        <v>6.0908846199130027</v>
      </c>
      <c r="BC248" s="18">
        <f t="shared" si="249"/>
        <v>0.29031940550091107</v>
      </c>
      <c r="BD248" s="18">
        <f t="shared" si="249"/>
        <v>2.8937722467802285</v>
      </c>
      <c r="BE248" s="18">
        <f t="shared" si="249"/>
        <v>1.1728659374519996</v>
      </c>
      <c r="BF248" s="56">
        <f t="shared" si="237"/>
        <v>2</v>
      </c>
      <c r="BH248" s="18">
        <f t="shared" si="250"/>
        <v>6.0908846199130027</v>
      </c>
      <c r="BI248" s="18">
        <f t="shared" si="250"/>
        <v>0.29031940550091107</v>
      </c>
      <c r="BJ248" s="18">
        <f t="shared" si="250"/>
        <v>2.8937722467802285</v>
      </c>
      <c r="BK248" s="18">
        <f t="shared" si="250"/>
        <v>1.1728659374519996</v>
      </c>
      <c r="BL248" s="56">
        <f t="shared" si="238"/>
        <v>2</v>
      </c>
      <c r="BN248" s="18">
        <f t="shared" si="251"/>
        <v>6.0908846199130027</v>
      </c>
      <c r="BO248" s="18">
        <f t="shared" si="251"/>
        <v>0.29031940550091107</v>
      </c>
      <c r="BP248" s="18">
        <f t="shared" si="251"/>
        <v>2.8937722467802285</v>
      </c>
      <c r="BQ248" s="18">
        <f t="shared" si="251"/>
        <v>1.1728659374519996</v>
      </c>
      <c r="BR248" s="56">
        <f t="shared" si="239"/>
        <v>2</v>
      </c>
      <c r="BT248" s="18">
        <f t="shared" si="252"/>
        <v>6.0908846199130027</v>
      </c>
      <c r="BU248" s="18">
        <f t="shared" si="252"/>
        <v>0.29031940550091107</v>
      </c>
      <c r="BV248" s="18">
        <f t="shared" si="252"/>
        <v>2.8937722467802285</v>
      </c>
      <c r="BW248" s="18">
        <f t="shared" si="252"/>
        <v>1.1728659374519996</v>
      </c>
      <c r="BX248" s="56">
        <f t="shared" si="240"/>
        <v>2</v>
      </c>
      <c r="BZ248" s="18">
        <f t="shared" si="253"/>
        <v>6.0908846199130027</v>
      </c>
      <c r="CA248" s="18">
        <f t="shared" si="253"/>
        <v>0.29031940550091107</v>
      </c>
      <c r="CB248" s="18">
        <f t="shared" si="253"/>
        <v>2.8937722467802285</v>
      </c>
      <c r="CC248" s="18">
        <f t="shared" si="253"/>
        <v>1.1728659374519996</v>
      </c>
      <c r="CD248" s="56">
        <f t="shared" si="241"/>
        <v>2</v>
      </c>
      <c r="CF248" s="18">
        <f t="shared" si="254"/>
        <v>6.0908846199130027</v>
      </c>
      <c r="CG248" s="18">
        <f t="shared" si="254"/>
        <v>0.29031940550091107</v>
      </c>
      <c r="CH248" s="18">
        <f t="shared" si="254"/>
        <v>2.8937722467802285</v>
      </c>
      <c r="CI248" s="18">
        <f t="shared" si="254"/>
        <v>1.1728659374519996</v>
      </c>
      <c r="CJ248" s="56">
        <f t="shared" si="242"/>
        <v>2</v>
      </c>
      <c r="CL248" s="18">
        <f t="shared" si="255"/>
        <v>6.0908846199130027</v>
      </c>
      <c r="CM248" s="18">
        <f t="shared" si="255"/>
        <v>0.29031940550091107</v>
      </c>
      <c r="CN248" s="18">
        <f t="shared" si="255"/>
        <v>2.8937722467802285</v>
      </c>
      <c r="CO248" s="18">
        <f t="shared" si="255"/>
        <v>1.1728659374519996</v>
      </c>
      <c r="CP248" s="56">
        <f t="shared" si="243"/>
        <v>2</v>
      </c>
    </row>
    <row r="249" spans="1:94" x14ac:dyDescent="0.25">
      <c r="A249" s="36" t="str">
        <f>KMeans_Data!A108</f>
        <v>Tharparkar</v>
      </c>
      <c r="B249" s="18">
        <f>KMeans_Data!H108</f>
        <v>-0.99745100604838388</v>
      </c>
      <c r="C249" s="18">
        <f>KMeans_Data!I108</f>
        <v>-0.67265054538827607</v>
      </c>
      <c r="D249" s="18">
        <f>KMeans_Data!J108</f>
        <v>-0.63655717184154814</v>
      </c>
      <c r="E249" s="56">
        <f t="shared" si="230"/>
        <v>2</v>
      </c>
      <c r="F249" s="38">
        <f t="shared" si="231"/>
        <v>0.27039562984979842</v>
      </c>
      <c r="G249" s="18">
        <f>IF(COUNTIF(Distance_Matrix!$E$10:$DQ$10,$E249)&lt;=1,0,SUMIF(Distance_Matrix!$E$10:$DQ$10,$E249,Distance_Matrix!$E$117:$DQ$117)/(COUNTIF(Distance_Matrix!$E$10:$DQ$10,$E249)-1))</f>
        <v>0.67033201787461927</v>
      </c>
      <c r="H249" s="18">
        <f>MIN(IF(1=$E249,1E+99,IF(COUNTIF(Distance_Matrix!$E$10:$DQ$10,1)=0,1E+99,SUMIF(Distance_Matrix!$E$10:$DQ$10,1,Distance_Matrix!$E$117:$DQ$117)/COUNTIF(Distance_Matrix!$E$10:$DQ$10,1))),IF(2=$E249,1E+99,IF(COUNTIF(Distance_Matrix!$E$10:$DQ$10,2)=0,1E+99,SUMIF(Distance_Matrix!$E$10:$DQ$10,2,Distance_Matrix!$E$117:$DQ$117)/COUNTIF(Distance_Matrix!$E$10:$DQ$10,2))),IF(3=$E249,1E+99,IF(COUNTIF(Distance_Matrix!$E$10:$DQ$10,3)=0,1E+99,SUMIF(Distance_Matrix!$E$10:$DQ$10,3,Distance_Matrix!$E$117:$DQ$117)/COUNTIF(Distance_Matrix!$E$10:$DQ$10,3))),IF(4=$E249,1E+99,IF(COUNTIF(Distance_Matrix!$E$10:$DQ$10,4)=0,1E+99,SUMIF(Distance_Matrix!$E$10:$DQ$10,4,Distance_Matrix!$E$117:$DQ$117)/COUNTIF(Distance_Matrix!$E$10:$DQ$10,4))))</f>
        <v>1.1237503936027238</v>
      </c>
      <c r="I249" s="18">
        <f>IF(COUNTIF(Distance_Matrix!$E$10:$DQ$10,$E249)&lt;=1,0,(H249-G249)/MAX(G249,H249))</f>
        <v>0.4034867336281443</v>
      </c>
      <c r="X249" s="18">
        <f t="shared" si="244"/>
        <v>7.454703706650184</v>
      </c>
      <c r="Y249" s="18">
        <f t="shared" si="244"/>
        <v>1.1960412262714826</v>
      </c>
      <c r="Z249" s="18">
        <f t="shared" si="244"/>
        <v>3.1120659850710299</v>
      </c>
      <c r="AA249" s="18">
        <f t="shared" si="244"/>
        <v>1.7987085468486994</v>
      </c>
      <c r="AB249" s="56">
        <f t="shared" si="232"/>
        <v>2</v>
      </c>
      <c r="AD249" s="18">
        <f t="shared" si="245"/>
        <v>6.4619811890408005</v>
      </c>
      <c r="AE249" s="18">
        <f t="shared" si="245"/>
        <v>0.38583952817465145</v>
      </c>
      <c r="AF249" s="18">
        <f t="shared" si="245"/>
        <v>2.537014895983412</v>
      </c>
      <c r="AG249" s="18">
        <f t="shared" si="245"/>
        <v>0.96088071781038464</v>
      </c>
      <c r="AH249" s="56">
        <f t="shared" si="233"/>
        <v>2</v>
      </c>
      <c r="AJ249" s="18">
        <f t="shared" si="246"/>
        <v>6.1239122372263184</v>
      </c>
      <c r="AK249" s="18">
        <f t="shared" si="246"/>
        <v>0.4211033565160468</v>
      </c>
      <c r="AL249" s="18">
        <f t="shared" si="246"/>
        <v>2.6103142497913869</v>
      </c>
      <c r="AM249" s="18">
        <f t="shared" si="246"/>
        <v>0.96632189979711836</v>
      </c>
      <c r="AN249" s="56">
        <f t="shared" si="234"/>
        <v>2</v>
      </c>
      <c r="AP249" s="18">
        <f t="shared" si="247"/>
        <v>5.828467637515045</v>
      </c>
      <c r="AQ249" s="18">
        <f t="shared" si="247"/>
        <v>0.51999579791552009</v>
      </c>
      <c r="AR249" s="18">
        <f t="shared" si="247"/>
        <v>2.5655745707501545</v>
      </c>
      <c r="AS249" s="18">
        <f t="shared" si="247"/>
        <v>0.92206950789701636</v>
      </c>
      <c r="AT249" s="56">
        <f t="shared" si="235"/>
        <v>2</v>
      </c>
      <c r="AV249" s="18">
        <f t="shared" si="248"/>
        <v>5.828467637515045</v>
      </c>
      <c r="AW249" s="18">
        <f t="shared" si="248"/>
        <v>0.51999579791552009</v>
      </c>
      <c r="AX249" s="18">
        <f t="shared" si="248"/>
        <v>2.5655745707501545</v>
      </c>
      <c r="AY249" s="18">
        <f t="shared" si="248"/>
        <v>0.92206950789701636</v>
      </c>
      <c r="AZ249" s="56">
        <f t="shared" si="236"/>
        <v>2</v>
      </c>
      <c r="BB249" s="18">
        <f t="shared" si="249"/>
        <v>5.828467637515045</v>
      </c>
      <c r="BC249" s="18">
        <f t="shared" si="249"/>
        <v>0.51999579791552009</v>
      </c>
      <c r="BD249" s="18">
        <f t="shared" si="249"/>
        <v>2.5655745707501545</v>
      </c>
      <c r="BE249" s="18">
        <f t="shared" si="249"/>
        <v>0.92206950789701636</v>
      </c>
      <c r="BF249" s="56">
        <f t="shared" si="237"/>
        <v>2</v>
      </c>
      <c r="BH249" s="18">
        <f t="shared" si="250"/>
        <v>5.828467637515045</v>
      </c>
      <c r="BI249" s="18">
        <f t="shared" si="250"/>
        <v>0.51999579791552009</v>
      </c>
      <c r="BJ249" s="18">
        <f t="shared" si="250"/>
        <v>2.5655745707501545</v>
      </c>
      <c r="BK249" s="18">
        <f t="shared" si="250"/>
        <v>0.92206950789701636</v>
      </c>
      <c r="BL249" s="56">
        <f t="shared" si="238"/>
        <v>2</v>
      </c>
      <c r="BN249" s="18">
        <f t="shared" si="251"/>
        <v>5.828467637515045</v>
      </c>
      <c r="BO249" s="18">
        <f t="shared" si="251"/>
        <v>0.51999579791552009</v>
      </c>
      <c r="BP249" s="18">
        <f t="shared" si="251"/>
        <v>2.5655745707501545</v>
      </c>
      <c r="BQ249" s="18">
        <f t="shared" si="251"/>
        <v>0.92206950789701636</v>
      </c>
      <c r="BR249" s="56">
        <f t="shared" si="239"/>
        <v>2</v>
      </c>
      <c r="BT249" s="18">
        <f t="shared" si="252"/>
        <v>5.828467637515045</v>
      </c>
      <c r="BU249" s="18">
        <f t="shared" si="252"/>
        <v>0.51999579791552009</v>
      </c>
      <c r="BV249" s="18">
        <f t="shared" si="252"/>
        <v>2.5655745707501545</v>
      </c>
      <c r="BW249" s="18">
        <f t="shared" si="252"/>
        <v>0.92206950789701636</v>
      </c>
      <c r="BX249" s="56">
        <f t="shared" si="240"/>
        <v>2</v>
      </c>
      <c r="BZ249" s="18">
        <f t="shared" si="253"/>
        <v>5.828467637515045</v>
      </c>
      <c r="CA249" s="18">
        <f t="shared" si="253"/>
        <v>0.51999579791552009</v>
      </c>
      <c r="CB249" s="18">
        <f t="shared" si="253"/>
        <v>2.5655745707501545</v>
      </c>
      <c r="CC249" s="18">
        <f t="shared" si="253"/>
        <v>0.92206950789701636</v>
      </c>
      <c r="CD249" s="56">
        <f t="shared" si="241"/>
        <v>2</v>
      </c>
      <c r="CF249" s="18">
        <f t="shared" si="254"/>
        <v>5.828467637515045</v>
      </c>
      <c r="CG249" s="18">
        <f t="shared" si="254"/>
        <v>0.51999579791552009</v>
      </c>
      <c r="CH249" s="18">
        <f t="shared" si="254"/>
        <v>2.5655745707501545</v>
      </c>
      <c r="CI249" s="18">
        <f t="shared" si="254"/>
        <v>0.92206950789701636</v>
      </c>
      <c r="CJ249" s="56">
        <f t="shared" si="242"/>
        <v>2</v>
      </c>
      <c r="CL249" s="18">
        <f t="shared" si="255"/>
        <v>5.828467637515045</v>
      </c>
      <c r="CM249" s="18">
        <f t="shared" si="255"/>
        <v>0.51999579791552009</v>
      </c>
      <c r="CN249" s="18">
        <f t="shared" si="255"/>
        <v>2.5655745707501545</v>
      </c>
      <c r="CO249" s="18">
        <f t="shared" si="255"/>
        <v>0.92206950789701636</v>
      </c>
      <c r="CP249" s="56">
        <f t="shared" si="243"/>
        <v>2</v>
      </c>
    </row>
    <row r="250" spans="1:94" x14ac:dyDescent="0.25">
      <c r="A250" s="36" t="str">
        <f>KMeans_Data!A109</f>
        <v>Chakwal</v>
      </c>
      <c r="B250" s="18">
        <f>KMeans_Data!H109</f>
        <v>-1.1471808993548489</v>
      </c>
      <c r="C250" s="18">
        <f>KMeans_Data!I109</f>
        <v>-0.67265054538827607</v>
      </c>
      <c r="D250" s="18">
        <f>KMeans_Data!J109</f>
        <v>-0.82444601589876665</v>
      </c>
      <c r="E250" s="56">
        <f t="shared" si="230"/>
        <v>2</v>
      </c>
      <c r="F250" s="38">
        <f t="shared" si="231"/>
        <v>7.9771327627015304E-2</v>
      </c>
      <c r="G250" s="18">
        <f>IF(COUNTIF(Distance_Matrix!$E$10:$DQ$10,$E250)&lt;=1,0,SUMIF(Distance_Matrix!$E$10:$DQ$10,$E250,Distance_Matrix!$E$118:$DQ$118)/(COUNTIF(Distance_Matrix!$E$10:$DQ$10,$E250)-1))</f>
        <v>0.52756115246643198</v>
      </c>
      <c r="H250" s="18">
        <f>MIN(IF(1=$E250,1E+99,IF(COUNTIF(Distance_Matrix!$E$10:$DQ$10,1)=0,1E+99,SUMIF(Distance_Matrix!$E$10:$DQ$10,1,Distance_Matrix!$E$118:$DQ$118)/COUNTIF(Distance_Matrix!$E$10:$DQ$10,1))),IF(2=$E250,1E+99,IF(COUNTIF(Distance_Matrix!$E$10:$DQ$10,2)=0,1E+99,SUMIF(Distance_Matrix!$E$10:$DQ$10,2,Distance_Matrix!$E$118:$DQ$118)/COUNTIF(Distance_Matrix!$E$10:$DQ$10,2))),IF(3=$E250,1E+99,IF(COUNTIF(Distance_Matrix!$E$10:$DQ$10,3)=0,1E+99,SUMIF(Distance_Matrix!$E$10:$DQ$10,3,Distance_Matrix!$E$118:$DQ$118)/COUNTIF(Distance_Matrix!$E$10:$DQ$10,3))),IF(4=$E250,1E+99,IF(COUNTIF(Distance_Matrix!$E$10:$DQ$10,4)=0,1E+99,SUMIF(Distance_Matrix!$E$10:$DQ$10,4,Distance_Matrix!$E$118:$DQ$118)/COUNTIF(Distance_Matrix!$E$10:$DQ$10,4))))</f>
        <v>1.296217051055067</v>
      </c>
      <c r="I250" s="18">
        <f>IF(COUNTIF(Distance_Matrix!$E$10:$DQ$10,$E250)&lt;=1,0,(H250-G250)/MAX(G250,H250))</f>
        <v>0.59299937303168548</v>
      </c>
      <c r="X250" s="18">
        <f t="shared" si="244"/>
        <v>7.6400948807562985</v>
      </c>
      <c r="Y250" s="18">
        <f t="shared" si="244"/>
        <v>0.98632192095062787</v>
      </c>
      <c r="Z250" s="18">
        <f t="shared" si="244"/>
        <v>3.3382274243213987</v>
      </c>
      <c r="AA250" s="18">
        <f t="shared" si="244"/>
        <v>1.8957372607825711</v>
      </c>
      <c r="AB250" s="56">
        <f t="shared" si="232"/>
        <v>2</v>
      </c>
      <c r="AD250" s="18">
        <f t="shared" si="245"/>
        <v>6.6429057587372284</v>
      </c>
      <c r="AE250" s="18">
        <f t="shared" si="245"/>
        <v>0.14637946380068356</v>
      </c>
      <c r="AF250" s="18">
        <f t="shared" si="245"/>
        <v>2.7467446604390471</v>
      </c>
      <c r="AG250" s="18">
        <f t="shared" si="245"/>
        <v>1.1432985257520787</v>
      </c>
      <c r="AH250" s="56">
        <f t="shared" si="233"/>
        <v>2</v>
      </c>
      <c r="AJ250" s="18">
        <f t="shared" si="246"/>
        <v>6.3068024975065295</v>
      </c>
      <c r="AK250" s="18">
        <f t="shared" si="246"/>
        <v>0.18320808022536844</v>
      </c>
      <c r="AL250" s="18">
        <f t="shared" si="246"/>
        <v>2.8173209078999513</v>
      </c>
      <c r="AM250" s="18">
        <f t="shared" si="246"/>
        <v>1.1666046335345728</v>
      </c>
      <c r="AN250" s="56">
        <f t="shared" si="234"/>
        <v>2</v>
      </c>
      <c r="AP250" s="18">
        <f t="shared" si="247"/>
        <v>6.0108075561136962</v>
      </c>
      <c r="AQ250" s="18">
        <f t="shared" si="247"/>
        <v>0.2824381837270154</v>
      </c>
      <c r="AR250" s="18">
        <f t="shared" si="247"/>
        <v>2.7736705911862893</v>
      </c>
      <c r="AS250" s="18">
        <f t="shared" si="247"/>
        <v>1.125323620156317</v>
      </c>
      <c r="AT250" s="56">
        <f t="shared" si="235"/>
        <v>2</v>
      </c>
      <c r="AV250" s="18">
        <f t="shared" si="248"/>
        <v>6.0108075561136962</v>
      </c>
      <c r="AW250" s="18">
        <f t="shared" si="248"/>
        <v>0.2824381837270154</v>
      </c>
      <c r="AX250" s="18">
        <f t="shared" si="248"/>
        <v>2.7736705911862893</v>
      </c>
      <c r="AY250" s="18">
        <f t="shared" si="248"/>
        <v>1.125323620156317</v>
      </c>
      <c r="AZ250" s="56">
        <f t="shared" si="236"/>
        <v>2</v>
      </c>
      <c r="BB250" s="18">
        <f t="shared" si="249"/>
        <v>6.0108075561136962</v>
      </c>
      <c r="BC250" s="18">
        <f t="shared" si="249"/>
        <v>0.2824381837270154</v>
      </c>
      <c r="BD250" s="18">
        <f t="shared" si="249"/>
        <v>2.7736705911862893</v>
      </c>
      <c r="BE250" s="18">
        <f t="shared" si="249"/>
        <v>1.125323620156317</v>
      </c>
      <c r="BF250" s="56">
        <f t="shared" si="237"/>
        <v>2</v>
      </c>
      <c r="BH250" s="18">
        <f t="shared" si="250"/>
        <v>6.0108075561136962</v>
      </c>
      <c r="BI250" s="18">
        <f t="shared" si="250"/>
        <v>0.2824381837270154</v>
      </c>
      <c r="BJ250" s="18">
        <f t="shared" si="250"/>
        <v>2.7736705911862893</v>
      </c>
      <c r="BK250" s="18">
        <f t="shared" si="250"/>
        <v>1.125323620156317</v>
      </c>
      <c r="BL250" s="56">
        <f t="shared" si="238"/>
        <v>2</v>
      </c>
      <c r="BN250" s="18">
        <f t="shared" si="251"/>
        <v>6.0108075561136962</v>
      </c>
      <c r="BO250" s="18">
        <f t="shared" si="251"/>
        <v>0.2824381837270154</v>
      </c>
      <c r="BP250" s="18">
        <f t="shared" si="251"/>
        <v>2.7736705911862893</v>
      </c>
      <c r="BQ250" s="18">
        <f t="shared" si="251"/>
        <v>1.125323620156317</v>
      </c>
      <c r="BR250" s="56">
        <f t="shared" si="239"/>
        <v>2</v>
      </c>
      <c r="BT250" s="18">
        <f t="shared" si="252"/>
        <v>6.0108075561136962</v>
      </c>
      <c r="BU250" s="18">
        <f t="shared" si="252"/>
        <v>0.2824381837270154</v>
      </c>
      <c r="BV250" s="18">
        <f t="shared" si="252"/>
        <v>2.7736705911862893</v>
      </c>
      <c r="BW250" s="18">
        <f t="shared" si="252"/>
        <v>1.125323620156317</v>
      </c>
      <c r="BX250" s="56">
        <f t="shared" si="240"/>
        <v>2</v>
      </c>
      <c r="BZ250" s="18">
        <f t="shared" si="253"/>
        <v>6.0108075561136962</v>
      </c>
      <c r="CA250" s="18">
        <f t="shared" si="253"/>
        <v>0.2824381837270154</v>
      </c>
      <c r="CB250" s="18">
        <f t="shared" si="253"/>
        <v>2.7736705911862893</v>
      </c>
      <c r="CC250" s="18">
        <f t="shared" si="253"/>
        <v>1.125323620156317</v>
      </c>
      <c r="CD250" s="56">
        <f t="shared" si="241"/>
        <v>2</v>
      </c>
      <c r="CF250" s="18">
        <f t="shared" si="254"/>
        <v>6.0108075561136962</v>
      </c>
      <c r="CG250" s="18">
        <f t="shared" si="254"/>
        <v>0.2824381837270154</v>
      </c>
      <c r="CH250" s="18">
        <f t="shared" si="254"/>
        <v>2.7736705911862893</v>
      </c>
      <c r="CI250" s="18">
        <f t="shared" si="254"/>
        <v>1.125323620156317</v>
      </c>
      <c r="CJ250" s="56">
        <f t="shared" si="242"/>
        <v>2</v>
      </c>
      <c r="CL250" s="18">
        <f t="shared" si="255"/>
        <v>6.0108075561136962</v>
      </c>
      <c r="CM250" s="18">
        <f t="shared" si="255"/>
        <v>0.2824381837270154</v>
      </c>
      <c r="CN250" s="18">
        <f t="shared" si="255"/>
        <v>2.7736705911862893</v>
      </c>
      <c r="CO250" s="18">
        <f t="shared" si="255"/>
        <v>1.125323620156317</v>
      </c>
      <c r="CP250" s="56">
        <f t="shared" si="243"/>
        <v>2</v>
      </c>
    </row>
    <row r="251" spans="1:94" x14ac:dyDescent="0.25">
      <c r="A251" s="36" t="str">
        <f>KMeans_Data!A110</f>
        <v>Pishin</v>
      </c>
      <c r="B251" s="18">
        <f>KMeans_Data!H110</f>
        <v>-1.3582133313000322</v>
      </c>
      <c r="C251" s="18">
        <f>KMeans_Data!I110</f>
        <v>-0.67265054538827607</v>
      </c>
      <c r="D251" s="18">
        <f>KMeans_Data!J110</f>
        <v>-1.1456441163335547</v>
      </c>
      <c r="E251" s="56">
        <f t="shared" si="230"/>
        <v>2</v>
      </c>
      <c r="F251" s="38">
        <f t="shared" si="231"/>
        <v>1.2028911068635975E-2</v>
      </c>
      <c r="G251" s="18">
        <f>IF(COUNTIF(Distance_Matrix!$E$10:$DQ$10,$E251)&lt;=1,0,SUMIF(Distance_Matrix!$E$10:$DQ$10,$E251,Distance_Matrix!$E$119:$DQ$119)/(COUNTIF(Distance_Matrix!$E$10:$DQ$10,$E251)-1))</f>
        <v>0.44927921488844991</v>
      </c>
      <c r="H251" s="18">
        <f>MIN(IF(1=$E251,1E+99,IF(COUNTIF(Distance_Matrix!$E$10:$DQ$10,1)=0,1E+99,SUMIF(Distance_Matrix!$E$10:$DQ$10,1,Distance_Matrix!$E$119:$DQ$119)/COUNTIF(Distance_Matrix!$E$10:$DQ$10,1))),IF(2=$E251,1E+99,IF(COUNTIF(Distance_Matrix!$E$10:$DQ$10,2)=0,1E+99,SUMIF(Distance_Matrix!$E$10:$DQ$10,2,Distance_Matrix!$E$119:$DQ$119)/COUNTIF(Distance_Matrix!$E$10:$DQ$10,2))),IF(3=$E251,1E+99,IF(COUNTIF(Distance_Matrix!$E$10:$DQ$10,3)=0,1E+99,SUMIF(Distance_Matrix!$E$10:$DQ$10,3,Distance_Matrix!$E$119:$DQ$119)/COUNTIF(Distance_Matrix!$E$10:$DQ$10,3))),IF(4=$E251,1E+99,IF(COUNTIF(Distance_Matrix!$E$10:$DQ$10,4)=0,1E+99,SUMIF(Distance_Matrix!$E$10:$DQ$10,4,Distance_Matrix!$E$119:$DQ$119)/COUNTIF(Distance_Matrix!$E$10:$DQ$10,4))))</f>
        <v>1.5950148698570066</v>
      </c>
      <c r="I251" s="18">
        <f>IF(COUNTIF(Distance_Matrix!$E$10:$DQ$10,$E251)&lt;=1,0,(H251-G251)/MAX(G251,H251))</f>
        <v>0.71832286746723062</v>
      </c>
      <c r="X251" s="18">
        <f t="shared" si="244"/>
        <v>7.9375096538498271</v>
      </c>
      <c r="Y251" s="18">
        <f t="shared" si="244"/>
        <v>0.72152465050329639</v>
      </c>
      <c r="Z251" s="18">
        <f t="shared" si="244"/>
        <v>3.6996860383442045</v>
      </c>
      <c r="AA251" s="18">
        <f t="shared" si="244"/>
        <v>2.0716869674950886</v>
      </c>
      <c r="AB251" s="56">
        <f t="shared" si="232"/>
        <v>2</v>
      </c>
      <c r="AD251" s="18">
        <f t="shared" si="245"/>
        <v>6.9334217403420313</v>
      </c>
      <c r="AE251" s="18">
        <f t="shared" si="245"/>
        <v>0.24159475437256622</v>
      </c>
      <c r="AF251" s="18">
        <f t="shared" si="245"/>
        <v>3.086697505374862</v>
      </c>
      <c r="AG251" s="18">
        <f t="shared" si="245"/>
        <v>1.4533379357739618</v>
      </c>
      <c r="AH251" s="56">
        <f t="shared" si="233"/>
        <v>2</v>
      </c>
      <c r="AJ251" s="18">
        <f t="shared" si="246"/>
        <v>6.6003492152223249</v>
      </c>
      <c r="AK251" s="18">
        <f t="shared" si="246"/>
        <v>0.20451400142744805</v>
      </c>
      <c r="AL251" s="18">
        <f t="shared" si="246"/>
        <v>3.1531810301666545</v>
      </c>
      <c r="AM251" s="18">
        <f t="shared" si="246"/>
        <v>1.4972857279878617</v>
      </c>
      <c r="AN251" s="56">
        <f t="shared" si="234"/>
        <v>2</v>
      </c>
      <c r="AP251" s="18">
        <f t="shared" si="247"/>
        <v>6.3039978308574351</v>
      </c>
      <c r="AQ251" s="18">
        <f t="shared" si="247"/>
        <v>0.10967639248551156</v>
      </c>
      <c r="AR251" s="18">
        <f t="shared" si="247"/>
        <v>3.1111421503948073</v>
      </c>
      <c r="AS251" s="18">
        <f t="shared" si="247"/>
        <v>1.4603430383339193</v>
      </c>
      <c r="AT251" s="56">
        <f t="shared" si="235"/>
        <v>2</v>
      </c>
      <c r="AV251" s="18">
        <f t="shared" si="248"/>
        <v>6.3039978308574351</v>
      </c>
      <c r="AW251" s="18">
        <f t="shared" si="248"/>
        <v>0.10967639248551156</v>
      </c>
      <c r="AX251" s="18">
        <f t="shared" si="248"/>
        <v>3.1111421503948073</v>
      </c>
      <c r="AY251" s="18">
        <f t="shared" si="248"/>
        <v>1.4603430383339193</v>
      </c>
      <c r="AZ251" s="56">
        <f t="shared" si="236"/>
        <v>2</v>
      </c>
      <c r="BB251" s="18">
        <f t="shared" si="249"/>
        <v>6.3039978308574351</v>
      </c>
      <c r="BC251" s="18">
        <f t="shared" si="249"/>
        <v>0.10967639248551156</v>
      </c>
      <c r="BD251" s="18">
        <f t="shared" si="249"/>
        <v>3.1111421503948073</v>
      </c>
      <c r="BE251" s="18">
        <f t="shared" si="249"/>
        <v>1.4603430383339193</v>
      </c>
      <c r="BF251" s="56">
        <f t="shared" si="237"/>
        <v>2</v>
      </c>
      <c r="BH251" s="18">
        <f t="shared" si="250"/>
        <v>6.3039978308574351</v>
      </c>
      <c r="BI251" s="18">
        <f t="shared" si="250"/>
        <v>0.10967639248551156</v>
      </c>
      <c r="BJ251" s="18">
        <f t="shared" si="250"/>
        <v>3.1111421503948073</v>
      </c>
      <c r="BK251" s="18">
        <f t="shared" si="250"/>
        <v>1.4603430383339193</v>
      </c>
      <c r="BL251" s="56">
        <f t="shared" si="238"/>
        <v>2</v>
      </c>
      <c r="BN251" s="18">
        <f t="shared" si="251"/>
        <v>6.3039978308574351</v>
      </c>
      <c r="BO251" s="18">
        <f t="shared" si="251"/>
        <v>0.10967639248551156</v>
      </c>
      <c r="BP251" s="18">
        <f t="shared" si="251"/>
        <v>3.1111421503948073</v>
      </c>
      <c r="BQ251" s="18">
        <f t="shared" si="251"/>
        <v>1.4603430383339193</v>
      </c>
      <c r="BR251" s="56">
        <f t="shared" si="239"/>
        <v>2</v>
      </c>
      <c r="BT251" s="18">
        <f t="shared" si="252"/>
        <v>6.3039978308574351</v>
      </c>
      <c r="BU251" s="18">
        <f t="shared" si="252"/>
        <v>0.10967639248551156</v>
      </c>
      <c r="BV251" s="18">
        <f t="shared" si="252"/>
        <v>3.1111421503948073</v>
      </c>
      <c r="BW251" s="18">
        <f t="shared" si="252"/>
        <v>1.4603430383339193</v>
      </c>
      <c r="BX251" s="56">
        <f t="shared" si="240"/>
        <v>2</v>
      </c>
      <c r="BZ251" s="18">
        <f t="shared" si="253"/>
        <v>6.3039978308574351</v>
      </c>
      <c r="CA251" s="18">
        <f t="shared" si="253"/>
        <v>0.10967639248551156</v>
      </c>
      <c r="CB251" s="18">
        <f t="shared" si="253"/>
        <v>3.1111421503948073</v>
      </c>
      <c r="CC251" s="18">
        <f t="shared" si="253"/>
        <v>1.4603430383339193</v>
      </c>
      <c r="CD251" s="56">
        <f t="shared" si="241"/>
        <v>2</v>
      </c>
      <c r="CF251" s="18">
        <f t="shared" si="254"/>
        <v>6.3039978308574351</v>
      </c>
      <c r="CG251" s="18">
        <f t="shared" si="254"/>
        <v>0.10967639248551156</v>
      </c>
      <c r="CH251" s="18">
        <f t="shared" si="254"/>
        <v>3.1111421503948073</v>
      </c>
      <c r="CI251" s="18">
        <f t="shared" si="254"/>
        <v>1.4603430383339193</v>
      </c>
      <c r="CJ251" s="56">
        <f t="shared" si="242"/>
        <v>2</v>
      </c>
      <c r="CL251" s="18">
        <f t="shared" si="255"/>
        <v>6.3039978308574351</v>
      </c>
      <c r="CM251" s="18">
        <f t="shared" si="255"/>
        <v>0.10967639248551156</v>
      </c>
      <c r="CN251" s="18">
        <f t="shared" si="255"/>
        <v>3.1111421503948073</v>
      </c>
      <c r="CO251" s="18">
        <f t="shared" si="255"/>
        <v>1.4603430383339193</v>
      </c>
      <c r="CP251" s="56">
        <f t="shared" si="243"/>
        <v>2</v>
      </c>
    </row>
    <row r="252" spans="1:94" x14ac:dyDescent="0.25">
      <c r="A252" s="36" t="str">
        <f>KMeans_Data!A111</f>
        <v>Kohistan Lower</v>
      </c>
      <c r="B252" s="18">
        <f>KMeans_Data!H111</f>
        <v>-1.507943224606497</v>
      </c>
      <c r="C252" s="18">
        <f>KMeans_Data!I111</f>
        <v>-0.67265054538827607</v>
      </c>
      <c r="D252" s="18">
        <f>KMeans_Data!J111</f>
        <v>-1.1456441163335547</v>
      </c>
      <c r="E252" s="56">
        <f t="shared" si="230"/>
        <v>2</v>
      </c>
      <c r="F252" s="38">
        <f t="shared" si="231"/>
        <v>5.847572177366759E-2</v>
      </c>
      <c r="G252" s="18">
        <f>IF(COUNTIF(Distance_Matrix!$E$10:$DQ$10,$E252)&lt;=1,0,SUMIF(Distance_Matrix!$E$10:$DQ$10,$E252,Distance_Matrix!$E$120:$DQ$120)/(COUNTIF(Distance_Matrix!$E$10:$DQ$10,$E252)-1))</f>
        <v>0.45915490897819988</v>
      </c>
      <c r="H252" s="18">
        <f>MIN(IF(1=$E252,1E+99,IF(COUNTIF(Distance_Matrix!$E$10:$DQ$10,1)=0,1E+99,SUMIF(Distance_Matrix!$E$10:$DQ$10,1,Distance_Matrix!$E$120:$DQ$120)/COUNTIF(Distance_Matrix!$E$10:$DQ$10,1))),IF(2=$E252,1E+99,IF(COUNTIF(Distance_Matrix!$E$10:$DQ$10,2)=0,1E+99,SUMIF(Distance_Matrix!$E$10:$DQ$10,2,Distance_Matrix!$E$120:$DQ$120)/COUNTIF(Distance_Matrix!$E$10:$DQ$10,2))),IF(3=$E252,1E+99,IF(COUNTIF(Distance_Matrix!$E$10:$DQ$10,3)=0,1E+99,SUMIF(Distance_Matrix!$E$10:$DQ$10,3,Distance_Matrix!$E$120:$DQ$120)/COUNTIF(Distance_Matrix!$E$10:$DQ$10,3))),IF(4=$E252,1E+99,IF(COUNTIF(Distance_Matrix!$E$10:$DQ$10,4)=0,1E+99,SUMIF(Distance_Matrix!$E$10:$DQ$10,4,Distance_Matrix!$E$120:$DQ$120)/COUNTIF(Distance_Matrix!$E$10:$DQ$10,4))))</f>
        <v>1.7132835686006376</v>
      </c>
      <c r="I252" s="18">
        <f>IF(COUNTIF(Distance_Matrix!$E$10:$DQ$10,$E252)&lt;=1,0,(H252-G252)/MAX(G252,H252))</f>
        <v>0.73200296938981047</v>
      </c>
      <c r="X252" s="18">
        <f t="shared" si="244"/>
        <v>8.0258166331110399</v>
      </c>
      <c r="Y252" s="18">
        <f t="shared" si="244"/>
        <v>0.57179475719683159</v>
      </c>
      <c r="Z252" s="18">
        <f t="shared" si="244"/>
        <v>3.7983505335880898</v>
      </c>
      <c r="AA252" s="18">
        <f t="shared" si="244"/>
        <v>2.2168421962261942</v>
      </c>
      <c r="AB252" s="56">
        <f t="shared" si="232"/>
        <v>2</v>
      </c>
      <c r="AD252" s="18">
        <f t="shared" si="245"/>
        <v>7.0244242517223938</v>
      </c>
      <c r="AE252" s="18">
        <f t="shared" si="245"/>
        <v>0.34041814392956793</v>
      </c>
      <c r="AF252" s="18">
        <f t="shared" si="245"/>
        <v>3.1841508464666424</v>
      </c>
      <c r="AG252" s="18">
        <f t="shared" si="245"/>
        <v>1.5883001569450095</v>
      </c>
      <c r="AH252" s="56">
        <f t="shared" si="233"/>
        <v>2</v>
      </c>
      <c r="AJ252" s="18">
        <f t="shared" si="246"/>
        <v>6.6930285905511253</v>
      </c>
      <c r="AK252" s="18">
        <f t="shared" si="246"/>
        <v>0.31930972911503241</v>
      </c>
      <c r="AL252" s="18">
        <f t="shared" si="246"/>
        <v>3.2507732859848555</v>
      </c>
      <c r="AM252" s="18">
        <f t="shared" si="246"/>
        <v>1.626835498065929</v>
      </c>
      <c r="AN252" s="56">
        <f t="shared" si="234"/>
        <v>2</v>
      </c>
      <c r="AP252" s="18">
        <f t="shared" si="247"/>
        <v>6.3963389238715429</v>
      </c>
      <c r="AQ252" s="18">
        <f t="shared" si="247"/>
        <v>0.24181753818461471</v>
      </c>
      <c r="AR252" s="18">
        <f t="shared" si="247"/>
        <v>3.20895384092305</v>
      </c>
      <c r="AS252" s="18">
        <f t="shared" si="247"/>
        <v>1.588463359253752</v>
      </c>
      <c r="AT252" s="56">
        <f t="shared" si="235"/>
        <v>2</v>
      </c>
      <c r="AV252" s="18">
        <f t="shared" si="248"/>
        <v>6.3963389238715429</v>
      </c>
      <c r="AW252" s="18">
        <f t="shared" si="248"/>
        <v>0.24181753818461471</v>
      </c>
      <c r="AX252" s="18">
        <f t="shared" si="248"/>
        <v>3.20895384092305</v>
      </c>
      <c r="AY252" s="18">
        <f t="shared" si="248"/>
        <v>1.588463359253752</v>
      </c>
      <c r="AZ252" s="56">
        <f t="shared" si="236"/>
        <v>2</v>
      </c>
      <c r="BB252" s="18">
        <f t="shared" si="249"/>
        <v>6.3963389238715429</v>
      </c>
      <c r="BC252" s="18">
        <f t="shared" si="249"/>
        <v>0.24181753818461471</v>
      </c>
      <c r="BD252" s="18">
        <f t="shared" si="249"/>
        <v>3.20895384092305</v>
      </c>
      <c r="BE252" s="18">
        <f t="shared" si="249"/>
        <v>1.588463359253752</v>
      </c>
      <c r="BF252" s="56">
        <f t="shared" si="237"/>
        <v>2</v>
      </c>
      <c r="BH252" s="18">
        <f t="shared" si="250"/>
        <v>6.3963389238715429</v>
      </c>
      <c r="BI252" s="18">
        <f t="shared" si="250"/>
        <v>0.24181753818461471</v>
      </c>
      <c r="BJ252" s="18">
        <f t="shared" si="250"/>
        <v>3.20895384092305</v>
      </c>
      <c r="BK252" s="18">
        <f t="shared" si="250"/>
        <v>1.588463359253752</v>
      </c>
      <c r="BL252" s="56">
        <f t="shared" si="238"/>
        <v>2</v>
      </c>
      <c r="BN252" s="18">
        <f t="shared" si="251"/>
        <v>6.3963389238715429</v>
      </c>
      <c r="BO252" s="18">
        <f t="shared" si="251"/>
        <v>0.24181753818461471</v>
      </c>
      <c r="BP252" s="18">
        <f t="shared" si="251"/>
        <v>3.20895384092305</v>
      </c>
      <c r="BQ252" s="18">
        <f t="shared" si="251"/>
        <v>1.588463359253752</v>
      </c>
      <c r="BR252" s="56">
        <f t="shared" si="239"/>
        <v>2</v>
      </c>
      <c r="BT252" s="18">
        <f t="shared" si="252"/>
        <v>6.3963389238715429</v>
      </c>
      <c r="BU252" s="18">
        <f t="shared" si="252"/>
        <v>0.24181753818461471</v>
      </c>
      <c r="BV252" s="18">
        <f t="shared" si="252"/>
        <v>3.20895384092305</v>
      </c>
      <c r="BW252" s="18">
        <f t="shared" si="252"/>
        <v>1.588463359253752</v>
      </c>
      <c r="BX252" s="56">
        <f t="shared" si="240"/>
        <v>2</v>
      </c>
      <c r="BZ252" s="18">
        <f t="shared" si="253"/>
        <v>6.3963389238715429</v>
      </c>
      <c r="CA252" s="18">
        <f t="shared" si="253"/>
        <v>0.24181753818461471</v>
      </c>
      <c r="CB252" s="18">
        <f t="shared" si="253"/>
        <v>3.20895384092305</v>
      </c>
      <c r="CC252" s="18">
        <f t="shared" si="253"/>
        <v>1.588463359253752</v>
      </c>
      <c r="CD252" s="56">
        <f t="shared" si="241"/>
        <v>2</v>
      </c>
      <c r="CF252" s="18">
        <f t="shared" si="254"/>
        <v>6.3963389238715429</v>
      </c>
      <c r="CG252" s="18">
        <f t="shared" si="254"/>
        <v>0.24181753818461471</v>
      </c>
      <c r="CH252" s="18">
        <f t="shared" si="254"/>
        <v>3.20895384092305</v>
      </c>
      <c r="CI252" s="18">
        <f t="shared" si="254"/>
        <v>1.588463359253752</v>
      </c>
      <c r="CJ252" s="56">
        <f t="shared" si="242"/>
        <v>2</v>
      </c>
      <c r="CL252" s="18">
        <f t="shared" si="255"/>
        <v>6.3963389238715429</v>
      </c>
      <c r="CM252" s="18">
        <f t="shared" si="255"/>
        <v>0.24181753818461471</v>
      </c>
      <c r="CN252" s="18">
        <f t="shared" si="255"/>
        <v>3.20895384092305</v>
      </c>
      <c r="CO252" s="18">
        <f t="shared" si="255"/>
        <v>1.588463359253752</v>
      </c>
      <c r="CP252" s="56">
        <f t="shared" si="243"/>
        <v>2</v>
      </c>
    </row>
    <row r="253" spans="1:94" x14ac:dyDescent="0.25">
      <c r="A253" s="36" t="str">
        <f>KMeans_Data!A112</f>
        <v>Bhambore</v>
      </c>
      <c r="B253" s="18">
        <f>KMeans_Data!H112</f>
        <v>-1.507943224606497</v>
      </c>
      <c r="C253" s="18">
        <f>KMeans_Data!I112</f>
        <v>-0.67265054538827607</v>
      </c>
      <c r="D253" s="18">
        <f>KMeans_Data!J112</f>
        <v>-1.1456441163335547</v>
      </c>
      <c r="E253" s="56">
        <f t="shared" si="230"/>
        <v>2</v>
      </c>
      <c r="F253" s="38">
        <f t="shared" si="231"/>
        <v>5.847572177366759E-2</v>
      </c>
      <c r="G253" s="18">
        <f>IF(COUNTIF(Distance_Matrix!$E$10:$DQ$10,$E253)&lt;=1,0,SUMIF(Distance_Matrix!$E$10:$DQ$10,$E253,Distance_Matrix!$E$121:$DQ$121)/(COUNTIF(Distance_Matrix!$E$10:$DQ$10,$E253)-1))</f>
        <v>0.45915490897819988</v>
      </c>
      <c r="H253" s="18">
        <f>MIN(IF(1=$E253,1E+99,IF(COUNTIF(Distance_Matrix!$E$10:$DQ$10,1)=0,1E+99,SUMIF(Distance_Matrix!$E$10:$DQ$10,1,Distance_Matrix!$E$121:$DQ$121)/COUNTIF(Distance_Matrix!$E$10:$DQ$10,1))),IF(2=$E253,1E+99,IF(COUNTIF(Distance_Matrix!$E$10:$DQ$10,2)=0,1E+99,SUMIF(Distance_Matrix!$E$10:$DQ$10,2,Distance_Matrix!$E$121:$DQ$121)/COUNTIF(Distance_Matrix!$E$10:$DQ$10,2))),IF(3=$E253,1E+99,IF(COUNTIF(Distance_Matrix!$E$10:$DQ$10,3)=0,1E+99,SUMIF(Distance_Matrix!$E$10:$DQ$10,3,Distance_Matrix!$E$121:$DQ$121)/COUNTIF(Distance_Matrix!$E$10:$DQ$10,3))),IF(4=$E253,1E+99,IF(COUNTIF(Distance_Matrix!$E$10:$DQ$10,4)=0,1E+99,SUMIF(Distance_Matrix!$E$10:$DQ$10,4,Distance_Matrix!$E$121:$DQ$121)/COUNTIF(Distance_Matrix!$E$10:$DQ$10,4))))</f>
        <v>1.7132835686006376</v>
      </c>
      <c r="I253" s="18">
        <f>IF(COUNTIF(Distance_Matrix!$E$10:$DQ$10,$E253)&lt;=1,0,(H253-G253)/MAX(G253,H253))</f>
        <v>0.73200296938981047</v>
      </c>
      <c r="X253" s="18">
        <f t="shared" si="244"/>
        <v>8.0258166331110399</v>
      </c>
      <c r="Y253" s="18">
        <f t="shared" si="244"/>
        <v>0.57179475719683159</v>
      </c>
      <c r="Z253" s="18">
        <f t="shared" si="244"/>
        <v>3.7983505335880898</v>
      </c>
      <c r="AA253" s="18">
        <f t="shared" si="244"/>
        <v>2.2168421962261942</v>
      </c>
      <c r="AB253" s="56">
        <f t="shared" si="232"/>
        <v>2</v>
      </c>
      <c r="AD253" s="18">
        <f t="shared" si="245"/>
        <v>7.0244242517223938</v>
      </c>
      <c r="AE253" s="18">
        <f t="shared" si="245"/>
        <v>0.34041814392956793</v>
      </c>
      <c r="AF253" s="18">
        <f t="shared" si="245"/>
        <v>3.1841508464666424</v>
      </c>
      <c r="AG253" s="18">
        <f t="shared" si="245"/>
        <v>1.5883001569450095</v>
      </c>
      <c r="AH253" s="56">
        <f t="shared" si="233"/>
        <v>2</v>
      </c>
      <c r="AJ253" s="18">
        <f t="shared" si="246"/>
        <v>6.6930285905511253</v>
      </c>
      <c r="AK253" s="18">
        <f t="shared" si="246"/>
        <v>0.31930972911503241</v>
      </c>
      <c r="AL253" s="18">
        <f t="shared" si="246"/>
        <v>3.2507732859848555</v>
      </c>
      <c r="AM253" s="18">
        <f t="shared" si="246"/>
        <v>1.626835498065929</v>
      </c>
      <c r="AN253" s="56">
        <f t="shared" si="234"/>
        <v>2</v>
      </c>
      <c r="AP253" s="18">
        <f t="shared" si="247"/>
        <v>6.3963389238715429</v>
      </c>
      <c r="AQ253" s="18">
        <f t="shared" si="247"/>
        <v>0.24181753818461471</v>
      </c>
      <c r="AR253" s="18">
        <f t="shared" si="247"/>
        <v>3.20895384092305</v>
      </c>
      <c r="AS253" s="18">
        <f t="shared" si="247"/>
        <v>1.588463359253752</v>
      </c>
      <c r="AT253" s="56">
        <f t="shared" si="235"/>
        <v>2</v>
      </c>
      <c r="AV253" s="18">
        <f t="shared" si="248"/>
        <v>6.3963389238715429</v>
      </c>
      <c r="AW253" s="18">
        <f t="shared" si="248"/>
        <v>0.24181753818461471</v>
      </c>
      <c r="AX253" s="18">
        <f t="shared" si="248"/>
        <v>3.20895384092305</v>
      </c>
      <c r="AY253" s="18">
        <f t="shared" si="248"/>
        <v>1.588463359253752</v>
      </c>
      <c r="AZ253" s="56">
        <f t="shared" si="236"/>
        <v>2</v>
      </c>
      <c r="BB253" s="18">
        <f t="shared" si="249"/>
        <v>6.3963389238715429</v>
      </c>
      <c r="BC253" s="18">
        <f t="shared" si="249"/>
        <v>0.24181753818461471</v>
      </c>
      <c r="BD253" s="18">
        <f t="shared" si="249"/>
        <v>3.20895384092305</v>
      </c>
      <c r="BE253" s="18">
        <f t="shared" si="249"/>
        <v>1.588463359253752</v>
      </c>
      <c r="BF253" s="56">
        <f t="shared" si="237"/>
        <v>2</v>
      </c>
      <c r="BH253" s="18">
        <f t="shared" si="250"/>
        <v>6.3963389238715429</v>
      </c>
      <c r="BI253" s="18">
        <f t="shared" si="250"/>
        <v>0.24181753818461471</v>
      </c>
      <c r="BJ253" s="18">
        <f t="shared" si="250"/>
        <v>3.20895384092305</v>
      </c>
      <c r="BK253" s="18">
        <f t="shared" si="250"/>
        <v>1.588463359253752</v>
      </c>
      <c r="BL253" s="56">
        <f t="shared" si="238"/>
        <v>2</v>
      </c>
      <c r="BN253" s="18">
        <f t="shared" si="251"/>
        <v>6.3963389238715429</v>
      </c>
      <c r="BO253" s="18">
        <f t="shared" si="251"/>
        <v>0.24181753818461471</v>
      </c>
      <c r="BP253" s="18">
        <f t="shared" si="251"/>
        <v>3.20895384092305</v>
      </c>
      <c r="BQ253" s="18">
        <f t="shared" si="251"/>
        <v>1.588463359253752</v>
      </c>
      <c r="BR253" s="56">
        <f t="shared" si="239"/>
        <v>2</v>
      </c>
      <c r="BT253" s="18">
        <f t="shared" si="252"/>
        <v>6.3963389238715429</v>
      </c>
      <c r="BU253" s="18">
        <f t="shared" si="252"/>
        <v>0.24181753818461471</v>
      </c>
      <c r="BV253" s="18">
        <f t="shared" si="252"/>
        <v>3.20895384092305</v>
      </c>
      <c r="BW253" s="18">
        <f t="shared" si="252"/>
        <v>1.588463359253752</v>
      </c>
      <c r="BX253" s="56">
        <f t="shared" si="240"/>
        <v>2</v>
      </c>
      <c r="BZ253" s="18">
        <f t="shared" si="253"/>
        <v>6.3963389238715429</v>
      </c>
      <c r="CA253" s="18">
        <f t="shared" si="253"/>
        <v>0.24181753818461471</v>
      </c>
      <c r="CB253" s="18">
        <f t="shared" si="253"/>
        <v>3.20895384092305</v>
      </c>
      <c r="CC253" s="18">
        <f t="shared" si="253"/>
        <v>1.588463359253752</v>
      </c>
      <c r="CD253" s="56">
        <f t="shared" si="241"/>
        <v>2</v>
      </c>
      <c r="CF253" s="18">
        <f t="shared" si="254"/>
        <v>6.3963389238715429</v>
      </c>
      <c r="CG253" s="18">
        <f t="shared" si="254"/>
        <v>0.24181753818461471</v>
      </c>
      <c r="CH253" s="18">
        <f t="shared" si="254"/>
        <v>3.20895384092305</v>
      </c>
      <c r="CI253" s="18">
        <f t="shared" si="254"/>
        <v>1.588463359253752</v>
      </c>
      <c r="CJ253" s="56">
        <f t="shared" si="242"/>
        <v>2</v>
      </c>
      <c r="CL253" s="18">
        <f t="shared" si="255"/>
        <v>6.3963389238715429</v>
      </c>
      <c r="CM253" s="18">
        <f t="shared" si="255"/>
        <v>0.24181753818461471</v>
      </c>
      <c r="CN253" s="18">
        <f t="shared" si="255"/>
        <v>3.20895384092305</v>
      </c>
      <c r="CO253" s="18">
        <f t="shared" si="255"/>
        <v>1.588463359253752</v>
      </c>
      <c r="CP253" s="56">
        <f t="shared" si="243"/>
        <v>2</v>
      </c>
    </row>
    <row r="254" spans="1:94" x14ac:dyDescent="0.25">
      <c r="A254" s="36" t="str">
        <f>KMeans_Data!A113</f>
        <v>Jhang</v>
      </c>
      <c r="B254" s="18">
        <f>KMeans_Data!H113</f>
        <v>-1.507943224606497</v>
      </c>
      <c r="C254" s="18">
        <f>KMeans_Data!I113</f>
        <v>-0.67265054538827607</v>
      </c>
      <c r="D254" s="18">
        <f>KMeans_Data!J113</f>
        <v>-1.1456441163335547</v>
      </c>
      <c r="E254" s="56">
        <f t="shared" si="230"/>
        <v>2</v>
      </c>
      <c r="F254" s="38">
        <f t="shared" si="231"/>
        <v>5.847572177366759E-2</v>
      </c>
      <c r="G254" s="18">
        <f>IF(COUNTIF(Distance_Matrix!$E$10:$DQ$10,$E254)&lt;=1,0,SUMIF(Distance_Matrix!$E$10:$DQ$10,$E254,Distance_Matrix!$E$122:$DQ$122)/(COUNTIF(Distance_Matrix!$E$10:$DQ$10,$E254)-1))</f>
        <v>0.45915490897819988</v>
      </c>
      <c r="H254" s="18">
        <f>MIN(IF(1=$E254,1E+99,IF(COUNTIF(Distance_Matrix!$E$10:$DQ$10,1)=0,1E+99,SUMIF(Distance_Matrix!$E$10:$DQ$10,1,Distance_Matrix!$E$122:$DQ$122)/COUNTIF(Distance_Matrix!$E$10:$DQ$10,1))),IF(2=$E254,1E+99,IF(COUNTIF(Distance_Matrix!$E$10:$DQ$10,2)=0,1E+99,SUMIF(Distance_Matrix!$E$10:$DQ$10,2,Distance_Matrix!$E$122:$DQ$122)/COUNTIF(Distance_Matrix!$E$10:$DQ$10,2))),IF(3=$E254,1E+99,IF(COUNTIF(Distance_Matrix!$E$10:$DQ$10,3)=0,1E+99,SUMIF(Distance_Matrix!$E$10:$DQ$10,3,Distance_Matrix!$E$122:$DQ$122)/COUNTIF(Distance_Matrix!$E$10:$DQ$10,3))),IF(4=$E254,1E+99,IF(COUNTIF(Distance_Matrix!$E$10:$DQ$10,4)=0,1E+99,SUMIF(Distance_Matrix!$E$10:$DQ$10,4,Distance_Matrix!$E$122:$DQ$122)/COUNTIF(Distance_Matrix!$E$10:$DQ$10,4))))</f>
        <v>1.7132835686006376</v>
      </c>
      <c r="I254" s="18">
        <f>IF(COUNTIF(Distance_Matrix!$E$10:$DQ$10,$E254)&lt;=1,0,(H254-G254)/MAX(G254,H254))</f>
        <v>0.73200296938981047</v>
      </c>
      <c r="X254" s="18">
        <f t="shared" si="244"/>
        <v>8.0258166331110399</v>
      </c>
      <c r="Y254" s="18">
        <f t="shared" si="244"/>
        <v>0.57179475719683159</v>
      </c>
      <c r="Z254" s="18">
        <f t="shared" si="244"/>
        <v>3.7983505335880898</v>
      </c>
      <c r="AA254" s="18">
        <f t="shared" si="244"/>
        <v>2.2168421962261942</v>
      </c>
      <c r="AB254" s="56">
        <f t="shared" si="232"/>
        <v>2</v>
      </c>
      <c r="AD254" s="18">
        <f t="shared" si="245"/>
        <v>7.0244242517223938</v>
      </c>
      <c r="AE254" s="18">
        <f t="shared" si="245"/>
        <v>0.34041814392956793</v>
      </c>
      <c r="AF254" s="18">
        <f t="shared" si="245"/>
        <v>3.1841508464666424</v>
      </c>
      <c r="AG254" s="18">
        <f t="shared" si="245"/>
        <v>1.5883001569450095</v>
      </c>
      <c r="AH254" s="56">
        <f t="shared" si="233"/>
        <v>2</v>
      </c>
      <c r="AJ254" s="18">
        <f t="shared" si="246"/>
        <v>6.6930285905511253</v>
      </c>
      <c r="AK254" s="18">
        <f t="shared" si="246"/>
        <v>0.31930972911503241</v>
      </c>
      <c r="AL254" s="18">
        <f t="shared" si="246"/>
        <v>3.2507732859848555</v>
      </c>
      <c r="AM254" s="18">
        <f t="shared" si="246"/>
        <v>1.626835498065929</v>
      </c>
      <c r="AN254" s="56">
        <f t="shared" si="234"/>
        <v>2</v>
      </c>
      <c r="AP254" s="18">
        <f t="shared" si="247"/>
        <v>6.3963389238715429</v>
      </c>
      <c r="AQ254" s="18">
        <f t="shared" si="247"/>
        <v>0.24181753818461471</v>
      </c>
      <c r="AR254" s="18">
        <f t="shared" si="247"/>
        <v>3.20895384092305</v>
      </c>
      <c r="AS254" s="18">
        <f t="shared" si="247"/>
        <v>1.588463359253752</v>
      </c>
      <c r="AT254" s="56">
        <f t="shared" si="235"/>
        <v>2</v>
      </c>
      <c r="AV254" s="18">
        <f t="shared" si="248"/>
        <v>6.3963389238715429</v>
      </c>
      <c r="AW254" s="18">
        <f t="shared" si="248"/>
        <v>0.24181753818461471</v>
      </c>
      <c r="AX254" s="18">
        <f t="shared" si="248"/>
        <v>3.20895384092305</v>
      </c>
      <c r="AY254" s="18">
        <f t="shared" si="248"/>
        <v>1.588463359253752</v>
      </c>
      <c r="AZ254" s="56">
        <f t="shared" si="236"/>
        <v>2</v>
      </c>
      <c r="BB254" s="18">
        <f t="shared" si="249"/>
        <v>6.3963389238715429</v>
      </c>
      <c r="BC254" s="18">
        <f t="shared" si="249"/>
        <v>0.24181753818461471</v>
      </c>
      <c r="BD254" s="18">
        <f t="shared" si="249"/>
        <v>3.20895384092305</v>
      </c>
      <c r="BE254" s="18">
        <f t="shared" si="249"/>
        <v>1.588463359253752</v>
      </c>
      <c r="BF254" s="56">
        <f t="shared" si="237"/>
        <v>2</v>
      </c>
      <c r="BH254" s="18">
        <f t="shared" si="250"/>
        <v>6.3963389238715429</v>
      </c>
      <c r="BI254" s="18">
        <f t="shared" si="250"/>
        <v>0.24181753818461471</v>
      </c>
      <c r="BJ254" s="18">
        <f t="shared" si="250"/>
        <v>3.20895384092305</v>
      </c>
      <c r="BK254" s="18">
        <f t="shared" si="250"/>
        <v>1.588463359253752</v>
      </c>
      <c r="BL254" s="56">
        <f t="shared" si="238"/>
        <v>2</v>
      </c>
      <c r="BN254" s="18">
        <f t="shared" si="251"/>
        <v>6.3963389238715429</v>
      </c>
      <c r="BO254" s="18">
        <f t="shared" si="251"/>
        <v>0.24181753818461471</v>
      </c>
      <c r="BP254" s="18">
        <f t="shared" si="251"/>
        <v>3.20895384092305</v>
      </c>
      <c r="BQ254" s="18">
        <f t="shared" si="251"/>
        <v>1.588463359253752</v>
      </c>
      <c r="BR254" s="56">
        <f t="shared" si="239"/>
        <v>2</v>
      </c>
      <c r="BT254" s="18">
        <f t="shared" si="252"/>
        <v>6.3963389238715429</v>
      </c>
      <c r="BU254" s="18">
        <f t="shared" si="252"/>
        <v>0.24181753818461471</v>
      </c>
      <c r="BV254" s="18">
        <f t="shared" si="252"/>
        <v>3.20895384092305</v>
      </c>
      <c r="BW254" s="18">
        <f t="shared" si="252"/>
        <v>1.588463359253752</v>
      </c>
      <c r="BX254" s="56">
        <f t="shared" si="240"/>
        <v>2</v>
      </c>
      <c r="BZ254" s="18">
        <f t="shared" si="253"/>
        <v>6.3963389238715429</v>
      </c>
      <c r="CA254" s="18">
        <f t="shared" si="253"/>
        <v>0.24181753818461471</v>
      </c>
      <c r="CB254" s="18">
        <f t="shared" si="253"/>
        <v>3.20895384092305</v>
      </c>
      <c r="CC254" s="18">
        <f t="shared" si="253"/>
        <v>1.588463359253752</v>
      </c>
      <c r="CD254" s="56">
        <f t="shared" si="241"/>
        <v>2</v>
      </c>
      <c r="CF254" s="18">
        <f t="shared" si="254"/>
        <v>6.3963389238715429</v>
      </c>
      <c r="CG254" s="18">
        <f t="shared" si="254"/>
        <v>0.24181753818461471</v>
      </c>
      <c r="CH254" s="18">
        <f t="shared" si="254"/>
        <v>3.20895384092305</v>
      </c>
      <c r="CI254" s="18">
        <f t="shared" si="254"/>
        <v>1.588463359253752</v>
      </c>
      <c r="CJ254" s="56">
        <f t="shared" si="242"/>
        <v>2</v>
      </c>
      <c r="CL254" s="18">
        <f t="shared" si="255"/>
        <v>6.3963389238715429</v>
      </c>
      <c r="CM254" s="18">
        <f t="shared" si="255"/>
        <v>0.24181753818461471</v>
      </c>
      <c r="CN254" s="18">
        <f t="shared" si="255"/>
        <v>3.20895384092305</v>
      </c>
      <c r="CO254" s="18">
        <f t="shared" si="255"/>
        <v>1.588463359253752</v>
      </c>
      <c r="CP254" s="56">
        <f t="shared" si="243"/>
        <v>2</v>
      </c>
    </row>
    <row r="255" spans="1:94" x14ac:dyDescent="0.25">
      <c r="A255" s="36" t="str">
        <f>KMeans_Data!A114</f>
        <v>Tor Ghar</v>
      </c>
      <c r="B255" s="18">
        <f>KMeans_Data!H114</f>
        <v>-1.507943224606497</v>
      </c>
      <c r="C255" s="18">
        <f>KMeans_Data!I114</f>
        <v>-0.67265054538827607</v>
      </c>
      <c r="D255" s="18">
        <f>KMeans_Data!J114</f>
        <v>-1.1456441163335547</v>
      </c>
      <c r="E255" s="56">
        <f t="shared" si="230"/>
        <v>2</v>
      </c>
      <c r="F255" s="38">
        <f t="shared" si="231"/>
        <v>5.847572177366759E-2</v>
      </c>
      <c r="G255" s="18">
        <f>IF(COUNTIF(Distance_Matrix!$E$10:$DQ$10,$E255)&lt;=1,0,SUMIF(Distance_Matrix!$E$10:$DQ$10,$E255,Distance_Matrix!$E$123:$DQ$123)/(COUNTIF(Distance_Matrix!$E$10:$DQ$10,$E255)-1))</f>
        <v>0.45915490897819988</v>
      </c>
      <c r="H255" s="18">
        <f>MIN(IF(1=$E255,1E+99,IF(COUNTIF(Distance_Matrix!$E$10:$DQ$10,1)=0,1E+99,SUMIF(Distance_Matrix!$E$10:$DQ$10,1,Distance_Matrix!$E$123:$DQ$123)/COUNTIF(Distance_Matrix!$E$10:$DQ$10,1))),IF(2=$E255,1E+99,IF(COUNTIF(Distance_Matrix!$E$10:$DQ$10,2)=0,1E+99,SUMIF(Distance_Matrix!$E$10:$DQ$10,2,Distance_Matrix!$E$123:$DQ$123)/COUNTIF(Distance_Matrix!$E$10:$DQ$10,2))),IF(3=$E255,1E+99,IF(COUNTIF(Distance_Matrix!$E$10:$DQ$10,3)=0,1E+99,SUMIF(Distance_Matrix!$E$10:$DQ$10,3,Distance_Matrix!$E$123:$DQ$123)/COUNTIF(Distance_Matrix!$E$10:$DQ$10,3))),IF(4=$E255,1E+99,IF(COUNTIF(Distance_Matrix!$E$10:$DQ$10,4)=0,1E+99,SUMIF(Distance_Matrix!$E$10:$DQ$10,4,Distance_Matrix!$E$123:$DQ$123)/COUNTIF(Distance_Matrix!$E$10:$DQ$10,4))))</f>
        <v>1.7132835686006376</v>
      </c>
      <c r="I255" s="18">
        <f>IF(COUNTIF(Distance_Matrix!$E$10:$DQ$10,$E255)&lt;=1,0,(H255-G255)/MAX(G255,H255))</f>
        <v>0.73200296938981047</v>
      </c>
      <c r="X255" s="18">
        <f t="shared" si="244"/>
        <v>8.0258166331110399</v>
      </c>
      <c r="Y255" s="18">
        <f t="shared" si="244"/>
        <v>0.57179475719683159</v>
      </c>
      <c r="Z255" s="18">
        <f t="shared" si="244"/>
        <v>3.7983505335880898</v>
      </c>
      <c r="AA255" s="18">
        <f t="shared" si="244"/>
        <v>2.2168421962261942</v>
      </c>
      <c r="AB255" s="56">
        <f t="shared" si="232"/>
        <v>2</v>
      </c>
      <c r="AD255" s="18">
        <f t="shared" si="245"/>
        <v>7.0244242517223938</v>
      </c>
      <c r="AE255" s="18">
        <f t="shared" si="245"/>
        <v>0.34041814392956793</v>
      </c>
      <c r="AF255" s="18">
        <f t="shared" si="245"/>
        <v>3.1841508464666424</v>
      </c>
      <c r="AG255" s="18">
        <f t="shared" si="245"/>
        <v>1.5883001569450095</v>
      </c>
      <c r="AH255" s="56">
        <f t="shared" si="233"/>
        <v>2</v>
      </c>
      <c r="AJ255" s="18">
        <f t="shared" si="246"/>
        <v>6.6930285905511253</v>
      </c>
      <c r="AK255" s="18">
        <f t="shared" si="246"/>
        <v>0.31930972911503241</v>
      </c>
      <c r="AL255" s="18">
        <f t="shared" si="246"/>
        <v>3.2507732859848555</v>
      </c>
      <c r="AM255" s="18">
        <f t="shared" si="246"/>
        <v>1.626835498065929</v>
      </c>
      <c r="AN255" s="56">
        <f t="shared" si="234"/>
        <v>2</v>
      </c>
      <c r="AP255" s="18">
        <f t="shared" si="247"/>
        <v>6.3963389238715429</v>
      </c>
      <c r="AQ255" s="18">
        <f t="shared" si="247"/>
        <v>0.24181753818461471</v>
      </c>
      <c r="AR255" s="18">
        <f t="shared" si="247"/>
        <v>3.20895384092305</v>
      </c>
      <c r="AS255" s="18">
        <f t="shared" si="247"/>
        <v>1.588463359253752</v>
      </c>
      <c r="AT255" s="56">
        <f t="shared" si="235"/>
        <v>2</v>
      </c>
      <c r="AV255" s="18">
        <f t="shared" si="248"/>
        <v>6.3963389238715429</v>
      </c>
      <c r="AW255" s="18">
        <f t="shared" si="248"/>
        <v>0.24181753818461471</v>
      </c>
      <c r="AX255" s="18">
        <f t="shared" si="248"/>
        <v>3.20895384092305</v>
      </c>
      <c r="AY255" s="18">
        <f t="shared" si="248"/>
        <v>1.588463359253752</v>
      </c>
      <c r="AZ255" s="56">
        <f t="shared" si="236"/>
        <v>2</v>
      </c>
      <c r="BB255" s="18">
        <f t="shared" si="249"/>
        <v>6.3963389238715429</v>
      </c>
      <c r="BC255" s="18">
        <f t="shared" si="249"/>
        <v>0.24181753818461471</v>
      </c>
      <c r="BD255" s="18">
        <f t="shared" si="249"/>
        <v>3.20895384092305</v>
      </c>
      <c r="BE255" s="18">
        <f t="shared" si="249"/>
        <v>1.588463359253752</v>
      </c>
      <c r="BF255" s="56">
        <f t="shared" si="237"/>
        <v>2</v>
      </c>
      <c r="BH255" s="18">
        <f t="shared" si="250"/>
        <v>6.3963389238715429</v>
      </c>
      <c r="BI255" s="18">
        <f t="shared" si="250"/>
        <v>0.24181753818461471</v>
      </c>
      <c r="BJ255" s="18">
        <f t="shared" si="250"/>
        <v>3.20895384092305</v>
      </c>
      <c r="BK255" s="18">
        <f t="shared" si="250"/>
        <v>1.588463359253752</v>
      </c>
      <c r="BL255" s="56">
        <f t="shared" si="238"/>
        <v>2</v>
      </c>
      <c r="BN255" s="18">
        <f t="shared" si="251"/>
        <v>6.3963389238715429</v>
      </c>
      <c r="BO255" s="18">
        <f t="shared" si="251"/>
        <v>0.24181753818461471</v>
      </c>
      <c r="BP255" s="18">
        <f t="shared" si="251"/>
        <v>3.20895384092305</v>
      </c>
      <c r="BQ255" s="18">
        <f t="shared" si="251"/>
        <v>1.588463359253752</v>
      </c>
      <c r="BR255" s="56">
        <f t="shared" si="239"/>
        <v>2</v>
      </c>
      <c r="BT255" s="18">
        <f t="shared" si="252"/>
        <v>6.3963389238715429</v>
      </c>
      <c r="BU255" s="18">
        <f t="shared" si="252"/>
        <v>0.24181753818461471</v>
      </c>
      <c r="BV255" s="18">
        <f t="shared" si="252"/>
        <v>3.20895384092305</v>
      </c>
      <c r="BW255" s="18">
        <f t="shared" si="252"/>
        <v>1.588463359253752</v>
      </c>
      <c r="BX255" s="56">
        <f t="shared" si="240"/>
        <v>2</v>
      </c>
      <c r="BZ255" s="18">
        <f t="shared" si="253"/>
        <v>6.3963389238715429</v>
      </c>
      <c r="CA255" s="18">
        <f t="shared" si="253"/>
        <v>0.24181753818461471</v>
      </c>
      <c r="CB255" s="18">
        <f t="shared" si="253"/>
        <v>3.20895384092305</v>
      </c>
      <c r="CC255" s="18">
        <f t="shared" si="253"/>
        <v>1.588463359253752</v>
      </c>
      <c r="CD255" s="56">
        <f t="shared" si="241"/>
        <v>2</v>
      </c>
      <c r="CF255" s="18">
        <f t="shared" si="254"/>
        <v>6.3963389238715429</v>
      </c>
      <c r="CG255" s="18">
        <f t="shared" si="254"/>
        <v>0.24181753818461471</v>
      </c>
      <c r="CH255" s="18">
        <f t="shared" si="254"/>
        <v>3.20895384092305</v>
      </c>
      <c r="CI255" s="18">
        <f t="shared" si="254"/>
        <v>1.588463359253752</v>
      </c>
      <c r="CJ255" s="56">
        <f t="shared" si="242"/>
        <v>2</v>
      </c>
      <c r="CL255" s="18">
        <f t="shared" si="255"/>
        <v>6.3963389238715429</v>
      </c>
      <c r="CM255" s="18">
        <f t="shared" si="255"/>
        <v>0.24181753818461471</v>
      </c>
      <c r="CN255" s="18">
        <f t="shared" si="255"/>
        <v>3.20895384092305</v>
      </c>
      <c r="CO255" s="18">
        <f t="shared" si="255"/>
        <v>1.588463359253752</v>
      </c>
      <c r="CP255" s="56">
        <f t="shared" si="243"/>
        <v>2</v>
      </c>
    </row>
    <row r="256" spans="1:94" x14ac:dyDescent="0.25">
      <c r="A256" s="36" t="str">
        <f>KMeans_Data!A115</f>
        <v>Trarkhel</v>
      </c>
      <c r="B256" s="18">
        <f>KMeans_Data!H115</f>
        <v>-1.7189756565516803</v>
      </c>
      <c r="C256" s="18">
        <f>KMeans_Data!I115</f>
        <v>-0.67265054538827607</v>
      </c>
      <c r="D256" s="18">
        <f>KMeans_Data!J115</f>
        <v>-1.1456441163335547</v>
      </c>
      <c r="E256" s="56">
        <f t="shared" si="230"/>
        <v>2</v>
      </c>
      <c r="F256" s="38">
        <f t="shared" si="231"/>
        <v>0.20007137556882149</v>
      </c>
      <c r="G256" s="18">
        <f>IF(COUNTIF(Distance_Matrix!$E$10:$DQ$10,$E256)&lt;=1,0,SUMIF(Distance_Matrix!$E$10:$DQ$10,$E256,Distance_Matrix!$E$124:$DQ$124)/(COUNTIF(Distance_Matrix!$E$10:$DQ$10,$E256)-1))</f>
        <v>0.54773175436393096</v>
      </c>
      <c r="H256" s="18">
        <f>MIN(IF(1=$E256,1E+99,IF(COUNTIF(Distance_Matrix!$E$10:$DQ$10,1)=0,1E+99,SUMIF(Distance_Matrix!$E$10:$DQ$10,1,Distance_Matrix!$E$124:$DQ$124)/COUNTIF(Distance_Matrix!$E$10:$DQ$10,1))),IF(2=$E256,1E+99,IF(COUNTIF(Distance_Matrix!$E$10:$DQ$10,2)=0,1E+99,SUMIF(Distance_Matrix!$E$10:$DQ$10,2,Distance_Matrix!$E$124:$DQ$124)/COUNTIF(Distance_Matrix!$E$10:$DQ$10,2))),IF(3=$E256,1E+99,IF(COUNTIF(Distance_Matrix!$E$10:$DQ$10,3)=0,1E+99,SUMIF(Distance_Matrix!$E$10:$DQ$10,3,Distance_Matrix!$E$124:$DQ$124)/COUNTIF(Distance_Matrix!$E$10:$DQ$10,3))),IF(4=$E256,1E+99,IF(COUNTIF(Distance_Matrix!$E$10:$DQ$10,4)=0,1E+99,SUMIF(Distance_Matrix!$E$10:$DQ$10,4,Distance_Matrix!$E$124:$DQ$124)/COUNTIF(Distance_Matrix!$E$10:$DQ$10,4))))</f>
        <v>1.8873561387472708</v>
      </c>
      <c r="I256" s="18">
        <f>IF(COUNTIF(Distance_Matrix!$E$10:$DQ$10,$E256)&lt;=1,0,(H256-G256)/MAX(G256,H256))</f>
        <v>0.70978887178787209</v>
      </c>
      <c r="X256" s="18">
        <f t="shared" si="244"/>
        <v>8.153323730623006</v>
      </c>
      <c r="Y256" s="18">
        <f t="shared" si="244"/>
        <v>0.36076232525164831</v>
      </c>
      <c r="Z256" s="18">
        <f t="shared" si="244"/>
        <v>3.9428764577316429</v>
      </c>
      <c r="AA256" s="18">
        <f t="shared" si="244"/>
        <v>2.4223727569813844</v>
      </c>
      <c r="AB256" s="56">
        <f t="shared" si="232"/>
        <v>2</v>
      </c>
      <c r="AD256" s="18">
        <f t="shared" si="245"/>
        <v>7.1560403586580508</v>
      </c>
      <c r="AE256" s="18">
        <f t="shared" si="245"/>
        <v>0.52257248253237443</v>
      </c>
      <c r="AF256" s="18">
        <f t="shared" si="245"/>
        <v>3.3281026958624276</v>
      </c>
      <c r="AG256" s="18">
        <f t="shared" si="245"/>
        <v>1.7825279742516824</v>
      </c>
      <c r="AH256" s="56">
        <f t="shared" si="233"/>
        <v>2</v>
      </c>
      <c r="AJ256" s="18">
        <f t="shared" si="246"/>
        <v>6.8270932084969553</v>
      </c>
      <c r="AK256" s="18">
        <f t="shared" si="246"/>
        <v>0.51268272019926897</v>
      </c>
      <c r="AL256" s="18">
        <f t="shared" si="246"/>
        <v>3.3947774885407545</v>
      </c>
      <c r="AM256" s="18">
        <f t="shared" si="246"/>
        <v>1.8147065984705486</v>
      </c>
      <c r="AN256" s="56">
        <f t="shared" si="234"/>
        <v>2</v>
      </c>
      <c r="AP256" s="18">
        <f t="shared" si="247"/>
        <v>6.5300995980505299</v>
      </c>
      <c r="AQ256" s="18">
        <f t="shared" si="247"/>
        <v>0.44729338869339608</v>
      </c>
      <c r="AR256" s="18">
        <f t="shared" si="247"/>
        <v>3.3533255216773856</v>
      </c>
      <c r="AS256" s="18">
        <f t="shared" si="247"/>
        <v>1.7747923773296637</v>
      </c>
      <c r="AT256" s="56">
        <f t="shared" si="235"/>
        <v>2</v>
      </c>
      <c r="AV256" s="18">
        <f t="shared" si="248"/>
        <v>6.5300995980505299</v>
      </c>
      <c r="AW256" s="18">
        <f t="shared" si="248"/>
        <v>0.44729338869339608</v>
      </c>
      <c r="AX256" s="18">
        <f t="shared" si="248"/>
        <v>3.3533255216773856</v>
      </c>
      <c r="AY256" s="18">
        <f t="shared" si="248"/>
        <v>1.7747923773296637</v>
      </c>
      <c r="AZ256" s="56">
        <f t="shared" si="236"/>
        <v>2</v>
      </c>
      <c r="BB256" s="18">
        <f t="shared" si="249"/>
        <v>6.5300995980505299</v>
      </c>
      <c r="BC256" s="18">
        <f t="shared" si="249"/>
        <v>0.44729338869339608</v>
      </c>
      <c r="BD256" s="18">
        <f t="shared" si="249"/>
        <v>3.3533255216773856</v>
      </c>
      <c r="BE256" s="18">
        <f t="shared" si="249"/>
        <v>1.7747923773296637</v>
      </c>
      <c r="BF256" s="56">
        <f t="shared" si="237"/>
        <v>2</v>
      </c>
      <c r="BH256" s="18">
        <f t="shared" si="250"/>
        <v>6.5300995980505299</v>
      </c>
      <c r="BI256" s="18">
        <f t="shared" si="250"/>
        <v>0.44729338869339608</v>
      </c>
      <c r="BJ256" s="18">
        <f t="shared" si="250"/>
        <v>3.3533255216773856</v>
      </c>
      <c r="BK256" s="18">
        <f t="shared" si="250"/>
        <v>1.7747923773296637</v>
      </c>
      <c r="BL256" s="56">
        <f t="shared" si="238"/>
        <v>2</v>
      </c>
      <c r="BN256" s="18">
        <f t="shared" si="251"/>
        <v>6.5300995980505299</v>
      </c>
      <c r="BO256" s="18">
        <f t="shared" si="251"/>
        <v>0.44729338869339608</v>
      </c>
      <c r="BP256" s="18">
        <f t="shared" si="251"/>
        <v>3.3533255216773856</v>
      </c>
      <c r="BQ256" s="18">
        <f t="shared" si="251"/>
        <v>1.7747923773296637</v>
      </c>
      <c r="BR256" s="56">
        <f t="shared" si="239"/>
        <v>2</v>
      </c>
      <c r="BT256" s="18">
        <f t="shared" si="252"/>
        <v>6.5300995980505299</v>
      </c>
      <c r="BU256" s="18">
        <f t="shared" si="252"/>
        <v>0.44729338869339608</v>
      </c>
      <c r="BV256" s="18">
        <f t="shared" si="252"/>
        <v>3.3533255216773856</v>
      </c>
      <c r="BW256" s="18">
        <f t="shared" si="252"/>
        <v>1.7747923773296637</v>
      </c>
      <c r="BX256" s="56">
        <f t="shared" si="240"/>
        <v>2</v>
      </c>
      <c r="BZ256" s="18">
        <f t="shared" si="253"/>
        <v>6.5300995980505299</v>
      </c>
      <c r="CA256" s="18">
        <f t="shared" si="253"/>
        <v>0.44729338869339608</v>
      </c>
      <c r="CB256" s="18">
        <f t="shared" si="253"/>
        <v>3.3533255216773856</v>
      </c>
      <c r="CC256" s="18">
        <f t="shared" si="253"/>
        <v>1.7747923773296637</v>
      </c>
      <c r="CD256" s="56">
        <f t="shared" si="241"/>
        <v>2</v>
      </c>
      <c r="CF256" s="18">
        <f t="shared" si="254"/>
        <v>6.5300995980505299</v>
      </c>
      <c r="CG256" s="18">
        <f t="shared" si="254"/>
        <v>0.44729338869339608</v>
      </c>
      <c r="CH256" s="18">
        <f t="shared" si="254"/>
        <v>3.3533255216773856</v>
      </c>
      <c r="CI256" s="18">
        <f t="shared" si="254"/>
        <v>1.7747923773296637</v>
      </c>
      <c r="CJ256" s="56">
        <f t="shared" si="242"/>
        <v>2</v>
      </c>
      <c r="CL256" s="18">
        <f t="shared" si="255"/>
        <v>6.5300995980505299</v>
      </c>
      <c r="CM256" s="18">
        <f t="shared" si="255"/>
        <v>0.44729338869339608</v>
      </c>
      <c r="CN256" s="18">
        <f t="shared" si="255"/>
        <v>3.3533255216773856</v>
      </c>
      <c r="CO256" s="18">
        <f t="shared" si="255"/>
        <v>1.7747923773296637</v>
      </c>
      <c r="CP256" s="56">
        <f t="shared" si="243"/>
        <v>2</v>
      </c>
    </row>
    <row r="257" spans="1:105" x14ac:dyDescent="0.25">
      <c r="A257" s="36" t="str">
        <f>KMeans_Data!A116</f>
        <v>Kohistan Upper</v>
      </c>
      <c r="B257" s="18">
        <f>KMeans_Data!H116</f>
        <v>-1.7189756565516803</v>
      </c>
      <c r="C257" s="18">
        <f>KMeans_Data!I116</f>
        <v>-0.67265054538827607</v>
      </c>
      <c r="D257" s="18">
        <f>KMeans_Data!J116</f>
        <v>-1.1456441163335547</v>
      </c>
      <c r="E257" s="56">
        <f t="shared" si="230"/>
        <v>2</v>
      </c>
      <c r="F257" s="38">
        <f t="shared" si="231"/>
        <v>0.20007137556882149</v>
      </c>
      <c r="G257" s="18">
        <f>IF(COUNTIF(Distance_Matrix!$E$10:$DQ$10,$E257)&lt;=1,0,SUMIF(Distance_Matrix!$E$10:$DQ$10,$E257,Distance_Matrix!$E$125:$DQ$125)/(COUNTIF(Distance_Matrix!$E$10:$DQ$10,$E257)-1))</f>
        <v>0.54773175436393096</v>
      </c>
      <c r="H257" s="18">
        <f>MIN(IF(1=$E257,1E+99,IF(COUNTIF(Distance_Matrix!$E$10:$DQ$10,1)=0,1E+99,SUMIF(Distance_Matrix!$E$10:$DQ$10,1,Distance_Matrix!$E$125:$DQ$125)/COUNTIF(Distance_Matrix!$E$10:$DQ$10,1))),IF(2=$E257,1E+99,IF(COUNTIF(Distance_Matrix!$E$10:$DQ$10,2)=0,1E+99,SUMIF(Distance_Matrix!$E$10:$DQ$10,2,Distance_Matrix!$E$125:$DQ$125)/COUNTIF(Distance_Matrix!$E$10:$DQ$10,2))),IF(3=$E257,1E+99,IF(COUNTIF(Distance_Matrix!$E$10:$DQ$10,3)=0,1E+99,SUMIF(Distance_Matrix!$E$10:$DQ$10,3,Distance_Matrix!$E$125:$DQ$125)/COUNTIF(Distance_Matrix!$E$10:$DQ$10,3))),IF(4=$E257,1E+99,IF(COUNTIF(Distance_Matrix!$E$10:$DQ$10,4)=0,1E+99,SUMIF(Distance_Matrix!$E$10:$DQ$10,4,Distance_Matrix!$E$125:$DQ$125)/COUNTIF(Distance_Matrix!$E$10:$DQ$10,4))))</f>
        <v>1.8873561387472708</v>
      </c>
      <c r="I257" s="18">
        <f>IF(COUNTIF(Distance_Matrix!$E$10:$DQ$10,$E257)&lt;=1,0,(H257-G257)/MAX(G257,H257))</f>
        <v>0.70978887178787209</v>
      </c>
      <c r="X257" s="18">
        <f t="shared" si="244"/>
        <v>8.153323730623006</v>
      </c>
      <c r="Y257" s="18">
        <f t="shared" si="244"/>
        <v>0.36076232525164831</v>
      </c>
      <c r="Z257" s="18">
        <f t="shared" si="244"/>
        <v>3.9428764577316429</v>
      </c>
      <c r="AA257" s="18">
        <f t="shared" si="244"/>
        <v>2.4223727569813844</v>
      </c>
      <c r="AB257" s="56">
        <f t="shared" si="232"/>
        <v>2</v>
      </c>
      <c r="AD257" s="18">
        <f t="shared" si="245"/>
        <v>7.1560403586580508</v>
      </c>
      <c r="AE257" s="18">
        <f t="shared" si="245"/>
        <v>0.52257248253237443</v>
      </c>
      <c r="AF257" s="18">
        <f t="shared" si="245"/>
        <v>3.3281026958624276</v>
      </c>
      <c r="AG257" s="18">
        <f t="shared" si="245"/>
        <v>1.7825279742516824</v>
      </c>
      <c r="AH257" s="56">
        <f t="shared" si="233"/>
        <v>2</v>
      </c>
      <c r="AJ257" s="18">
        <f t="shared" si="246"/>
        <v>6.8270932084969553</v>
      </c>
      <c r="AK257" s="18">
        <f t="shared" si="246"/>
        <v>0.51268272019926897</v>
      </c>
      <c r="AL257" s="18">
        <f t="shared" si="246"/>
        <v>3.3947774885407545</v>
      </c>
      <c r="AM257" s="18">
        <f t="shared" si="246"/>
        <v>1.8147065984705486</v>
      </c>
      <c r="AN257" s="56">
        <f t="shared" si="234"/>
        <v>2</v>
      </c>
      <c r="AP257" s="18">
        <f t="shared" si="247"/>
        <v>6.5300995980505299</v>
      </c>
      <c r="AQ257" s="18">
        <f t="shared" si="247"/>
        <v>0.44729338869339608</v>
      </c>
      <c r="AR257" s="18">
        <f t="shared" si="247"/>
        <v>3.3533255216773856</v>
      </c>
      <c r="AS257" s="18">
        <f t="shared" si="247"/>
        <v>1.7747923773296637</v>
      </c>
      <c r="AT257" s="56">
        <f t="shared" si="235"/>
        <v>2</v>
      </c>
      <c r="AV257" s="18">
        <f t="shared" si="248"/>
        <v>6.5300995980505299</v>
      </c>
      <c r="AW257" s="18">
        <f t="shared" si="248"/>
        <v>0.44729338869339608</v>
      </c>
      <c r="AX257" s="18">
        <f t="shared" si="248"/>
        <v>3.3533255216773856</v>
      </c>
      <c r="AY257" s="18">
        <f t="shared" si="248"/>
        <v>1.7747923773296637</v>
      </c>
      <c r="AZ257" s="56">
        <f t="shared" si="236"/>
        <v>2</v>
      </c>
      <c r="BB257" s="18">
        <f t="shared" si="249"/>
        <v>6.5300995980505299</v>
      </c>
      <c r="BC257" s="18">
        <f t="shared" si="249"/>
        <v>0.44729338869339608</v>
      </c>
      <c r="BD257" s="18">
        <f t="shared" si="249"/>
        <v>3.3533255216773856</v>
      </c>
      <c r="BE257" s="18">
        <f t="shared" si="249"/>
        <v>1.7747923773296637</v>
      </c>
      <c r="BF257" s="56">
        <f t="shared" si="237"/>
        <v>2</v>
      </c>
      <c r="BH257" s="18">
        <f t="shared" si="250"/>
        <v>6.5300995980505299</v>
      </c>
      <c r="BI257" s="18">
        <f t="shared" si="250"/>
        <v>0.44729338869339608</v>
      </c>
      <c r="BJ257" s="18">
        <f t="shared" si="250"/>
        <v>3.3533255216773856</v>
      </c>
      <c r="BK257" s="18">
        <f t="shared" si="250"/>
        <v>1.7747923773296637</v>
      </c>
      <c r="BL257" s="56">
        <f t="shared" si="238"/>
        <v>2</v>
      </c>
      <c r="BN257" s="18">
        <f t="shared" si="251"/>
        <v>6.5300995980505299</v>
      </c>
      <c r="BO257" s="18">
        <f t="shared" si="251"/>
        <v>0.44729338869339608</v>
      </c>
      <c r="BP257" s="18">
        <f t="shared" si="251"/>
        <v>3.3533255216773856</v>
      </c>
      <c r="BQ257" s="18">
        <f t="shared" si="251"/>
        <v>1.7747923773296637</v>
      </c>
      <c r="BR257" s="56">
        <f t="shared" si="239"/>
        <v>2</v>
      </c>
      <c r="BT257" s="18">
        <f t="shared" si="252"/>
        <v>6.5300995980505299</v>
      </c>
      <c r="BU257" s="18">
        <f t="shared" si="252"/>
        <v>0.44729338869339608</v>
      </c>
      <c r="BV257" s="18">
        <f t="shared" si="252"/>
        <v>3.3533255216773856</v>
      </c>
      <c r="BW257" s="18">
        <f t="shared" si="252"/>
        <v>1.7747923773296637</v>
      </c>
      <c r="BX257" s="56">
        <f t="shared" si="240"/>
        <v>2</v>
      </c>
      <c r="BZ257" s="18">
        <f t="shared" si="253"/>
        <v>6.5300995980505299</v>
      </c>
      <c r="CA257" s="18">
        <f t="shared" si="253"/>
        <v>0.44729338869339608</v>
      </c>
      <c r="CB257" s="18">
        <f t="shared" si="253"/>
        <v>3.3533255216773856</v>
      </c>
      <c r="CC257" s="18">
        <f t="shared" si="253"/>
        <v>1.7747923773296637</v>
      </c>
      <c r="CD257" s="56">
        <f t="shared" si="241"/>
        <v>2</v>
      </c>
      <c r="CF257" s="18">
        <f t="shared" si="254"/>
        <v>6.5300995980505299</v>
      </c>
      <c r="CG257" s="18">
        <f t="shared" si="254"/>
        <v>0.44729338869339608</v>
      </c>
      <c r="CH257" s="18">
        <f t="shared" si="254"/>
        <v>3.3533255216773856</v>
      </c>
      <c r="CI257" s="18">
        <f t="shared" si="254"/>
        <v>1.7747923773296637</v>
      </c>
      <c r="CJ257" s="56">
        <f t="shared" si="242"/>
        <v>2</v>
      </c>
      <c r="CL257" s="18">
        <f t="shared" si="255"/>
        <v>6.5300995980505299</v>
      </c>
      <c r="CM257" s="18">
        <f t="shared" si="255"/>
        <v>0.44729338869339608</v>
      </c>
      <c r="CN257" s="18">
        <f t="shared" si="255"/>
        <v>3.3533255216773856</v>
      </c>
      <c r="CO257" s="18">
        <f t="shared" si="255"/>
        <v>1.7747923773296637</v>
      </c>
      <c r="CP257" s="56">
        <f t="shared" si="243"/>
        <v>2</v>
      </c>
    </row>
    <row r="258" spans="1:105" x14ac:dyDescent="0.25">
      <c r="A258" s="36" t="str">
        <f>KMeans_Data!A117</f>
        <v>Okara</v>
      </c>
      <c r="B258" s="18">
        <f>KMeans_Data!H117</f>
        <v>-1.7189756565516803</v>
      </c>
      <c r="C258" s="18">
        <f>KMeans_Data!I117</f>
        <v>-0.67265054538827607</v>
      </c>
      <c r="D258" s="18">
        <f>KMeans_Data!J117</f>
        <v>-1.1456441163335547</v>
      </c>
      <c r="E258" s="56">
        <f t="shared" si="230"/>
        <v>2</v>
      </c>
      <c r="F258" s="38">
        <f t="shared" si="231"/>
        <v>0.20007137556882149</v>
      </c>
      <c r="G258" s="18">
        <f>IF(COUNTIF(Distance_Matrix!$E$10:$DQ$10,$E258)&lt;=1,0,SUMIF(Distance_Matrix!$E$10:$DQ$10,$E258,Distance_Matrix!$E$126:$DQ$126)/(COUNTIF(Distance_Matrix!$E$10:$DQ$10,$E258)-1))</f>
        <v>0.54773175436393096</v>
      </c>
      <c r="H258" s="18">
        <f>MIN(IF(1=$E258,1E+99,IF(COUNTIF(Distance_Matrix!$E$10:$DQ$10,1)=0,1E+99,SUMIF(Distance_Matrix!$E$10:$DQ$10,1,Distance_Matrix!$E$126:$DQ$126)/COUNTIF(Distance_Matrix!$E$10:$DQ$10,1))),IF(2=$E258,1E+99,IF(COUNTIF(Distance_Matrix!$E$10:$DQ$10,2)=0,1E+99,SUMIF(Distance_Matrix!$E$10:$DQ$10,2,Distance_Matrix!$E$126:$DQ$126)/COUNTIF(Distance_Matrix!$E$10:$DQ$10,2))),IF(3=$E258,1E+99,IF(COUNTIF(Distance_Matrix!$E$10:$DQ$10,3)=0,1E+99,SUMIF(Distance_Matrix!$E$10:$DQ$10,3,Distance_Matrix!$E$126:$DQ$126)/COUNTIF(Distance_Matrix!$E$10:$DQ$10,3))),IF(4=$E258,1E+99,IF(COUNTIF(Distance_Matrix!$E$10:$DQ$10,4)=0,1E+99,SUMIF(Distance_Matrix!$E$10:$DQ$10,4,Distance_Matrix!$E$126:$DQ$126)/COUNTIF(Distance_Matrix!$E$10:$DQ$10,4))))</f>
        <v>1.8873561387472708</v>
      </c>
      <c r="I258" s="18">
        <f>IF(COUNTIF(Distance_Matrix!$E$10:$DQ$10,$E258)&lt;=1,0,(H258-G258)/MAX(G258,H258))</f>
        <v>0.70978887178787209</v>
      </c>
      <c r="X258" s="18">
        <f t="shared" si="244"/>
        <v>8.153323730623006</v>
      </c>
      <c r="Y258" s="18">
        <f t="shared" si="244"/>
        <v>0.36076232525164831</v>
      </c>
      <c r="Z258" s="18">
        <f t="shared" si="244"/>
        <v>3.9428764577316429</v>
      </c>
      <c r="AA258" s="18">
        <f t="shared" si="244"/>
        <v>2.4223727569813844</v>
      </c>
      <c r="AB258" s="56">
        <f t="shared" si="232"/>
        <v>2</v>
      </c>
      <c r="AD258" s="18">
        <f t="shared" si="245"/>
        <v>7.1560403586580508</v>
      </c>
      <c r="AE258" s="18">
        <f t="shared" si="245"/>
        <v>0.52257248253237443</v>
      </c>
      <c r="AF258" s="18">
        <f t="shared" si="245"/>
        <v>3.3281026958624276</v>
      </c>
      <c r="AG258" s="18">
        <f t="shared" si="245"/>
        <v>1.7825279742516824</v>
      </c>
      <c r="AH258" s="56">
        <f t="shared" si="233"/>
        <v>2</v>
      </c>
      <c r="AJ258" s="18">
        <f t="shared" si="246"/>
        <v>6.8270932084969553</v>
      </c>
      <c r="AK258" s="18">
        <f t="shared" si="246"/>
        <v>0.51268272019926897</v>
      </c>
      <c r="AL258" s="18">
        <f t="shared" si="246"/>
        <v>3.3947774885407545</v>
      </c>
      <c r="AM258" s="18">
        <f t="shared" si="246"/>
        <v>1.8147065984705486</v>
      </c>
      <c r="AN258" s="56">
        <f t="shared" si="234"/>
        <v>2</v>
      </c>
      <c r="AP258" s="18">
        <f t="shared" si="247"/>
        <v>6.5300995980505299</v>
      </c>
      <c r="AQ258" s="18">
        <f t="shared" si="247"/>
        <v>0.44729338869339608</v>
      </c>
      <c r="AR258" s="18">
        <f t="shared" si="247"/>
        <v>3.3533255216773856</v>
      </c>
      <c r="AS258" s="18">
        <f t="shared" si="247"/>
        <v>1.7747923773296637</v>
      </c>
      <c r="AT258" s="56">
        <f t="shared" si="235"/>
        <v>2</v>
      </c>
      <c r="AV258" s="18">
        <f t="shared" si="248"/>
        <v>6.5300995980505299</v>
      </c>
      <c r="AW258" s="18">
        <f t="shared" si="248"/>
        <v>0.44729338869339608</v>
      </c>
      <c r="AX258" s="18">
        <f t="shared" si="248"/>
        <v>3.3533255216773856</v>
      </c>
      <c r="AY258" s="18">
        <f t="shared" si="248"/>
        <v>1.7747923773296637</v>
      </c>
      <c r="AZ258" s="56">
        <f t="shared" si="236"/>
        <v>2</v>
      </c>
      <c r="BB258" s="18">
        <f t="shared" si="249"/>
        <v>6.5300995980505299</v>
      </c>
      <c r="BC258" s="18">
        <f t="shared" si="249"/>
        <v>0.44729338869339608</v>
      </c>
      <c r="BD258" s="18">
        <f t="shared" si="249"/>
        <v>3.3533255216773856</v>
      </c>
      <c r="BE258" s="18">
        <f t="shared" si="249"/>
        <v>1.7747923773296637</v>
      </c>
      <c r="BF258" s="56">
        <f t="shared" si="237"/>
        <v>2</v>
      </c>
      <c r="BH258" s="18">
        <f t="shared" si="250"/>
        <v>6.5300995980505299</v>
      </c>
      <c r="BI258" s="18">
        <f t="shared" si="250"/>
        <v>0.44729338869339608</v>
      </c>
      <c r="BJ258" s="18">
        <f t="shared" si="250"/>
        <v>3.3533255216773856</v>
      </c>
      <c r="BK258" s="18">
        <f t="shared" si="250"/>
        <v>1.7747923773296637</v>
      </c>
      <c r="BL258" s="56">
        <f t="shared" si="238"/>
        <v>2</v>
      </c>
      <c r="BN258" s="18">
        <f t="shared" si="251"/>
        <v>6.5300995980505299</v>
      </c>
      <c r="BO258" s="18">
        <f t="shared" si="251"/>
        <v>0.44729338869339608</v>
      </c>
      <c r="BP258" s="18">
        <f t="shared" si="251"/>
        <v>3.3533255216773856</v>
      </c>
      <c r="BQ258" s="18">
        <f t="shared" si="251"/>
        <v>1.7747923773296637</v>
      </c>
      <c r="BR258" s="56">
        <f t="shared" si="239"/>
        <v>2</v>
      </c>
      <c r="BT258" s="18">
        <f t="shared" si="252"/>
        <v>6.5300995980505299</v>
      </c>
      <c r="BU258" s="18">
        <f t="shared" si="252"/>
        <v>0.44729338869339608</v>
      </c>
      <c r="BV258" s="18">
        <f t="shared" si="252"/>
        <v>3.3533255216773856</v>
      </c>
      <c r="BW258" s="18">
        <f t="shared" si="252"/>
        <v>1.7747923773296637</v>
      </c>
      <c r="BX258" s="56">
        <f t="shared" si="240"/>
        <v>2</v>
      </c>
      <c r="BZ258" s="18">
        <f t="shared" si="253"/>
        <v>6.5300995980505299</v>
      </c>
      <c r="CA258" s="18">
        <f t="shared" si="253"/>
        <v>0.44729338869339608</v>
      </c>
      <c r="CB258" s="18">
        <f t="shared" si="253"/>
        <v>3.3533255216773856</v>
      </c>
      <c r="CC258" s="18">
        <f t="shared" si="253"/>
        <v>1.7747923773296637</v>
      </c>
      <c r="CD258" s="56">
        <f t="shared" si="241"/>
        <v>2</v>
      </c>
      <c r="CF258" s="18">
        <f t="shared" si="254"/>
        <v>6.5300995980505299</v>
      </c>
      <c r="CG258" s="18">
        <f t="shared" si="254"/>
        <v>0.44729338869339608</v>
      </c>
      <c r="CH258" s="18">
        <f t="shared" si="254"/>
        <v>3.3533255216773856</v>
      </c>
      <c r="CI258" s="18">
        <f t="shared" si="254"/>
        <v>1.7747923773296637</v>
      </c>
      <c r="CJ258" s="56">
        <f t="shared" si="242"/>
        <v>2</v>
      </c>
      <c r="CL258" s="18">
        <f t="shared" si="255"/>
        <v>6.5300995980505299</v>
      </c>
      <c r="CM258" s="18">
        <f t="shared" si="255"/>
        <v>0.44729338869339608</v>
      </c>
      <c r="CN258" s="18">
        <f t="shared" si="255"/>
        <v>3.3533255216773856</v>
      </c>
      <c r="CO258" s="18">
        <f t="shared" si="255"/>
        <v>1.7747923773296637</v>
      </c>
      <c r="CP258" s="56">
        <f t="shared" si="243"/>
        <v>2</v>
      </c>
    </row>
    <row r="259" spans="1:105" x14ac:dyDescent="0.25">
      <c r="A259" s="36" t="str">
        <f>KMeans_Data!A118</f>
        <v>Ziarat</v>
      </c>
      <c r="B259" s="18">
        <f>KMeans_Data!H118</f>
        <v>-1.7189756565516803</v>
      </c>
      <c r="C259" s="18">
        <f>KMeans_Data!I118</f>
        <v>-0.67265054538827607</v>
      </c>
      <c r="D259" s="18">
        <f>KMeans_Data!J118</f>
        <v>-1.1456441163335547</v>
      </c>
      <c r="E259" s="56">
        <f t="shared" si="230"/>
        <v>2</v>
      </c>
      <c r="F259" s="38">
        <f t="shared" si="231"/>
        <v>0.20007137556882149</v>
      </c>
      <c r="G259" s="18">
        <f>IF(COUNTIF(Distance_Matrix!$E$10:$DQ$10,$E259)&lt;=1,0,SUMIF(Distance_Matrix!$E$10:$DQ$10,$E259,Distance_Matrix!$E$127:$DQ$127)/(COUNTIF(Distance_Matrix!$E$10:$DQ$10,$E259)-1))</f>
        <v>0.54773175436393096</v>
      </c>
      <c r="H259" s="18">
        <f>MIN(IF(1=$E259,1E+99,IF(COUNTIF(Distance_Matrix!$E$10:$DQ$10,1)=0,1E+99,SUMIF(Distance_Matrix!$E$10:$DQ$10,1,Distance_Matrix!$E$127:$DQ$127)/COUNTIF(Distance_Matrix!$E$10:$DQ$10,1))),IF(2=$E259,1E+99,IF(COUNTIF(Distance_Matrix!$E$10:$DQ$10,2)=0,1E+99,SUMIF(Distance_Matrix!$E$10:$DQ$10,2,Distance_Matrix!$E$127:$DQ$127)/COUNTIF(Distance_Matrix!$E$10:$DQ$10,2))),IF(3=$E259,1E+99,IF(COUNTIF(Distance_Matrix!$E$10:$DQ$10,3)=0,1E+99,SUMIF(Distance_Matrix!$E$10:$DQ$10,3,Distance_Matrix!$E$127:$DQ$127)/COUNTIF(Distance_Matrix!$E$10:$DQ$10,3))),IF(4=$E259,1E+99,IF(COUNTIF(Distance_Matrix!$E$10:$DQ$10,4)=0,1E+99,SUMIF(Distance_Matrix!$E$10:$DQ$10,4,Distance_Matrix!$E$127:$DQ$127)/COUNTIF(Distance_Matrix!$E$10:$DQ$10,4))))</f>
        <v>1.8873561387472708</v>
      </c>
      <c r="I259" s="18">
        <f>IF(COUNTIF(Distance_Matrix!$E$10:$DQ$10,$E259)&lt;=1,0,(H259-G259)/MAX(G259,H259))</f>
        <v>0.70978887178787209</v>
      </c>
      <c r="X259" s="18">
        <f t="shared" si="244"/>
        <v>8.153323730623006</v>
      </c>
      <c r="Y259" s="18">
        <f t="shared" si="244"/>
        <v>0.36076232525164831</v>
      </c>
      <c r="Z259" s="18">
        <f t="shared" si="244"/>
        <v>3.9428764577316429</v>
      </c>
      <c r="AA259" s="18">
        <f t="shared" si="244"/>
        <v>2.4223727569813844</v>
      </c>
      <c r="AB259" s="56">
        <f t="shared" si="232"/>
        <v>2</v>
      </c>
      <c r="AD259" s="18">
        <f t="shared" si="245"/>
        <v>7.1560403586580508</v>
      </c>
      <c r="AE259" s="18">
        <f t="shared" si="245"/>
        <v>0.52257248253237443</v>
      </c>
      <c r="AF259" s="18">
        <f t="shared" si="245"/>
        <v>3.3281026958624276</v>
      </c>
      <c r="AG259" s="18">
        <f t="shared" si="245"/>
        <v>1.7825279742516824</v>
      </c>
      <c r="AH259" s="56">
        <f t="shared" si="233"/>
        <v>2</v>
      </c>
      <c r="AJ259" s="18">
        <f t="shared" si="246"/>
        <v>6.8270932084969553</v>
      </c>
      <c r="AK259" s="18">
        <f t="shared" si="246"/>
        <v>0.51268272019926897</v>
      </c>
      <c r="AL259" s="18">
        <f t="shared" si="246"/>
        <v>3.3947774885407545</v>
      </c>
      <c r="AM259" s="18">
        <f t="shared" si="246"/>
        <v>1.8147065984705486</v>
      </c>
      <c r="AN259" s="56">
        <f t="shared" si="234"/>
        <v>2</v>
      </c>
      <c r="AP259" s="18">
        <f t="shared" si="247"/>
        <v>6.5300995980505299</v>
      </c>
      <c r="AQ259" s="18">
        <f t="shared" si="247"/>
        <v>0.44729338869339608</v>
      </c>
      <c r="AR259" s="18">
        <f t="shared" si="247"/>
        <v>3.3533255216773856</v>
      </c>
      <c r="AS259" s="18">
        <f t="shared" si="247"/>
        <v>1.7747923773296637</v>
      </c>
      <c r="AT259" s="56">
        <f t="shared" si="235"/>
        <v>2</v>
      </c>
      <c r="AV259" s="18">
        <f t="shared" si="248"/>
        <v>6.5300995980505299</v>
      </c>
      <c r="AW259" s="18">
        <f t="shared" si="248"/>
        <v>0.44729338869339608</v>
      </c>
      <c r="AX259" s="18">
        <f t="shared" si="248"/>
        <v>3.3533255216773856</v>
      </c>
      <c r="AY259" s="18">
        <f t="shared" si="248"/>
        <v>1.7747923773296637</v>
      </c>
      <c r="AZ259" s="56">
        <f t="shared" si="236"/>
        <v>2</v>
      </c>
      <c r="BB259" s="18">
        <f t="shared" si="249"/>
        <v>6.5300995980505299</v>
      </c>
      <c r="BC259" s="18">
        <f t="shared" si="249"/>
        <v>0.44729338869339608</v>
      </c>
      <c r="BD259" s="18">
        <f t="shared" si="249"/>
        <v>3.3533255216773856</v>
      </c>
      <c r="BE259" s="18">
        <f t="shared" si="249"/>
        <v>1.7747923773296637</v>
      </c>
      <c r="BF259" s="56">
        <f t="shared" si="237"/>
        <v>2</v>
      </c>
      <c r="BH259" s="18">
        <f t="shared" si="250"/>
        <v>6.5300995980505299</v>
      </c>
      <c r="BI259" s="18">
        <f t="shared" si="250"/>
        <v>0.44729338869339608</v>
      </c>
      <c r="BJ259" s="18">
        <f t="shared" si="250"/>
        <v>3.3533255216773856</v>
      </c>
      <c r="BK259" s="18">
        <f t="shared" si="250"/>
        <v>1.7747923773296637</v>
      </c>
      <c r="BL259" s="56">
        <f t="shared" si="238"/>
        <v>2</v>
      </c>
      <c r="BN259" s="18">
        <f t="shared" si="251"/>
        <v>6.5300995980505299</v>
      </c>
      <c r="BO259" s="18">
        <f t="shared" si="251"/>
        <v>0.44729338869339608</v>
      </c>
      <c r="BP259" s="18">
        <f t="shared" si="251"/>
        <v>3.3533255216773856</v>
      </c>
      <c r="BQ259" s="18">
        <f t="shared" si="251"/>
        <v>1.7747923773296637</v>
      </c>
      <c r="BR259" s="56">
        <f t="shared" si="239"/>
        <v>2</v>
      </c>
      <c r="BT259" s="18">
        <f t="shared" si="252"/>
        <v>6.5300995980505299</v>
      </c>
      <c r="BU259" s="18">
        <f t="shared" si="252"/>
        <v>0.44729338869339608</v>
      </c>
      <c r="BV259" s="18">
        <f t="shared" si="252"/>
        <v>3.3533255216773856</v>
      </c>
      <c r="BW259" s="18">
        <f t="shared" si="252"/>
        <v>1.7747923773296637</v>
      </c>
      <c r="BX259" s="56">
        <f t="shared" si="240"/>
        <v>2</v>
      </c>
      <c r="BZ259" s="18">
        <f t="shared" si="253"/>
        <v>6.5300995980505299</v>
      </c>
      <c r="CA259" s="18">
        <f t="shared" si="253"/>
        <v>0.44729338869339608</v>
      </c>
      <c r="CB259" s="18">
        <f t="shared" si="253"/>
        <v>3.3533255216773856</v>
      </c>
      <c r="CC259" s="18">
        <f t="shared" si="253"/>
        <v>1.7747923773296637</v>
      </c>
      <c r="CD259" s="56">
        <f t="shared" si="241"/>
        <v>2</v>
      </c>
      <c r="CF259" s="18">
        <f t="shared" si="254"/>
        <v>6.5300995980505299</v>
      </c>
      <c r="CG259" s="18">
        <f t="shared" si="254"/>
        <v>0.44729338869339608</v>
      </c>
      <c r="CH259" s="18">
        <f t="shared" si="254"/>
        <v>3.3533255216773856</v>
      </c>
      <c r="CI259" s="18">
        <f t="shared" si="254"/>
        <v>1.7747923773296637</v>
      </c>
      <c r="CJ259" s="56">
        <f t="shared" si="242"/>
        <v>2</v>
      </c>
      <c r="CL259" s="18">
        <f t="shared" si="255"/>
        <v>6.5300995980505299</v>
      </c>
      <c r="CM259" s="18">
        <f t="shared" si="255"/>
        <v>0.44729338869339608</v>
      </c>
      <c r="CN259" s="18">
        <f t="shared" si="255"/>
        <v>3.3533255216773856</v>
      </c>
      <c r="CO259" s="18">
        <f t="shared" si="255"/>
        <v>1.7747923773296637</v>
      </c>
      <c r="CP259" s="56">
        <f t="shared" si="243"/>
        <v>2</v>
      </c>
    </row>
    <row r="260" spans="1:105" x14ac:dyDescent="0.25">
      <c r="A260" s="36" t="str">
        <f>KMeans_Data!A119</f>
        <v>Pakpatan</v>
      </c>
      <c r="B260" s="18">
        <f>KMeans_Data!H119</f>
        <v>-1.7189756565516803</v>
      </c>
      <c r="C260" s="18">
        <f>KMeans_Data!I119</f>
        <v>-0.67265054538827607</v>
      </c>
      <c r="D260" s="18">
        <f>KMeans_Data!J119</f>
        <v>-1.1456441163335547</v>
      </c>
      <c r="E260" s="56">
        <f t="shared" si="230"/>
        <v>2</v>
      </c>
      <c r="F260" s="38">
        <f t="shared" si="231"/>
        <v>0.20007137556882149</v>
      </c>
      <c r="G260" s="18">
        <f>IF(COUNTIF(Distance_Matrix!$E$10:$DQ$10,$E260)&lt;=1,0,SUMIF(Distance_Matrix!$E$10:$DQ$10,$E260,Distance_Matrix!$E$128:$DQ$128)/(COUNTIF(Distance_Matrix!$E$10:$DQ$10,$E260)-1))</f>
        <v>0.54773175436393096</v>
      </c>
      <c r="H260" s="18">
        <f>MIN(IF(1=$E260,1E+99,IF(COUNTIF(Distance_Matrix!$E$10:$DQ$10,1)=0,1E+99,SUMIF(Distance_Matrix!$E$10:$DQ$10,1,Distance_Matrix!$E$128:$DQ$128)/COUNTIF(Distance_Matrix!$E$10:$DQ$10,1))),IF(2=$E260,1E+99,IF(COUNTIF(Distance_Matrix!$E$10:$DQ$10,2)=0,1E+99,SUMIF(Distance_Matrix!$E$10:$DQ$10,2,Distance_Matrix!$E$128:$DQ$128)/COUNTIF(Distance_Matrix!$E$10:$DQ$10,2))),IF(3=$E260,1E+99,IF(COUNTIF(Distance_Matrix!$E$10:$DQ$10,3)=0,1E+99,SUMIF(Distance_Matrix!$E$10:$DQ$10,3,Distance_Matrix!$E$128:$DQ$128)/COUNTIF(Distance_Matrix!$E$10:$DQ$10,3))),IF(4=$E260,1E+99,IF(COUNTIF(Distance_Matrix!$E$10:$DQ$10,4)=0,1E+99,SUMIF(Distance_Matrix!$E$10:$DQ$10,4,Distance_Matrix!$E$128:$DQ$128)/COUNTIF(Distance_Matrix!$E$10:$DQ$10,4))))</f>
        <v>1.8873561387472708</v>
      </c>
      <c r="I260" s="18">
        <f>IF(COUNTIF(Distance_Matrix!$E$10:$DQ$10,$E260)&lt;=1,0,(H260-G260)/MAX(G260,H260))</f>
        <v>0.70978887178787209</v>
      </c>
      <c r="X260" s="18">
        <f t="shared" si="244"/>
        <v>8.153323730623006</v>
      </c>
      <c r="Y260" s="18">
        <f t="shared" si="244"/>
        <v>0.36076232525164831</v>
      </c>
      <c r="Z260" s="18">
        <f t="shared" si="244"/>
        <v>3.9428764577316429</v>
      </c>
      <c r="AA260" s="18">
        <f t="shared" si="244"/>
        <v>2.4223727569813844</v>
      </c>
      <c r="AB260" s="56">
        <f t="shared" si="232"/>
        <v>2</v>
      </c>
      <c r="AD260" s="18">
        <f t="shared" si="245"/>
        <v>7.1560403586580508</v>
      </c>
      <c r="AE260" s="18">
        <f t="shared" si="245"/>
        <v>0.52257248253237443</v>
      </c>
      <c r="AF260" s="18">
        <f t="shared" si="245"/>
        <v>3.3281026958624276</v>
      </c>
      <c r="AG260" s="18">
        <f t="shared" si="245"/>
        <v>1.7825279742516824</v>
      </c>
      <c r="AH260" s="56">
        <f t="shared" si="233"/>
        <v>2</v>
      </c>
      <c r="AJ260" s="18">
        <f t="shared" si="246"/>
        <v>6.8270932084969553</v>
      </c>
      <c r="AK260" s="18">
        <f t="shared" si="246"/>
        <v>0.51268272019926897</v>
      </c>
      <c r="AL260" s="18">
        <f t="shared" si="246"/>
        <v>3.3947774885407545</v>
      </c>
      <c r="AM260" s="18">
        <f t="shared" si="246"/>
        <v>1.8147065984705486</v>
      </c>
      <c r="AN260" s="56">
        <f t="shared" si="234"/>
        <v>2</v>
      </c>
      <c r="AP260" s="18">
        <f t="shared" si="247"/>
        <v>6.5300995980505299</v>
      </c>
      <c r="AQ260" s="18">
        <f t="shared" si="247"/>
        <v>0.44729338869339608</v>
      </c>
      <c r="AR260" s="18">
        <f t="shared" si="247"/>
        <v>3.3533255216773856</v>
      </c>
      <c r="AS260" s="18">
        <f t="shared" si="247"/>
        <v>1.7747923773296637</v>
      </c>
      <c r="AT260" s="56">
        <f t="shared" si="235"/>
        <v>2</v>
      </c>
      <c r="AV260" s="18">
        <f t="shared" si="248"/>
        <v>6.5300995980505299</v>
      </c>
      <c r="AW260" s="18">
        <f t="shared" si="248"/>
        <v>0.44729338869339608</v>
      </c>
      <c r="AX260" s="18">
        <f t="shared" si="248"/>
        <v>3.3533255216773856</v>
      </c>
      <c r="AY260" s="18">
        <f t="shared" si="248"/>
        <v>1.7747923773296637</v>
      </c>
      <c r="AZ260" s="56">
        <f t="shared" si="236"/>
        <v>2</v>
      </c>
      <c r="BB260" s="18">
        <f t="shared" si="249"/>
        <v>6.5300995980505299</v>
      </c>
      <c r="BC260" s="18">
        <f t="shared" si="249"/>
        <v>0.44729338869339608</v>
      </c>
      <c r="BD260" s="18">
        <f t="shared" si="249"/>
        <v>3.3533255216773856</v>
      </c>
      <c r="BE260" s="18">
        <f t="shared" si="249"/>
        <v>1.7747923773296637</v>
      </c>
      <c r="BF260" s="56">
        <f t="shared" si="237"/>
        <v>2</v>
      </c>
      <c r="BH260" s="18">
        <f t="shared" si="250"/>
        <v>6.5300995980505299</v>
      </c>
      <c r="BI260" s="18">
        <f t="shared" si="250"/>
        <v>0.44729338869339608</v>
      </c>
      <c r="BJ260" s="18">
        <f t="shared" si="250"/>
        <v>3.3533255216773856</v>
      </c>
      <c r="BK260" s="18">
        <f t="shared" si="250"/>
        <v>1.7747923773296637</v>
      </c>
      <c r="BL260" s="56">
        <f t="shared" si="238"/>
        <v>2</v>
      </c>
      <c r="BN260" s="18">
        <f t="shared" si="251"/>
        <v>6.5300995980505299</v>
      </c>
      <c r="BO260" s="18">
        <f t="shared" si="251"/>
        <v>0.44729338869339608</v>
      </c>
      <c r="BP260" s="18">
        <f t="shared" si="251"/>
        <v>3.3533255216773856</v>
      </c>
      <c r="BQ260" s="18">
        <f t="shared" si="251"/>
        <v>1.7747923773296637</v>
      </c>
      <c r="BR260" s="56">
        <f t="shared" si="239"/>
        <v>2</v>
      </c>
      <c r="BT260" s="18">
        <f t="shared" si="252"/>
        <v>6.5300995980505299</v>
      </c>
      <c r="BU260" s="18">
        <f t="shared" si="252"/>
        <v>0.44729338869339608</v>
      </c>
      <c r="BV260" s="18">
        <f t="shared" si="252"/>
        <v>3.3533255216773856</v>
      </c>
      <c r="BW260" s="18">
        <f t="shared" si="252"/>
        <v>1.7747923773296637</v>
      </c>
      <c r="BX260" s="56">
        <f t="shared" si="240"/>
        <v>2</v>
      </c>
      <c r="BZ260" s="18">
        <f t="shared" si="253"/>
        <v>6.5300995980505299</v>
      </c>
      <c r="CA260" s="18">
        <f t="shared" si="253"/>
        <v>0.44729338869339608</v>
      </c>
      <c r="CB260" s="18">
        <f t="shared" si="253"/>
        <v>3.3533255216773856</v>
      </c>
      <c r="CC260" s="18">
        <f t="shared" si="253"/>
        <v>1.7747923773296637</v>
      </c>
      <c r="CD260" s="56">
        <f t="shared" si="241"/>
        <v>2</v>
      </c>
      <c r="CF260" s="18">
        <f t="shared" si="254"/>
        <v>6.5300995980505299</v>
      </c>
      <c r="CG260" s="18">
        <f t="shared" si="254"/>
        <v>0.44729338869339608</v>
      </c>
      <c r="CH260" s="18">
        <f t="shared" si="254"/>
        <v>3.3533255216773856</v>
      </c>
      <c r="CI260" s="18">
        <f t="shared" si="254"/>
        <v>1.7747923773296637</v>
      </c>
      <c r="CJ260" s="56">
        <f t="shared" si="242"/>
        <v>2</v>
      </c>
      <c r="CL260" s="18">
        <f t="shared" si="255"/>
        <v>6.5300995980505299</v>
      </c>
      <c r="CM260" s="18">
        <f t="shared" si="255"/>
        <v>0.44729338869339608</v>
      </c>
      <c r="CN260" s="18">
        <f t="shared" si="255"/>
        <v>3.3533255216773856</v>
      </c>
      <c r="CO260" s="18">
        <f t="shared" si="255"/>
        <v>1.7747923773296637</v>
      </c>
      <c r="CP260" s="56">
        <f t="shared" si="243"/>
        <v>2</v>
      </c>
    </row>
    <row r="261" spans="1:105" x14ac:dyDescent="0.25">
      <c r="A261" s="36" t="str">
        <f>KMeans_Data!A120</f>
        <v>Chitral</v>
      </c>
      <c r="B261" s="18">
        <f>KMeans_Data!H120</f>
        <v>-2.0797379818033286</v>
      </c>
      <c r="C261" s="18">
        <f>KMeans_Data!I120</f>
        <v>-0.67265054538827607</v>
      </c>
      <c r="D261" s="18">
        <f>KMeans_Data!J120</f>
        <v>-1.1456441163335547</v>
      </c>
      <c r="E261" s="56">
        <f t="shared" si="230"/>
        <v>2</v>
      </c>
      <c r="F261" s="38">
        <f t="shared" si="231"/>
        <v>0.64841275071095916</v>
      </c>
      <c r="G261" s="18">
        <f>IF(COUNTIF(Distance_Matrix!$E$10:$DQ$10,$E261)&lt;=1,0,SUMIF(Distance_Matrix!$E$10:$DQ$10,$E261,Distance_Matrix!$E$129:$DQ$129)/(COUNTIF(Distance_Matrix!$E$10:$DQ$10,$E261)-1))</f>
        <v>0.85536246433214513</v>
      </c>
      <c r="H261" s="18">
        <f>MIN(IF(1=$E261,1E+99,IF(COUNTIF(Distance_Matrix!$E$10:$DQ$10,1)=0,1E+99,SUMIF(Distance_Matrix!$E$10:$DQ$10,1,Distance_Matrix!$E$129:$DQ$129)/COUNTIF(Distance_Matrix!$E$10:$DQ$10,1))),IF(2=$E261,1E+99,IF(COUNTIF(Distance_Matrix!$E$10:$DQ$10,2)=0,1E+99,SUMIF(Distance_Matrix!$E$10:$DQ$10,2,Distance_Matrix!$E$129:$DQ$129)/COUNTIF(Distance_Matrix!$E$10:$DQ$10,2))),IF(3=$E261,1E+99,IF(COUNTIF(Distance_Matrix!$E$10:$DQ$10,3)=0,1E+99,SUMIF(Distance_Matrix!$E$10:$DQ$10,3,Distance_Matrix!$E$129:$DQ$129)/COUNTIF(Distance_Matrix!$E$10:$DQ$10,3))),IF(4=$E261,1E+99,IF(COUNTIF(Distance_Matrix!$E$10:$DQ$10,4)=0,1E+99,SUMIF(Distance_Matrix!$E$10:$DQ$10,4,Distance_Matrix!$E$129:$DQ$129)/COUNTIF(Distance_Matrix!$E$10:$DQ$10,4))))</f>
        <v>2.1997228229154717</v>
      </c>
      <c r="I261" s="18">
        <f>IF(COUNTIF(Distance_Matrix!$E$10:$DQ$10,$E261)&lt;=1,0,(H261-G261)/MAX(G261,H261))</f>
        <v>0.61114988878532273</v>
      </c>
      <c r="X261" s="18">
        <f t="shared" si="244"/>
        <v>8.3791178007212217</v>
      </c>
      <c r="Y261" s="18">
        <f t="shared" si="244"/>
        <v>0</v>
      </c>
      <c r="Z261" s="18">
        <f t="shared" si="244"/>
        <v>4.2029955567656474</v>
      </c>
      <c r="AA261" s="18">
        <f t="shared" si="244"/>
        <v>2.7756425502726647</v>
      </c>
      <c r="AB261" s="56">
        <f t="shared" si="232"/>
        <v>2</v>
      </c>
      <c r="AD261" s="18">
        <f t="shared" si="245"/>
        <v>7.3895729992118042</v>
      </c>
      <c r="AE261" s="18">
        <f t="shared" si="245"/>
        <v>0.86492478534362116</v>
      </c>
      <c r="AF261" s="18">
        <f t="shared" si="245"/>
        <v>3.5895866794615889</v>
      </c>
      <c r="AG261" s="18">
        <f t="shared" si="245"/>
        <v>2.1220084149366247</v>
      </c>
      <c r="AH261" s="56">
        <f t="shared" si="233"/>
        <v>2</v>
      </c>
      <c r="AJ261" s="18">
        <f t="shared" si="246"/>
        <v>7.0649906229779589</v>
      </c>
      <c r="AK261" s="18">
        <f t="shared" si="246"/>
        <v>0.86264713356269251</v>
      </c>
      <c r="AL261" s="18">
        <f t="shared" si="246"/>
        <v>3.6560602696133513</v>
      </c>
      <c r="AM261" s="18">
        <f t="shared" si="246"/>
        <v>2.1458691564191206</v>
      </c>
      <c r="AN261" s="56">
        <f t="shared" si="234"/>
        <v>2</v>
      </c>
      <c r="AP261" s="18">
        <f t="shared" si="247"/>
        <v>6.767888280705149</v>
      </c>
      <c r="AQ261" s="18">
        <f t="shared" si="247"/>
        <v>0.80524080293472411</v>
      </c>
      <c r="AR261" s="18">
        <f t="shared" si="247"/>
        <v>3.6153392011462149</v>
      </c>
      <c r="AS261" s="18">
        <f t="shared" si="247"/>
        <v>2.1041561458899785</v>
      </c>
      <c r="AT261" s="56">
        <f t="shared" si="235"/>
        <v>2</v>
      </c>
      <c r="AV261" s="18">
        <f t="shared" si="248"/>
        <v>6.767888280705149</v>
      </c>
      <c r="AW261" s="18">
        <f t="shared" si="248"/>
        <v>0.80524080293472411</v>
      </c>
      <c r="AX261" s="18">
        <f t="shared" si="248"/>
        <v>3.6153392011462149</v>
      </c>
      <c r="AY261" s="18">
        <f t="shared" si="248"/>
        <v>2.1041561458899785</v>
      </c>
      <c r="AZ261" s="56">
        <f t="shared" si="236"/>
        <v>2</v>
      </c>
      <c r="BB261" s="18">
        <f t="shared" si="249"/>
        <v>6.767888280705149</v>
      </c>
      <c r="BC261" s="18">
        <f t="shared" si="249"/>
        <v>0.80524080293472411</v>
      </c>
      <c r="BD261" s="18">
        <f t="shared" si="249"/>
        <v>3.6153392011462149</v>
      </c>
      <c r="BE261" s="18">
        <f t="shared" si="249"/>
        <v>2.1041561458899785</v>
      </c>
      <c r="BF261" s="56">
        <f t="shared" si="237"/>
        <v>2</v>
      </c>
      <c r="BH261" s="18">
        <f t="shared" si="250"/>
        <v>6.767888280705149</v>
      </c>
      <c r="BI261" s="18">
        <f t="shared" si="250"/>
        <v>0.80524080293472411</v>
      </c>
      <c r="BJ261" s="18">
        <f t="shared" si="250"/>
        <v>3.6153392011462149</v>
      </c>
      <c r="BK261" s="18">
        <f t="shared" si="250"/>
        <v>2.1041561458899785</v>
      </c>
      <c r="BL261" s="56">
        <f t="shared" si="238"/>
        <v>2</v>
      </c>
      <c r="BN261" s="18">
        <f t="shared" si="251"/>
        <v>6.767888280705149</v>
      </c>
      <c r="BO261" s="18">
        <f t="shared" si="251"/>
        <v>0.80524080293472411</v>
      </c>
      <c r="BP261" s="18">
        <f t="shared" si="251"/>
        <v>3.6153392011462149</v>
      </c>
      <c r="BQ261" s="18">
        <f t="shared" si="251"/>
        <v>2.1041561458899785</v>
      </c>
      <c r="BR261" s="56">
        <f t="shared" si="239"/>
        <v>2</v>
      </c>
      <c r="BT261" s="18">
        <f t="shared" si="252"/>
        <v>6.767888280705149</v>
      </c>
      <c r="BU261" s="18">
        <f t="shared" si="252"/>
        <v>0.80524080293472411</v>
      </c>
      <c r="BV261" s="18">
        <f t="shared" si="252"/>
        <v>3.6153392011462149</v>
      </c>
      <c r="BW261" s="18">
        <f t="shared" si="252"/>
        <v>2.1041561458899785</v>
      </c>
      <c r="BX261" s="56">
        <f t="shared" si="240"/>
        <v>2</v>
      </c>
      <c r="BZ261" s="18">
        <f t="shared" si="253"/>
        <v>6.767888280705149</v>
      </c>
      <c r="CA261" s="18">
        <f t="shared" si="253"/>
        <v>0.80524080293472411</v>
      </c>
      <c r="CB261" s="18">
        <f t="shared" si="253"/>
        <v>3.6153392011462149</v>
      </c>
      <c r="CC261" s="18">
        <f t="shared" si="253"/>
        <v>2.1041561458899785</v>
      </c>
      <c r="CD261" s="56">
        <f t="shared" si="241"/>
        <v>2</v>
      </c>
      <c r="CF261" s="18">
        <f t="shared" si="254"/>
        <v>6.767888280705149</v>
      </c>
      <c r="CG261" s="18">
        <f t="shared" si="254"/>
        <v>0.80524080293472411</v>
      </c>
      <c r="CH261" s="18">
        <f t="shared" si="254"/>
        <v>3.6153392011462149</v>
      </c>
      <c r="CI261" s="18">
        <f t="shared" si="254"/>
        <v>2.1041561458899785</v>
      </c>
      <c r="CJ261" s="56">
        <f t="shared" si="242"/>
        <v>2</v>
      </c>
      <c r="CL261" s="18">
        <f t="shared" si="255"/>
        <v>6.767888280705149</v>
      </c>
      <c r="CM261" s="18">
        <f t="shared" si="255"/>
        <v>0.80524080293472411</v>
      </c>
      <c r="CN261" s="18">
        <f t="shared" si="255"/>
        <v>3.6153392011462149</v>
      </c>
      <c r="CO261" s="18">
        <f t="shared" si="255"/>
        <v>2.1041561458899785</v>
      </c>
      <c r="CP261" s="56">
        <f t="shared" si="243"/>
        <v>2</v>
      </c>
    </row>
    <row r="262" spans="1:105" x14ac:dyDescent="0.25">
      <c r="A262" s="36" t="str">
        <f>KMeans_Data!A121</f>
        <v>Kolai Pallas</v>
      </c>
      <c r="B262" s="18">
        <f>KMeans_Data!H121</f>
        <v>-2.0797379818033286</v>
      </c>
      <c r="C262" s="18">
        <f>KMeans_Data!I121</f>
        <v>-0.67265054538827607</v>
      </c>
      <c r="D262" s="18">
        <f>KMeans_Data!J121</f>
        <v>-1.1456441163335547</v>
      </c>
      <c r="E262" s="56">
        <f t="shared" si="230"/>
        <v>2</v>
      </c>
      <c r="F262" s="38">
        <f t="shared" si="231"/>
        <v>0.64841275071095916</v>
      </c>
      <c r="G262" s="18">
        <f>IF(COUNTIF(Distance_Matrix!$E$10:$DQ$10,$E262)&lt;=1,0,SUMIF(Distance_Matrix!$E$10:$DQ$10,$E262,Distance_Matrix!$E$130:$DQ$130)/(COUNTIF(Distance_Matrix!$E$10:$DQ$10,$E262)-1))</f>
        <v>0.85536246433214513</v>
      </c>
      <c r="H262" s="18">
        <f>MIN(IF(1=$E262,1E+99,IF(COUNTIF(Distance_Matrix!$E$10:$DQ$10,1)=0,1E+99,SUMIF(Distance_Matrix!$E$10:$DQ$10,1,Distance_Matrix!$E$130:$DQ$130)/COUNTIF(Distance_Matrix!$E$10:$DQ$10,1))),IF(2=$E262,1E+99,IF(COUNTIF(Distance_Matrix!$E$10:$DQ$10,2)=0,1E+99,SUMIF(Distance_Matrix!$E$10:$DQ$10,2,Distance_Matrix!$E$130:$DQ$130)/COUNTIF(Distance_Matrix!$E$10:$DQ$10,2))),IF(3=$E262,1E+99,IF(COUNTIF(Distance_Matrix!$E$10:$DQ$10,3)=0,1E+99,SUMIF(Distance_Matrix!$E$10:$DQ$10,3,Distance_Matrix!$E$130:$DQ$130)/COUNTIF(Distance_Matrix!$E$10:$DQ$10,3))),IF(4=$E262,1E+99,IF(COUNTIF(Distance_Matrix!$E$10:$DQ$10,4)=0,1E+99,SUMIF(Distance_Matrix!$E$10:$DQ$10,4,Distance_Matrix!$E$130:$DQ$130)/COUNTIF(Distance_Matrix!$E$10:$DQ$10,4))))</f>
        <v>2.1997228229154717</v>
      </c>
      <c r="I262" s="18">
        <f>IF(COUNTIF(Distance_Matrix!$E$10:$DQ$10,$E262)&lt;=1,0,(H262-G262)/MAX(G262,H262))</f>
        <v>0.61114988878532273</v>
      </c>
      <c r="X262" s="18">
        <f t="shared" si="244"/>
        <v>8.3791178007212217</v>
      </c>
      <c r="Y262" s="18">
        <f t="shared" si="244"/>
        <v>0</v>
      </c>
      <c r="Z262" s="18">
        <f t="shared" si="244"/>
        <v>4.2029955567656474</v>
      </c>
      <c r="AA262" s="18">
        <f t="shared" si="244"/>
        <v>2.7756425502726647</v>
      </c>
      <c r="AB262" s="56">
        <f t="shared" si="232"/>
        <v>2</v>
      </c>
      <c r="AD262" s="18">
        <f t="shared" si="245"/>
        <v>7.3895729992118042</v>
      </c>
      <c r="AE262" s="18">
        <f t="shared" si="245"/>
        <v>0.86492478534362116</v>
      </c>
      <c r="AF262" s="18">
        <f t="shared" si="245"/>
        <v>3.5895866794615889</v>
      </c>
      <c r="AG262" s="18">
        <f t="shared" si="245"/>
        <v>2.1220084149366247</v>
      </c>
      <c r="AH262" s="56">
        <f t="shared" si="233"/>
        <v>2</v>
      </c>
      <c r="AJ262" s="18">
        <f t="shared" si="246"/>
        <v>7.0649906229779589</v>
      </c>
      <c r="AK262" s="18">
        <f t="shared" si="246"/>
        <v>0.86264713356269251</v>
      </c>
      <c r="AL262" s="18">
        <f t="shared" si="246"/>
        <v>3.6560602696133513</v>
      </c>
      <c r="AM262" s="18">
        <f t="shared" si="246"/>
        <v>2.1458691564191206</v>
      </c>
      <c r="AN262" s="56">
        <f t="shared" si="234"/>
        <v>2</v>
      </c>
      <c r="AP262" s="18">
        <f t="shared" si="247"/>
        <v>6.767888280705149</v>
      </c>
      <c r="AQ262" s="18">
        <f t="shared" si="247"/>
        <v>0.80524080293472411</v>
      </c>
      <c r="AR262" s="18">
        <f t="shared" si="247"/>
        <v>3.6153392011462149</v>
      </c>
      <c r="AS262" s="18">
        <f t="shared" si="247"/>
        <v>2.1041561458899785</v>
      </c>
      <c r="AT262" s="56">
        <f t="shared" si="235"/>
        <v>2</v>
      </c>
      <c r="AV262" s="18">
        <f t="shared" si="248"/>
        <v>6.767888280705149</v>
      </c>
      <c r="AW262" s="18">
        <f t="shared" si="248"/>
        <v>0.80524080293472411</v>
      </c>
      <c r="AX262" s="18">
        <f t="shared" si="248"/>
        <v>3.6153392011462149</v>
      </c>
      <c r="AY262" s="18">
        <f t="shared" si="248"/>
        <v>2.1041561458899785</v>
      </c>
      <c r="AZ262" s="56">
        <f t="shared" si="236"/>
        <v>2</v>
      </c>
      <c r="BB262" s="18">
        <f t="shared" si="249"/>
        <v>6.767888280705149</v>
      </c>
      <c r="BC262" s="18">
        <f t="shared" si="249"/>
        <v>0.80524080293472411</v>
      </c>
      <c r="BD262" s="18">
        <f t="shared" si="249"/>
        <v>3.6153392011462149</v>
      </c>
      <c r="BE262" s="18">
        <f t="shared" si="249"/>
        <v>2.1041561458899785</v>
      </c>
      <c r="BF262" s="56">
        <f t="shared" si="237"/>
        <v>2</v>
      </c>
      <c r="BH262" s="18">
        <f t="shared" si="250"/>
        <v>6.767888280705149</v>
      </c>
      <c r="BI262" s="18">
        <f t="shared" si="250"/>
        <v>0.80524080293472411</v>
      </c>
      <c r="BJ262" s="18">
        <f t="shared" si="250"/>
        <v>3.6153392011462149</v>
      </c>
      <c r="BK262" s="18">
        <f t="shared" si="250"/>
        <v>2.1041561458899785</v>
      </c>
      <c r="BL262" s="56">
        <f t="shared" si="238"/>
        <v>2</v>
      </c>
      <c r="BN262" s="18">
        <f t="shared" si="251"/>
        <v>6.767888280705149</v>
      </c>
      <c r="BO262" s="18">
        <f t="shared" si="251"/>
        <v>0.80524080293472411</v>
      </c>
      <c r="BP262" s="18">
        <f t="shared" si="251"/>
        <v>3.6153392011462149</v>
      </c>
      <c r="BQ262" s="18">
        <f t="shared" si="251"/>
        <v>2.1041561458899785</v>
      </c>
      <c r="BR262" s="56">
        <f t="shared" si="239"/>
        <v>2</v>
      </c>
      <c r="BT262" s="18">
        <f t="shared" si="252"/>
        <v>6.767888280705149</v>
      </c>
      <c r="BU262" s="18">
        <f t="shared" si="252"/>
        <v>0.80524080293472411</v>
      </c>
      <c r="BV262" s="18">
        <f t="shared" si="252"/>
        <v>3.6153392011462149</v>
      </c>
      <c r="BW262" s="18">
        <f t="shared" si="252"/>
        <v>2.1041561458899785</v>
      </c>
      <c r="BX262" s="56">
        <f t="shared" si="240"/>
        <v>2</v>
      </c>
      <c r="BZ262" s="18">
        <f t="shared" si="253"/>
        <v>6.767888280705149</v>
      </c>
      <c r="CA262" s="18">
        <f t="shared" si="253"/>
        <v>0.80524080293472411</v>
      </c>
      <c r="CB262" s="18">
        <f t="shared" si="253"/>
        <v>3.6153392011462149</v>
      </c>
      <c r="CC262" s="18">
        <f t="shared" si="253"/>
        <v>2.1041561458899785</v>
      </c>
      <c r="CD262" s="56">
        <f t="shared" si="241"/>
        <v>2</v>
      </c>
      <c r="CF262" s="18">
        <f t="shared" si="254"/>
        <v>6.767888280705149</v>
      </c>
      <c r="CG262" s="18">
        <f t="shared" si="254"/>
        <v>0.80524080293472411</v>
      </c>
      <c r="CH262" s="18">
        <f t="shared" si="254"/>
        <v>3.6153392011462149</v>
      </c>
      <c r="CI262" s="18">
        <f t="shared" si="254"/>
        <v>2.1041561458899785</v>
      </c>
      <c r="CJ262" s="56">
        <f t="shared" si="242"/>
        <v>2</v>
      </c>
      <c r="CL262" s="18">
        <f t="shared" si="255"/>
        <v>6.767888280705149</v>
      </c>
      <c r="CM262" s="18">
        <f t="shared" si="255"/>
        <v>0.80524080293472411</v>
      </c>
      <c r="CN262" s="18">
        <f t="shared" si="255"/>
        <v>3.6153392011462149</v>
      </c>
      <c r="CO262" s="18">
        <f t="shared" si="255"/>
        <v>2.1041561458899785</v>
      </c>
      <c r="CP262" s="56">
        <f t="shared" si="243"/>
        <v>2</v>
      </c>
    </row>
    <row r="266" spans="1:105" x14ac:dyDescent="0.25">
      <c r="A266" s="54" t="s">
        <v>504</v>
      </c>
      <c r="B266" s="55"/>
    </row>
    <row r="267" spans="1:105" x14ac:dyDescent="0.25">
      <c r="A267" s="48" t="s">
        <v>499</v>
      </c>
    </row>
    <row r="268" spans="1:105" x14ac:dyDescent="0.25">
      <c r="A268" s="48" t="s">
        <v>458</v>
      </c>
      <c r="B268" s="32" t="s">
        <v>91</v>
      </c>
    </row>
    <row r="269" spans="1:105" x14ac:dyDescent="0.25">
      <c r="A269" s="48" t="s">
        <v>459</v>
      </c>
      <c r="B269" s="32" t="s">
        <v>435</v>
      </c>
      <c r="L269" s="54" t="s">
        <v>462</v>
      </c>
      <c r="M269" s="55"/>
      <c r="N269" s="55"/>
      <c r="O269" s="55"/>
      <c r="P269" s="55"/>
      <c r="X269" s="54" t="s">
        <v>463</v>
      </c>
      <c r="Y269" s="55"/>
      <c r="Z269" s="55"/>
      <c r="AA269" s="55"/>
      <c r="AB269" s="55"/>
      <c r="AE269" s="54" t="s">
        <v>464</v>
      </c>
      <c r="AF269" s="55"/>
      <c r="AG269" s="55"/>
      <c r="AH269" s="55"/>
      <c r="AI269" s="55"/>
      <c r="AL269" s="54" t="s">
        <v>465</v>
      </c>
      <c r="AM269" s="55"/>
      <c r="AN269" s="55"/>
      <c r="AO269" s="55"/>
      <c r="AP269" s="55"/>
      <c r="AS269" s="54" t="s">
        <v>466</v>
      </c>
      <c r="AT269" s="55"/>
      <c r="AU269" s="55"/>
      <c r="AV269" s="55"/>
      <c r="AW269" s="55"/>
      <c r="AZ269" s="54" t="s">
        <v>467</v>
      </c>
      <c r="BA269" s="55"/>
      <c r="BB269" s="55"/>
      <c r="BC269" s="55"/>
      <c r="BD269" s="55"/>
      <c r="BG269" s="54" t="s">
        <v>468</v>
      </c>
      <c r="BH269" s="55"/>
      <c r="BI269" s="55"/>
      <c r="BJ269" s="55"/>
      <c r="BK269" s="55"/>
      <c r="BN269" s="54" t="s">
        <v>469</v>
      </c>
      <c r="BO269" s="55"/>
      <c r="BP269" s="55"/>
      <c r="BQ269" s="55"/>
      <c r="BR269" s="55"/>
      <c r="BU269" s="54" t="s">
        <v>470</v>
      </c>
      <c r="BV269" s="55"/>
      <c r="BW269" s="55"/>
      <c r="BX269" s="55"/>
      <c r="BY269" s="55"/>
      <c r="CB269" s="54" t="s">
        <v>471</v>
      </c>
      <c r="CC269" s="55"/>
      <c r="CD269" s="55"/>
      <c r="CE269" s="55"/>
      <c r="CF269" s="55"/>
      <c r="CI269" s="54" t="s">
        <v>472</v>
      </c>
      <c r="CJ269" s="55"/>
      <c r="CK269" s="55"/>
      <c r="CL269" s="55"/>
      <c r="CM269" s="55"/>
      <c r="CP269" s="54" t="s">
        <v>473</v>
      </c>
      <c r="CQ269" s="55"/>
      <c r="CR269" s="55"/>
      <c r="CS269" s="55"/>
      <c r="CT269" s="55"/>
      <c r="CW269" s="54" t="s">
        <v>474</v>
      </c>
      <c r="CX269" s="55"/>
      <c r="CY269" s="55"/>
      <c r="CZ269" s="55"/>
      <c r="DA269" s="55"/>
    </row>
    <row r="270" spans="1:105" x14ac:dyDescent="0.25">
      <c r="A270" s="48" t="s">
        <v>460</v>
      </c>
      <c r="B270" s="32" t="s">
        <v>104</v>
      </c>
      <c r="K270" s="40" t="s">
        <v>445</v>
      </c>
      <c r="L270" s="18">
        <f>IFERROR(AVERAGEIF($E$277:$E$393,1,$B$277:$B$393),0)</f>
        <v>3.2622300872253209</v>
      </c>
      <c r="M270" s="18">
        <f>IFERROR(AVERAGEIF($E$277:$E$393,2,$B$277:$B$393),0)</f>
        <v>-1.2779762816873452</v>
      </c>
      <c r="N270" s="18">
        <f>IFERROR(AVERAGEIF($E$277:$E$393,3,$B$277:$B$393),0)</f>
        <v>0.6174657242182342</v>
      </c>
      <c r="O270" s="18">
        <f>IFERROR(AVERAGEIF($E$277:$E$393,4,$B$277:$B$393),0)</f>
        <v>-0.12868259097488574</v>
      </c>
      <c r="P270" s="18">
        <f>IFERROR(AVERAGEIF($E$277:$E$393,5,$B$277:$B$393),0)</f>
        <v>1.9003255507291743</v>
      </c>
      <c r="W270" s="40" t="s">
        <v>445</v>
      </c>
      <c r="X270" s="18">
        <f>INDEX($B$277:$B$393,MATCH($B$268,$A$277:$A$393,0))</f>
        <v>3.2743087782752069</v>
      </c>
      <c r="Y270" s="18">
        <f>INDEX($B$277:$B$393,MATCH($B$269,$A$277:$A$393,0))</f>
        <v>-2.0797379818033286</v>
      </c>
      <c r="Z270" s="18">
        <f>INDEX($B$277:$B$393,MATCH($B$270,$A$277:$A$393,0))</f>
        <v>1.0373368721320242</v>
      </c>
      <c r="AA270" s="18">
        <f>INDEX($B$277:$B$393,MATCH($B$271,$A$277:$A$393,0))</f>
        <v>0.64567305864807512</v>
      </c>
      <c r="AB270" s="18">
        <f>INDEX($B$277:$B$393,MATCH($B$272,$A$277:$A$393,0))</f>
        <v>2.3645319122764876</v>
      </c>
      <c r="AE270" s="18">
        <f>IFERROR(AVERAGEIF($AC$277:$AC$393,1,$B$277:$B$393),X270)</f>
        <v>3.2622300872253209</v>
      </c>
      <c r="AF270" s="18">
        <f>IFERROR(AVERAGEIF($AC$277:$AC$393,2,$B$277:$B$393),Y270)</f>
        <v>-1.2410107952816929</v>
      </c>
      <c r="AG270" s="18">
        <f>IFERROR(AVERAGEIF($AC$277:$AC$393,3,$B$277:$B$393),Z270)</f>
        <v>0.54790097458611398</v>
      </c>
      <c r="AH270" s="18">
        <f>IFERROR(AVERAGEIF($AC$277:$AC$393,4,$B$277:$B$393),AA270)</f>
        <v>-6.2255712309661024E-2</v>
      </c>
      <c r="AI270" s="18">
        <f>IFERROR(AVERAGEIF($AC$277:$AC$393,5,$B$277:$B$393),AB270)</f>
        <v>2.0936605131029435</v>
      </c>
      <c r="AL270" s="18">
        <f>IFERROR(AVERAGEIF($AJ$277:$AJ$393,1,$B$277:$B$393),AE270)</f>
        <v>3.2622300872253209</v>
      </c>
      <c r="AM270" s="18">
        <f>IFERROR(AVERAGEIF($AJ$277:$AJ$393,2,$B$277:$B$393),AF270)</f>
        <v>-1.2322742668111126</v>
      </c>
      <c r="AN270" s="18">
        <f>IFERROR(AVERAGEIF($AJ$277:$AJ$393,3,$B$277:$B$393),AG270)</f>
        <v>0.59811572386555301</v>
      </c>
      <c r="AO270" s="18">
        <f>IFERROR(AVERAGEIF($AJ$277:$AJ$393,4,$B$277:$B$393),AH270)</f>
        <v>-8.1170894231353333E-2</v>
      </c>
      <c r="AP270" s="18">
        <f>IFERROR(AVERAGEIF($AJ$277:$AJ$393,5,$B$277:$B$393),AI270)</f>
        <v>1.9003255507291743</v>
      </c>
      <c r="AS270" s="18">
        <f>IFERROR(AVERAGEIF($AQ$277:$AQ$393,1,$B$277:$B$393),AL270)</f>
        <v>3.2622300872253209</v>
      </c>
      <c r="AT270" s="18">
        <f>IFERROR(AVERAGEIF($AQ$277:$AQ$393,2,$B$277:$B$393),AM270)</f>
        <v>-1.2779762816873452</v>
      </c>
      <c r="AU270" s="18">
        <f>IFERROR(AVERAGEIF($AQ$277:$AQ$393,3,$B$277:$B$393),AN270)</f>
        <v>0.6174657242182342</v>
      </c>
      <c r="AV270" s="18">
        <f>IFERROR(AVERAGEIF($AQ$277:$AQ$393,4,$B$277:$B$393),AO270)</f>
        <v>-0.12868259097488574</v>
      </c>
      <c r="AW270" s="18">
        <f>IFERROR(AVERAGEIF($AQ$277:$AQ$393,5,$B$277:$B$393),AP270)</f>
        <v>1.9003255507291743</v>
      </c>
      <c r="AZ270" s="18">
        <f>IFERROR(AVERAGEIF($AX$277:$AX$393,1,$B$277:$B$393),AS270)</f>
        <v>3.2622300872253209</v>
      </c>
      <c r="BA270" s="18">
        <f>IFERROR(AVERAGEIF($AX$277:$AX$393,2,$B$277:$B$393),AT270)</f>
        <v>-1.2779762816873452</v>
      </c>
      <c r="BB270" s="18">
        <f>IFERROR(AVERAGEIF($AX$277:$AX$393,3,$B$277:$B$393),AU270)</f>
        <v>0.6174657242182342</v>
      </c>
      <c r="BC270" s="18">
        <f>IFERROR(AVERAGEIF($AX$277:$AX$393,4,$B$277:$B$393),AV270)</f>
        <v>-0.12868259097488574</v>
      </c>
      <c r="BD270" s="18">
        <f>IFERROR(AVERAGEIF($AX$277:$AX$393,5,$B$277:$B$393),AW270)</f>
        <v>1.9003255507291743</v>
      </c>
      <c r="BG270" s="18">
        <f>IFERROR(AVERAGEIF($BE$277:$BE$393,1,$B$277:$B$393),AZ270)</f>
        <v>3.2622300872253209</v>
      </c>
      <c r="BH270" s="18">
        <f>IFERROR(AVERAGEIF($BE$277:$BE$393,2,$B$277:$B$393),BA270)</f>
        <v>-1.2779762816873452</v>
      </c>
      <c r="BI270" s="18">
        <f>IFERROR(AVERAGEIF($BE$277:$BE$393,3,$B$277:$B$393),BB270)</f>
        <v>0.6174657242182342</v>
      </c>
      <c r="BJ270" s="18">
        <f>IFERROR(AVERAGEIF($BE$277:$BE$393,4,$B$277:$B$393),BC270)</f>
        <v>-0.12868259097488574</v>
      </c>
      <c r="BK270" s="18">
        <f>IFERROR(AVERAGEIF($BE$277:$BE$393,5,$B$277:$B$393),BD270)</f>
        <v>1.9003255507291743</v>
      </c>
      <c r="BN270" s="18">
        <f>IFERROR(AVERAGEIF($BL$277:$BL$393,1,$B$277:$B$393),BG270)</f>
        <v>3.2622300872253209</v>
      </c>
      <c r="BO270" s="18">
        <f>IFERROR(AVERAGEIF($BL$277:$BL$393,2,$B$277:$B$393),BH270)</f>
        <v>-1.2779762816873452</v>
      </c>
      <c r="BP270" s="18">
        <f>IFERROR(AVERAGEIF($BL$277:$BL$393,3,$B$277:$B$393),BI270)</f>
        <v>0.6174657242182342</v>
      </c>
      <c r="BQ270" s="18">
        <f>IFERROR(AVERAGEIF($BL$277:$BL$393,4,$B$277:$B$393),BJ270)</f>
        <v>-0.12868259097488574</v>
      </c>
      <c r="BR270" s="18">
        <f>IFERROR(AVERAGEIF($BL$277:$BL$393,5,$B$277:$B$393),BK270)</f>
        <v>1.9003255507291743</v>
      </c>
      <c r="BU270" s="18">
        <f>IFERROR(AVERAGEIF($BS$277:$BS$393,1,$B$277:$B$393),BN270)</f>
        <v>3.2622300872253209</v>
      </c>
      <c r="BV270" s="18">
        <f>IFERROR(AVERAGEIF($BS$277:$BS$393,2,$B$277:$B$393),BO270)</f>
        <v>-1.2779762816873452</v>
      </c>
      <c r="BW270" s="18">
        <f>IFERROR(AVERAGEIF($BS$277:$BS$393,3,$B$277:$B$393),BP270)</f>
        <v>0.6174657242182342</v>
      </c>
      <c r="BX270" s="18">
        <f>IFERROR(AVERAGEIF($BS$277:$BS$393,4,$B$277:$B$393),BQ270)</f>
        <v>-0.12868259097488574</v>
      </c>
      <c r="BY270" s="18">
        <f>IFERROR(AVERAGEIF($BS$277:$BS$393,5,$B$277:$B$393),BR270)</f>
        <v>1.9003255507291743</v>
      </c>
      <c r="CB270" s="18">
        <f>IFERROR(AVERAGEIF($BZ$277:$BZ$393,1,$B$277:$B$393),BU270)</f>
        <v>3.2622300872253209</v>
      </c>
      <c r="CC270" s="18">
        <f>IFERROR(AVERAGEIF($BZ$277:$BZ$393,2,$B$277:$B$393),BV270)</f>
        <v>-1.2779762816873452</v>
      </c>
      <c r="CD270" s="18">
        <f>IFERROR(AVERAGEIF($BZ$277:$BZ$393,3,$B$277:$B$393),BW270)</f>
        <v>0.6174657242182342</v>
      </c>
      <c r="CE270" s="18">
        <f>IFERROR(AVERAGEIF($BZ$277:$BZ$393,4,$B$277:$B$393),BX270)</f>
        <v>-0.12868259097488574</v>
      </c>
      <c r="CF270" s="18">
        <f>IFERROR(AVERAGEIF($BZ$277:$BZ$393,5,$B$277:$B$393),BY270)</f>
        <v>1.9003255507291743</v>
      </c>
      <c r="CI270" s="18">
        <f>IFERROR(AVERAGEIF($CG$277:$CG$393,1,$B$277:$B$393),CB270)</f>
        <v>3.2622300872253209</v>
      </c>
      <c r="CJ270" s="18">
        <f>IFERROR(AVERAGEIF($CG$277:$CG$393,2,$B$277:$B$393),CC270)</f>
        <v>-1.2779762816873452</v>
      </c>
      <c r="CK270" s="18">
        <f>IFERROR(AVERAGEIF($CG$277:$CG$393,3,$B$277:$B$393),CD270)</f>
        <v>0.6174657242182342</v>
      </c>
      <c r="CL270" s="18">
        <f>IFERROR(AVERAGEIF($CG$277:$CG$393,4,$B$277:$B$393),CE270)</f>
        <v>-0.12868259097488574</v>
      </c>
      <c r="CM270" s="18">
        <f>IFERROR(AVERAGEIF($CG$277:$CG$393,5,$B$277:$B$393),CF270)</f>
        <v>1.9003255507291743</v>
      </c>
      <c r="CP270" s="18">
        <f>IFERROR(AVERAGEIF($CN$277:$CN$393,1,$B$277:$B$393),CI270)</f>
        <v>3.2622300872253209</v>
      </c>
      <c r="CQ270" s="18">
        <f>IFERROR(AVERAGEIF($CN$277:$CN$393,2,$B$277:$B$393),CJ270)</f>
        <v>-1.2779762816873452</v>
      </c>
      <c r="CR270" s="18">
        <f>IFERROR(AVERAGEIF($CN$277:$CN$393,3,$B$277:$B$393),CK270)</f>
        <v>0.6174657242182342</v>
      </c>
      <c r="CS270" s="18">
        <f>IFERROR(AVERAGEIF($CN$277:$CN$393,4,$B$277:$B$393),CL270)</f>
        <v>-0.12868259097488574</v>
      </c>
      <c r="CT270" s="18">
        <f>IFERROR(AVERAGEIF($CN$277:$CN$393,5,$B$277:$B$393),CM270)</f>
        <v>1.9003255507291743</v>
      </c>
      <c r="CW270" s="18">
        <f>IFERROR(AVERAGEIF($CU$277:$CU$393,1,$B$277:$B$393),CP270)</f>
        <v>3.2622300872253209</v>
      </c>
      <c r="CX270" s="18">
        <f>IFERROR(AVERAGEIF($CU$277:$CU$393,2,$B$277:$B$393),CQ270)</f>
        <v>-1.2779762816873452</v>
      </c>
      <c r="CY270" s="18">
        <f>IFERROR(AVERAGEIF($CU$277:$CU$393,3,$B$277:$B$393),CR270)</f>
        <v>0.6174657242182342</v>
      </c>
      <c r="CZ270" s="18">
        <f>IFERROR(AVERAGEIF($CU$277:$CU$393,4,$B$277:$B$393),CS270)</f>
        <v>-0.12868259097488574</v>
      </c>
      <c r="DA270" s="18">
        <f>IFERROR(AVERAGEIF($CU$277:$CU$393,5,$B$277:$B$393),CT270)</f>
        <v>1.9003255507291743</v>
      </c>
    </row>
    <row r="271" spans="1:105" x14ac:dyDescent="0.25">
      <c r="A271" s="48" t="s">
        <v>502</v>
      </c>
      <c r="B271" s="32" t="s">
        <v>346</v>
      </c>
      <c r="K271" s="40" t="s">
        <v>446</v>
      </c>
      <c r="L271" s="18">
        <f>IFERROR(AVERAGEIF($E$277:$E$393,1,$C$277:$C$393),0)</f>
        <v>4.0978464170012394</v>
      </c>
      <c r="M271" s="18">
        <f>IFERROR(AVERAGEIF($E$277:$E$393,2,$C$277:$C$393),0)</f>
        <v>-0.65162384892992609</v>
      </c>
      <c r="N271" s="18">
        <f>IFERROR(AVERAGEIF($E$277:$E$393,3,$C$277:$C$393),0)</f>
        <v>0.58527951702511516</v>
      </c>
      <c r="O271" s="18">
        <f>IFERROR(AVERAGEIF($E$277:$E$393,4,$C$277:$C$393),0)</f>
        <v>-0.50808607103762693</v>
      </c>
      <c r="P271" s="18">
        <f>IFERROR(AVERAGEIF($E$277:$E$393,5,$C$277:$C$393),0)</f>
        <v>2.3842116514370444</v>
      </c>
      <c r="W271" s="40" t="s">
        <v>446</v>
      </c>
      <c r="X271" s="18">
        <f>INDEX($C$277:$C$393,MATCH($B$268,$A$277:$A$393,0))</f>
        <v>4.0388517969113016</v>
      </c>
      <c r="Y271" s="18">
        <f>INDEX($C$277:$C$393,MATCH($B$269,$A$277:$A$393,0))</f>
        <v>-0.67265054538827607</v>
      </c>
      <c r="Z271" s="18">
        <f>INDEX($C$277:$C$393,MATCH($B$270,$A$277:$A$393,0))</f>
        <v>0.37868427752921691</v>
      </c>
      <c r="AA271" s="18">
        <f>INDEX($C$277:$C$393,MATCH($B$271,$A$277:$A$393,0))</f>
        <v>-0.14698313392952958</v>
      </c>
      <c r="AB271" s="18">
        <f>INDEX($C$277:$C$393,MATCH($B$272,$A$277:$A$393,0))</f>
        <v>2.2941407285360271</v>
      </c>
      <c r="AE271" s="18">
        <f>IFERROR(AVERAGEIF($AC$277:$AC$393,1,$C$277:$C$393),X271)</f>
        <v>4.0978464170012394</v>
      </c>
      <c r="AF271" s="18">
        <f>IFERROR(AVERAGEIF($AC$277:$AC$393,2,$C$277:$C$393),Y271)</f>
        <v>-0.65387670926474928</v>
      </c>
      <c r="AG271" s="18">
        <f>IFERROR(AVERAGEIF($AC$277:$AC$393,3,$C$277:$C$393),Z271)</f>
        <v>0.50010668418467752</v>
      </c>
      <c r="AH271" s="18">
        <f>IFERROR(AVERAGEIF($AC$277:$AC$393,4,$C$277:$C$393),AA271)</f>
        <v>-0.48914533253022024</v>
      </c>
      <c r="AI271" s="18">
        <f>IFERROR(AVERAGEIF($AC$277:$AC$393,5,$C$277:$C$393),AB271)</f>
        <v>2.5381462350269857</v>
      </c>
      <c r="AL271" s="18">
        <f>IFERROR(AVERAGEIF($AJ$277:$AJ$393,1,$C$277:$C$393),AE271)</f>
        <v>4.0978464170012394</v>
      </c>
      <c r="AM271" s="18">
        <f>IFERROR(AVERAGEIF($AJ$277:$AJ$393,2,$C$277:$C$393),AF271)</f>
        <v>-0.65387670926474928</v>
      </c>
      <c r="AN271" s="18">
        <f>IFERROR(AVERAGEIF($AJ$277:$AJ$393,3,$C$277:$C$393),AG271)</f>
        <v>0.5737993297980849</v>
      </c>
      <c r="AO271" s="18">
        <f>IFERROR(AVERAGEIF($AJ$277:$AJ$393,4,$C$277:$C$393),AH271)</f>
        <v>-0.51197285409564197</v>
      </c>
      <c r="AP271" s="18">
        <f>IFERROR(AVERAGEIF($AJ$277:$AJ$393,5,$C$277:$C$393),AI271)</f>
        <v>2.3842116514370444</v>
      </c>
      <c r="AS271" s="18">
        <f>IFERROR(AVERAGEIF($AQ$277:$AQ$393,1,$C$277:$C$393),AL271)</f>
        <v>4.0978464170012394</v>
      </c>
      <c r="AT271" s="18">
        <f>IFERROR(AVERAGEIF($AQ$277:$AQ$393,2,$C$277:$C$393),AM271)</f>
        <v>-0.65162384892992609</v>
      </c>
      <c r="AU271" s="18">
        <f>IFERROR(AVERAGEIF($AQ$277:$AQ$393,3,$C$277:$C$393),AN271)</f>
        <v>0.58527951702511516</v>
      </c>
      <c r="AV271" s="18">
        <f>IFERROR(AVERAGEIF($AQ$277:$AQ$393,4,$C$277:$C$393),AO271)</f>
        <v>-0.50808607103762693</v>
      </c>
      <c r="AW271" s="18">
        <f>IFERROR(AVERAGEIF($AQ$277:$AQ$393,5,$C$277:$C$393),AP271)</f>
        <v>2.3842116514370444</v>
      </c>
      <c r="AZ271" s="18">
        <f>IFERROR(AVERAGEIF($AX$277:$AX$393,1,$C$277:$C$393),AS271)</f>
        <v>4.0978464170012394</v>
      </c>
      <c r="BA271" s="18">
        <f>IFERROR(AVERAGEIF($AX$277:$AX$393,2,$C$277:$C$393),AT271)</f>
        <v>-0.65162384892992609</v>
      </c>
      <c r="BB271" s="18">
        <f>IFERROR(AVERAGEIF($AX$277:$AX$393,3,$C$277:$C$393),AU271)</f>
        <v>0.58527951702511516</v>
      </c>
      <c r="BC271" s="18">
        <f>IFERROR(AVERAGEIF($AX$277:$AX$393,4,$C$277:$C$393),AV271)</f>
        <v>-0.50808607103762693</v>
      </c>
      <c r="BD271" s="18">
        <f>IFERROR(AVERAGEIF($AX$277:$AX$393,5,$C$277:$C$393),AW271)</f>
        <v>2.3842116514370444</v>
      </c>
      <c r="BG271" s="18">
        <f>IFERROR(AVERAGEIF($BE$277:$BE$393,1,$C$277:$C$393),AZ271)</f>
        <v>4.0978464170012394</v>
      </c>
      <c r="BH271" s="18">
        <f>IFERROR(AVERAGEIF($BE$277:$BE$393,2,$C$277:$C$393),BA271)</f>
        <v>-0.65162384892992609</v>
      </c>
      <c r="BI271" s="18">
        <f>IFERROR(AVERAGEIF($BE$277:$BE$393,3,$C$277:$C$393),BB271)</f>
        <v>0.58527951702511516</v>
      </c>
      <c r="BJ271" s="18">
        <f>IFERROR(AVERAGEIF($BE$277:$BE$393,4,$C$277:$C$393),BC271)</f>
        <v>-0.50808607103762693</v>
      </c>
      <c r="BK271" s="18">
        <f>IFERROR(AVERAGEIF($BE$277:$BE$393,5,$C$277:$C$393),BD271)</f>
        <v>2.3842116514370444</v>
      </c>
      <c r="BN271" s="18">
        <f>IFERROR(AVERAGEIF($BL$277:$BL$393,1,$C$277:$C$393),BG271)</f>
        <v>4.0978464170012394</v>
      </c>
      <c r="BO271" s="18">
        <f>IFERROR(AVERAGEIF($BL$277:$BL$393,2,$C$277:$C$393),BH271)</f>
        <v>-0.65162384892992609</v>
      </c>
      <c r="BP271" s="18">
        <f>IFERROR(AVERAGEIF($BL$277:$BL$393,3,$C$277:$C$393),BI271)</f>
        <v>0.58527951702511516</v>
      </c>
      <c r="BQ271" s="18">
        <f>IFERROR(AVERAGEIF($BL$277:$BL$393,4,$C$277:$C$393),BJ271)</f>
        <v>-0.50808607103762693</v>
      </c>
      <c r="BR271" s="18">
        <f>IFERROR(AVERAGEIF($BL$277:$BL$393,5,$C$277:$C$393),BK271)</f>
        <v>2.3842116514370444</v>
      </c>
      <c r="BU271" s="18">
        <f>IFERROR(AVERAGEIF($BS$277:$BS$393,1,$C$277:$C$393),BN271)</f>
        <v>4.0978464170012394</v>
      </c>
      <c r="BV271" s="18">
        <f>IFERROR(AVERAGEIF($BS$277:$BS$393,2,$C$277:$C$393),BO271)</f>
        <v>-0.65162384892992609</v>
      </c>
      <c r="BW271" s="18">
        <f>IFERROR(AVERAGEIF($BS$277:$BS$393,3,$C$277:$C$393),BP271)</f>
        <v>0.58527951702511516</v>
      </c>
      <c r="BX271" s="18">
        <f>IFERROR(AVERAGEIF($BS$277:$BS$393,4,$C$277:$C$393),BQ271)</f>
        <v>-0.50808607103762693</v>
      </c>
      <c r="BY271" s="18">
        <f>IFERROR(AVERAGEIF($BS$277:$BS$393,5,$C$277:$C$393),BR271)</f>
        <v>2.3842116514370444</v>
      </c>
      <c r="CB271" s="18">
        <f>IFERROR(AVERAGEIF($BZ$277:$BZ$393,1,$C$277:$C$393),BU271)</f>
        <v>4.0978464170012394</v>
      </c>
      <c r="CC271" s="18">
        <f>IFERROR(AVERAGEIF($BZ$277:$BZ$393,2,$C$277:$C$393),BV271)</f>
        <v>-0.65162384892992609</v>
      </c>
      <c r="CD271" s="18">
        <f>IFERROR(AVERAGEIF($BZ$277:$BZ$393,3,$C$277:$C$393),BW271)</f>
        <v>0.58527951702511516</v>
      </c>
      <c r="CE271" s="18">
        <f>IFERROR(AVERAGEIF($BZ$277:$BZ$393,4,$C$277:$C$393),BX271)</f>
        <v>-0.50808607103762693</v>
      </c>
      <c r="CF271" s="18">
        <f>IFERROR(AVERAGEIF($BZ$277:$BZ$393,5,$C$277:$C$393),BY271)</f>
        <v>2.3842116514370444</v>
      </c>
      <c r="CI271" s="18">
        <f>IFERROR(AVERAGEIF($CG$277:$CG$393,1,$C$277:$C$393),CB271)</f>
        <v>4.0978464170012394</v>
      </c>
      <c r="CJ271" s="18">
        <f>IFERROR(AVERAGEIF($CG$277:$CG$393,2,$C$277:$C$393),CC271)</f>
        <v>-0.65162384892992609</v>
      </c>
      <c r="CK271" s="18">
        <f>IFERROR(AVERAGEIF($CG$277:$CG$393,3,$C$277:$C$393),CD271)</f>
        <v>0.58527951702511516</v>
      </c>
      <c r="CL271" s="18">
        <f>IFERROR(AVERAGEIF($CG$277:$CG$393,4,$C$277:$C$393),CE271)</f>
        <v>-0.50808607103762693</v>
      </c>
      <c r="CM271" s="18">
        <f>IFERROR(AVERAGEIF($CG$277:$CG$393,5,$C$277:$C$393),CF271)</f>
        <v>2.3842116514370444</v>
      </c>
      <c r="CP271" s="18">
        <f>IFERROR(AVERAGEIF($CN$277:$CN$393,1,$C$277:$C$393),CI271)</f>
        <v>4.0978464170012394</v>
      </c>
      <c r="CQ271" s="18">
        <f>IFERROR(AVERAGEIF($CN$277:$CN$393,2,$C$277:$C$393),CJ271)</f>
        <v>-0.65162384892992609</v>
      </c>
      <c r="CR271" s="18">
        <f>IFERROR(AVERAGEIF($CN$277:$CN$393,3,$C$277:$C$393),CK271)</f>
        <v>0.58527951702511516</v>
      </c>
      <c r="CS271" s="18">
        <f>IFERROR(AVERAGEIF($CN$277:$CN$393,4,$C$277:$C$393),CL271)</f>
        <v>-0.50808607103762693</v>
      </c>
      <c r="CT271" s="18">
        <f>IFERROR(AVERAGEIF($CN$277:$CN$393,5,$C$277:$C$393),CM271)</f>
        <v>2.3842116514370444</v>
      </c>
      <c r="CW271" s="18">
        <f>IFERROR(AVERAGEIF($CU$277:$CU$393,1,$C$277:$C$393),CP271)</f>
        <v>4.0978464170012394</v>
      </c>
      <c r="CX271" s="18">
        <f>IFERROR(AVERAGEIF($CU$277:$CU$393,2,$C$277:$C$393),CQ271)</f>
        <v>-0.65162384892992609</v>
      </c>
      <c r="CY271" s="18">
        <f>IFERROR(AVERAGEIF($CU$277:$CU$393,3,$C$277:$C$393),CR271)</f>
        <v>0.58527951702511516</v>
      </c>
      <c r="CZ271" s="18">
        <f>IFERROR(AVERAGEIF($CU$277:$CU$393,4,$C$277:$C$393),CS271)</f>
        <v>-0.50808607103762693</v>
      </c>
      <c r="DA271" s="18">
        <f>IFERROR(AVERAGEIF($CU$277:$CU$393,5,$C$277:$C$393),CT271)</f>
        <v>2.3842116514370444</v>
      </c>
    </row>
    <row r="272" spans="1:105" x14ac:dyDescent="0.25">
      <c r="A272" s="48" t="s">
        <v>505</v>
      </c>
      <c r="B272" s="32" t="s">
        <v>93</v>
      </c>
      <c r="K272" s="40" t="s">
        <v>447</v>
      </c>
      <c r="L272" s="18">
        <f>IFERROR(AVERAGEIF($E$277:$E$393,1,$D$277:$D$393),0)</f>
        <v>2.9666128792111524</v>
      </c>
      <c r="M272" s="18">
        <f>IFERROR(AVERAGEIF($E$277:$E$393,2,$D$277:$D$393),0)</f>
        <v>-1.0738889424843081</v>
      </c>
      <c r="N272" s="18">
        <f>IFERROR(AVERAGEIF($E$277:$E$393,3,$D$277:$D$393),0)</f>
        <v>0.86037881943186956</v>
      </c>
      <c r="O272" s="18">
        <f>IFERROR(AVERAGEIF($E$277:$E$393,4,$D$277:$D$393),0)</f>
        <v>-0.3750764801149456</v>
      </c>
      <c r="P272" s="18">
        <f>IFERROR(AVERAGEIF($E$277:$E$393,5,$D$277:$D$393),0)</f>
        <v>1.6638215659540811</v>
      </c>
      <c r="W272" s="40" t="s">
        <v>447</v>
      </c>
      <c r="X272" s="18">
        <f>INDEX($D$277:$D$393,MATCH($B$268,$A$277:$A$393,0))</f>
        <v>3.2527128596020467</v>
      </c>
      <c r="Y272" s="18">
        <f>INDEX($D$277:$D$393,MATCH($B$269,$A$277:$A$393,0))</f>
        <v>-1.1456441163335547</v>
      </c>
      <c r="Z272" s="18">
        <f>INDEX($D$277:$D$393,MATCH($B$270,$A$277:$A$393,0))</f>
        <v>1.4704046399545831</v>
      </c>
      <c r="AA272" s="18">
        <f>INDEX($D$277:$D$393,MATCH($B$271,$A$277:$A$393,0))</f>
        <v>-1.1456441163335547</v>
      </c>
      <c r="AB272" s="18">
        <f>INDEX($D$277:$D$393,MATCH($B$272,$A$277:$A$393,0))</f>
        <v>2.3723555668164944</v>
      </c>
      <c r="AE272" s="18">
        <f>IFERROR(AVERAGEIF($AC$277:$AC$393,1,$D$277:$D$393),X272)</f>
        <v>2.9666128792111524</v>
      </c>
      <c r="AF272" s="18">
        <f>IFERROR(AVERAGEIF($AC$277:$AC$393,2,$D$277:$D$393),Y272)</f>
        <v>-0.93521803912728863</v>
      </c>
      <c r="AG272" s="18">
        <f>IFERROR(AVERAGEIF($AC$277:$AC$393,3,$D$277:$D$393),Z272)</f>
        <v>0.8460349574316729</v>
      </c>
      <c r="AH272" s="18">
        <f>IFERROR(AVERAGEIF($AC$277:$AC$393,4,$D$277:$D$393),AA272)</f>
        <v>-0.5139710662558683</v>
      </c>
      <c r="AI272" s="18">
        <f>IFERROR(AVERAGEIF($AC$277:$AC$393,5,$D$277:$D$393),AB272)</f>
        <v>1.7880577162974114</v>
      </c>
      <c r="AL272" s="18">
        <f>IFERROR(AVERAGEIF($AJ$277:$AJ$393,1,$D$277:$D$393),AE272)</f>
        <v>2.9666128792111524</v>
      </c>
      <c r="AM272" s="18">
        <f>IFERROR(AVERAGEIF($AJ$277:$AJ$393,2,$D$277:$D$393),AF272)</f>
        <v>-0.98560389672382986</v>
      </c>
      <c r="AN272" s="18">
        <f>IFERROR(AVERAGEIF($AJ$277:$AJ$393,3,$D$277:$D$393),AG272)</f>
        <v>0.84429182151126791</v>
      </c>
      <c r="AO272" s="18">
        <f>IFERROR(AVERAGEIF($AJ$277:$AJ$393,4,$D$277:$D$393),AH272)</f>
        <v>-0.39764937501872005</v>
      </c>
      <c r="AP272" s="18">
        <f>IFERROR(AVERAGEIF($AJ$277:$AJ$393,5,$D$277:$D$393),AI272)</f>
        <v>1.6638215659540811</v>
      </c>
      <c r="AS272" s="18">
        <f>IFERROR(AVERAGEIF($AQ$277:$AQ$393,1,$D$277:$D$393),AL272)</f>
        <v>2.9666128792111524</v>
      </c>
      <c r="AT272" s="18">
        <f>IFERROR(AVERAGEIF($AQ$277:$AQ$393,2,$D$277:$D$393),AM272)</f>
        <v>-1.0738889424843081</v>
      </c>
      <c r="AU272" s="18">
        <f>IFERROR(AVERAGEIF($AQ$277:$AQ$393,3,$D$277:$D$393),AN272)</f>
        <v>0.86037881943186956</v>
      </c>
      <c r="AV272" s="18">
        <f>IFERROR(AVERAGEIF($AQ$277:$AQ$393,4,$D$277:$D$393),AO272)</f>
        <v>-0.3750764801149456</v>
      </c>
      <c r="AW272" s="18">
        <f>IFERROR(AVERAGEIF($AQ$277:$AQ$393,5,$D$277:$D$393),AP272)</f>
        <v>1.6638215659540811</v>
      </c>
      <c r="AZ272" s="18">
        <f>IFERROR(AVERAGEIF($AX$277:$AX$393,1,$D$277:$D$393),AS272)</f>
        <v>2.9666128792111524</v>
      </c>
      <c r="BA272" s="18">
        <f>IFERROR(AVERAGEIF($AX$277:$AX$393,2,$D$277:$D$393),AT272)</f>
        <v>-1.0738889424843081</v>
      </c>
      <c r="BB272" s="18">
        <f>IFERROR(AVERAGEIF($AX$277:$AX$393,3,$D$277:$D$393),AU272)</f>
        <v>0.86037881943186956</v>
      </c>
      <c r="BC272" s="18">
        <f>IFERROR(AVERAGEIF($AX$277:$AX$393,4,$D$277:$D$393),AV272)</f>
        <v>-0.3750764801149456</v>
      </c>
      <c r="BD272" s="18">
        <f>IFERROR(AVERAGEIF($AX$277:$AX$393,5,$D$277:$D$393),AW272)</f>
        <v>1.6638215659540811</v>
      </c>
      <c r="BG272" s="18">
        <f>IFERROR(AVERAGEIF($BE$277:$BE$393,1,$D$277:$D$393),AZ272)</f>
        <v>2.9666128792111524</v>
      </c>
      <c r="BH272" s="18">
        <f>IFERROR(AVERAGEIF($BE$277:$BE$393,2,$D$277:$D$393),BA272)</f>
        <v>-1.0738889424843081</v>
      </c>
      <c r="BI272" s="18">
        <f>IFERROR(AVERAGEIF($BE$277:$BE$393,3,$D$277:$D$393),BB272)</f>
        <v>0.86037881943186956</v>
      </c>
      <c r="BJ272" s="18">
        <f>IFERROR(AVERAGEIF($BE$277:$BE$393,4,$D$277:$D$393),BC272)</f>
        <v>-0.3750764801149456</v>
      </c>
      <c r="BK272" s="18">
        <f>IFERROR(AVERAGEIF($BE$277:$BE$393,5,$D$277:$D$393),BD272)</f>
        <v>1.6638215659540811</v>
      </c>
      <c r="BN272" s="18">
        <f>IFERROR(AVERAGEIF($BL$277:$BL$393,1,$D$277:$D$393),BG272)</f>
        <v>2.9666128792111524</v>
      </c>
      <c r="BO272" s="18">
        <f>IFERROR(AVERAGEIF($BL$277:$BL$393,2,$D$277:$D$393),BH272)</f>
        <v>-1.0738889424843081</v>
      </c>
      <c r="BP272" s="18">
        <f>IFERROR(AVERAGEIF($BL$277:$BL$393,3,$D$277:$D$393),BI272)</f>
        <v>0.86037881943186956</v>
      </c>
      <c r="BQ272" s="18">
        <f>IFERROR(AVERAGEIF($BL$277:$BL$393,4,$D$277:$D$393),BJ272)</f>
        <v>-0.3750764801149456</v>
      </c>
      <c r="BR272" s="18">
        <f>IFERROR(AVERAGEIF($BL$277:$BL$393,5,$D$277:$D$393),BK272)</f>
        <v>1.6638215659540811</v>
      </c>
      <c r="BU272" s="18">
        <f>IFERROR(AVERAGEIF($BS$277:$BS$393,1,$D$277:$D$393),BN272)</f>
        <v>2.9666128792111524</v>
      </c>
      <c r="BV272" s="18">
        <f>IFERROR(AVERAGEIF($BS$277:$BS$393,2,$D$277:$D$393),BO272)</f>
        <v>-1.0738889424843081</v>
      </c>
      <c r="BW272" s="18">
        <f>IFERROR(AVERAGEIF($BS$277:$BS$393,3,$D$277:$D$393),BP272)</f>
        <v>0.86037881943186956</v>
      </c>
      <c r="BX272" s="18">
        <f>IFERROR(AVERAGEIF($BS$277:$BS$393,4,$D$277:$D$393),BQ272)</f>
        <v>-0.3750764801149456</v>
      </c>
      <c r="BY272" s="18">
        <f>IFERROR(AVERAGEIF($BS$277:$BS$393,5,$D$277:$D$393),BR272)</f>
        <v>1.6638215659540811</v>
      </c>
      <c r="CB272" s="18">
        <f>IFERROR(AVERAGEIF($BZ$277:$BZ$393,1,$D$277:$D$393),BU272)</f>
        <v>2.9666128792111524</v>
      </c>
      <c r="CC272" s="18">
        <f>IFERROR(AVERAGEIF($BZ$277:$BZ$393,2,$D$277:$D$393),BV272)</f>
        <v>-1.0738889424843081</v>
      </c>
      <c r="CD272" s="18">
        <f>IFERROR(AVERAGEIF($BZ$277:$BZ$393,3,$D$277:$D$393),BW272)</f>
        <v>0.86037881943186956</v>
      </c>
      <c r="CE272" s="18">
        <f>IFERROR(AVERAGEIF($BZ$277:$BZ$393,4,$D$277:$D$393),BX272)</f>
        <v>-0.3750764801149456</v>
      </c>
      <c r="CF272" s="18">
        <f>IFERROR(AVERAGEIF($BZ$277:$BZ$393,5,$D$277:$D$393),BY272)</f>
        <v>1.6638215659540811</v>
      </c>
      <c r="CI272" s="18">
        <f>IFERROR(AVERAGEIF($CG$277:$CG$393,1,$D$277:$D$393),CB272)</f>
        <v>2.9666128792111524</v>
      </c>
      <c r="CJ272" s="18">
        <f>IFERROR(AVERAGEIF($CG$277:$CG$393,2,$D$277:$D$393),CC272)</f>
        <v>-1.0738889424843081</v>
      </c>
      <c r="CK272" s="18">
        <f>IFERROR(AVERAGEIF($CG$277:$CG$393,3,$D$277:$D$393),CD272)</f>
        <v>0.86037881943186956</v>
      </c>
      <c r="CL272" s="18">
        <f>IFERROR(AVERAGEIF($CG$277:$CG$393,4,$D$277:$D$393),CE272)</f>
        <v>-0.3750764801149456</v>
      </c>
      <c r="CM272" s="18">
        <f>IFERROR(AVERAGEIF($CG$277:$CG$393,5,$D$277:$D$393),CF272)</f>
        <v>1.6638215659540811</v>
      </c>
      <c r="CP272" s="18">
        <f>IFERROR(AVERAGEIF($CN$277:$CN$393,1,$D$277:$D$393),CI272)</f>
        <v>2.9666128792111524</v>
      </c>
      <c r="CQ272" s="18">
        <f>IFERROR(AVERAGEIF($CN$277:$CN$393,2,$D$277:$D$393),CJ272)</f>
        <v>-1.0738889424843081</v>
      </c>
      <c r="CR272" s="18">
        <f>IFERROR(AVERAGEIF($CN$277:$CN$393,3,$D$277:$D$393),CK272)</f>
        <v>0.86037881943186956</v>
      </c>
      <c r="CS272" s="18">
        <f>IFERROR(AVERAGEIF($CN$277:$CN$393,4,$D$277:$D$393),CL272)</f>
        <v>-0.3750764801149456</v>
      </c>
      <c r="CT272" s="18">
        <f>IFERROR(AVERAGEIF($CN$277:$CN$393,5,$D$277:$D$393),CM272)</f>
        <v>1.6638215659540811</v>
      </c>
      <c r="CW272" s="18">
        <f>IFERROR(AVERAGEIF($CU$277:$CU$393,1,$D$277:$D$393),CP272)</f>
        <v>2.9666128792111524</v>
      </c>
      <c r="CX272" s="18">
        <f>IFERROR(AVERAGEIF($CU$277:$CU$393,2,$D$277:$D$393),CQ272)</f>
        <v>-1.0738889424843081</v>
      </c>
      <c r="CY272" s="18">
        <f>IFERROR(AVERAGEIF($CU$277:$CU$393,3,$D$277:$D$393),CR272)</f>
        <v>0.86037881943186956</v>
      </c>
      <c r="CZ272" s="18">
        <f>IFERROR(AVERAGEIF($CU$277:$CU$393,4,$D$277:$D$393),CS272)</f>
        <v>-0.3750764801149456</v>
      </c>
      <c r="DA272" s="18">
        <f>IFERROR(AVERAGEIF($CU$277:$CU$393,5,$D$277:$D$393),CT272)</f>
        <v>1.6638215659540811</v>
      </c>
    </row>
    <row r="273" spans="1:106" x14ac:dyDescent="0.25">
      <c r="K273" s="40" t="s">
        <v>475</v>
      </c>
      <c r="L273" s="16">
        <f>COUNTIF($E$277:$E$393,1)</f>
        <v>2</v>
      </c>
      <c r="M273" s="16">
        <f>COUNTIF($E$277:$E$393,2)</f>
        <v>25</v>
      </c>
      <c r="N273" s="16">
        <f>COUNTIF($E$277:$E$393,3)</f>
        <v>36</v>
      </c>
      <c r="O273" s="16">
        <f>COUNTIF($E$277:$E$393,4)</f>
        <v>49</v>
      </c>
      <c r="P273" s="16">
        <f>COUNTIF($E$277:$E$393,5)</f>
        <v>5</v>
      </c>
      <c r="W273" s="40" t="s">
        <v>475</v>
      </c>
      <c r="X273" s="16">
        <f>COUNTIF($AC$277:$AC$393,1)</f>
        <v>2</v>
      </c>
      <c r="Y273" s="16">
        <f>COUNTIF($AC$277:$AC$393,2)</f>
        <v>28</v>
      </c>
      <c r="Z273" s="16">
        <f>COUNTIF($AC$277:$AC$393,3)</f>
        <v>41</v>
      </c>
      <c r="AA273" s="16">
        <f>COUNTIF($AC$277:$AC$393,4)</f>
        <v>42</v>
      </c>
      <c r="AB273" s="16">
        <f>COUNTIF($AC$277:$AC$393,5)</f>
        <v>4</v>
      </c>
      <c r="AE273" s="16">
        <f>COUNTIF($AJ$277:$AJ$393,1)</f>
        <v>2</v>
      </c>
      <c r="AF273" s="16">
        <f>COUNTIF($AJ$277:$AJ$393,2)</f>
        <v>28</v>
      </c>
      <c r="AG273" s="16">
        <f>COUNTIF($AJ$277:$AJ$393,3)</f>
        <v>37</v>
      </c>
      <c r="AH273" s="16">
        <f>COUNTIF($AJ$277:$AJ$393,4)</f>
        <v>45</v>
      </c>
      <c r="AI273" s="16">
        <f>COUNTIF($AJ$277:$AJ$393,5)</f>
        <v>5</v>
      </c>
      <c r="AL273" s="16">
        <f>COUNTIF($AQ$277:$AQ$393,1)</f>
        <v>2</v>
      </c>
      <c r="AM273" s="16">
        <f>COUNTIF($AQ$277:$AQ$393,2)</f>
        <v>25</v>
      </c>
      <c r="AN273" s="16">
        <f>COUNTIF($AQ$277:$AQ$393,3)</f>
        <v>36</v>
      </c>
      <c r="AO273" s="16">
        <f>COUNTIF($AQ$277:$AQ$393,4)</f>
        <v>49</v>
      </c>
      <c r="AP273" s="16">
        <f>COUNTIF($AQ$277:$AQ$393,5)</f>
        <v>5</v>
      </c>
      <c r="AS273" s="16">
        <f>COUNTIF($AX$277:$AX$393,1)</f>
        <v>2</v>
      </c>
      <c r="AT273" s="16">
        <f>COUNTIF($AX$277:$AX$393,2)</f>
        <v>25</v>
      </c>
      <c r="AU273" s="16">
        <f>COUNTIF($AX$277:$AX$393,3)</f>
        <v>36</v>
      </c>
      <c r="AV273" s="16">
        <f>COUNTIF($AX$277:$AX$393,4)</f>
        <v>49</v>
      </c>
      <c r="AW273" s="16">
        <f>COUNTIF($AX$277:$AX$393,5)</f>
        <v>5</v>
      </c>
      <c r="AZ273" s="16">
        <f>COUNTIF($BE$277:$BE$393,1)</f>
        <v>2</v>
      </c>
      <c r="BA273" s="16">
        <f>COUNTIF($BE$277:$BE$393,2)</f>
        <v>25</v>
      </c>
      <c r="BB273" s="16">
        <f>COUNTIF($BE$277:$BE$393,3)</f>
        <v>36</v>
      </c>
      <c r="BC273" s="16">
        <f>COUNTIF($BE$277:$BE$393,4)</f>
        <v>49</v>
      </c>
      <c r="BD273" s="16">
        <f>COUNTIF($BE$277:$BE$393,5)</f>
        <v>5</v>
      </c>
      <c r="BG273" s="16">
        <f>COUNTIF($BL$277:$BL$393,1)</f>
        <v>2</v>
      </c>
      <c r="BH273" s="16">
        <f>COUNTIF($BL$277:$BL$393,2)</f>
        <v>25</v>
      </c>
      <c r="BI273" s="16">
        <f>COUNTIF($BL$277:$BL$393,3)</f>
        <v>36</v>
      </c>
      <c r="BJ273" s="16">
        <f>COUNTIF($BL$277:$BL$393,4)</f>
        <v>49</v>
      </c>
      <c r="BK273" s="16">
        <f>COUNTIF($BL$277:$BL$393,5)</f>
        <v>5</v>
      </c>
      <c r="BN273" s="16">
        <f>COUNTIF($BS$277:$BS$393,1)</f>
        <v>2</v>
      </c>
      <c r="BO273" s="16">
        <f>COUNTIF($BS$277:$BS$393,2)</f>
        <v>25</v>
      </c>
      <c r="BP273" s="16">
        <f>COUNTIF($BS$277:$BS$393,3)</f>
        <v>36</v>
      </c>
      <c r="BQ273" s="16">
        <f>COUNTIF($BS$277:$BS$393,4)</f>
        <v>49</v>
      </c>
      <c r="BR273" s="16">
        <f>COUNTIF($BS$277:$BS$393,5)</f>
        <v>5</v>
      </c>
      <c r="BU273" s="16">
        <f>COUNTIF($BZ$277:$BZ$393,1)</f>
        <v>2</v>
      </c>
      <c r="BV273" s="16">
        <f>COUNTIF($BZ$277:$BZ$393,2)</f>
        <v>25</v>
      </c>
      <c r="BW273" s="16">
        <f>COUNTIF($BZ$277:$BZ$393,3)</f>
        <v>36</v>
      </c>
      <c r="BX273" s="16">
        <f>COUNTIF($BZ$277:$BZ$393,4)</f>
        <v>49</v>
      </c>
      <c r="BY273" s="16">
        <f>COUNTIF($BZ$277:$BZ$393,5)</f>
        <v>5</v>
      </c>
      <c r="CB273" s="16">
        <f>COUNTIF($CG$277:$CG$393,1)</f>
        <v>2</v>
      </c>
      <c r="CC273" s="16">
        <f>COUNTIF($CG$277:$CG$393,2)</f>
        <v>25</v>
      </c>
      <c r="CD273" s="16">
        <f>COUNTIF($CG$277:$CG$393,3)</f>
        <v>36</v>
      </c>
      <c r="CE273" s="16">
        <f>COUNTIF($CG$277:$CG$393,4)</f>
        <v>49</v>
      </c>
      <c r="CF273" s="16">
        <f>COUNTIF($CG$277:$CG$393,5)</f>
        <v>5</v>
      </c>
      <c r="CI273" s="16">
        <f>COUNTIF($CN$277:$CN$393,1)</f>
        <v>2</v>
      </c>
      <c r="CJ273" s="16">
        <f>COUNTIF($CN$277:$CN$393,2)</f>
        <v>25</v>
      </c>
      <c r="CK273" s="16">
        <f>COUNTIF($CN$277:$CN$393,3)</f>
        <v>36</v>
      </c>
      <c r="CL273" s="16">
        <f>COUNTIF($CN$277:$CN$393,4)</f>
        <v>49</v>
      </c>
      <c r="CM273" s="16">
        <f>COUNTIF($CN$277:$CN$393,5)</f>
        <v>5</v>
      </c>
      <c r="CP273" s="16">
        <f>COUNTIF($CU$277:$CU$393,1)</f>
        <v>2</v>
      </c>
      <c r="CQ273" s="16">
        <f>COUNTIF($CU$277:$CU$393,2)</f>
        <v>25</v>
      </c>
      <c r="CR273" s="16">
        <f>COUNTIF($CU$277:$CU$393,3)</f>
        <v>36</v>
      </c>
      <c r="CS273" s="16">
        <f>COUNTIF($CU$277:$CU$393,4)</f>
        <v>49</v>
      </c>
      <c r="CT273" s="16">
        <f>COUNTIF($CU$277:$CU$393,5)</f>
        <v>5</v>
      </c>
      <c r="CW273" s="16">
        <f>COUNTIF($DB$277:$DB$393,1)</f>
        <v>2</v>
      </c>
      <c r="CX273" s="16">
        <f>COUNTIF($DB$277:$DB$393,2)</f>
        <v>25</v>
      </c>
      <c r="CY273" s="16">
        <f>COUNTIF($DB$277:$DB$393,3)</f>
        <v>36</v>
      </c>
      <c r="CZ273" s="16">
        <f>COUNTIF($DB$277:$DB$393,4)</f>
        <v>49</v>
      </c>
      <c r="DA273" s="16">
        <f>COUNTIF($DB$277:$DB$393,5)</f>
        <v>5</v>
      </c>
    </row>
    <row r="274" spans="1:106" x14ac:dyDescent="0.25">
      <c r="K274" s="40" t="s">
        <v>476</v>
      </c>
      <c r="L274" s="18">
        <f>SUMIF($E$277:$E$393,1,$F$277:$F$393)</f>
        <v>0.17095891751340966</v>
      </c>
      <c r="M274" s="18">
        <f>SUMIF($E$277:$E$393,2,$F$277:$F$393)</f>
        <v>5.4612417701049072</v>
      </c>
      <c r="N274" s="18">
        <f>SUMIF($E$277:$E$393,3,$F$277:$F$393)</f>
        <v>22.072535814797064</v>
      </c>
      <c r="O274" s="18">
        <f>SUMIF($E$277:$E$393,4,$F$277:$F$393)</f>
        <v>30.219077419281732</v>
      </c>
      <c r="P274" s="18">
        <f>SUMIF($E$277:$E$393,5,$F$277:$F$393)</f>
        <v>3.9480389964370159</v>
      </c>
      <c r="W274" s="40" t="s">
        <v>477</v>
      </c>
      <c r="AC274" s="13" t="s">
        <v>478</v>
      </c>
      <c r="AJ274" s="16">
        <f>SUMPRODUCT(--($AJ$277:$AJ$393&lt;&gt;$AC$277:$AC$393))</f>
        <v>10</v>
      </c>
      <c r="AQ274" s="16">
        <f>SUMPRODUCT(--($AQ$277:$AQ$393&lt;&gt;$AJ$277:$AJ$393))</f>
        <v>4</v>
      </c>
      <c r="AX274" s="16">
        <f>SUMPRODUCT(--($AX$277:$AX$393&lt;&gt;$AQ$277:$AQ$393))</f>
        <v>0</v>
      </c>
      <c r="BE274" s="16">
        <f>SUMPRODUCT(--($BE$277:$BE$393&lt;&gt;$AX$277:$AX$393))</f>
        <v>0</v>
      </c>
      <c r="BL274" s="16">
        <f>SUMPRODUCT(--($BL$277:$BL$393&lt;&gt;$BE$277:$BE$393))</f>
        <v>0</v>
      </c>
      <c r="BS274" s="16">
        <f>SUMPRODUCT(--($BS$277:$BS$393&lt;&gt;$BL$277:$BL$393))</f>
        <v>0</v>
      </c>
      <c r="BZ274" s="16">
        <f>SUMPRODUCT(--($BZ$277:$BZ$393&lt;&gt;$BS$277:$BS$393))</f>
        <v>0</v>
      </c>
      <c r="CG274" s="16">
        <f>SUMPRODUCT(--($CG$277:$CG$393&lt;&gt;$BZ$277:$BZ$393))</f>
        <v>0</v>
      </c>
      <c r="CN274" s="16">
        <f>SUMPRODUCT(--($CN$277:$CN$393&lt;&gt;$CG$277:$CG$393))</f>
        <v>0</v>
      </c>
      <c r="CU274" s="16">
        <f>SUMPRODUCT(--($CU$277:$CU$393&lt;&gt;$CN$277:$CN$393))</f>
        <v>0</v>
      </c>
      <c r="DB274" s="16">
        <f>SUMPRODUCT(--($DB$277:$DB$393&lt;&gt;$CU$277:$CU$393))</f>
        <v>0</v>
      </c>
    </row>
    <row r="275" spans="1:106" x14ac:dyDescent="0.25">
      <c r="K275" s="40" t="s">
        <v>270</v>
      </c>
      <c r="L275" s="57">
        <f>SUM($F$277:$F$393)</f>
        <v>61.871852918134095</v>
      </c>
      <c r="M275" s="40" t="s">
        <v>52</v>
      </c>
      <c r="N275" s="36" t="str">
        <f>IF(DB274=0,"Converged","Not converged: more iterations needed")</f>
        <v>Converged</v>
      </c>
    </row>
    <row r="276" spans="1:106" ht="31.5" customHeight="1" x14ac:dyDescent="0.25">
      <c r="A276" s="11" t="s">
        <v>89</v>
      </c>
      <c r="B276" s="11" t="s">
        <v>445</v>
      </c>
      <c r="C276" s="11" t="s">
        <v>446</v>
      </c>
      <c r="D276" s="11" t="s">
        <v>447</v>
      </c>
      <c r="E276" s="11" t="s">
        <v>451</v>
      </c>
      <c r="F276" s="11" t="s">
        <v>500</v>
      </c>
      <c r="G276" s="11" t="s">
        <v>481</v>
      </c>
      <c r="H276" s="11" t="s">
        <v>482</v>
      </c>
      <c r="I276" s="11" t="s">
        <v>483</v>
      </c>
      <c r="X276" s="11" t="s">
        <v>484</v>
      </c>
      <c r="Y276" s="11" t="s">
        <v>485</v>
      </c>
      <c r="Z276" s="11" t="s">
        <v>486</v>
      </c>
      <c r="AA276" s="11" t="s">
        <v>503</v>
      </c>
      <c r="AB276" s="11" t="s">
        <v>506</v>
      </c>
      <c r="AC276" s="11" t="s">
        <v>451</v>
      </c>
      <c r="AE276" s="11" t="s">
        <v>484</v>
      </c>
      <c r="AF276" s="11" t="s">
        <v>485</v>
      </c>
      <c r="AG276" s="11" t="s">
        <v>486</v>
      </c>
      <c r="AH276" s="11" t="s">
        <v>503</v>
      </c>
      <c r="AI276" s="11" t="s">
        <v>506</v>
      </c>
      <c r="AJ276" s="11" t="s">
        <v>451</v>
      </c>
      <c r="AL276" s="11" t="s">
        <v>484</v>
      </c>
      <c r="AM276" s="11" t="s">
        <v>485</v>
      </c>
      <c r="AN276" s="11" t="s">
        <v>486</v>
      </c>
      <c r="AO276" s="11" t="s">
        <v>503</v>
      </c>
      <c r="AP276" s="11" t="s">
        <v>506</v>
      </c>
      <c r="AQ276" s="11" t="s">
        <v>451</v>
      </c>
      <c r="AS276" s="11" t="s">
        <v>484</v>
      </c>
      <c r="AT276" s="11" t="s">
        <v>485</v>
      </c>
      <c r="AU276" s="11" t="s">
        <v>486</v>
      </c>
      <c r="AV276" s="11" t="s">
        <v>503</v>
      </c>
      <c r="AW276" s="11" t="s">
        <v>506</v>
      </c>
      <c r="AX276" s="11" t="s">
        <v>451</v>
      </c>
      <c r="AZ276" s="11" t="s">
        <v>484</v>
      </c>
      <c r="BA276" s="11" t="s">
        <v>485</v>
      </c>
      <c r="BB276" s="11" t="s">
        <v>486</v>
      </c>
      <c r="BC276" s="11" t="s">
        <v>503</v>
      </c>
      <c r="BD276" s="11" t="s">
        <v>506</v>
      </c>
      <c r="BE276" s="11" t="s">
        <v>451</v>
      </c>
      <c r="BG276" s="11" t="s">
        <v>484</v>
      </c>
      <c r="BH276" s="11" t="s">
        <v>485</v>
      </c>
      <c r="BI276" s="11" t="s">
        <v>486</v>
      </c>
      <c r="BJ276" s="11" t="s">
        <v>503</v>
      </c>
      <c r="BK276" s="11" t="s">
        <v>506</v>
      </c>
      <c r="BL276" s="11" t="s">
        <v>451</v>
      </c>
      <c r="BN276" s="11" t="s">
        <v>484</v>
      </c>
      <c r="BO276" s="11" t="s">
        <v>485</v>
      </c>
      <c r="BP276" s="11" t="s">
        <v>486</v>
      </c>
      <c r="BQ276" s="11" t="s">
        <v>503</v>
      </c>
      <c r="BR276" s="11" t="s">
        <v>506</v>
      </c>
      <c r="BS276" s="11" t="s">
        <v>451</v>
      </c>
      <c r="BU276" s="11" t="s">
        <v>484</v>
      </c>
      <c r="BV276" s="11" t="s">
        <v>485</v>
      </c>
      <c r="BW276" s="11" t="s">
        <v>486</v>
      </c>
      <c r="BX276" s="11" t="s">
        <v>503</v>
      </c>
      <c r="BY276" s="11" t="s">
        <v>506</v>
      </c>
      <c r="BZ276" s="11" t="s">
        <v>451</v>
      </c>
      <c r="CB276" s="11" t="s">
        <v>484</v>
      </c>
      <c r="CC276" s="11" t="s">
        <v>485</v>
      </c>
      <c r="CD276" s="11" t="s">
        <v>486</v>
      </c>
      <c r="CE276" s="11" t="s">
        <v>503</v>
      </c>
      <c r="CF276" s="11" t="s">
        <v>506</v>
      </c>
      <c r="CG276" s="11" t="s">
        <v>451</v>
      </c>
      <c r="CI276" s="11" t="s">
        <v>484</v>
      </c>
      <c r="CJ276" s="11" t="s">
        <v>485</v>
      </c>
      <c r="CK276" s="11" t="s">
        <v>486</v>
      </c>
      <c r="CL276" s="11" t="s">
        <v>503</v>
      </c>
      <c r="CM276" s="11" t="s">
        <v>506</v>
      </c>
      <c r="CN276" s="11" t="s">
        <v>451</v>
      </c>
      <c r="CP276" s="11" t="s">
        <v>484</v>
      </c>
      <c r="CQ276" s="11" t="s">
        <v>485</v>
      </c>
      <c r="CR276" s="11" t="s">
        <v>486</v>
      </c>
      <c r="CS276" s="11" t="s">
        <v>503</v>
      </c>
      <c r="CT276" s="11" t="s">
        <v>506</v>
      </c>
      <c r="CU276" s="11" t="s">
        <v>451</v>
      </c>
      <c r="CW276" s="11" t="s">
        <v>484</v>
      </c>
      <c r="CX276" s="11" t="s">
        <v>485</v>
      </c>
      <c r="CY276" s="11" t="s">
        <v>486</v>
      </c>
      <c r="CZ276" s="11" t="s">
        <v>503</v>
      </c>
      <c r="DA276" s="11" t="s">
        <v>506</v>
      </c>
      <c r="DB276" s="11" t="s">
        <v>451</v>
      </c>
    </row>
    <row r="277" spans="1:106" x14ac:dyDescent="0.25">
      <c r="A277" s="36" t="str">
        <f>KMeans_Data!A5</f>
        <v>Karachi</v>
      </c>
      <c r="B277" s="18">
        <f>KMeans_Data!H5</f>
        <v>3.2743087782752069</v>
      </c>
      <c r="C277" s="18">
        <f>KMeans_Data!I5</f>
        <v>4.0388517969113016</v>
      </c>
      <c r="D277" s="18">
        <f>KMeans_Data!J5</f>
        <v>3.2527128596020467</v>
      </c>
      <c r="E277" s="56">
        <f t="shared" ref="E277:E308" si="256">DB277</f>
        <v>1</v>
      </c>
      <c r="F277" s="38">
        <f t="shared" ref="F277:F308" si="257">($B277-INDEX($L$270:$P$270,E277))^2+($C277-INDEX($L$271:$P$271,E277))^2+($D277-INDEX($L$272:$P$272,E277))^2</f>
        <v>8.5479458756704832E-2</v>
      </c>
      <c r="G277" s="18">
        <f>IF(COUNTIF(Distance_Matrix!$E$11:$DQ$11,$E277)&lt;=1,0,SUMIF(Distance_Matrix!$E$11:$DQ$11,$E277,Distance_Matrix!$E$14:$DQ$14)/(COUNTIF(Distance_Matrix!$E$11:$DQ$11,$E277)-1))</f>
        <v>0.58473740689887399</v>
      </c>
      <c r="H277" s="18">
        <f>MIN(IF(1=$E277,1E+99,IF(COUNTIF(Distance_Matrix!$E$11:$DQ$11,1)=0,1E+99,SUMIF(Distance_Matrix!$E$11:$DQ$11,1,Distance_Matrix!$E$14:$DQ$14)/COUNTIF(Distance_Matrix!$E$11:$DQ$11,1))),IF(2=$E277,1E+99,IF(COUNTIF(Distance_Matrix!$E$11:$DQ$11,2)=0,1E+99,SUMIF(Distance_Matrix!$E$11:$DQ$11,2,Distance_Matrix!$E$14:$DQ$14)/COUNTIF(Distance_Matrix!$E$11:$DQ$11,2))),IF(3=$E277,1E+99,IF(COUNTIF(Distance_Matrix!$E$11:$DQ$11,3)=0,1E+99,SUMIF(Distance_Matrix!$E$11:$DQ$11,3,Distance_Matrix!$E$14:$DQ$14)/COUNTIF(Distance_Matrix!$E$11:$DQ$11,3))),IF(4=$E277,1E+99,IF(COUNTIF(Distance_Matrix!$E$11:$DQ$11,4)=0,1E+99,SUMIF(Distance_Matrix!$E$11:$DQ$11,4,Distance_Matrix!$E$14:$DQ$14)/COUNTIF(Distance_Matrix!$E$11:$DQ$11,4))),IF(5=$E277,1E+99,IF(COUNTIF(Distance_Matrix!$E$11:$DQ$11,5)=0,1E+99,SUMIF(Distance_Matrix!$E$11:$DQ$11,5,Distance_Matrix!$E$14:$DQ$14)/COUNTIF(Distance_Matrix!$E$11:$DQ$11,5))))</f>
        <v>2.7390252737142822</v>
      </c>
      <c r="I277" s="18">
        <f>IF(COUNTIF(Distance_Matrix!$E$11:$DQ$11,$E277)&lt;=1,0,(H277-G277)/MAX(G277,H277))</f>
        <v>0.78651624265374698</v>
      </c>
      <c r="X277" s="18">
        <f t="shared" ref="X277:AB286" si="258">SQRT(($B277-X$270)^2+($C277-X$271)^2+($D277-X$272)^2)</f>
        <v>0</v>
      </c>
      <c r="Y277" s="18">
        <f t="shared" si="258"/>
        <v>8.3791178007212217</v>
      </c>
      <c r="Z277" s="18">
        <f t="shared" si="258"/>
        <v>4.6451579272007946</v>
      </c>
      <c r="AA277" s="18">
        <f t="shared" si="258"/>
        <v>6.6163799696290333</v>
      </c>
      <c r="AB277" s="18">
        <f t="shared" si="258"/>
        <v>2.1556297504391493</v>
      </c>
      <c r="AC277" s="56">
        <f t="shared" ref="AC277:AC308" si="259">MATCH(MIN(X277:AB277),X277:AB277,0)</f>
        <v>1</v>
      </c>
      <c r="AE277" s="18">
        <f t="shared" ref="AE277:AI286" si="260">SQRT(($B277-AE$270)^2+($C277-AE$271)^2+($D277-AE$272)^2)</f>
        <v>0.292368703449437</v>
      </c>
      <c r="AF277" s="18">
        <f t="shared" si="260"/>
        <v>7.7426466338426723</v>
      </c>
      <c r="AG277" s="18">
        <f t="shared" si="260"/>
        <v>5.0742600455296474</v>
      </c>
      <c r="AH277" s="18">
        <f t="shared" si="260"/>
        <v>6.7692930503398152</v>
      </c>
      <c r="AI277" s="18">
        <f t="shared" si="260"/>
        <v>2.4065041446740785</v>
      </c>
      <c r="AJ277" s="56">
        <f t="shared" ref="AJ277:AJ308" si="261">MATCH(MIN(AE277:AI277),AE277:AI277,0)</f>
        <v>1</v>
      </c>
      <c r="AL277" s="18">
        <f t="shared" ref="AL277:AP286" si="262">SQRT(($B277-AL$270)^2+($C277-AL$271)^2+($D277-AL$272)^2)</f>
        <v>0.292368703449437</v>
      </c>
      <c r="AM277" s="18">
        <f t="shared" si="262"/>
        <v>7.7649417577912008</v>
      </c>
      <c r="AN277" s="18">
        <f t="shared" si="262"/>
        <v>4.9969080200696236</v>
      </c>
      <c r="AO277" s="18">
        <f t="shared" si="262"/>
        <v>6.7301109411927769</v>
      </c>
      <c r="AP277" s="18">
        <f t="shared" si="262"/>
        <v>2.6739931682080247</v>
      </c>
      <c r="AQ277" s="56">
        <f t="shared" ref="AQ277:AQ308" si="263">MATCH(MIN(AL277:AP277),AL277:AP277,0)</f>
        <v>1</v>
      </c>
      <c r="AS277" s="18">
        <f t="shared" ref="AS277:AW286" si="264">SQRT(($B277-AS$270)^2+($C277-AS$271)^2+($D277-AS$272)^2)</f>
        <v>0.292368703449437</v>
      </c>
      <c r="AT277" s="18">
        <f t="shared" si="264"/>
        <v>7.8385804968249717</v>
      </c>
      <c r="AU277" s="18">
        <f t="shared" si="264"/>
        <v>4.9708388292164551</v>
      </c>
      <c r="AV277" s="18">
        <f t="shared" si="264"/>
        <v>6.7391282616925183</v>
      </c>
      <c r="AW277" s="18">
        <f t="shared" si="264"/>
        <v>2.6739931682080247</v>
      </c>
      <c r="AX277" s="56">
        <f t="shared" ref="AX277:AX308" si="265">MATCH(MIN(AS277:AW277),AS277:AW277,0)</f>
        <v>1</v>
      </c>
      <c r="AZ277" s="18">
        <f t="shared" ref="AZ277:BD286" si="266">SQRT(($B277-AZ$270)^2+($C277-AZ$271)^2+($D277-AZ$272)^2)</f>
        <v>0.292368703449437</v>
      </c>
      <c r="BA277" s="18">
        <f t="shared" si="266"/>
        <v>7.8385804968249717</v>
      </c>
      <c r="BB277" s="18">
        <f t="shared" si="266"/>
        <v>4.9708388292164551</v>
      </c>
      <c r="BC277" s="18">
        <f t="shared" si="266"/>
        <v>6.7391282616925183</v>
      </c>
      <c r="BD277" s="18">
        <f t="shared" si="266"/>
        <v>2.6739931682080247</v>
      </c>
      <c r="BE277" s="56">
        <f t="shared" ref="BE277:BE308" si="267">MATCH(MIN(AZ277:BD277),AZ277:BD277,0)</f>
        <v>1</v>
      </c>
      <c r="BG277" s="18">
        <f t="shared" ref="BG277:BK286" si="268">SQRT(($B277-BG$270)^2+($C277-BG$271)^2+($D277-BG$272)^2)</f>
        <v>0.292368703449437</v>
      </c>
      <c r="BH277" s="18">
        <f t="shared" si="268"/>
        <v>7.8385804968249717</v>
      </c>
      <c r="BI277" s="18">
        <f t="shared" si="268"/>
        <v>4.9708388292164551</v>
      </c>
      <c r="BJ277" s="18">
        <f t="shared" si="268"/>
        <v>6.7391282616925183</v>
      </c>
      <c r="BK277" s="18">
        <f t="shared" si="268"/>
        <v>2.6739931682080247</v>
      </c>
      <c r="BL277" s="56">
        <f t="shared" ref="BL277:BL308" si="269">MATCH(MIN(BG277:BK277),BG277:BK277,0)</f>
        <v>1</v>
      </c>
      <c r="BN277" s="18">
        <f t="shared" ref="BN277:BR286" si="270">SQRT(($B277-BN$270)^2+($C277-BN$271)^2+($D277-BN$272)^2)</f>
        <v>0.292368703449437</v>
      </c>
      <c r="BO277" s="18">
        <f t="shared" si="270"/>
        <v>7.8385804968249717</v>
      </c>
      <c r="BP277" s="18">
        <f t="shared" si="270"/>
        <v>4.9708388292164551</v>
      </c>
      <c r="BQ277" s="18">
        <f t="shared" si="270"/>
        <v>6.7391282616925183</v>
      </c>
      <c r="BR277" s="18">
        <f t="shared" si="270"/>
        <v>2.6739931682080247</v>
      </c>
      <c r="BS277" s="56">
        <f t="shared" ref="BS277:BS308" si="271">MATCH(MIN(BN277:BR277),BN277:BR277,0)</f>
        <v>1</v>
      </c>
      <c r="BU277" s="18">
        <f t="shared" ref="BU277:BY286" si="272">SQRT(($B277-BU$270)^2+($C277-BU$271)^2+($D277-BU$272)^2)</f>
        <v>0.292368703449437</v>
      </c>
      <c r="BV277" s="18">
        <f t="shared" si="272"/>
        <v>7.8385804968249717</v>
      </c>
      <c r="BW277" s="18">
        <f t="shared" si="272"/>
        <v>4.9708388292164551</v>
      </c>
      <c r="BX277" s="18">
        <f t="shared" si="272"/>
        <v>6.7391282616925183</v>
      </c>
      <c r="BY277" s="18">
        <f t="shared" si="272"/>
        <v>2.6739931682080247</v>
      </c>
      <c r="BZ277" s="56">
        <f t="shared" ref="BZ277:BZ308" si="273">MATCH(MIN(BU277:BY277),BU277:BY277,0)</f>
        <v>1</v>
      </c>
      <c r="CB277" s="18">
        <f t="shared" ref="CB277:CF286" si="274">SQRT(($B277-CB$270)^2+($C277-CB$271)^2+($D277-CB$272)^2)</f>
        <v>0.292368703449437</v>
      </c>
      <c r="CC277" s="18">
        <f t="shared" si="274"/>
        <v>7.8385804968249717</v>
      </c>
      <c r="CD277" s="18">
        <f t="shared" si="274"/>
        <v>4.9708388292164551</v>
      </c>
      <c r="CE277" s="18">
        <f t="shared" si="274"/>
        <v>6.7391282616925183</v>
      </c>
      <c r="CF277" s="18">
        <f t="shared" si="274"/>
        <v>2.6739931682080247</v>
      </c>
      <c r="CG277" s="56">
        <f t="shared" ref="CG277:CG308" si="275">MATCH(MIN(CB277:CF277),CB277:CF277,0)</f>
        <v>1</v>
      </c>
      <c r="CI277" s="18">
        <f t="shared" ref="CI277:CM286" si="276">SQRT(($B277-CI$270)^2+($C277-CI$271)^2+($D277-CI$272)^2)</f>
        <v>0.292368703449437</v>
      </c>
      <c r="CJ277" s="18">
        <f t="shared" si="276"/>
        <v>7.8385804968249717</v>
      </c>
      <c r="CK277" s="18">
        <f t="shared" si="276"/>
        <v>4.9708388292164551</v>
      </c>
      <c r="CL277" s="18">
        <f t="shared" si="276"/>
        <v>6.7391282616925183</v>
      </c>
      <c r="CM277" s="18">
        <f t="shared" si="276"/>
        <v>2.6739931682080247</v>
      </c>
      <c r="CN277" s="56">
        <f t="shared" ref="CN277:CN308" si="277">MATCH(MIN(CI277:CM277),CI277:CM277,0)</f>
        <v>1</v>
      </c>
      <c r="CP277" s="18">
        <f t="shared" ref="CP277:CT286" si="278">SQRT(($B277-CP$270)^2+($C277-CP$271)^2+($D277-CP$272)^2)</f>
        <v>0.292368703449437</v>
      </c>
      <c r="CQ277" s="18">
        <f t="shared" si="278"/>
        <v>7.8385804968249717</v>
      </c>
      <c r="CR277" s="18">
        <f t="shared" si="278"/>
        <v>4.9708388292164551</v>
      </c>
      <c r="CS277" s="18">
        <f t="shared" si="278"/>
        <v>6.7391282616925183</v>
      </c>
      <c r="CT277" s="18">
        <f t="shared" si="278"/>
        <v>2.6739931682080247</v>
      </c>
      <c r="CU277" s="56">
        <f t="shared" ref="CU277:CU308" si="279">MATCH(MIN(CP277:CT277),CP277:CT277,0)</f>
        <v>1</v>
      </c>
      <c r="CW277" s="18">
        <f t="shared" ref="CW277:DA286" si="280">SQRT(($B277-CW$270)^2+($C277-CW$271)^2+($D277-CW$272)^2)</f>
        <v>0.292368703449437</v>
      </c>
      <c r="CX277" s="18">
        <f t="shared" si="280"/>
        <v>7.8385804968249717</v>
      </c>
      <c r="CY277" s="18">
        <f t="shared" si="280"/>
        <v>4.9708388292164551</v>
      </c>
      <c r="CZ277" s="18">
        <f t="shared" si="280"/>
        <v>6.7391282616925183</v>
      </c>
      <c r="DA277" s="18">
        <f t="shared" si="280"/>
        <v>2.6739931682080247</v>
      </c>
      <c r="DB277" s="56">
        <f t="shared" ref="DB277:DB308" si="281">MATCH(MIN(CW277:DA277),CW277:DA277,0)</f>
        <v>1</v>
      </c>
    </row>
    <row r="278" spans="1:106" x14ac:dyDescent="0.25">
      <c r="A278" s="36" t="str">
        <f>KMeans_Data!A6</f>
        <v>Lahore</v>
      </c>
      <c r="B278" s="18">
        <f>KMeans_Data!H6</f>
        <v>3.2501513961754349</v>
      </c>
      <c r="C278" s="18">
        <f>KMeans_Data!I6</f>
        <v>4.1568410370911772</v>
      </c>
      <c r="D278" s="18">
        <f>KMeans_Data!J6</f>
        <v>2.680512898820258</v>
      </c>
      <c r="E278" s="56">
        <f t="shared" si="256"/>
        <v>1</v>
      </c>
      <c r="F278" s="38">
        <f t="shared" si="257"/>
        <v>8.5479458756704832E-2</v>
      </c>
      <c r="G278" s="18">
        <f>IF(COUNTIF(Distance_Matrix!$E$11:$DQ$11,$E278)&lt;=1,0,SUMIF(Distance_Matrix!$E$11:$DQ$11,$E278,Distance_Matrix!$E$15:$DQ$15)/(COUNTIF(Distance_Matrix!$E$11:$DQ$11,$E278)-1))</f>
        <v>0.58473740689887399</v>
      </c>
      <c r="H278" s="18">
        <f>MIN(IF(1=$E278,1E+99,IF(COUNTIF(Distance_Matrix!$E$11:$DQ$11,1)=0,1E+99,SUMIF(Distance_Matrix!$E$11:$DQ$11,1,Distance_Matrix!$E$15:$DQ$15)/COUNTIF(Distance_Matrix!$E$11:$DQ$11,1))),IF(2=$E278,1E+99,IF(COUNTIF(Distance_Matrix!$E$11:$DQ$11,2)=0,1E+99,SUMIF(Distance_Matrix!$E$11:$DQ$11,2,Distance_Matrix!$E$15:$DQ$15)/COUNTIF(Distance_Matrix!$E$11:$DQ$11,2))),IF(3=$E278,1E+99,IF(COUNTIF(Distance_Matrix!$E$11:$DQ$11,3)=0,1E+99,SUMIF(Distance_Matrix!$E$11:$DQ$11,3,Distance_Matrix!$E$15:$DQ$15)/COUNTIF(Distance_Matrix!$E$11:$DQ$11,3))),IF(4=$E278,1E+99,IF(COUNTIF(Distance_Matrix!$E$11:$DQ$11,4)=0,1E+99,SUMIF(Distance_Matrix!$E$11:$DQ$11,4,Distance_Matrix!$E$15:$DQ$15)/COUNTIF(Distance_Matrix!$E$11:$DQ$11,4))),IF(5=$E278,1E+99,IF(COUNTIF(Distance_Matrix!$E$11:$DQ$11,5)=0,1E+99,SUMIF(Distance_Matrix!$E$11:$DQ$11,5,Distance_Matrix!$E$15:$DQ$15)/COUNTIF(Distance_Matrix!$E$11:$DQ$11,5))))</f>
        <v>2.5118138655811872</v>
      </c>
      <c r="I278" s="18">
        <f>IF(COUNTIF(Distance_Matrix!$E$11:$DQ$11,$E278)&lt;=1,0,(H278-G278)/MAX(G278,H278))</f>
        <v>0.76720512020759291</v>
      </c>
      <c r="X278" s="18">
        <f t="shared" si="258"/>
        <v>0.58473740689887399</v>
      </c>
      <c r="Y278" s="18">
        <f t="shared" si="258"/>
        <v>8.1468513691696547</v>
      </c>
      <c r="Z278" s="18">
        <f t="shared" si="258"/>
        <v>4.5426180354302428</v>
      </c>
      <c r="AA278" s="18">
        <f t="shared" si="258"/>
        <v>6.3202600745793749</v>
      </c>
      <c r="AB278" s="18">
        <f t="shared" si="258"/>
        <v>2.0854100918094183</v>
      </c>
      <c r="AC278" s="56">
        <f t="shared" si="259"/>
        <v>1</v>
      </c>
      <c r="AE278" s="18">
        <f t="shared" si="260"/>
        <v>0.292368703449437</v>
      </c>
      <c r="AF278" s="18">
        <f t="shared" si="260"/>
        <v>7.5091313266388466</v>
      </c>
      <c r="AG278" s="18">
        <f t="shared" si="260"/>
        <v>4.902975911234674</v>
      </c>
      <c r="AH278" s="18">
        <f t="shared" si="260"/>
        <v>6.5392628026543562</v>
      </c>
      <c r="AI278" s="18">
        <f t="shared" si="260"/>
        <v>2.1803945233996784</v>
      </c>
      <c r="AJ278" s="56">
        <f t="shared" si="261"/>
        <v>1</v>
      </c>
      <c r="AL278" s="18">
        <f t="shared" si="262"/>
        <v>0.292368703449437</v>
      </c>
      <c r="AM278" s="18">
        <f t="shared" si="262"/>
        <v>7.528317037550603</v>
      </c>
      <c r="AN278" s="18">
        <f t="shared" si="262"/>
        <v>4.8211190535144128</v>
      </c>
      <c r="AO278" s="18">
        <f t="shared" si="262"/>
        <v>6.509271413697979</v>
      </c>
      <c r="AP278" s="18">
        <f t="shared" si="262"/>
        <v>2.4490622732475513</v>
      </c>
      <c r="AQ278" s="56">
        <f t="shared" si="263"/>
        <v>1</v>
      </c>
      <c r="AS278" s="18">
        <f t="shared" si="264"/>
        <v>0.292368703449437</v>
      </c>
      <c r="AT278" s="18">
        <f t="shared" si="264"/>
        <v>7.5974211422769002</v>
      </c>
      <c r="AU278" s="18">
        <f t="shared" si="264"/>
        <v>4.7958287715364021</v>
      </c>
      <c r="AV278" s="18">
        <f t="shared" si="264"/>
        <v>6.5203290169698276</v>
      </c>
      <c r="AW278" s="18">
        <f t="shared" si="264"/>
        <v>2.4490622732475513</v>
      </c>
      <c r="AX278" s="56">
        <f t="shared" si="265"/>
        <v>1</v>
      </c>
      <c r="AZ278" s="18">
        <f t="shared" si="266"/>
        <v>0.292368703449437</v>
      </c>
      <c r="BA278" s="18">
        <f t="shared" si="266"/>
        <v>7.5974211422769002</v>
      </c>
      <c r="BB278" s="18">
        <f t="shared" si="266"/>
        <v>4.7958287715364021</v>
      </c>
      <c r="BC278" s="18">
        <f t="shared" si="266"/>
        <v>6.5203290169698276</v>
      </c>
      <c r="BD278" s="18">
        <f t="shared" si="266"/>
        <v>2.4490622732475513</v>
      </c>
      <c r="BE278" s="56">
        <f t="shared" si="267"/>
        <v>1</v>
      </c>
      <c r="BG278" s="18">
        <f t="shared" si="268"/>
        <v>0.292368703449437</v>
      </c>
      <c r="BH278" s="18">
        <f t="shared" si="268"/>
        <v>7.5974211422769002</v>
      </c>
      <c r="BI278" s="18">
        <f t="shared" si="268"/>
        <v>4.7958287715364021</v>
      </c>
      <c r="BJ278" s="18">
        <f t="shared" si="268"/>
        <v>6.5203290169698276</v>
      </c>
      <c r="BK278" s="18">
        <f t="shared" si="268"/>
        <v>2.4490622732475513</v>
      </c>
      <c r="BL278" s="56">
        <f t="shared" si="269"/>
        <v>1</v>
      </c>
      <c r="BN278" s="18">
        <f t="shared" si="270"/>
        <v>0.292368703449437</v>
      </c>
      <c r="BO278" s="18">
        <f t="shared" si="270"/>
        <v>7.5974211422769002</v>
      </c>
      <c r="BP278" s="18">
        <f t="shared" si="270"/>
        <v>4.7958287715364021</v>
      </c>
      <c r="BQ278" s="18">
        <f t="shared" si="270"/>
        <v>6.5203290169698276</v>
      </c>
      <c r="BR278" s="18">
        <f t="shared" si="270"/>
        <v>2.4490622732475513</v>
      </c>
      <c r="BS278" s="56">
        <f t="shared" si="271"/>
        <v>1</v>
      </c>
      <c r="BU278" s="18">
        <f t="shared" si="272"/>
        <v>0.292368703449437</v>
      </c>
      <c r="BV278" s="18">
        <f t="shared" si="272"/>
        <v>7.5974211422769002</v>
      </c>
      <c r="BW278" s="18">
        <f t="shared" si="272"/>
        <v>4.7958287715364021</v>
      </c>
      <c r="BX278" s="18">
        <f t="shared" si="272"/>
        <v>6.5203290169698276</v>
      </c>
      <c r="BY278" s="18">
        <f t="shared" si="272"/>
        <v>2.4490622732475513</v>
      </c>
      <c r="BZ278" s="56">
        <f t="shared" si="273"/>
        <v>1</v>
      </c>
      <c r="CB278" s="18">
        <f t="shared" si="274"/>
        <v>0.292368703449437</v>
      </c>
      <c r="CC278" s="18">
        <f t="shared" si="274"/>
        <v>7.5974211422769002</v>
      </c>
      <c r="CD278" s="18">
        <f t="shared" si="274"/>
        <v>4.7958287715364021</v>
      </c>
      <c r="CE278" s="18">
        <f t="shared" si="274"/>
        <v>6.5203290169698276</v>
      </c>
      <c r="CF278" s="18">
        <f t="shared" si="274"/>
        <v>2.4490622732475513</v>
      </c>
      <c r="CG278" s="56">
        <f t="shared" si="275"/>
        <v>1</v>
      </c>
      <c r="CI278" s="18">
        <f t="shared" si="276"/>
        <v>0.292368703449437</v>
      </c>
      <c r="CJ278" s="18">
        <f t="shared" si="276"/>
        <v>7.5974211422769002</v>
      </c>
      <c r="CK278" s="18">
        <f t="shared" si="276"/>
        <v>4.7958287715364021</v>
      </c>
      <c r="CL278" s="18">
        <f t="shared" si="276"/>
        <v>6.5203290169698276</v>
      </c>
      <c r="CM278" s="18">
        <f t="shared" si="276"/>
        <v>2.4490622732475513</v>
      </c>
      <c r="CN278" s="56">
        <f t="shared" si="277"/>
        <v>1</v>
      </c>
      <c r="CP278" s="18">
        <f t="shared" si="278"/>
        <v>0.292368703449437</v>
      </c>
      <c r="CQ278" s="18">
        <f t="shared" si="278"/>
        <v>7.5974211422769002</v>
      </c>
      <c r="CR278" s="18">
        <f t="shared" si="278"/>
        <v>4.7958287715364021</v>
      </c>
      <c r="CS278" s="18">
        <f t="shared" si="278"/>
        <v>6.5203290169698276</v>
      </c>
      <c r="CT278" s="18">
        <f t="shared" si="278"/>
        <v>2.4490622732475513</v>
      </c>
      <c r="CU278" s="56">
        <f t="shared" si="279"/>
        <v>1</v>
      </c>
      <c r="CW278" s="18">
        <f t="shared" si="280"/>
        <v>0.292368703449437</v>
      </c>
      <c r="CX278" s="18">
        <f t="shared" si="280"/>
        <v>7.5974211422769002</v>
      </c>
      <c r="CY278" s="18">
        <f t="shared" si="280"/>
        <v>4.7958287715364021</v>
      </c>
      <c r="CZ278" s="18">
        <f t="shared" si="280"/>
        <v>6.5203290169698276</v>
      </c>
      <c r="DA278" s="18">
        <f t="shared" si="280"/>
        <v>2.4490622732475513</v>
      </c>
      <c r="DB278" s="56">
        <f t="shared" si="281"/>
        <v>1</v>
      </c>
    </row>
    <row r="279" spans="1:106" x14ac:dyDescent="0.25">
      <c r="A279" s="36" t="str">
        <f>KMeans_Data!A7</f>
        <v>Quetta</v>
      </c>
      <c r="B279" s="18">
        <f>KMeans_Data!H7</f>
        <v>2.3645319122764876</v>
      </c>
      <c r="C279" s="18">
        <f>KMeans_Data!I7</f>
        <v>2.2941407285360271</v>
      </c>
      <c r="D279" s="18">
        <f>KMeans_Data!J7</f>
        <v>2.3723555668164944</v>
      </c>
      <c r="E279" s="56">
        <f t="shared" si="256"/>
        <v>5</v>
      </c>
      <c r="F279" s="38">
        <f t="shared" si="257"/>
        <v>0.72562074763133411</v>
      </c>
      <c r="G279" s="18">
        <f>IF(COUNTIF(Distance_Matrix!$E$11:$DQ$11,$E279)&lt;=1,0,SUMIF(Distance_Matrix!$E$11:$DQ$11,$E279,Distance_Matrix!$E$16:$DQ$16)/(COUNTIF(Distance_Matrix!$E$11:$DQ$11,$E279)-1))</f>
        <v>1.32097386602712</v>
      </c>
      <c r="H279" s="18">
        <f>MIN(IF(1=$E279,1E+99,IF(COUNTIF(Distance_Matrix!$E$11:$DQ$11,1)=0,1E+99,SUMIF(Distance_Matrix!$E$11:$DQ$11,1,Distance_Matrix!$E$16:$DQ$16)/COUNTIF(Distance_Matrix!$E$11:$DQ$11,1))),IF(2=$E279,1E+99,IF(COUNTIF(Distance_Matrix!$E$11:$DQ$11,2)=0,1E+99,SUMIF(Distance_Matrix!$E$11:$DQ$11,2,Distance_Matrix!$E$16:$DQ$16)/COUNTIF(Distance_Matrix!$E$11:$DQ$11,2))),IF(3=$E279,1E+99,IF(COUNTIF(Distance_Matrix!$E$11:$DQ$11,3)=0,1E+99,SUMIF(Distance_Matrix!$E$11:$DQ$11,3,Distance_Matrix!$E$16:$DQ$16)/COUNTIF(Distance_Matrix!$E$11:$DQ$11,3))),IF(4=$E279,1E+99,IF(COUNTIF(Distance_Matrix!$E$11:$DQ$11,4)=0,1E+99,SUMIF(Distance_Matrix!$E$11:$DQ$11,4,Distance_Matrix!$E$16:$DQ$16)/COUNTIF(Distance_Matrix!$E$11:$DQ$11,4))),IF(5=$E279,1E+99,IF(COUNTIF(Distance_Matrix!$E$11:$DQ$11,5)=0,1E+99,SUMIF(Distance_Matrix!$E$11:$DQ$11,5,Distance_Matrix!$E$16:$DQ$16)/COUNTIF(Distance_Matrix!$E$11:$DQ$11,5))))</f>
        <v>2.1205199211242838</v>
      </c>
      <c r="I279" s="18">
        <f>IF(COUNTIF(Distance_Matrix!$E$11:$DQ$11,$E279)&lt;=1,0,(H279-G279)/MAX(G279,H279))</f>
        <v>0.37705189521315624</v>
      </c>
      <c r="X279" s="18">
        <f t="shared" si="258"/>
        <v>2.1556297504391493</v>
      </c>
      <c r="Y279" s="18">
        <f t="shared" si="258"/>
        <v>6.3976329314131073</v>
      </c>
      <c r="Z279" s="18">
        <f t="shared" si="258"/>
        <v>2.4987868185891187</v>
      </c>
      <c r="AA279" s="18">
        <f t="shared" si="258"/>
        <v>4.6140961456431953</v>
      </c>
      <c r="AB279" s="18">
        <f t="shared" si="258"/>
        <v>0</v>
      </c>
      <c r="AC279" s="56">
        <f t="shared" si="259"/>
        <v>5</v>
      </c>
      <c r="AE279" s="18">
        <f t="shared" si="260"/>
        <v>2.1005613481264369</v>
      </c>
      <c r="AF279" s="18">
        <f t="shared" si="260"/>
        <v>5.7123364911688626</v>
      </c>
      <c r="AG279" s="18">
        <f t="shared" si="260"/>
        <v>2.9746194241782122</v>
      </c>
      <c r="AH279" s="18">
        <f t="shared" si="260"/>
        <v>4.6868817891379546</v>
      </c>
      <c r="AI279" s="18">
        <f t="shared" si="260"/>
        <v>0.68870456671156421</v>
      </c>
      <c r="AJ279" s="56">
        <f t="shared" si="261"/>
        <v>5</v>
      </c>
      <c r="AL279" s="18">
        <f t="shared" si="262"/>
        <v>2.1005613481264369</v>
      </c>
      <c r="AM279" s="18">
        <f t="shared" si="262"/>
        <v>5.7361758395537548</v>
      </c>
      <c r="AN279" s="18">
        <f t="shared" si="262"/>
        <v>2.9008239327143017</v>
      </c>
      <c r="AO279" s="18">
        <f t="shared" si="262"/>
        <v>4.6398990327572625</v>
      </c>
      <c r="AP279" s="18">
        <f t="shared" si="262"/>
        <v>0.85183375586515364</v>
      </c>
      <c r="AQ279" s="56">
        <f t="shared" si="263"/>
        <v>5</v>
      </c>
      <c r="AS279" s="18">
        <f t="shared" si="264"/>
        <v>2.1005613481264369</v>
      </c>
      <c r="AT279" s="18">
        <f t="shared" si="264"/>
        <v>5.8156681565261916</v>
      </c>
      <c r="AU279" s="18">
        <f t="shared" si="264"/>
        <v>2.873764184879255</v>
      </c>
      <c r="AV279" s="18">
        <f t="shared" si="264"/>
        <v>4.6494060317397183</v>
      </c>
      <c r="AW279" s="18">
        <f t="shared" si="264"/>
        <v>0.85183375586515364</v>
      </c>
      <c r="AX279" s="56">
        <f t="shared" si="265"/>
        <v>5</v>
      </c>
      <c r="AZ279" s="18">
        <f t="shared" si="266"/>
        <v>2.1005613481264369</v>
      </c>
      <c r="BA279" s="18">
        <f t="shared" si="266"/>
        <v>5.8156681565261916</v>
      </c>
      <c r="BB279" s="18">
        <f t="shared" si="266"/>
        <v>2.873764184879255</v>
      </c>
      <c r="BC279" s="18">
        <f t="shared" si="266"/>
        <v>4.6494060317397183</v>
      </c>
      <c r="BD279" s="18">
        <f t="shared" si="266"/>
        <v>0.85183375586515364</v>
      </c>
      <c r="BE279" s="56">
        <f t="shared" si="267"/>
        <v>5</v>
      </c>
      <c r="BG279" s="18">
        <f t="shared" si="268"/>
        <v>2.1005613481264369</v>
      </c>
      <c r="BH279" s="18">
        <f t="shared" si="268"/>
        <v>5.8156681565261916</v>
      </c>
      <c r="BI279" s="18">
        <f t="shared" si="268"/>
        <v>2.873764184879255</v>
      </c>
      <c r="BJ279" s="18">
        <f t="shared" si="268"/>
        <v>4.6494060317397183</v>
      </c>
      <c r="BK279" s="18">
        <f t="shared" si="268"/>
        <v>0.85183375586515364</v>
      </c>
      <c r="BL279" s="56">
        <f t="shared" si="269"/>
        <v>5</v>
      </c>
      <c r="BN279" s="18">
        <f t="shared" si="270"/>
        <v>2.1005613481264369</v>
      </c>
      <c r="BO279" s="18">
        <f t="shared" si="270"/>
        <v>5.8156681565261916</v>
      </c>
      <c r="BP279" s="18">
        <f t="shared" si="270"/>
        <v>2.873764184879255</v>
      </c>
      <c r="BQ279" s="18">
        <f t="shared" si="270"/>
        <v>4.6494060317397183</v>
      </c>
      <c r="BR279" s="18">
        <f t="shared" si="270"/>
        <v>0.85183375586515364</v>
      </c>
      <c r="BS279" s="56">
        <f t="shared" si="271"/>
        <v>5</v>
      </c>
      <c r="BU279" s="18">
        <f t="shared" si="272"/>
        <v>2.1005613481264369</v>
      </c>
      <c r="BV279" s="18">
        <f t="shared" si="272"/>
        <v>5.8156681565261916</v>
      </c>
      <c r="BW279" s="18">
        <f t="shared" si="272"/>
        <v>2.873764184879255</v>
      </c>
      <c r="BX279" s="18">
        <f t="shared" si="272"/>
        <v>4.6494060317397183</v>
      </c>
      <c r="BY279" s="18">
        <f t="shared" si="272"/>
        <v>0.85183375586515364</v>
      </c>
      <c r="BZ279" s="56">
        <f t="shared" si="273"/>
        <v>5</v>
      </c>
      <c r="CB279" s="18">
        <f t="shared" si="274"/>
        <v>2.1005613481264369</v>
      </c>
      <c r="CC279" s="18">
        <f t="shared" si="274"/>
        <v>5.8156681565261916</v>
      </c>
      <c r="CD279" s="18">
        <f t="shared" si="274"/>
        <v>2.873764184879255</v>
      </c>
      <c r="CE279" s="18">
        <f t="shared" si="274"/>
        <v>4.6494060317397183</v>
      </c>
      <c r="CF279" s="18">
        <f t="shared" si="274"/>
        <v>0.85183375586515364</v>
      </c>
      <c r="CG279" s="56">
        <f t="shared" si="275"/>
        <v>5</v>
      </c>
      <c r="CI279" s="18">
        <f t="shared" si="276"/>
        <v>2.1005613481264369</v>
      </c>
      <c r="CJ279" s="18">
        <f t="shared" si="276"/>
        <v>5.8156681565261916</v>
      </c>
      <c r="CK279" s="18">
        <f t="shared" si="276"/>
        <v>2.873764184879255</v>
      </c>
      <c r="CL279" s="18">
        <f t="shared" si="276"/>
        <v>4.6494060317397183</v>
      </c>
      <c r="CM279" s="18">
        <f t="shared" si="276"/>
        <v>0.85183375586515364</v>
      </c>
      <c r="CN279" s="56">
        <f t="shared" si="277"/>
        <v>5</v>
      </c>
      <c r="CP279" s="18">
        <f t="shared" si="278"/>
        <v>2.1005613481264369</v>
      </c>
      <c r="CQ279" s="18">
        <f t="shared" si="278"/>
        <v>5.8156681565261916</v>
      </c>
      <c r="CR279" s="18">
        <f t="shared" si="278"/>
        <v>2.873764184879255</v>
      </c>
      <c r="CS279" s="18">
        <f t="shared" si="278"/>
        <v>4.6494060317397183</v>
      </c>
      <c r="CT279" s="18">
        <f t="shared" si="278"/>
        <v>0.85183375586515364</v>
      </c>
      <c r="CU279" s="56">
        <f t="shared" si="279"/>
        <v>5</v>
      </c>
      <c r="CW279" s="18">
        <f t="shared" si="280"/>
        <v>2.1005613481264369</v>
      </c>
      <c r="CX279" s="18">
        <f t="shared" si="280"/>
        <v>5.8156681565261916</v>
      </c>
      <c r="CY279" s="18">
        <f t="shared" si="280"/>
        <v>2.873764184879255</v>
      </c>
      <c r="CZ279" s="18">
        <f t="shared" si="280"/>
        <v>4.6494060317397183</v>
      </c>
      <c r="DA279" s="18">
        <f t="shared" si="280"/>
        <v>0.85183375586515364</v>
      </c>
      <c r="DB279" s="56">
        <f t="shared" si="281"/>
        <v>5</v>
      </c>
    </row>
    <row r="280" spans="1:106" x14ac:dyDescent="0.25">
      <c r="A280" s="36" t="str">
        <f>KMeans_Data!A8</f>
        <v>Peshawar</v>
      </c>
      <c r="B280" s="18">
        <f>KMeans_Data!H8</f>
        <v>2.3452338230080074</v>
      </c>
      <c r="C280" s="18">
        <f>KMeans_Data!I8</f>
        <v>3.5617489210507416</v>
      </c>
      <c r="D280" s="18">
        <f>KMeans_Data!J8</f>
        <v>1.6399224296702051</v>
      </c>
      <c r="E280" s="56">
        <f t="shared" si="256"/>
        <v>5</v>
      </c>
      <c r="F280" s="38">
        <f t="shared" si="257"/>
        <v>1.5851085607865327</v>
      </c>
      <c r="G280" s="18">
        <f>IF(COUNTIF(Distance_Matrix!$E$11:$DQ$11,$E280)&lt;=1,0,SUMIF(Distance_Matrix!$E$11:$DQ$11,$E280,Distance_Matrix!$E$17:$DQ$17)/(COUNTIF(Distance_Matrix!$E$11:$DQ$11,$E280)-1))</f>
        <v>1.6955728035462574</v>
      </c>
      <c r="H280" s="18">
        <f>MIN(IF(1=$E280,1E+99,IF(COUNTIF(Distance_Matrix!$E$11:$DQ$11,1)=0,1E+99,SUMIF(Distance_Matrix!$E$11:$DQ$11,1,Distance_Matrix!$E$17:$DQ$17)/COUNTIF(Distance_Matrix!$E$11:$DQ$11,1))),IF(2=$E280,1E+99,IF(COUNTIF(Distance_Matrix!$E$11:$DQ$11,2)=0,1E+99,SUMIF(Distance_Matrix!$E$11:$DQ$11,2,Distance_Matrix!$E$17:$DQ$17)/COUNTIF(Distance_Matrix!$E$11:$DQ$11,2))),IF(3=$E280,1E+99,IF(COUNTIF(Distance_Matrix!$E$11:$DQ$11,3)=0,1E+99,SUMIF(Distance_Matrix!$E$11:$DQ$11,3,Distance_Matrix!$E$17:$DQ$17)/COUNTIF(Distance_Matrix!$E$11:$DQ$11,3))),IF(4=$E280,1E+99,IF(COUNTIF(Distance_Matrix!$E$11:$DQ$11,4)=0,1E+99,SUMIF(Distance_Matrix!$E$11:$DQ$11,4,Distance_Matrix!$E$17:$DQ$17)/COUNTIF(Distance_Matrix!$E$11:$DQ$11,4))),IF(5=$E280,1E+99,IF(COUNTIF(Distance_Matrix!$E$11:$DQ$11,5)=0,1E+99,SUMIF(Distance_Matrix!$E$11:$DQ$11,5,Distance_Matrix!$E$17:$DQ$17)/COUNTIF(Distance_Matrix!$E$11:$DQ$11,5))))</f>
        <v>1.7116884609772076</v>
      </c>
      <c r="I280" s="18">
        <f>IF(COUNTIF(Distance_Matrix!$E$11:$DQ$11,$E280)&lt;=1,0,(H280-G280)/MAX(G280,H280))</f>
        <v>9.4150645975318147E-3</v>
      </c>
      <c r="X280" s="18">
        <f t="shared" si="258"/>
        <v>1.9214318612792127</v>
      </c>
      <c r="Y280" s="18">
        <f t="shared" si="258"/>
        <v>6.7282906668016098</v>
      </c>
      <c r="Z280" s="18">
        <f t="shared" si="258"/>
        <v>3.4454653154512496</v>
      </c>
      <c r="AA280" s="18">
        <f t="shared" si="258"/>
        <v>4.939896884511378</v>
      </c>
      <c r="AB280" s="18">
        <f t="shared" si="258"/>
        <v>1.4641247372986328</v>
      </c>
      <c r="AC280" s="56">
        <f t="shared" si="259"/>
        <v>5</v>
      </c>
      <c r="AE280" s="18">
        <f t="shared" si="260"/>
        <v>1.6995264701251533</v>
      </c>
      <c r="AF280" s="18">
        <f t="shared" si="260"/>
        <v>6.1044244897634119</v>
      </c>
      <c r="AG280" s="18">
        <f t="shared" si="260"/>
        <v>3.6378999262151068</v>
      </c>
      <c r="AH280" s="18">
        <f t="shared" si="260"/>
        <v>5.1812167787260153</v>
      </c>
      <c r="AI280" s="18">
        <f t="shared" si="260"/>
        <v>1.0644226849498095</v>
      </c>
      <c r="AJ280" s="56">
        <f t="shared" si="261"/>
        <v>5</v>
      </c>
      <c r="AL280" s="18">
        <f t="shared" si="262"/>
        <v>1.6995264701251533</v>
      </c>
      <c r="AM280" s="18">
        <f t="shared" si="262"/>
        <v>6.1207395042006389</v>
      </c>
      <c r="AN280" s="18">
        <f t="shared" si="262"/>
        <v>3.5515197418650821</v>
      </c>
      <c r="AO280" s="18">
        <f t="shared" si="262"/>
        <v>5.1608475866282379</v>
      </c>
      <c r="AP280" s="18">
        <f t="shared" si="262"/>
        <v>1.2590109454593843</v>
      </c>
      <c r="AQ280" s="56">
        <f t="shared" si="263"/>
        <v>5</v>
      </c>
      <c r="AS280" s="18">
        <f t="shared" si="264"/>
        <v>1.6995264701251533</v>
      </c>
      <c r="AT280" s="18">
        <f t="shared" si="264"/>
        <v>6.1842488408226446</v>
      </c>
      <c r="AU280" s="18">
        <f t="shared" si="264"/>
        <v>3.5287732934491149</v>
      </c>
      <c r="AV280" s="18">
        <f t="shared" si="264"/>
        <v>5.1714639989693687</v>
      </c>
      <c r="AW280" s="18">
        <f t="shared" si="264"/>
        <v>1.2590109454593843</v>
      </c>
      <c r="AX280" s="56">
        <f t="shared" si="265"/>
        <v>5</v>
      </c>
      <c r="AZ280" s="18">
        <f t="shared" si="266"/>
        <v>1.6995264701251533</v>
      </c>
      <c r="BA280" s="18">
        <f t="shared" si="266"/>
        <v>6.1842488408226446</v>
      </c>
      <c r="BB280" s="18">
        <f t="shared" si="266"/>
        <v>3.5287732934491149</v>
      </c>
      <c r="BC280" s="18">
        <f t="shared" si="266"/>
        <v>5.1714639989693687</v>
      </c>
      <c r="BD280" s="18">
        <f t="shared" si="266"/>
        <v>1.2590109454593843</v>
      </c>
      <c r="BE280" s="56">
        <f t="shared" si="267"/>
        <v>5</v>
      </c>
      <c r="BG280" s="18">
        <f t="shared" si="268"/>
        <v>1.6995264701251533</v>
      </c>
      <c r="BH280" s="18">
        <f t="shared" si="268"/>
        <v>6.1842488408226446</v>
      </c>
      <c r="BI280" s="18">
        <f t="shared" si="268"/>
        <v>3.5287732934491149</v>
      </c>
      <c r="BJ280" s="18">
        <f t="shared" si="268"/>
        <v>5.1714639989693687</v>
      </c>
      <c r="BK280" s="18">
        <f t="shared" si="268"/>
        <v>1.2590109454593843</v>
      </c>
      <c r="BL280" s="56">
        <f t="shared" si="269"/>
        <v>5</v>
      </c>
      <c r="BN280" s="18">
        <f t="shared" si="270"/>
        <v>1.6995264701251533</v>
      </c>
      <c r="BO280" s="18">
        <f t="shared" si="270"/>
        <v>6.1842488408226446</v>
      </c>
      <c r="BP280" s="18">
        <f t="shared" si="270"/>
        <v>3.5287732934491149</v>
      </c>
      <c r="BQ280" s="18">
        <f t="shared" si="270"/>
        <v>5.1714639989693687</v>
      </c>
      <c r="BR280" s="18">
        <f t="shared" si="270"/>
        <v>1.2590109454593843</v>
      </c>
      <c r="BS280" s="56">
        <f t="shared" si="271"/>
        <v>5</v>
      </c>
      <c r="BU280" s="18">
        <f t="shared" si="272"/>
        <v>1.6995264701251533</v>
      </c>
      <c r="BV280" s="18">
        <f t="shared" si="272"/>
        <v>6.1842488408226446</v>
      </c>
      <c r="BW280" s="18">
        <f t="shared" si="272"/>
        <v>3.5287732934491149</v>
      </c>
      <c r="BX280" s="18">
        <f t="shared" si="272"/>
        <v>5.1714639989693687</v>
      </c>
      <c r="BY280" s="18">
        <f t="shared" si="272"/>
        <v>1.2590109454593843</v>
      </c>
      <c r="BZ280" s="56">
        <f t="shared" si="273"/>
        <v>5</v>
      </c>
      <c r="CB280" s="18">
        <f t="shared" si="274"/>
        <v>1.6995264701251533</v>
      </c>
      <c r="CC280" s="18">
        <f t="shared" si="274"/>
        <v>6.1842488408226446</v>
      </c>
      <c r="CD280" s="18">
        <f t="shared" si="274"/>
        <v>3.5287732934491149</v>
      </c>
      <c r="CE280" s="18">
        <f t="shared" si="274"/>
        <v>5.1714639989693687</v>
      </c>
      <c r="CF280" s="18">
        <f t="shared" si="274"/>
        <v>1.2590109454593843</v>
      </c>
      <c r="CG280" s="56">
        <f t="shared" si="275"/>
        <v>5</v>
      </c>
      <c r="CI280" s="18">
        <f t="shared" si="276"/>
        <v>1.6995264701251533</v>
      </c>
      <c r="CJ280" s="18">
        <f t="shared" si="276"/>
        <v>6.1842488408226446</v>
      </c>
      <c r="CK280" s="18">
        <f t="shared" si="276"/>
        <v>3.5287732934491149</v>
      </c>
      <c r="CL280" s="18">
        <f t="shared" si="276"/>
        <v>5.1714639989693687</v>
      </c>
      <c r="CM280" s="18">
        <f t="shared" si="276"/>
        <v>1.2590109454593843</v>
      </c>
      <c r="CN280" s="56">
        <f t="shared" si="277"/>
        <v>5</v>
      </c>
      <c r="CP280" s="18">
        <f t="shared" si="278"/>
        <v>1.6995264701251533</v>
      </c>
      <c r="CQ280" s="18">
        <f t="shared" si="278"/>
        <v>6.1842488408226446</v>
      </c>
      <c r="CR280" s="18">
        <f t="shared" si="278"/>
        <v>3.5287732934491149</v>
      </c>
      <c r="CS280" s="18">
        <f t="shared" si="278"/>
        <v>5.1714639989693687</v>
      </c>
      <c r="CT280" s="18">
        <f t="shared" si="278"/>
        <v>1.2590109454593843</v>
      </c>
      <c r="CU280" s="56">
        <f t="shared" si="279"/>
        <v>5</v>
      </c>
      <c r="CW280" s="18">
        <f t="shared" si="280"/>
        <v>1.6995264701251533</v>
      </c>
      <c r="CX280" s="18">
        <f t="shared" si="280"/>
        <v>6.1842488408226446</v>
      </c>
      <c r="CY280" s="18">
        <f t="shared" si="280"/>
        <v>3.5287732934491149</v>
      </c>
      <c r="CZ280" s="18">
        <f t="shared" si="280"/>
        <v>5.1714639989693687</v>
      </c>
      <c r="DA280" s="18">
        <f t="shared" si="280"/>
        <v>1.2590109454593843</v>
      </c>
      <c r="DB280" s="56">
        <f t="shared" si="281"/>
        <v>5</v>
      </c>
    </row>
    <row r="281" spans="1:106" x14ac:dyDescent="0.25">
      <c r="A281" s="36" t="str">
        <f>KMeans_Data!A9</f>
        <v>Islamabad</v>
      </c>
      <c r="B281" s="18">
        <f>KMeans_Data!H9</f>
        <v>2.1711238504828065</v>
      </c>
      <c r="C281" s="18">
        <f>KMeans_Data!I9</f>
        <v>2.0657893204369486</v>
      </c>
      <c r="D281" s="18">
        <f>KMeans_Data!J9</f>
        <v>1.6965167635960359</v>
      </c>
      <c r="E281" s="56">
        <f t="shared" si="256"/>
        <v>5</v>
      </c>
      <c r="F281" s="38">
        <f t="shared" si="257"/>
        <v>0.17579347597783906</v>
      </c>
      <c r="G281" s="18">
        <f>IF(COUNTIF(Distance_Matrix!$E$11:$DQ$11,$E281)&lt;=1,0,SUMIF(Distance_Matrix!$E$11:$DQ$11,$E281,Distance_Matrix!$E$18:$DQ$18)/(COUNTIF(Distance_Matrix!$E$11:$DQ$11,$E281)-1))</f>
        <v>1.0489785358292099</v>
      </c>
      <c r="H281" s="18">
        <f>MIN(IF(1=$E281,1E+99,IF(COUNTIF(Distance_Matrix!$E$11:$DQ$11,1)=0,1E+99,SUMIF(Distance_Matrix!$E$11:$DQ$11,1,Distance_Matrix!$E$18:$DQ$18)/COUNTIF(Distance_Matrix!$E$11:$DQ$11,1))),IF(2=$E281,1E+99,IF(COUNTIF(Distance_Matrix!$E$11:$DQ$11,2)=0,1E+99,SUMIF(Distance_Matrix!$E$11:$DQ$11,2,Distance_Matrix!$E$18:$DQ$18)/COUNTIF(Distance_Matrix!$E$11:$DQ$11,2))),IF(3=$E281,1E+99,IF(COUNTIF(Distance_Matrix!$E$11:$DQ$11,3)=0,1E+99,SUMIF(Distance_Matrix!$E$11:$DQ$11,3,Distance_Matrix!$E$18:$DQ$18)/COUNTIF(Distance_Matrix!$E$11:$DQ$11,3))),IF(4=$E281,1E+99,IF(COUNTIF(Distance_Matrix!$E$11:$DQ$11,4)=0,1E+99,SUMIF(Distance_Matrix!$E$11:$DQ$11,4,Distance_Matrix!$E$18:$DQ$18)/COUNTIF(Distance_Matrix!$E$11:$DQ$11,4))),IF(5=$E281,1E+99,IF(COUNTIF(Distance_Matrix!$E$11:$DQ$11,5)=0,1E+99,SUMIF(Distance_Matrix!$E$11:$DQ$11,5,Distance_Matrix!$E$18:$DQ$18)/COUNTIF(Distance_Matrix!$E$11:$DQ$11,5))))</f>
        <v>2.3654258860365043</v>
      </c>
      <c r="I281" s="18">
        <f>IF(COUNTIF(Distance_Matrix!$E$11:$DQ$11,$E281)&lt;=1,0,(H281-G281)/MAX(G281,H281))</f>
        <v>0.5565371369183445</v>
      </c>
      <c r="X281" s="18">
        <f t="shared" si="258"/>
        <v>2.7444013573462209</v>
      </c>
      <c r="Y281" s="18">
        <f t="shared" si="258"/>
        <v>5.8005825296542461</v>
      </c>
      <c r="Z281" s="18">
        <f t="shared" si="258"/>
        <v>2.0452195555832495</v>
      </c>
      <c r="AA281" s="18">
        <f t="shared" si="258"/>
        <v>3.9116800125412099</v>
      </c>
      <c r="AB281" s="18">
        <f t="shared" si="258"/>
        <v>0.73912727718985038</v>
      </c>
      <c r="AC281" s="56">
        <f t="shared" si="259"/>
        <v>5</v>
      </c>
      <c r="AE281" s="18">
        <f t="shared" si="260"/>
        <v>2.6330425379124267</v>
      </c>
      <c r="AF281" s="18">
        <f t="shared" si="260"/>
        <v>5.0956132335377458</v>
      </c>
      <c r="AG281" s="18">
        <f t="shared" si="260"/>
        <v>2.4102974764358005</v>
      </c>
      <c r="AH281" s="18">
        <f t="shared" si="260"/>
        <v>4.0499298510412407</v>
      </c>
      <c r="AI281" s="18">
        <f t="shared" si="260"/>
        <v>0.48734112223423287</v>
      </c>
      <c r="AJ281" s="56">
        <f t="shared" si="261"/>
        <v>5</v>
      </c>
      <c r="AL281" s="18">
        <f t="shared" si="262"/>
        <v>2.6330425379124267</v>
      </c>
      <c r="AM281" s="18">
        <f t="shared" si="262"/>
        <v>5.1160016902291838</v>
      </c>
      <c r="AN281" s="18">
        <f t="shared" si="262"/>
        <v>2.3295227087285206</v>
      </c>
      <c r="AO281" s="18">
        <f t="shared" si="262"/>
        <v>4.0128819147389141</v>
      </c>
      <c r="AP281" s="18">
        <f t="shared" si="262"/>
        <v>0.41927732585705019</v>
      </c>
      <c r="AQ281" s="56">
        <f t="shared" si="263"/>
        <v>5</v>
      </c>
      <c r="AS281" s="18">
        <f t="shared" si="264"/>
        <v>2.6330425379124267</v>
      </c>
      <c r="AT281" s="18">
        <f t="shared" si="264"/>
        <v>5.1918950134866186</v>
      </c>
      <c r="AU281" s="18">
        <f t="shared" si="264"/>
        <v>2.3032345761944368</v>
      </c>
      <c r="AV281" s="18">
        <f t="shared" si="264"/>
        <v>4.0255984358102186</v>
      </c>
      <c r="AW281" s="18">
        <f t="shared" si="264"/>
        <v>0.41927732585705019</v>
      </c>
      <c r="AX281" s="56">
        <f t="shared" si="265"/>
        <v>5</v>
      </c>
      <c r="AZ281" s="18">
        <f t="shared" si="266"/>
        <v>2.6330425379124267</v>
      </c>
      <c r="BA281" s="18">
        <f t="shared" si="266"/>
        <v>5.1918950134866186</v>
      </c>
      <c r="BB281" s="18">
        <f t="shared" si="266"/>
        <v>2.3032345761944368</v>
      </c>
      <c r="BC281" s="18">
        <f t="shared" si="266"/>
        <v>4.0255984358102186</v>
      </c>
      <c r="BD281" s="18">
        <f t="shared" si="266"/>
        <v>0.41927732585705019</v>
      </c>
      <c r="BE281" s="56">
        <f t="shared" si="267"/>
        <v>5</v>
      </c>
      <c r="BG281" s="18">
        <f t="shared" si="268"/>
        <v>2.6330425379124267</v>
      </c>
      <c r="BH281" s="18">
        <f t="shared" si="268"/>
        <v>5.1918950134866186</v>
      </c>
      <c r="BI281" s="18">
        <f t="shared" si="268"/>
        <v>2.3032345761944368</v>
      </c>
      <c r="BJ281" s="18">
        <f t="shared" si="268"/>
        <v>4.0255984358102186</v>
      </c>
      <c r="BK281" s="18">
        <f t="shared" si="268"/>
        <v>0.41927732585705019</v>
      </c>
      <c r="BL281" s="56">
        <f t="shared" si="269"/>
        <v>5</v>
      </c>
      <c r="BN281" s="18">
        <f t="shared" si="270"/>
        <v>2.6330425379124267</v>
      </c>
      <c r="BO281" s="18">
        <f t="shared" si="270"/>
        <v>5.1918950134866186</v>
      </c>
      <c r="BP281" s="18">
        <f t="shared" si="270"/>
        <v>2.3032345761944368</v>
      </c>
      <c r="BQ281" s="18">
        <f t="shared" si="270"/>
        <v>4.0255984358102186</v>
      </c>
      <c r="BR281" s="18">
        <f t="shared" si="270"/>
        <v>0.41927732585705019</v>
      </c>
      <c r="BS281" s="56">
        <f t="shared" si="271"/>
        <v>5</v>
      </c>
      <c r="BU281" s="18">
        <f t="shared" si="272"/>
        <v>2.6330425379124267</v>
      </c>
      <c r="BV281" s="18">
        <f t="shared" si="272"/>
        <v>5.1918950134866186</v>
      </c>
      <c r="BW281" s="18">
        <f t="shared" si="272"/>
        <v>2.3032345761944368</v>
      </c>
      <c r="BX281" s="18">
        <f t="shared" si="272"/>
        <v>4.0255984358102186</v>
      </c>
      <c r="BY281" s="18">
        <f t="shared" si="272"/>
        <v>0.41927732585705019</v>
      </c>
      <c r="BZ281" s="56">
        <f t="shared" si="273"/>
        <v>5</v>
      </c>
      <c r="CB281" s="18">
        <f t="shared" si="274"/>
        <v>2.6330425379124267</v>
      </c>
      <c r="CC281" s="18">
        <f t="shared" si="274"/>
        <v>5.1918950134866186</v>
      </c>
      <c r="CD281" s="18">
        <f t="shared" si="274"/>
        <v>2.3032345761944368</v>
      </c>
      <c r="CE281" s="18">
        <f t="shared" si="274"/>
        <v>4.0255984358102186</v>
      </c>
      <c r="CF281" s="18">
        <f t="shared" si="274"/>
        <v>0.41927732585705019</v>
      </c>
      <c r="CG281" s="56">
        <f t="shared" si="275"/>
        <v>5</v>
      </c>
      <c r="CI281" s="18">
        <f t="shared" si="276"/>
        <v>2.6330425379124267</v>
      </c>
      <c r="CJ281" s="18">
        <f t="shared" si="276"/>
        <v>5.1918950134866186</v>
      </c>
      <c r="CK281" s="18">
        <f t="shared" si="276"/>
        <v>2.3032345761944368</v>
      </c>
      <c r="CL281" s="18">
        <f t="shared" si="276"/>
        <v>4.0255984358102186</v>
      </c>
      <c r="CM281" s="18">
        <f t="shared" si="276"/>
        <v>0.41927732585705019</v>
      </c>
      <c r="CN281" s="56">
        <f t="shared" si="277"/>
        <v>5</v>
      </c>
      <c r="CP281" s="18">
        <f t="shared" si="278"/>
        <v>2.6330425379124267</v>
      </c>
      <c r="CQ281" s="18">
        <f t="shared" si="278"/>
        <v>5.1918950134866186</v>
      </c>
      <c r="CR281" s="18">
        <f t="shared" si="278"/>
        <v>2.3032345761944368</v>
      </c>
      <c r="CS281" s="18">
        <f t="shared" si="278"/>
        <v>4.0255984358102186</v>
      </c>
      <c r="CT281" s="18">
        <f t="shared" si="278"/>
        <v>0.41927732585705019</v>
      </c>
      <c r="CU281" s="56">
        <f t="shared" si="279"/>
        <v>5</v>
      </c>
      <c r="CW281" s="18">
        <f t="shared" si="280"/>
        <v>2.6330425379124267</v>
      </c>
      <c r="CX281" s="18">
        <f t="shared" si="280"/>
        <v>5.1918950134866186</v>
      </c>
      <c r="CY281" s="18">
        <f t="shared" si="280"/>
        <v>2.3032345761944368</v>
      </c>
      <c r="CZ281" s="18">
        <f t="shared" si="280"/>
        <v>4.0255984358102186</v>
      </c>
      <c r="DA281" s="18">
        <f t="shared" si="280"/>
        <v>0.41927732585705019</v>
      </c>
      <c r="DB281" s="56">
        <f t="shared" si="281"/>
        <v>5</v>
      </c>
    </row>
    <row r="282" spans="1:106" x14ac:dyDescent="0.25">
      <c r="A282" s="36" t="str">
        <f>KMeans_Data!A10</f>
        <v>Swat</v>
      </c>
      <c r="B282" s="18">
        <f>KMeans_Data!H10</f>
        <v>1.4937524666444724</v>
      </c>
      <c r="C282" s="18">
        <f>KMeans_Data!I10</f>
        <v>2.2309059700842244</v>
      </c>
      <c r="D282" s="18">
        <f>KMeans_Data!J10</f>
        <v>1.4434361051069102</v>
      </c>
      <c r="E282" s="56">
        <f t="shared" si="256"/>
        <v>5</v>
      </c>
      <c r="F282" s="38">
        <f t="shared" si="257"/>
        <v>0.23737405599001837</v>
      </c>
      <c r="G282" s="18">
        <f>IF(COUNTIF(Distance_Matrix!$E$11:$DQ$11,$E282)&lt;=1,0,SUMIF(Distance_Matrix!$E$11:$DQ$11,$E282,Distance_Matrix!$E$19:$DQ$19)/(COUNTIF(Distance_Matrix!$E$11:$DQ$11,$E282)-1))</f>
        <v>1.0651073029928382</v>
      </c>
      <c r="H282" s="18">
        <f>MIN(IF(1=$E282,1E+99,IF(COUNTIF(Distance_Matrix!$E$11:$DQ$11,1)=0,1E+99,SUMIF(Distance_Matrix!$E$11:$DQ$11,1,Distance_Matrix!$E$19:$DQ$19)/COUNTIF(Distance_Matrix!$E$11:$DQ$11,1))),IF(2=$E282,1E+99,IF(COUNTIF(Distance_Matrix!$E$11:$DQ$11,2)=0,1E+99,SUMIF(Distance_Matrix!$E$11:$DQ$11,2,Distance_Matrix!$E$19:$DQ$19)/COUNTIF(Distance_Matrix!$E$11:$DQ$11,2))),IF(3=$E282,1E+99,IF(COUNTIF(Distance_Matrix!$E$11:$DQ$11,3)=0,1E+99,SUMIF(Distance_Matrix!$E$11:$DQ$11,3,Distance_Matrix!$E$19:$DQ$19)/COUNTIF(Distance_Matrix!$E$11:$DQ$11,3))),IF(4=$E282,1E+99,IF(COUNTIF(Distance_Matrix!$E$11:$DQ$11,4)=0,1E+99,SUMIF(Distance_Matrix!$E$11:$DQ$11,4,Distance_Matrix!$E$19:$DQ$19)/COUNTIF(Distance_Matrix!$E$11:$DQ$11,4))),IF(5=$E282,1E+99,IF(COUNTIF(Distance_Matrix!$E$11:$DQ$11,5)=0,1E+99,SUMIF(Distance_Matrix!$E$11:$DQ$11,5,Distance_Matrix!$E$19:$DQ$19)/COUNTIF(Distance_Matrix!$E$11:$DQ$11,5))))</f>
        <v>2.0211300483494772</v>
      </c>
      <c r="I282" s="18">
        <f>IF(COUNTIF(Distance_Matrix!$E$11:$DQ$11,$E282)&lt;=1,0,(H282-G282)/MAX(G282,H282))</f>
        <v>0.47301396866439116</v>
      </c>
      <c r="X282" s="18">
        <f t="shared" si="258"/>
        <v>3.1164934246659244</v>
      </c>
      <c r="Y282" s="18">
        <f t="shared" si="258"/>
        <v>5.2824057792586023</v>
      </c>
      <c r="Z282" s="18">
        <f t="shared" si="258"/>
        <v>1.9078175214514932</v>
      </c>
      <c r="AA282" s="18">
        <f t="shared" si="258"/>
        <v>3.6162040410227214</v>
      </c>
      <c r="AB282" s="18">
        <f t="shared" si="258"/>
        <v>1.2748124740347033</v>
      </c>
      <c r="AC282" s="56">
        <f t="shared" si="259"/>
        <v>5</v>
      </c>
      <c r="AE282" s="18">
        <f t="shared" si="260"/>
        <v>2.9888203713171873</v>
      </c>
      <c r="AF282" s="18">
        <f t="shared" si="260"/>
        <v>4.6323748492253314</v>
      </c>
      <c r="AG282" s="18">
        <f t="shared" si="260"/>
        <v>2.0608710159403705</v>
      </c>
      <c r="AH282" s="18">
        <f t="shared" si="260"/>
        <v>3.6947643194565374</v>
      </c>
      <c r="AI282" s="18">
        <f t="shared" si="260"/>
        <v>0.75700085832662978</v>
      </c>
      <c r="AJ282" s="56">
        <f t="shared" si="261"/>
        <v>5</v>
      </c>
      <c r="AL282" s="18">
        <f t="shared" si="262"/>
        <v>2.9888203713171873</v>
      </c>
      <c r="AM282" s="18">
        <f t="shared" si="262"/>
        <v>4.6533244233644675</v>
      </c>
      <c r="AN282" s="18">
        <f t="shared" si="262"/>
        <v>1.9766490494929503</v>
      </c>
      <c r="AO282" s="18">
        <f t="shared" si="262"/>
        <v>3.6596944656482124</v>
      </c>
      <c r="AP282" s="18">
        <f t="shared" si="262"/>
        <v>0.48721048427760499</v>
      </c>
      <c r="AQ282" s="56">
        <f t="shared" si="263"/>
        <v>5</v>
      </c>
      <c r="AS282" s="18">
        <f t="shared" si="264"/>
        <v>2.9888203713171873</v>
      </c>
      <c r="AT282" s="18">
        <f t="shared" si="264"/>
        <v>4.7252919282373389</v>
      </c>
      <c r="AU282" s="18">
        <f t="shared" si="264"/>
        <v>1.9534381680356916</v>
      </c>
      <c r="AV282" s="18">
        <f t="shared" si="264"/>
        <v>3.6662461646937254</v>
      </c>
      <c r="AW282" s="18">
        <f t="shared" si="264"/>
        <v>0.48721048427760499</v>
      </c>
      <c r="AX282" s="56">
        <f t="shared" si="265"/>
        <v>5</v>
      </c>
      <c r="AZ282" s="18">
        <f t="shared" si="266"/>
        <v>2.9888203713171873</v>
      </c>
      <c r="BA282" s="18">
        <f t="shared" si="266"/>
        <v>4.7252919282373389</v>
      </c>
      <c r="BB282" s="18">
        <f t="shared" si="266"/>
        <v>1.9534381680356916</v>
      </c>
      <c r="BC282" s="18">
        <f t="shared" si="266"/>
        <v>3.6662461646937254</v>
      </c>
      <c r="BD282" s="18">
        <f t="shared" si="266"/>
        <v>0.48721048427760499</v>
      </c>
      <c r="BE282" s="56">
        <f t="shared" si="267"/>
        <v>5</v>
      </c>
      <c r="BG282" s="18">
        <f t="shared" si="268"/>
        <v>2.9888203713171873</v>
      </c>
      <c r="BH282" s="18">
        <f t="shared" si="268"/>
        <v>4.7252919282373389</v>
      </c>
      <c r="BI282" s="18">
        <f t="shared" si="268"/>
        <v>1.9534381680356916</v>
      </c>
      <c r="BJ282" s="18">
        <f t="shared" si="268"/>
        <v>3.6662461646937254</v>
      </c>
      <c r="BK282" s="18">
        <f t="shared" si="268"/>
        <v>0.48721048427760499</v>
      </c>
      <c r="BL282" s="56">
        <f t="shared" si="269"/>
        <v>5</v>
      </c>
      <c r="BN282" s="18">
        <f t="shared" si="270"/>
        <v>2.9888203713171873</v>
      </c>
      <c r="BO282" s="18">
        <f t="shared" si="270"/>
        <v>4.7252919282373389</v>
      </c>
      <c r="BP282" s="18">
        <f t="shared" si="270"/>
        <v>1.9534381680356916</v>
      </c>
      <c r="BQ282" s="18">
        <f t="shared" si="270"/>
        <v>3.6662461646937254</v>
      </c>
      <c r="BR282" s="18">
        <f t="shared" si="270"/>
        <v>0.48721048427760499</v>
      </c>
      <c r="BS282" s="56">
        <f t="shared" si="271"/>
        <v>5</v>
      </c>
      <c r="BU282" s="18">
        <f t="shared" si="272"/>
        <v>2.9888203713171873</v>
      </c>
      <c r="BV282" s="18">
        <f t="shared" si="272"/>
        <v>4.7252919282373389</v>
      </c>
      <c r="BW282" s="18">
        <f t="shared" si="272"/>
        <v>1.9534381680356916</v>
      </c>
      <c r="BX282" s="18">
        <f t="shared" si="272"/>
        <v>3.6662461646937254</v>
      </c>
      <c r="BY282" s="18">
        <f t="shared" si="272"/>
        <v>0.48721048427760499</v>
      </c>
      <c r="BZ282" s="56">
        <f t="shared" si="273"/>
        <v>5</v>
      </c>
      <c r="CB282" s="18">
        <f t="shared" si="274"/>
        <v>2.9888203713171873</v>
      </c>
      <c r="CC282" s="18">
        <f t="shared" si="274"/>
        <v>4.7252919282373389</v>
      </c>
      <c r="CD282" s="18">
        <f t="shared" si="274"/>
        <v>1.9534381680356916</v>
      </c>
      <c r="CE282" s="18">
        <f t="shared" si="274"/>
        <v>3.6662461646937254</v>
      </c>
      <c r="CF282" s="18">
        <f t="shared" si="274"/>
        <v>0.48721048427760499</v>
      </c>
      <c r="CG282" s="56">
        <f t="shared" si="275"/>
        <v>5</v>
      </c>
      <c r="CI282" s="18">
        <f t="shared" si="276"/>
        <v>2.9888203713171873</v>
      </c>
      <c r="CJ282" s="18">
        <f t="shared" si="276"/>
        <v>4.7252919282373389</v>
      </c>
      <c r="CK282" s="18">
        <f t="shared" si="276"/>
        <v>1.9534381680356916</v>
      </c>
      <c r="CL282" s="18">
        <f t="shared" si="276"/>
        <v>3.6662461646937254</v>
      </c>
      <c r="CM282" s="18">
        <f t="shared" si="276"/>
        <v>0.48721048427760499</v>
      </c>
      <c r="CN282" s="56">
        <f t="shared" si="277"/>
        <v>5</v>
      </c>
      <c r="CP282" s="18">
        <f t="shared" si="278"/>
        <v>2.9888203713171873</v>
      </c>
      <c r="CQ282" s="18">
        <f t="shared" si="278"/>
        <v>4.7252919282373389</v>
      </c>
      <c r="CR282" s="18">
        <f t="shared" si="278"/>
        <v>1.9534381680356916</v>
      </c>
      <c r="CS282" s="18">
        <f t="shared" si="278"/>
        <v>3.6662461646937254</v>
      </c>
      <c r="CT282" s="18">
        <f t="shared" si="278"/>
        <v>0.48721048427760499</v>
      </c>
      <c r="CU282" s="56">
        <f t="shared" si="279"/>
        <v>5</v>
      </c>
      <c r="CW282" s="18">
        <f t="shared" si="280"/>
        <v>2.9888203713171873</v>
      </c>
      <c r="CX282" s="18">
        <f t="shared" si="280"/>
        <v>4.7252919282373389</v>
      </c>
      <c r="CY282" s="18">
        <f t="shared" si="280"/>
        <v>1.9534381680356916</v>
      </c>
      <c r="CZ282" s="18">
        <f t="shared" si="280"/>
        <v>3.6662461646937254</v>
      </c>
      <c r="DA282" s="18">
        <f t="shared" si="280"/>
        <v>0.48721048427760499</v>
      </c>
      <c r="DB282" s="56">
        <f t="shared" si="281"/>
        <v>5</v>
      </c>
    </row>
    <row r="283" spans="1:106" x14ac:dyDescent="0.25">
      <c r="A283" s="36" t="str">
        <f>KMeans_Data!A11</f>
        <v>Multan</v>
      </c>
      <c r="B283" s="18">
        <f>KMeans_Data!H11</f>
        <v>1.3394801285719993</v>
      </c>
      <c r="C283" s="18">
        <f>KMeans_Data!I11</f>
        <v>0.16051258962499582</v>
      </c>
      <c r="D283" s="18">
        <f>KMeans_Data!J11</f>
        <v>-0.82444601589876665</v>
      </c>
      <c r="E283" s="56">
        <f t="shared" si="256"/>
        <v>4</v>
      </c>
      <c r="F283" s="38">
        <f t="shared" si="257"/>
        <v>2.804458919797725</v>
      </c>
      <c r="G283" s="18">
        <f>IF(COUNTIF(Distance_Matrix!$E$11:$DQ$11,$E283)&lt;=1,0,SUMIF(Distance_Matrix!$E$11:$DQ$11,$E283,Distance_Matrix!$E$20:$DQ$20)/(COUNTIF(Distance_Matrix!$E$11:$DQ$11,$E283)-1))</f>
        <v>1.8160688427368303</v>
      </c>
      <c r="H283" s="18">
        <f>MIN(IF(1=$E283,1E+99,IF(COUNTIF(Distance_Matrix!$E$11:$DQ$11,1)=0,1E+99,SUMIF(Distance_Matrix!$E$11:$DQ$11,1,Distance_Matrix!$E$20:$DQ$20)/COUNTIF(Distance_Matrix!$E$11:$DQ$11,1))),IF(2=$E283,1E+99,IF(COUNTIF(Distance_Matrix!$E$11:$DQ$11,2)=0,1E+99,SUMIF(Distance_Matrix!$E$11:$DQ$11,2,Distance_Matrix!$E$20:$DQ$20)/COUNTIF(Distance_Matrix!$E$11:$DQ$11,2))),IF(3=$E283,1E+99,IF(COUNTIF(Distance_Matrix!$E$11:$DQ$11,3)=0,1E+99,SUMIF(Distance_Matrix!$E$11:$DQ$11,3,Distance_Matrix!$E$20:$DQ$20)/COUNTIF(Distance_Matrix!$E$11:$DQ$11,3))),IF(4=$E283,1E+99,IF(COUNTIF(Distance_Matrix!$E$11:$DQ$11,4)=0,1E+99,SUMIF(Distance_Matrix!$E$11:$DQ$11,4,Distance_Matrix!$E$20:$DQ$20)/COUNTIF(Distance_Matrix!$E$11:$DQ$11,4))),IF(5=$E283,1E+99,IF(COUNTIF(Distance_Matrix!$E$11:$DQ$11,5)=0,1E+99,SUMIF(Distance_Matrix!$E$11:$DQ$11,5,Distance_Matrix!$E$20:$DQ$20)/COUNTIF(Distance_Matrix!$E$11:$DQ$11,5))))</f>
        <v>2.0160716264786909</v>
      </c>
      <c r="I283" s="18">
        <f>IF(COUNTIF(Distance_Matrix!$E$11:$DQ$11,$E283)&lt;=1,0,(H283-G283)/MAX(G283,H283))</f>
        <v>9.920420540374808E-2</v>
      </c>
      <c r="X283" s="18">
        <f t="shared" si="258"/>
        <v>5.9504874931858787</v>
      </c>
      <c r="Y283" s="18">
        <f t="shared" si="258"/>
        <v>3.5338904221249825</v>
      </c>
      <c r="Z283" s="18">
        <f t="shared" si="258"/>
        <v>2.3249148297272479</v>
      </c>
      <c r="AA283" s="18">
        <f t="shared" si="258"/>
        <v>0.82406922646320091</v>
      </c>
      <c r="AB283" s="18">
        <f t="shared" si="258"/>
        <v>3.9777682880830931</v>
      </c>
      <c r="AC283" s="56">
        <f t="shared" si="259"/>
        <v>4</v>
      </c>
      <c r="AE283" s="18">
        <f t="shared" si="260"/>
        <v>5.7941084402947318</v>
      </c>
      <c r="AF283" s="18">
        <f t="shared" si="260"/>
        <v>2.7082159772380696</v>
      </c>
      <c r="AG283" s="18">
        <f t="shared" si="260"/>
        <v>1.879475562050178</v>
      </c>
      <c r="AH283" s="18">
        <f t="shared" si="260"/>
        <v>1.5758532538872418</v>
      </c>
      <c r="AI283" s="18">
        <f t="shared" si="260"/>
        <v>3.6120777337839449</v>
      </c>
      <c r="AJ283" s="56">
        <f t="shared" si="261"/>
        <v>4</v>
      </c>
      <c r="AL283" s="18">
        <f t="shared" si="262"/>
        <v>5.7941084402947318</v>
      </c>
      <c r="AM283" s="18">
        <f t="shared" si="262"/>
        <v>2.702428993122763</v>
      </c>
      <c r="AN283" s="18">
        <f t="shared" si="262"/>
        <v>1.8721947228246747</v>
      </c>
      <c r="AO283" s="18">
        <f t="shared" si="262"/>
        <v>1.628693148900322</v>
      </c>
      <c r="AP283" s="18">
        <f t="shared" si="262"/>
        <v>3.3839120354935739</v>
      </c>
      <c r="AQ283" s="56">
        <f t="shared" si="263"/>
        <v>4</v>
      </c>
      <c r="AS283" s="18">
        <f t="shared" si="264"/>
        <v>5.7941084402947318</v>
      </c>
      <c r="AT283" s="18">
        <f t="shared" si="264"/>
        <v>2.7518839779431046</v>
      </c>
      <c r="AU283" s="18">
        <f t="shared" si="264"/>
        <v>1.8815861575952788</v>
      </c>
      <c r="AV283" s="18">
        <f t="shared" si="264"/>
        <v>1.6746518801821844</v>
      </c>
      <c r="AW283" s="18">
        <f t="shared" si="264"/>
        <v>3.3839120354935739</v>
      </c>
      <c r="AX283" s="56">
        <f t="shared" si="265"/>
        <v>4</v>
      </c>
      <c r="AZ283" s="18">
        <f t="shared" si="266"/>
        <v>5.7941084402947318</v>
      </c>
      <c r="BA283" s="18">
        <f t="shared" si="266"/>
        <v>2.7518839779431046</v>
      </c>
      <c r="BB283" s="18">
        <f t="shared" si="266"/>
        <v>1.8815861575952788</v>
      </c>
      <c r="BC283" s="18">
        <f t="shared" si="266"/>
        <v>1.6746518801821844</v>
      </c>
      <c r="BD283" s="18">
        <f t="shared" si="266"/>
        <v>3.3839120354935739</v>
      </c>
      <c r="BE283" s="56">
        <f t="shared" si="267"/>
        <v>4</v>
      </c>
      <c r="BG283" s="18">
        <f t="shared" si="268"/>
        <v>5.7941084402947318</v>
      </c>
      <c r="BH283" s="18">
        <f t="shared" si="268"/>
        <v>2.7518839779431046</v>
      </c>
      <c r="BI283" s="18">
        <f t="shared" si="268"/>
        <v>1.8815861575952788</v>
      </c>
      <c r="BJ283" s="18">
        <f t="shared" si="268"/>
        <v>1.6746518801821844</v>
      </c>
      <c r="BK283" s="18">
        <f t="shared" si="268"/>
        <v>3.3839120354935739</v>
      </c>
      <c r="BL283" s="56">
        <f t="shared" si="269"/>
        <v>4</v>
      </c>
      <c r="BN283" s="18">
        <f t="shared" si="270"/>
        <v>5.7941084402947318</v>
      </c>
      <c r="BO283" s="18">
        <f t="shared" si="270"/>
        <v>2.7518839779431046</v>
      </c>
      <c r="BP283" s="18">
        <f t="shared" si="270"/>
        <v>1.8815861575952788</v>
      </c>
      <c r="BQ283" s="18">
        <f t="shared" si="270"/>
        <v>1.6746518801821844</v>
      </c>
      <c r="BR283" s="18">
        <f t="shared" si="270"/>
        <v>3.3839120354935739</v>
      </c>
      <c r="BS283" s="56">
        <f t="shared" si="271"/>
        <v>4</v>
      </c>
      <c r="BU283" s="18">
        <f t="shared" si="272"/>
        <v>5.7941084402947318</v>
      </c>
      <c r="BV283" s="18">
        <f t="shared" si="272"/>
        <v>2.7518839779431046</v>
      </c>
      <c r="BW283" s="18">
        <f t="shared" si="272"/>
        <v>1.8815861575952788</v>
      </c>
      <c r="BX283" s="18">
        <f t="shared" si="272"/>
        <v>1.6746518801821844</v>
      </c>
      <c r="BY283" s="18">
        <f t="shared" si="272"/>
        <v>3.3839120354935739</v>
      </c>
      <c r="BZ283" s="56">
        <f t="shared" si="273"/>
        <v>4</v>
      </c>
      <c r="CB283" s="18">
        <f t="shared" si="274"/>
        <v>5.7941084402947318</v>
      </c>
      <c r="CC283" s="18">
        <f t="shared" si="274"/>
        <v>2.7518839779431046</v>
      </c>
      <c r="CD283" s="18">
        <f t="shared" si="274"/>
        <v>1.8815861575952788</v>
      </c>
      <c r="CE283" s="18">
        <f t="shared" si="274"/>
        <v>1.6746518801821844</v>
      </c>
      <c r="CF283" s="18">
        <f t="shared" si="274"/>
        <v>3.3839120354935739</v>
      </c>
      <c r="CG283" s="56">
        <f t="shared" si="275"/>
        <v>4</v>
      </c>
      <c r="CI283" s="18">
        <f t="shared" si="276"/>
        <v>5.7941084402947318</v>
      </c>
      <c r="CJ283" s="18">
        <f t="shared" si="276"/>
        <v>2.7518839779431046</v>
      </c>
      <c r="CK283" s="18">
        <f t="shared" si="276"/>
        <v>1.8815861575952788</v>
      </c>
      <c r="CL283" s="18">
        <f t="shared" si="276"/>
        <v>1.6746518801821844</v>
      </c>
      <c r="CM283" s="18">
        <f t="shared" si="276"/>
        <v>3.3839120354935739</v>
      </c>
      <c r="CN283" s="56">
        <f t="shared" si="277"/>
        <v>4</v>
      </c>
      <c r="CP283" s="18">
        <f t="shared" si="278"/>
        <v>5.7941084402947318</v>
      </c>
      <c r="CQ283" s="18">
        <f t="shared" si="278"/>
        <v>2.7518839779431046</v>
      </c>
      <c r="CR283" s="18">
        <f t="shared" si="278"/>
        <v>1.8815861575952788</v>
      </c>
      <c r="CS283" s="18">
        <f t="shared" si="278"/>
        <v>1.6746518801821844</v>
      </c>
      <c r="CT283" s="18">
        <f t="shared" si="278"/>
        <v>3.3839120354935739</v>
      </c>
      <c r="CU283" s="56">
        <f t="shared" si="279"/>
        <v>4</v>
      </c>
      <c r="CW283" s="18">
        <f t="shared" si="280"/>
        <v>5.7941084402947318</v>
      </c>
      <c r="CX283" s="18">
        <f t="shared" si="280"/>
        <v>2.7518839779431046</v>
      </c>
      <c r="CY283" s="18">
        <f t="shared" si="280"/>
        <v>1.8815861575952788</v>
      </c>
      <c r="CZ283" s="18">
        <f t="shared" si="280"/>
        <v>1.6746518801821844</v>
      </c>
      <c r="DA283" s="18">
        <f t="shared" si="280"/>
        <v>3.3839120354935739</v>
      </c>
      <c r="DB283" s="56">
        <f t="shared" si="281"/>
        <v>4</v>
      </c>
    </row>
    <row r="284" spans="1:106" x14ac:dyDescent="0.25">
      <c r="A284" s="36" t="str">
        <f>KMeans_Data!A12</f>
        <v>Sukkur</v>
      </c>
      <c r="B284" s="18">
        <f>KMeans_Data!H12</f>
        <v>1.3163443189252899</v>
      </c>
      <c r="C284" s="18">
        <f>KMeans_Data!I12</f>
        <v>0.68618000108374222</v>
      </c>
      <c r="D284" s="18">
        <f>KMeans_Data!J12</f>
        <v>1.7238403519091188</v>
      </c>
      <c r="E284" s="56">
        <f t="shared" si="256"/>
        <v>3</v>
      </c>
      <c r="F284" s="38">
        <f t="shared" si="257"/>
        <v>1.2441780158909341</v>
      </c>
      <c r="G284" s="18">
        <f>IF(COUNTIF(Distance_Matrix!$E$11:$DQ$11,$E284)&lt;=1,0,SUMIF(Distance_Matrix!$E$11:$DQ$11,$E284,Distance_Matrix!$E$21:$DQ$21)/(COUNTIF(Distance_Matrix!$E$11:$DQ$11,$E284)-1))</f>
        <v>1.3105457214332639</v>
      </c>
      <c r="H284" s="18">
        <f>MIN(IF(1=$E284,1E+99,IF(COUNTIF(Distance_Matrix!$E$11:$DQ$11,1)=0,1E+99,SUMIF(Distance_Matrix!$E$11:$DQ$11,1,Distance_Matrix!$E$21:$DQ$21)/COUNTIF(Distance_Matrix!$E$11:$DQ$11,1))),IF(2=$E284,1E+99,IF(COUNTIF(Distance_Matrix!$E$11:$DQ$11,2)=0,1E+99,SUMIF(Distance_Matrix!$E$11:$DQ$11,2,Distance_Matrix!$E$21:$DQ$21)/COUNTIF(Distance_Matrix!$E$11:$DQ$11,2))),IF(3=$E284,1E+99,IF(COUNTIF(Distance_Matrix!$E$11:$DQ$11,3)=0,1E+99,SUMIF(Distance_Matrix!$E$11:$DQ$11,3,Distance_Matrix!$E$21:$DQ$21)/COUNTIF(Distance_Matrix!$E$11:$DQ$11,3))),IF(4=$E284,1E+99,IF(COUNTIF(Distance_Matrix!$E$11:$DQ$11,4)=0,1E+99,SUMIF(Distance_Matrix!$E$11:$DQ$11,4,Distance_Matrix!$E$21:$DQ$21)/COUNTIF(Distance_Matrix!$E$11:$DQ$11,4))),IF(5=$E284,1E+99,IF(COUNTIF(Distance_Matrix!$E$11:$DQ$11,5)=0,1E+99,SUMIF(Distance_Matrix!$E$11:$DQ$11,5,Distance_Matrix!$E$21:$DQ$21)/COUNTIF(Distance_Matrix!$E$11:$DQ$11,5))))</f>
        <v>1.9032524728068576</v>
      </c>
      <c r="I284" s="18">
        <f>IF(COUNTIF(Distance_Matrix!$E$11:$DQ$11,$E284)&lt;=1,0,(H284-G284)/MAX(G284,H284))</f>
        <v>0.31141782808220303</v>
      </c>
      <c r="X284" s="18">
        <f t="shared" si="258"/>
        <v>4.1727070517104679</v>
      </c>
      <c r="Y284" s="18">
        <f t="shared" si="258"/>
        <v>4.6490575992165946</v>
      </c>
      <c r="Z284" s="18">
        <f t="shared" si="258"/>
        <v>0.48644468900823695</v>
      </c>
      <c r="AA284" s="18">
        <f t="shared" si="258"/>
        <v>3.0623360139594267</v>
      </c>
      <c r="AB284" s="18">
        <f t="shared" si="258"/>
        <v>2.0260323086887375</v>
      </c>
      <c r="AC284" s="56">
        <f t="shared" si="259"/>
        <v>3</v>
      </c>
      <c r="AE284" s="18">
        <f t="shared" si="260"/>
        <v>4.1195172910656206</v>
      </c>
      <c r="AF284" s="18">
        <f t="shared" si="260"/>
        <v>3.925099832367549</v>
      </c>
      <c r="AG284" s="18">
        <f t="shared" si="260"/>
        <v>1.1813851037213485</v>
      </c>
      <c r="AH284" s="18">
        <f t="shared" si="260"/>
        <v>2.8791887102490121</v>
      </c>
      <c r="AI284" s="18">
        <f t="shared" si="260"/>
        <v>2.0095082152819703</v>
      </c>
      <c r="AJ284" s="56">
        <f t="shared" si="261"/>
        <v>3</v>
      </c>
      <c r="AL284" s="18">
        <f t="shared" si="262"/>
        <v>4.1195172910656206</v>
      </c>
      <c r="AM284" s="18">
        <f t="shared" si="262"/>
        <v>3.9537699501818775</v>
      </c>
      <c r="AN284" s="18">
        <f t="shared" si="262"/>
        <v>1.1410904203283445</v>
      </c>
      <c r="AO284" s="18">
        <f t="shared" si="262"/>
        <v>2.8087964854789895</v>
      </c>
      <c r="AP284" s="18">
        <f t="shared" si="262"/>
        <v>1.7966490529227619</v>
      </c>
      <c r="AQ284" s="56">
        <f t="shared" si="263"/>
        <v>3</v>
      </c>
      <c r="AS284" s="18">
        <f t="shared" si="264"/>
        <v>4.1195172910656206</v>
      </c>
      <c r="AT284" s="18">
        <f t="shared" si="264"/>
        <v>4.0432051301636474</v>
      </c>
      <c r="AU284" s="18">
        <f t="shared" si="264"/>
        <v>1.115427279517107</v>
      </c>
      <c r="AV284" s="18">
        <f t="shared" si="264"/>
        <v>2.814218557452457</v>
      </c>
      <c r="AW284" s="18">
        <f t="shared" si="264"/>
        <v>1.7966490529227619</v>
      </c>
      <c r="AX284" s="56">
        <f t="shared" si="265"/>
        <v>3</v>
      </c>
      <c r="AZ284" s="18">
        <f t="shared" si="266"/>
        <v>4.1195172910656206</v>
      </c>
      <c r="BA284" s="18">
        <f t="shared" si="266"/>
        <v>4.0432051301636474</v>
      </c>
      <c r="BB284" s="18">
        <f t="shared" si="266"/>
        <v>1.115427279517107</v>
      </c>
      <c r="BC284" s="18">
        <f t="shared" si="266"/>
        <v>2.814218557452457</v>
      </c>
      <c r="BD284" s="18">
        <f t="shared" si="266"/>
        <v>1.7966490529227619</v>
      </c>
      <c r="BE284" s="56">
        <f t="shared" si="267"/>
        <v>3</v>
      </c>
      <c r="BG284" s="18">
        <f t="shared" si="268"/>
        <v>4.1195172910656206</v>
      </c>
      <c r="BH284" s="18">
        <f t="shared" si="268"/>
        <v>4.0432051301636474</v>
      </c>
      <c r="BI284" s="18">
        <f t="shared" si="268"/>
        <v>1.115427279517107</v>
      </c>
      <c r="BJ284" s="18">
        <f t="shared" si="268"/>
        <v>2.814218557452457</v>
      </c>
      <c r="BK284" s="18">
        <f t="shared" si="268"/>
        <v>1.7966490529227619</v>
      </c>
      <c r="BL284" s="56">
        <f t="shared" si="269"/>
        <v>3</v>
      </c>
      <c r="BN284" s="18">
        <f t="shared" si="270"/>
        <v>4.1195172910656206</v>
      </c>
      <c r="BO284" s="18">
        <f t="shared" si="270"/>
        <v>4.0432051301636474</v>
      </c>
      <c r="BP284" s="18">
        <f t="shared" si="270"/>
        <v>1.115427279517107</v>
      </c>
      <c r="BQ284" s="18">
        <f t="shared" si="270"/>
        <v>2.814218557452457</v>
      </c>
      <c r="BR284" s="18">
        <f t="shared" si="270"/>
        <v>1.7966490529227619</v>
      </c>
      <c r="BS284" s="56">
        <f t="shared" si="271"/>
        <v>3</v>
      </c>
      <c r="BU284" s="18">
        <f t="shared" si="272"/>
        <v>4.1195172910656206</v>
      </c>
      <c r="BV284" s="18">
        <f t="shared" si="272"/>
        <v>4.0432051301636474</v>
      </c>
      <c r="BW284" s="18">
        <f t="shared" si="272"/>
        <v>1.115427279517107</v>
      </c>
      <c r="BX284" s="18">
        <f t="shared" si="272"/>
        <v>2.814218557452457</v>
      </c>
      <c r="BY284" s="18">
        <f t="shared" si="272"/>
        <v>1.7966490529227619</v>
      </c>
      <c r="BZ284" s="56">
        <f t="shared" si="273"/>
        <v>3</v>
      </c>
      <c r="CB284" s="18">
        <f t="shared" si="274"/>
        <v>4.1195172910656206</v>
      </c>
      <c r="CC284" s="18">
        <f t="shared" si="274"/>
        <v>4.0432051301636474</v>
      </c>
      <c r="CD284" s="18">
        <f t="shared" si="274"/>
        <v>1.115427279517107</v>
      </c>
      <c r="CE284" s="18">
        <f t="shared" si="274"/>
        <v>2.814218557452457</v>
      </c>
      <c r="CF284" s="18">
        <f t="shared" si="274"/>
        <v>1.7966490529227619</v>
      </c>
      <c r="CG284" s="56">
        <f t="shared" si="275"/>
        <v>3</v>
      </c>
      <c r="CI284" s="18">
        <f t="shared" si="276"/>
        <v>4.1195172910656206</v>
      </c>
      <c r="CJ284" s="18">
        <f t="shared" si="276"/>
        <v>4.0432051301636474</v>
      </c>
      <c r="CK284" s="18">
        <f t="shared" si="276"/>
        <v>1.115427279517107</v>
      </c>
      <c r="CL284" s="18">
        <f t="shared" si="276"/>
        <v>2.814218557452457</v>
      </c>
      <c r="CM284" s="18">
        <f t="shared" si="276"/>
        <v>1.7966490529227619</v>
      </c>
      <c r="CN284" s="56">
        <f t="shared" si="277"/>
        <v>3</v>
      </c>
      <c r="CP284" s="18">
        <f t="shared" si="278"/>
        <v>4.1195172910656206</v>
      </c>
      <c r="CQ284" s="18">
        <f t="shared" si="278"/>
        <v>4.0432051301636474</v>
      </c>
      <c r="CR284" s="18">
        <f t="shared" si="278"/>
        <v>1.115427279517107</v>
      </c>
      <c r="CS284" s="18">
        <f t="shared" si="278"/>
        <v>2.814218557452457</v>
      </c>
      <c r="CT284" s="18">
        <f t="shared" si="278"/>
        <v>1.7966490529227619</v>
      </c>
      <c r="CU284" s="56">
        <f t="shared" si="279"/>
        <v>3</v>
      </c>
      <c r="CW284" s="18">
        <f t="shared" si="280"/>
        <v>4.1195172910656206</v>
      </c>
      <c r="CX284" s="18">
        <f t="shared" si="280"/>
        <v>4.0432051301636474</v>
      </c>
      <c r="CY284" s="18">
        <f t="shared" si="280"/>
        <v>1.115427279517107</v>
      </c>
      <c r="CZ284" s="18">
        <f t="shared" si="280"/>
        <v>2.814218557452457</v>
      </c>
      <c r="DA284" s="18">
        <f t="shared" si="280"/>
        <v>1.7966490529227619</v>
      </c>
      <c r="DB284" s="56">
        <f t="shared" si="281"/>
        <v>3</v>
      </c>
    </row>
    <row r="285" spans="1:106" x14ac:dyDescent="0.25">
      <c r="A285" s="36" t="str">
        <f>KMeans_Data!A13</f>
        <v>Hyderabad</v>
      </c>
      <c r="B285" s="18">
        <f>KMeans_Data!H13</f>
        <v>1.2591276453149129</v>
      </c>
      <c r="C285" s="18">
        <f>KMeans_Data!I13</f>
        <v>1.2118474125424887</v>
      </c>
      <c r="D285" s="18">
        <f>KMeans_Data!J13</f>
        <v>1.6955104854445937</v>
      </c>
      <c r="E285" s="56">
        <f t="shared" si="256"/>
        <v>3</v>
      </c>
      <c r="F285" s="38">
        <f t="shared" si="257"/>
        <v>1.5017622482557389</v>
      </c>
      <c r="G285" s="18">
        <f>IF(COUNTIF(Distance_Matrix!$E$11:$DQ$11,$E285)&lt;=1,0,SUMIF(Distance_Matrix!$E$11:$DQ$11,$E285,Distance_Matrix!$E$22:$DQ$22)/(COUNTIF(Distance_Matrix!$E$11:$DQ$11,$E285)-1))</f>
        <v>1.3904848139483061</v>
      </c>
      <c r="H285" s="18">
        <f>MIN(IF(1=$E285,1E+99,IF(COUNTIF(Distance_Matrix!$E$11:$DQ$11,1)=0,1E+99,SUMIF(Distance_Matrix!$E$11:$DQ$11,1,Distance_Matrix!$E$22:$DQ$22)/COUNTIF(Distance_Matrix!$E$11:$DQ$11,1))),IF(2=$E285,1E+99,IF(COUNTIF(Distance_Matrix!$E$11:$DQ$11,2)=0,1E+99,SUMIF(Distance_Matrix!$E$11:$DQ$11,2,Distance_Matrix!$E$22:$DQ$22)/COUNTIF(Distance_Matrix!$E$11:$DQ$11,2))),IF(3=$E285,1E+99,IF(COUNTIF(Distance_Matrix!$E$11:$DQ$11,3)=0,1E+99,SUMIF(Distance_Matrix!$E$11:$DQ$11,3,Distance_Matrix!$E$22:$DQ$22)/COUNTIF(Distance_Matrix!$E$11:$DQ$11,3))),IF(4=$E285,1E+99,IF(COUNTIF(Distance_Matrix!$E$11:$DQ$11,4)=0,1E+99,SUMIF(Distance_Matrix!$E$11:$DQ$11,4,Distance_Matrix!$E$22:$DQ$22)/COUNTIF(Distance_Matrix!$E$11:$DQ$11,4))),IF(5=$E285,1E+99,IF(COUNTIF(Distance_Matrix!$E$11:$DQ$11,5)=0,1E+99,SUMIF(Distance_Matrix!$E$11:$DQ$11,5,Distance_Matrix!$E$22:$DQ$22)/COUNTIF(Distance_Matrix!$E$11:$DQ$11,5))))</f>
        <v>1.4763911335688626</v>
      </c>
      <c r="I285" s="18">
        <f>IF(COUNTIF(Distance_Matrix!$E$11:$DQ$11,$E285)&lt;=1,0,(H285-G285)/MAX(G285,H285))</f>
        <v>5.818669434358914E-2</v>
      </c>
      <c r="X285" s="18">
        <f t="shared" si="258"/>
        <v>3.8049688595258218</v>
      </c>
      <c r="Y285" s="18">
        <f t="shared" si="258"/>
        <v>4.7719509323338665</v>
      </c>
      <c r="Z285" s="18">
        <f t="shared" si="258"/>
        <v>0.8910805790095413</v>
      </c>
      <c r="AA285" s="18">
        <f t="shared" si="258"/>
        <v>3.2085676641039029</v>
      </c>
      <c r="AB285" s="18">
        <f t="shared" si="258"/>
        <v>1.6886079116948614</v>
      </c>
      <c r="AC285" s="56">
        <f t="shared" si="259"/>
        <v>3</v>
      </c>
      <c r="AE285" s="18">
        <f t="shared" si="260"/>
        <v>3.7359216991210369</v>
      </c>
      <c r="AF285" s="18">
        <f t="shared" si="260"/>
        <v>4.0807292596836628</v>
      </c>
      <c r="AG285" s="18">
        <f t="shared" si="260"/>
        <v>1.3168245571267683</v>
      </c>
      <c r="AH285" s="18">
        <f t="shared" si="260"/>
        <v>3.0856505025523977</v>
      </c>
      <c r="AI285" s="18">
        <f t="shared" si="260"/>
        <v>1.5697384061941029</v>
      </c>
      <c r="AJ285" s="56">
        <f t="shared" si="261"/>
        <v>3</v>
      </c>
      <c r="AL285" s="18">
        <f t="shared" si="262"/>
        <v>3.7359216991210369</v>
      </c>
      <c r="AM285" s="18">
        <f t="shared" si="262"/>
        <v>4.1080876714974055</v>
      </c>
      <c r="AN285" s="18">
        <f t="shared" si="262"/>
        <v>1.2524437432557283</v>
      </c>
      <c r="AO285" s="18">
        <f t="shared" si="262"/>
        <v>3.0247767997386203</v>
      </c>
      <c r="AP285" s="18">
        <f t="shared" si="262"/>
        <v>1.336628912662345</v>
      </c>
      <c r="AQ285" s="56">
        <f t="shared" si="263"/>
        <v>3</v>
      </c>
      <c r="AS285" s="18">
        <f t="shared" si="264"/>
        <v>3.7359216991210369</v>
      </c>
      <c r="AT285" s="18">
        <f t="shared" si="264"/>
        <v>4.1927311707473924</v>
      </c>
      <c r="AU285" s="18">
        <f t="shared" si="264"/>
        <v>1.2254640950496016</v>
      </c>
      <c r="AV285" s="18">
        <f t="shared" si="264"/>
        <v>3.028451555140983</v>
      </c>
      <c r="AW285" s="18">
        <f t="shared" si="264"/>
        <v>1.336628912662345</v>
      </c>
      <c r="AX285" s="56">
        <f t="shared" si="265"/>
        <v>3</v>
      </c>
      <c r="AZ285" s="18">
        <f t="shared" si="266"/>
        <v>3.7359216991210369</v>
      </c>
      <c r="BA285" s="18">
        <f t="shared" si="266"/>
        <v>4.1927311707473924</v>
      </c>
      <c r="BB285" s="18">
        <f t="shared" si="266"/>
        <v>1.2254640950496016</v>
      </c>
      <c r="BC285" s="18">
        <f t="shared" si="266"/>
        <v>3.028451555140983</v>
      </c>
      <c r="BD285" s="18">
        <f t="shared" si="266"/>
        <v>1.336628912662345</v>
      </c>
      <c r="BE285" s="56">
        <f t="shared" si="267"/>
        <v>3</v>
      </c>
      <c r="BG285" s="18">
        <f t="shared" si="268"/>
        <v>3.7359216991210369</v>
      </c>
      <c r="BH285" s="18">
        <f t="shared" si="268"/>
        <v>4.1927311707473924</v>
      </c>
      <c r="BI285" s="18">
        <f t="shared" si="268"/>
        <v>1.2254640950496016</v>
      </c>
      <c r="BJ285" s="18">
        <f t="shared" si="268"/>
        <v>3.028451555140983</v>
      </c>
      <c r="BK285" s="18">
        <f t="shared" si="268"/>
        <v>1.336628912662345</v>
      </c>
      <c r="BL285" s="56">
        <f t="shared" si="269"/>
        <v>3</v>
      </c>
      <c r="BN285" s="18">
        <f t="shared" si="270"/>
        <v>3.7359216991210369</v>
      </c>
      <c r="BO285" s="18">
        <f t="shared" si="270"/>
        <v>4.1927311707473924</v>
      </c>
      <c r="BP285" s="18">
        <f t="shared" si="270"/>
        <v>1.2254640950496016</v>
      </c>
      <c r="BQ285" s="18">
        <f t="shared" si="270"/>
        <v>3.028451555140983</v>
      </c>
      <c r="BR285" s="18">
        <f t="shared" si="270"/>
        <v>1.336628912662345</v>
      </c>
      <c r="BS285" s="56">
        <f t="shared" si="271"/>
        <v>3</v>
      </c>
      <c r="BU285" s="18">
        <f t="shared" si="272"/>
        <v>3.7359216991210369</v>
      </c>
      <c r="BV285" s="18">
        <f t="shared" si="272"/>
        <v>4.1927311707473924</v>
      </c>
      <c r="BW285" s="18">
        <f t="shared" si="272"/>
        <v>1.2254640950496016</v>
      </c>
      <c r="BX285" s="18">
        <f t="shared" si="272"/>
        <v>3.028451555140983</v>
      </c>
      <c r="BY285" s="18">
        <f t="shared" si="272"/>
        <v>1.336628912662345</v>
      </c>
      <c r="BZ285" s="56">
        <f t="shared" si="273"/>
        <v>3</v>
      </c>
      <c r="CB285" s="18">
        <f t="shared" si="274"/>
        <v>3.7359216991210369</v>
      </c>
      <c r="CC285" s="18">
        <f t="shared" si="274"/>
        <v>4.1927311707473924</v>
      </c>
      <c r="CD285" s="18">
        <f t="shared" si="274"/>
        <v>1.2254640950496016</v>
      </c>
      <c r="CE285" s="18">
        <f t="shared" si="274"/>
        <v>3.028451555140983</v>
      </c>
      <c r="CF285" s="18">
        <f t="shared" si="274"/>
        <v>1.336628912662345</v>
      </c>
      <c r="CG285" s="56">
        <f t="shared" si="275"/>
        <v>3</v>
      </c>
      <c r="CI285" s="18">
        <f t="shared" si="276"/>
        <v>3.7359216991210369</v>
      </c>
      <c r="CJ285" s="18">
        <f t="shared" si="276"/>
        <v>4.1927311707473924</v>
      </c>
      <c r="CK285" s="18">
        <f t="shared" si="276"/>
        <v>1.2254640950496016</v>
      </c>
      <c r="CL285" s="18">
        <f t="shared" si="276"/>
        <v>3.028451555140983</v>
      </c>
      <c r="CM285" s="18">
        <f t="shared" si="276"/>
        <v>1.336628912662345</v>
      </c>
      <c r="CN285" s="56">
        <f t="shared" si="277"/>
        <v>3</v>
      </c>
      <c r="CP285" s="18">
        <f t="shared" si="278"/>
        <v>3.7359216991210369</v>
      </c>
      <c r="CQ285" s="18">
        <f t="shared" si="278"/>
        <v>4.1927311707473924</v>
      </c>
      <c r="CR285" s="18">
        <f t="shared" si="278"/>
        <v>1.2254640950496016</v>
      </c>
      <c r="CS285" s="18">
        <f t="shared" si="278"/>
        <v>3.028451555140983</v>
      </c>
      <c r="CT285" s="18">
        <f t="shared" si="278"/>
        <v>1.336628912662345</v>
      </c>
      <c r="CU285" s="56">
        <f t="shared" si="279"/>
        <v>3</v>
      </c>
      <c r="CW285" s="18">
        <f t="shared" si="280"/>
        <v>3.7359216991210369</v>
      </c>
      <c r="CX285" s="18">
        <f t="shared" si="280"/>
        <v>4.1927311707473924</v>
      </c>
      <c r="CY285" s="18">
        <f t="shared" si="280"/>
        <v>1.2254640950496016</v>
      </c>
      <c r="CZ285" s="18">
        <f t="shared" si="280"/>
        <v>3.028451555140983</v>
      </c>
      <c r="DA285" s="18">
        <f t="shared" si="280"/>
        <v>1.336628912662345</v>
      </c>
      <c r="DB285" s="56">
        <f t="shared" si="281"/>
        <v>3</v>
      </c>
    </row>
    <row r="286" spans="1:106" x14ac:dyDescent="0.25">
      <c r="A286" s="36" t="str">
        <f>KMeans_Data!A14</f>
        <v>Raiwind</v>
      </c>
      <c r="B286" s="18">
        <f>KMeans_Data!H14</f>
        <v>1.2015385972262329</v>
      </c>
      <c r="C286" s="18">
        <f>KMeans_Data!I14</f>
        <v>-0.14698313392952958</v>
      </c>
      <c r="D286" s="18">
        <f>KMeans_Data!J14</f>
        <v>-0.82444601589876665</v>
      </c>
      <c r="E286" s="56">
        <f t="shared" si="256"/>
        <v>4</v>
      </c>
      <c r="F286" s="38">
        <f t="shared" si="257"/>
        <v>2.1018167204178568</v>
      </c>
      <c r="G286" s="18">
        <f>IF(COUNTIF(Distance_Matrix!$E$11:$DQ$11,$E286)&lt;=1,0,SUMIF(Distance_Matrix!$E$11:$DQ$11,$E286,Distance_Matrix!$E$23:$DQ$23)/(COUNTIF(Distance_Matrix!$E$11:$DQ$11,$E286)-1))</f>
        <v>1.6070449916132636</v>
      </c>
      <c r="H286" s="18">
        <f>MIN(IF(1=$E286,1E+99,IF(COUNTIF(Distance_Matrix!$E$11:$DQ$11,1)=0,1E+99,SUMIF(Distance_Matrix!$E$11:$DQ$11,1,Distance_Matrix!$E$23:$DQ$23)/COUNTIF(Distance_Matrix!$E$11:$DQ$11,1))),IF(2=$E286,1E+99,IF(COUNTIF(Distance_Matrix!$E$11:$DQ$11,2)=0,1E+99,SUMIF(Distance_Matrix!$E$11:$DQ$11,2,Distance_Matrix!$E$23:$DQ$23)/COUNTIF(Distance_Matrix!$E$11:$DQ$11,2))),IF(3=$E286,1E+99,IF(COUNTIF(Distance_Matrix!$E$11:$DQ$11,3)=0,1E+99,SUMIF(Distance_Matrix!$E$11:$DQ$11,3,Distance_Matrix!$E$23:$DQ$23)/COUNTIF(Distance_Matrix!$E$11:$DQ$11,3))),IF(4=$E286,1E+99,IF(COUNTIF(Distance_Matrix!$E$11:$DQ$11,4)=0,1E+99,SUMIF(Distance_Matrix!$E$11:$DQ$11,4,Distance_Matrix!$E$23:$DQ$23)/COUNTIF(Distance_Matrix!$E$11:$DQ$11,4))),IF(5=$E286,1E+99,IF(COUNTIF(Distance_Matrix!$E$11:$DQ$11,5)=0,1E+99,SUMIF(Distance_Matrix!$E$11:$DQ$11,5,Distance_Matrix!$E$23:$DQ$23)/COUNTIF(Distance_Matrix!$E$11:$DQ$11,5))))</f>
        <v>2.053765281826502</v>
      </c>
      <c r="I286" s="18">
        <f>IF(COUNTIF(Distance_Matrix!$E$11:$DQ$11,$E286)&lt;=1,0,(H286-G286)/MAX(G286,H286))</f>
        <v>0.2175128259135585</v>
      </c>
      <c r="X286" s="18">
        <f t="shared" si="258"/>
        <v>6.2000657083427848</v>
      </c>
      <c r="Y286" s="18">
        <f t="shared" si="258"/>
        <v>3.3386030664456947</v>
      </c>
      <c r="Z286" s="18">
        <f t="shared" si="258"/>
        <v>2.3600059251332826</v>
      </c>
      <c r="AA286" s="18">
        <f t="shared" si="258"/>
        <v>0.64199276997619037</v>
      </c>
      <c r="AB286" s="18">
        <f t="shared" si="258"/>
        <v>4.1870251398816727</v>
      </c>
      <c r="AC286" s="56">
        <f t="shared" si="259"/>
        <v>4</v>
      </c>
      <c r="AE286" s="18">
        <f t="shared" si="260"/>
        <v>6.0528633620462484</v>
      </c>
      <c r="AF286" s="18">
        <f t="shared" si="260"/>
        <v>2.497050074124886</v>
      </c>
      <c r="AG286" s="18">
        <f t="shared" si="260"/>
        <v>1.9069541307269864</v>
      </c>
      <c r="AH286" s="18">
        <f t="shared" si="260"/>
        <v>1.3456023637473018</v>
      </c>
      <c r="AI286" s="18">
        <f t="shared" si="260"/>
        <v>3.8511007506373169</v>
      </c>
      <c r="AJ286" s="56">
        <f t="shared" si="261"/>
        <v>4</v>
      </c>
      <c r="AL286" s="18">
        <f t="shared" si="262"/>
        <v>6.0528633620462484</v>
      </c>
      <c r="AM286" s="18">
        <f t="shared" si="262"/>
        <v>2.4912563128714424</v>
      </c>
      <c r="AN286" s="18">
        <f t="shared" si="262"/>
        <v>1.9152891411262238</v>
      </c>
      <c r="AO286" s="18">
        <f t="shared" si="262"/>
        <v>1.4002558723207728</v>
      </c>
      <c r="AP286" s="18">
        <f t="shared" si="262"/>
        <v>3.6175579894111825</v>
      </c>
      <c r="AQ286" s="56">
        <f t="shared" si="263"/>
        <v>4</v>
      </c>
      <c r="AS286" s="18">
        <f t="shared" si="264"/>
        <v>6.0528633620462484</v>
      </c>
      <c r="AT286" s="18">
        <f t="shared" si="264"/>
        <v>2.5426124477815115</v>
      </c>
      <c r="AU286" s="18">
        <f t="shared" si="264"/>
        <v>1.9276888848343361</v>
      </c>
      <c r="AV286" s="18">
        <f t="shared" si="264"/>
        <v>1.4497643672051872</v>
      </c>
      <c r="AW286" s="18">
        <f t="shared" si="264"/>
        <v>3.6175579894111825</v>
      </c>
      <c r="AX286" s="56">
        <f t="shared" si="265"/>
        <v>4</v>
      </c>
      <c r="AZ286" s="18">
        <f t="shared" si="266"/>
        <v>6.0528633620462484</v>
      </c>
      <c r="BA286" s="18">
        <f t="shared" si="266"/>
        <v>2.5426124477815115</v>
      </c>
      <c r="BB286" s="18">
        <f t="shared" si="266"/>
        <v>1.9276888848343361</v>
      </c>
      <c r="BC286" s="18">
        <f t="shared" si="266"/>
        <v>1.4497643672051872</v>
      </c>
      <c r="BD286" s="18">
        <f t="shared" si="266"/>
        <v>3.6175579894111825</v>
      </c>
      <c r="BE286" s="56">
        <f t="shared" si="267"/>
        <v>4</v>
      </c>
      <c r="BG286" s="18">
        <f t="shared" si="268"/>
        <v>6.0528633620462484</v>
      </c>
      <c r="BH286" s="18">
        <f t="shared" si="268"/>
        <v>2.5426124477815115</v>
      </c>
      <c r="BI286" s="18">
        <f t="shared" si="268"/>
        <v>1.9276888848343361</v>
      </c>
      <c r="BJ286" s="18">
        <f t="shared" si="268"/>
        <v>1.4497643672051872</v>
      </c>
      <c r="BK286" s="18">
        <f t="shared" si="268"/>
        <v>3.6175579894111825</v>
      </c>
      <c r="BL286" s="56">
        <f t="shared" si="269"/>
        <v>4</v>
      </c>
      <c r="BN286" s="18">
        <f t="shared" si="270"/>
        <v>6.0528633620462484</v>
      </c>
      <c r="BO286" s="18">
        <f t="shared" si="270"/>
        <v>2.5426124477815115</v>
      </c>
      <c r="BP286" s="18">
        <f t="shared" si="270"/>
        <v>1.9276888848343361</v>
      </c>
      <c r="BQ286" s="18">
        <f t="shared" si="270"/>
        <v>1.4497643672051872</v>
      </c>
      <c r="BR286" s="18">
        <f t="shared" si="270"/>
        <v>3.6175579894111825</v>
      </c>
      <c r="BS286" s="56">
        <f t="shared" si="271"/>
        <v>4</v>
      </c>
      <c r="BU286" s="18">
        <f t="shared" si="272"/>
        <v>6.0528633620462484</v>
      </c>
      <c r="BV286" s="18">
        <f t="shared" si="272"/>
        <v>2.5426124477815115</v>
      </c>
      <c r="BW286" s="18">
        <f t="shared" si="272"/>
        <v>1.9276888848343361</v>
      </c>
      <c r="BX286" s="18">
        <f t="shared" si="272"/>
        <v>1.4497643672051872</v>
      </c>
      <c r="BY286" s="18">
        <f t="shared" si="272"/>
        <v>3.6175579894111825</v>
      </c>
      <c r="BZ286" s="56">
        <f t="shared" si="273"/>
        <v>4</v>
      </c>
      <c r="CB286" s="18">
        <f t="shared" si="274"/>
        <v>6.0528633620462484</v>
      </c>
      <c r="CC286" s="18">
        <f t="shared" si="274"/>
        <v>2.5426124477815115</v>
      </c>
      <c r="CD286" s="18">
        <f t="shared" si="274"/>
        <v>1.9276888848343361</v>
      </c>
      <c r="CE286" s="18">
        <f t="shared" si="274"/>
        <v>1.4497643672051872</v>
      </c>
      <c r="CF286" s="18">
        <f t="shared" si="274"/>
        <v>3.6175579894111825</v>
      </c>
      <c r="CG286" s="56">
        <f t="shared" si="275"/>
        <v>4</v>
      </c>
      <c r="CI286" s="18">
        <f t="shared" si="276"/>
        <v>6.0528633620462484</v>
      </c>
      <c r="CJ286" s="18">
        <f t="shared" si="276"/>
        <v>2.5426124477815115</v>
      </c>
      <c r="CK286" s="18">
        <f t="shared" si="276"/>
        <v>1.9276888848343361</v>
      </c>
      <c r="CL286" s="18">
        <f t="shared" si="276"/>
        <v>1.4497643672051872</v>
      </c>
      <c r="CM286" s="18">
        <f t="shared" si="276"/>
        <v>3.6175579894111825</v>
      </c>
      <c r="CN286" s="56">
        <f t="shared" si="277"/>
        <v>4</v>
      </c>
      <c r="CP286" s="18">
        <f t="shared" si="278"/>
        <v>6.0528633620462484</v>
      </c>
      <c r="CQ286" s="18">
        <f t="shared" si="278"/>
        <v>2.5426124477815115</v>
      </c>
      <c r="CR286" s="18">
        <f t="shared" si="278"/>
        <v>1.9276888848343361</v>
      </c>
      <c r="CS286" s="18">
        <f t="shared" si="278"/>
        <v>1.4497643672051872</v>
      </c>
      <c r="CT286" s="18">
        <f t="shared" si="278"/>
        <v>3.6175579894111825</v>
      </c>
      <c r="CU286" s="56">
        <f t="shared" si="279"/>
        <v>4</v>
      </c>
      <c r="CW286" s="18">
        <f t="shared" si="280"/>
        <v>6.0528633620462484</v>
      </c>
      <c r="CX286" s="18">
        <f t="shared" si="280"/>
        <v>2.5426124477815115</v>
      </c>
      <c r="CY286" s="18">
        <f t="shared" si="280"/>
        <v>1.9276888848343361</v>
      </c>
      <c r="CZ286" s="18">
        <f t="shared" si="280"/>
        <v>1.4497643672051872</v>
      </c>
      <c r="DA286" s="18">
        <f t="shared" si="280"/>
        <v>3.6175579894111825</v>
      </c>
      <c r="DB286" s="56">
        <f t="shared" si="281"/>
        <v>4</v>
      </c>
    </row>
    <row r="287" spans="1:106" x14ac:dyDescent="0.25">
      <c r="A287" s="36" t="str">
        <f>KMeans_Data!A15</f>
        <v>Malakand</v>
      </c>
      <c r="B287" s="18">
        <f>KMeans_Data!H15</f>
        <v>1.1410679551279186</v>
      </c>
      <c r="C287" s="18">
        <f>KMeans_Data!I15</f>
        <v>1.4759954658056031</v>
      </c>
      <c r="D287" s="18">
        <f>KMeans_Data!J15</f>
        <v>0.98834987138399455</v>
      </c>
      <c r="E287" s="56">
        <f t="shared" si="256"/>
        <v>3</v>
      </c>
      <c r="F287" s="38">
        <f t="shared" si="257"/>
        <v>1.0839107877632568</v>
      </c>
      <c r="G287" s="18">
        <f>IF(COUNTIF(Distance_Matrix!$E$11:$DQ$11,$E287)&lt;=1,0,SUMIF(Distance_Matrix!$E$11:$DQ$11,$E287,Distance_Matrix!$E$24:$DQ$24)/(COUNTIF(Distance_Matrix!$E$11:$DQ$11,$E287)-1))</f>
        <v>1.2132315657607669</v>
      </c>
      <c r="H287" s="18">
        <f>MIN(IF(1=$E287,1E+99,IF(COUNTIF(Distance_Matrix!$E$11:$DQ$11,1)=0,1E+99,SUMIF(Distance_Matrix!$E$11:$DQ$11,1,Distance_Matrix!$E$24:$DQ$24)/COUNTIF(Distance_Matrix!$E$11:$DQ$11,1))),IF(2=$E287,1E+99,IF(COUNTIF(Distance_Matrix!$E$11:$DQ$11,2)=0,1E+99,SUMIF(Distance_Matrix!$E$11:$DQ$11,2,Distance_Matrix!$E$24:$DQ$24)/COUNTIF(Distance_Matrix!$E$11:$DQ$11,2))),IF(3=$E287,1E+99,IF(COUNTIF(Distance_Matrix!$E$11:$DQ$11,3)=0,1E+99,SUMIF(Distance_Matrix!$E$11:$DQ$11,3,Distance_Matrix!$E$24:$DQ$24)/COUNTIF(Distance_Matrix!$E$11:$DQ$11,3))),IF(4=$E287,1E+99,IF(COUNTIF(Distance_Matrix!$E$11:$DQ$11,4)=0,1E+99,SUMIF(Distance_Matrix!$E$11:$DQ$11,4,Distance_Matrix!$E$24:$DQ$24)/COUNTIF(Distance_Matrix!$E$11:$DQ$11,4))),IF(5=$E287,1E+99,IF(COUNTIF(Distance_Matrix!$E$11:$DQ$11,5)=0,1E+99,SUMIF(Distance_Matrix!$E$11:$DQ$11,5,Distance_Matrix!$E$24:$DQ$24)/COUNTIF(Distance_Matrix!$E$11:$DQ$11,5))))</f>
        <v>1.4379645391030409</v>
      </c>
      <c r="I287" s="18">
        <f>IF(COUNTIF(Distance_Matrix!$E$11:$DQ$11,$E287)&lt;=1,0,(H287-G287)/MAX(G287,H287))</f>
        <v>0.15628547661019215</v>
      </c>
      <c r="X287" s="18">
        <f t="shared" ref="X287:AB296" si="282">SQRT(($B287-X$270)^2+($C287-X$271)^2+($D287-X$272)^2)</f>
        <v>4.0306685209580886</v>
      </c>
      <c r="Y287" s="18">
        <f t="shared" si="282"/>
        <v>4.4208823671757642</v>
      </c>
      <c r="Z287" s="18">
        <f t="shared" si="282"/>
        <v>1.2030082216667015</v>
      </c>
      <c r="AA287" s="18">
        <f t="shared" si="282"/>
        <v>2.7264273286246112</v>
      </c>
      <c r="AB287" s="18">
        <f t="shared" si="282"/>
        <v>2.0203211354533384</v>
      </c>
      <c r="AC287" s="56">
        <f t="shared" si="259"/>
        <v>3</v>
      </c>
      <c r="AE287" s="18">
        <f t="shared" ref="AE287:AI296" si="283">SQRT(($B287-AE$270)^2+($C287-AE$271)^2+($D287-AE$272)^2)</f>
        <v>3.9098536710555822</v>
      </c>
      <c r="AF287" s="18">
        <f t="shared" si="283"/>
        <v>3.7297142198351705</v>
      </c>
      <c r="AG287" s="18">
        <f t="shared" si="283"/>
        <v>1.1508516479685438</v>
      </c>
      <c r="AH287" s="18">
        <f t="shared" si="283"/>
        <v>2.7507697841823298</v>
      </c>
      <c r="AI287" s="18">
        <f t="shared" si="283"/>
        <v>1.6355823046496429</v>
      </c>
      <c r="AJ287" s="56">
        <f t="shared" si="261"/>
        <v>3</v>
      </c>
      <c r="AL287" s="18">
        <f t="shared" ref="AL287:AP296" si="284">SQRT(($B287-AL$270)^2+($C287-AL$271)^2+($D287-AL$272)^2)</f>
        <v>3.9098536710555822</v>
      </c>
      <c r="AM287" s="18">
        <f t="shared" si="284"/>
        <v>3.750413612283916</v>
      </c>
      <c r="AN287" s="18">
        <f t="shared" si="284"/>
        <v>1.0627830046593756</v>
      </c>
      <c r="AO287" s="18">
        <f t="shared" si="284"/>
        <v>2.7141996530916712</v>
      </c>
      <c r="AP287" s="18">
        <f t="shared" si="284"/>
        <v>1.362934608294363</v>
      </c>
      <c r="AQ287" s="56">
        <f t="shared" si="263"/>
        <v>3</v>
      </c>
      <c r="AS287" s="18">
        <f t="shared" ref="AS287:AW296" si="285">SQRT(($B287-AS$270)^2+($C287-AS$271)^2+($D287-AS$272)^2)</f>
        <v>3.9098536710555822</v>
      </c>
      <c r="AT287" s="18">
        <f t="shared" si="285"/>
        <v>3.8250971090326282</v>
      </c>
      <c r="AU287" s="18">
        <f t="shared" si="285"/>
        <v>1.0411103629122402</v>
      </c>
      <c r="AV287" s="18">
        <f t="shared" si="285"/>
        <v>2.7217232427512306</v>
      </c>
      <c r="AW287" s="18">
        <f t="shared" si="285"/>
        <v>1.362934608294363</v>
      </c>
      <c r="AX287" s="56">
        <f t="shared" si="265"/>
        <v>3</v>
      </c>
      <c r="AZ287" s="18">
        <f t="shared" ref="AZ287:BD296" si="286">SQRT(($B287-AZ$270)^2+($C287-AZ$271)^2+($D287-AZ$272)^2)</f>
        <v>3.9098536710555822</v>
      </c>
      <c r="BA287" s="18">
        <f t="shared" si="286"/>
        <v>3.8250971090326282</v>
      </c>
      <c r="BB287" s="18">
        <f t="shared" si="286"/>
        <v>1.0411103629122402</v>
      </c>
      <c r="BC287" s="18">
        <f t="shared" si="286"/>
        <v>2.7217232427512306</v>
      </c>
      <c r="BD287" s="18">
        <f t="shared" si="286"/>
        <v>1.362934608294363</v>
      </c>
      <c r="BE287" s="56">
        <f t="shared" si="267"/>
        <v>3</v>
      </c>
      <c r="BG287" s="18">
        <f t="shared" ref="BG287:BK296" si="287">SQRT(($B287-BG$270)^2+($C287-BG$271)^2+($D287-BG$272)^2)</f>
        <v>3.9098536710555822</v>
      </c>
      <c r="BH287" s="18">
        <f t="shared" si="287"/>
        <v>3.8250971090326282</v>
      </c>
      <c r="BI287" s="18">
        <f t="shared" si="287"/>
        <v>1.0411103629122402</v>
      </c>
      <c r="BJ287" s="18">
        <f t="shared" si="287"/>
        <v>2.7217232427512306</v>
      </c>
      <c r="BK287" s="18">
        <f t="shared" si="287"/>
        <v>1.362934608294363</v>
      </c>
      <c r="BL287" s="56">
        <f t="shared" si="269"/>
        <v>3</v>
      </c>
      <c r="BN287" s="18">
        <f t="shared" ref="BN287:BR296" si="288">SQRT(($B287-BN$270)^2+($C287-BN$271)^2+($D287-BN$272)^2)</f>
        <v>3.9098536710555822</v>
      </c>
      <c r="BO287" s="18">
        <f t="shared" si="288"/>
        <v>3.8250971090326282</v>
      </c>
      <c r="BP287" s="18">
        <f t="shared" si="288"/>
        <v>1.0411103629122402</v>
      </c>
      <c r="BQ287" s="18">
        <f t="shared" si="288"/>
        <v>2.7217232427512306</v>
      </c>
      <c r="BR287" s="18">
        <f t="shared" si="288"/>
        <v>1.362934608294363</v>
      </c>
      <c r="BS287" s="56">
        <f t="shared" si="271"/>
        <v>3</v>
      </c>
      <c r="BU287" s="18">
        <f t="shared" ref="BU287:BY296" si="289">SQRT(($B287-BU$270)^2+($C287-BU$271)^2+($D287-BU$272)^2)</f>
        <v>3.9098536710555822</v>
      </c>
      <c r="BV287" s="18">
        <f t="shared" si="289"/>
        <v>3.8250971090326282</v>
      </c>
      <c r="BW287" s="18">
        <f t="shared" si="289"/>
        <v>1.0411103629122402</v>
      </c>
      <c r="BX287" s="18">
        <f t="shared" si="289"/>
        <v>2.7217232427512306</v>
      </c>
      <c r="BY287" s="18">
        <f t="shared" si="289"/>
        <v>1.362934608294363</v>
      </c>
      <c r="BZ287" s="56">
        <f t="shared" si="273"/>
        <v>3</v>
      </c>
      <c r="CB287" s="18">
        <f t="shared" ref="CB287:CF296" si="290">SQRT(($B287-CB$270)^2+($C287-CB$271)^2+($D287-CB$272)^2)</f>
        <v>3.9098536710555822</v>
      </c>
      <c r="CC287" s="18">
        <f t="shared" si="290"/>
        <v>3.8250971090326282</v>
      </c>
      <c r="CD287" s="18">
        <f t="shared" si="290"/>
        <v>1.0411103629122402</v>
      </c>
      <c r="CE287" s="18">
        <f t="shared" si="290"/>
        <v>2.7217232427512306</v>
      </c>
      <c r="CF287" s="18">
        <f t="shared" si="290"/>
        <v>1.362934608294363</v>
      </c>
      <c r="CG287" s="56">
        <f t="shared" si="275"/>
        <v>3</v>
      </c>
      <c r="CI287" s="18">
        <f t="shared" ref="CI287:CM296" si="291">SQRT(($B287-CI$270)^2+($C287-CI$271)^2+($D287-CI$272)^2)</f>
        <v>3.9098536710555822</v>
      </c>
      <c r="CJ287" s="18">
        <f t="shared" si="291"/>
        <v>3.8250971090326282</v>
      </c>
      <c r="CK287" s="18">
        <f t="shared" si="291"/>
        <v>1.0411103629122402</v>
      </c>
      <c r="CL287" s="18">
        <f t="shared" si="291"/>
        <v>2.7217232427512306</v>
      </c>
      <c r="CM287" s="18">
        <f t="shared" si="291"/>
        <v>1.362934608294363</v>
      </c>
      <c r="CN287" s="56">
        <f t="shared" si="277"/>
        <v>3</v>
      </c>
      <c r="CP287" s="18">
        <f t="shared" ref="CP287:CT296" si="292">SQRT(($B287-CP$270)^2+($C287-CP$271)^2+($D287-CP$272)^2)</f>
        <v>3.9098536710555822</v>
      </c>
      <c r="CQ287" s="18">
        <f t="shared" si="292"/>
        <v>3.8250971090326282</v>
      </c>
      <c r="CR287" s="18">
        <f t="shared" si="292"/>
        <v>1.0411103629122402</v>
      </c>
      <c r="CS287" s="18">
        <f t="shared" si="292"/>
        <v>2.7217232427512306</v>
      </c>
      <c r="CT287" s="18">
        <f t="shared" si="292"/>
        <v>1.362934608294363</v>
      </c>
      <c r="CU287" s="56">
        <f t="shared" si="279"/>
        <v>3</v>
      </c>
      <c r="CW287" s="18">
        <f t="shared" ref="CW287:DA296" si="293">SQRT(($B287-CW$270)^2+($C287-CW$271)^2+($D287-CW$272)^2)</f>
        <v>3.9098536710555822</v>
      </c>
      <c r="CX287" s="18">
        <f t="shared" si="293"/>
        <v>3.8250971090326282</v>
      </c>
      <c r="CY287" s="18">
        <f t="shared" si="293"/>
        <v>1.0411103629122402</v>
      </c>
      <c r="CZ287" s="18">
        <f t="shared" si="293"/>
        <v>2.7217232427512306</v>
      </c>
      <c r="DA287" s="18">
        <f t="shared" si="293"/>
        <v>1.362934608294363</v>
      </c>
      <c r="DB287" s="56">
        <f t="shared" si="281"/>
        <v>3</v>
      </c>
    </row>
    <row r="288" spans="1:106" x14ac:dyDescent="0.25">
      <c r="A288" s="36" t="str">
        <f>KMeans_Data!A16</f>
        <v>Mardan</v>
      </c>
      <c r="B288" s="18">
        <f>KMeans_Data!H16</f>
        <v>1.126985701234098</v>
      </c>
      <c r="C288" s="18">
        <f>KMeans_Data!I16</f>
        <v>1.7684733170772808</v>
      </c>
      <c r="D288" s="18">
        <f>KMeans_Data!J16</f>
        <v>1.1668769645807604</v>
      </c>
      <c r="E288" s="56">
        <f t="shared" si="256"/>
        <v>5</v>
      </c>
      <c r="F288" s="38">
        <f t="shared" si="257"/>
        <v>1.224142156051292</v>
      </c>
      <c r="G288" s="18">
        <f>IF(COUNTIF(Distance_Matrix!$E$11:$DQ$11,$E288)&lt;=1,0,SUMIF(Distance_Matrix!$E$11:$DQ$11,$E288,Distance_Matrix!$E$25:$DQ$25)/(COUNTIF(Distance_Matrix!$E$11:$DQ$11,$E288)-1))</f>
        <v>1.4711329808320066</v>
      </c>
      <c r="H288" s="18">
        <f>MIN(IF(1=$E288,1E+99,IF(COUNTIF(Distance_Matrix!$E$11:$DQ$11,1)=0,1E+99,SUMIF(Distance_Matrix!$E$11:$DQ$11,1,Distance_Matrix!$E$25:$DQ$25)/COUNTIF(Distance_Matrix!$E$11:$DQ$11,1))),IF(2=$E288,1E+99,IF(COUNTIF(Distance_Matrix!$E$11:$DQ$11,2)=0,1E+99,SUMIF(Distance_Matrix!$E$11:$DQ$11,2,Distance_Matrix!$E$25:$DQ$25)/COUNTIF(Distance_Matrix!$E$11:$DQ$11,2))),IF(3=$E288,1E+99,IF(COUNTIF(Distance_Matrix!$E$11:$DQ$11,3)=0,1E+99,SUMIF(Distance_Matrix!$E$11:$DQ$11,3,Distance_Matrix!$E$25:$DQ$25)/COUNTIF(Distance_Matrix!$E$11:$DQ$11,3))),IF(4=$E288,1E+99,IF(COUNTIF(Distance_Matrix!$E$11:$DQ$11,4)=0,1E+99,SUMIF(Distance_Matrix!$E$11:$DQ$11,4,Distance_Matrix!$E$25:$DQ$25)/COUNTIF(Distance_Matrix!$E$11:$DQ$11,4))),IF(5=$E288,1E+99,IF(COUNTIF(Distance_Matrix!$E$11:$DQ$11,5)=0,1E+99,SUMIF(Distance_Matrix!$E$11:$DQ$11,5,Distance_Matrix!$E$25:$DQ$25)/COUNTIF(Distance_Matrix!$E$11:$DQ$11,5))))</f>
        <v>1.4287739028721329</v>
      </c>
      <c r="I288" s="18">
        <f>IF(COUNTIF(Distance_Matrix!$E$11:$DQ$11,$E288)&lt;=1,0,(H288-G288)/MAX(G288,H288))</f>
        <v>-2.8793507121237481E-2</v>
      </c>
      <c r="X288" s="18">
        <f t="shared" si="282"/>
        <v>3.757169974840902</v>
      </c>
      <c r="Y288" s="18">
        <f t="shared" si="282"/>
        <v>4.6464950490584824</v>
      </c>
      <c r="Z288" s="18">
        <f t="shared" si="282"/>
        <v>1.4253699648600497</v>
      </c>
      <c r="AA288" s="18">
        <f t="shared" si="282"/>
        <v>3.0411164110059743</v>
      </c>
      <c r="AB288" s="18">
        <f t="shared" si="282"/>
        <v>1.8058309755852935</v>
      </c>
      <c r="AC288" s="56">
        <f t="shared" si="259"/>
        <v>3</v>
      </c>
      <c r="AE288" s="18">
        <f t="shared" si="283"/>
        <v>3.6365226506880006</v>
      </c>
      <c r="AF288" s="18">
        <f t="shared" si="283"/>
        <v>3.9867267855026931</v>
      </c>
      <c r="AG288" s="18">
        <f t="shared" si="283"/>
        <v>1.4307454803785842</v>
      </c>
      <c r="AH288" s="18">
        <f t="shared" si="283"/>
        <v>3.055550230238496</v>
      </c>
      <c r="AI288" s="18">
        <f t="shared" si="283"/>
        <v>1.3830119734948589</v>
      </c>
      <c r="AJ288" s="56">
        <f t="shared" si="261"/>
        <v>5</v>
      </c>
      <c r="AL288" s="18">
        <f t="shared" si="284"/>
        <v>3.6365226506880006</v>
      </c>
      <c r="AM288" s="18">
        <f t="shared" si="284"/>
        <v>4.0083738729343192</v>
      </c>
      <c r="AN288" s="18">
        <f t="shared" si="284"/>
        <v>1.3457379252189272</v>
      </c>
      <c r="AO288" s="18">
        <f t="shared" si="284"/>
        <v>3.0179164610844453</v>
      </c>
      <c r="AP288" s="18">
        <f t="shared" si="284"/>
        <v>1.106409578795887</v>
      </c>
      <c r="AQ288" s="56">
        <f t="shared" si="263"/>
        <v>5</v>
      </c>
      <c r="AS288" s="18">
        <f t="shared" si="285"/>
        <v>3.6365226506880006</v>
      </c>
      <c r="AT288" s="18">
        <f t="shared" si="285"/>
        <v>4.0818799936400252</v>
      </c>
      <c r="AU288" s="18">
        <f t="shared" si="285"/>
        <v>1.3241976017346659</v>
      </c>
      <c r="AV288" s="18">
        <f t="shared" si="285"/>
        <v>3.0227546928723976</v>
      </c>
      <c r="AW288" s="18">
        <f t="shared" si="285"/>
        <v>1.106409578795887</v>
      </c>
      <c r="AX288" s="56">
        <f t="shared" si="265"/>
        <v>5</v>
      </c>
      <c r="AZ288" s="18">
        <f t="shared" si="286"/>
        <v>3.6365226506880006</v>
      </c>
      <c r="BA288" s="18">
        <f t="shared" si="286"/>
        <v>4.0818799936400252</v>
      </c>
      <c r="BB288" s="18">
        <f t="shared" si="286"/>
        <v>1.3241976017346659</v>
      </c>
      <c r="BC288" s="18">
        <f t="shared" si="286"/>
        <v>3.0227546928723976</v>
      </c>
      <c r="BD288" s="18">
        <f t="shared" si="286"/>
        <v>1.106409578795887</v>
      </c>
      <c r="BE288" s="56">
        <f t="shared" si="267"/>
        <v>5</v>
      </c>
      <c r="BG288" s="18">
        <f t="shared" si="287"/>
        <v>3.6365226506880006</v>
      </c>
      <c r="BH288" s="18">
        <f t="shared" si="287"/>
        <v>4.0818799936400252</v>
      </c>
      <c r="BI288" s="18">
        <f t="shared" si="287"/>
        <v>1.3241976017346659</v>
      </c>
      <c r="BJ288" s="18">
        <f t="shared" si="287"/>
        <v>3.0227546928723976</v>
      </c>
      <c r="BK288" s="18">
        <f t="shared" si="287"/>
        <v>1.106409578795887</v>
      </c>
      <c r="BL288" s="56">
        <f t="shared" si="269"/>
        <v>5</v>
      </c>
      <c r="BN288" s="18">
        <f t="shared" si="288"/>
        <v>3.6365226506880006</v>
      </c>
      <c r="BO288" s="18">
        <f t="shared" si="288"/>
        <v>4.0818799936400252</v>
      </c>
      <c r="BP288" s="18">
        <f t="shared" si="288"/>
        <v>1.3241976017346659</v>
      </c>
      <c r="BQ288" s="18">
        <f t="shared" si="288"/>
        <v>3.0227546928723976</v>
      </c>
      <c r="BR288" s="18">
        <f t="shared" si="288"/>
        <v>1.106409578795887</v>
      </c>
      <c r="BS288" s="56">
        <f t="shared" si="271"/>
        <v>5</v>
      </c>
      <c r="BU288" s="18">
        <f t="shared" si="289"/>
        <v>3.6365226506880006</v>
      </c>
      <c r="BV288" s="18">
        <f t="shared" si="289"/>
        <v>4.0818799936400252</v>
      </c>
      <c r="BW288" s="18">
        <f t="shared" si="289"/>
        <v>1.3241976017346659</v>
      </c>
      <c r="BX288" s="18">
        <f t="shared" si="289"/>
        <v>3.0227546928723976</v>
      </c>
      <c r="BY288" s="18">
        <f t="shared" si="289"/>
        <v>1.106409578795887</v>
      </c>
      <c r="BZ288" s="56">
        <f t="shared" si="273"/>
        <v>5</v>
      </c>
      <c r="CB288" s="18">
        <f t="shared" si="290"/>
        <v>3.6365226506880006</v>
      </c>
      <c r="CC288" s="18">
        <f t="shared" si="290"/>
        <v>4.0818799936400252</v>
      </c>
      <c r="CD288" s="18">
        <f t="shared" si="290"/>
        <v>1.3241976017346659</v>
      </c>
      <c r="CE288" s="18">
        <f t="shared" si="290"/>
        <v>3.0227546928723976</v>
      </c>
      <c r="CF288" s="18">
        <f t="shared" si="290"/>
        <v>1.106409578795887</v>
      </c>
      <c r="CG288" s="56">
        <f t="shared" si="275"/>
        <v>5</v>
      </c>
      <c r="CI288" s="18">
        <f t="shared" si="291"/>
        <v>3.6365226506880006</v>
      </c>
      <c r="CJ288" s="18">
        <f t="shared" si="291"/>
        <v>4.0818799936400252</v>
      </c>
      <c r="CK288" s="18">
        <f t="shared" si="291"/>
        <v>1.3241976017346659</v>
      </c>
      <c r="CL288" s="18">
        <f t="shared" si="291"/>
        <v>3.0227546928723976</v>
      </c>
      <c r="CM288" s="18">
        <f t="shared" si="291"/>
        <v>1.106409578795887</v>
      </c>
      <c r="CN288" s="56">
        <f t="shared" si="277"/>
        <v>5</v>
      </c>
      <c r="CP288" s="18">
        <f t="shared" si="292"/>
        <v>3.6365226506880006</v>
      </c>
      <c r="CQ288" s="18">
        <f t="shared" si="292"/>
        <v>4.0818799936400252</v>
      </c>
      <c r="CR288" s="18">
        <f t="shared" si="292"/>
        <v>1.3241976017346659</v>
      </c>
      <c r="CS288" s="18">
        <f t="shared" si="292"/>
        <v>3.0227546928723976</v>
      </c>
      <c r="CT288" s="18">
        <f t="shared" si="292"/>
        <v>1.106409578795887</v>
      </c>
      <c r="CU288" s="56">
        <f t="shared" si="279"/>
        <v>5</v>
      </c>
      <c r="CW288" s="18">
        <f t="shared" si="293"/>
        <v>3.6365226506880006</v>
      </c>
      <c r="CX288" s="18">
        <f t="shared" si="293"/>
        <v>4.0818799936400252</v>
      </c>
      <c r="CY288" s="18">
        <f t="shared" si="293"/>
        <v>1.3241976017346659</v>
      </c>
      <c r="CZ288" s="18">
        <f t="shared" si="293"/>
        <v>3.0227546928723976</v>
      </c>
      <c r="DA288" s="18">
        <f t="shared" si="293"/>
        <v>1.106409578795887</v>
      </c>
      <c r="DB288" s="56">
        <f t="shared" si="281"/>
        <v>5</v>
      </c>
    </row>
    <row r="289" spans="1:106" x14ac:dyDescent="0.25">
      <c r="A289" s="36" t="str">
        <f>KMeans_Data!A17</f>
        <v>Gilgit</v>
      </c>
      <c r="B289" s="18">
        <f>KMeans_Data!H17</f>
        <v>1.0425286360551109</v>
      </c>
      <c r="C289" s="18">
        <f>KMeans_Data!I17</f>
        <v>0.99367572463826759</v>
      </c>
      <c r="D289" s="18">
        <f>KMeans_Data!J17</f>
        <v>1.0804955511041037</v>
      </c>
      <c r="E289" s="56">
        <f t="shared" si="256"/>
        <v>3</v>
      </c>
      <c r="F289" s="38">
        <f t="shared" si="257"/>
        <v>0.39591731697411586</v>
      </c>
      <c r="G289" s="18">
        <f>IF(COUNTIF(Distance_Matrix!$E$11:$DQ$11,$E289)&lt;=1,0,SUMIF(Distance_Matrix!$E$11:$DQ$11,$E289,Distance_Matrix!$E$26:$DQ$26)/(COUNTIF(Distance_Matrix!$E$11:$DQ$11,$E289)-1))</f>
        <v>0.92362641523698674</v>
      </c>
      <c r="H289" s="18">
        <f>MIN(IF(1=$E289,1E+99,IF(COUNTIF(Distance_Matrix!$E$11:$DQ$11,1)=0,1E+99,SUMIF(Distance_Matrix!$E$11:$DQ$11,1,Distance_Matrix!$E$26:$DQ$26)/COUNTIF(Distance_Matrix!$E$11:$DQ$11,1))),IF(2=$E289,1E+99,IF(COUNTIF(Distance_Matrix!$E$11:$DQ$11,2)=0,1E+99,SUMIF(Distance_Matrix!$E$11:$DQ$11,2,Distance_Matrix!$E$26:$DQ$26)/COUNTIF(Distance_Matrix!$E$11:$DQ$11,2))),IF(3=$E289,1E+99,IF(COUNTIF(Distance_Matrix!$E$11:$DQ$11,3)=0,1E+99,SUMIF(Distance_Matrix!$E$11:$DQ$11,3,Distance_Matrix!$E$26:$DQ$26)/COUNTIF(Distance_Matrix!$E$11:$DQ$11,3))),IF(4=$E289,1E+99,IF(COUNTIF(Distance_Matrix!$E$11:$DQ$11,4)=0,1E+99,SUMIF(Distance_Matrix!$E$11:$DQ$11,4,Distance_Matrix!$E$26:$DQ$26)/COUNTIF(Distance_Matrix!$E$11:$DQ$11,4))),IF(5=$E289,1E+99,IF(COUNTIF(Distance_Matrix!$E$11:$DQ$11,5)=0,1E+99,SUMIF(Distance_Matrix!$E$11:$DQ$11,5,Distance_Matrix!$E$26:$DQ$26)/COUNTIF(Distance_Matrix!$E$11:$DQ$11,5))))</f>
        <v>1.8035562199611976</v>
      </c>
      <c r="I289" s="18">
        <f>IF(COUNTIF(Distance_Matrix!$E$11:$DQ$11,$E289)&lt;=1,0,(H289-G289)/MAX(G289,H289))</f>
        <v>0.48788598602329236</v>
      </c>
      <c r="X289" s="18">
        <f t="shared" si="282"/>
        <v>4.3557396558667527</v>
      </c>
      <c r="Y289" s="18">
        <f t="shared" si="282"/>
        <v>4.1810154137617337</v>
      </c>
      <c r="Z289" s="18">
        <f t="shared" si="282"/>
        <v>0.72819676736314098</v>
      </c>
      <c r="AA289" s="18">
        <f t="shared" si="282"/>
        <v>2.5326458101929115</v>
      </c>
      <c r="AB289" s="18">
        <f t="shared" si="282"/>
        <v>2.2600451740837553</v>
      </c>
      <c r="AC289" s="56">
        <f t="shared" si="259"/>
        <v>3</v>
      </c>
      <c r="AE289" s="18">
        <f t="shared" si="283"/>
        <v>4.2568049984745624</v>
      </c>
      <c r="AF289" s="18">
        <f t="shared" si="283"/>
        <v>3.462958653344463</v>
      </c>
      <c r="AG289" s="18">
        <f t="shared" si="283"/>
        <v>0.73704727878867782</v>
      </c>
      <c r="AH289" s="18">
        <f t="shared" si="283"/>
        <v>2.4416450474729934</v>
      </c>
      <c r="AI289" s="18">
        <f t="shared" si="283"/>
        <v>1.9977266074264337</v>
      </c>
      <c r="AJ289" s="56">
        <f t="shared" si="261"/>
        <v>3</v>
      </c>
      <c r="AL289" s="18">
        <f t="shared" si="284"/>
        <v>4.2568049984745624</v>
      </c>
      <c r="AM289" s="18">
        <f t="shared" si="284"/>
        <v>3.4868215035563899</v>
      </c>
      <c r="AN289" s="18">
        <f t="shared" si="284"/>
        <v>0.65543209056191187</v>
      </c>
      <c r="AO289" s="18">
        <f t="shared" si="284"/>
        <v>2.3905210100796248</v>
      </c>
      <c r="AP289" s="18">
        <f t="shared" si="284"/>
        <v>1.7348414769491856</v>
      </c>
      <c r="AQ289" s="56">
        <f t="shared" si="263"/>
        <v>3</v>
      </c>
      <c r="AS289" s="18">
        <f t="shared" si="285"/>
        <v>4.2568049984745624</v>
      </c>
      <c r="AT289" s="18">
        <f t="shared" si="285"/>
        <v>3.5683506422806603</v>
      </c>
      <c r="AU289" s="18">
        <f t="shared" si="285"/>
        <v>0.62921960949585465</v>
      </c>
      <c r="AV289" s="18">
        <f t="shared" si="285"/>
        <v>2.3970219371837098</v>
      </c>
      <c r="AW289" s="18">
        <f t="shared" si="285"/>
        <v>1.7348414769491856</v>
      </c>
      <c r="AX289" s="56">
        <f t="shared" si="265"/>
        <v>3</v>
      </c>
      <c r="AZ289" s="18">
        <f t="shared" si="286"/>
        <v>4.2568049984745624</v>
      </c>
      <c r="BA289" s="18">
        <f t="shared" si="286"/>
        <v>3.5683506422806603</v>
      </c>
      <c r="BB289" s="18">
        <f t="shared" si="286"/>
        <v>0.62921960949585465</v>
      </c>
      <c r="BC289" s="18">
        <f t="shared" si="286"/>
        <v>2.3970219371837098</v>
      </c>
      <c r="BD289" s="18">
        <f t="shared" si="286"/>
        <v>1.7348414769491856</v>
      </c>
      <c r="BE289" s="56">
        <f t="shared" si="267"/>
        <v>3</v>
      </c>
      <c r="BG289" s="18">
        <f t="shared" si="287"/>
        <v>4.2568049984745624</v>
      </c>
      <c r="BH289" s="18">
        <f t="shared" si="287"/>
        <v>3.5683506422806603</v>
      </c>
      <c r="BI289" s="18">
        <f t="shared" si="287"/>
        <v>0.62921960949585465</v>
      </c>
      <c r="BJ289" s="18">
        <f t="shared" si="287"/>
        <v>2.3970219371837098</v>
      </c>
      <c r="BK289" s="18">
        <f t="shared" si="287"/>
        <v>1.7348414769491856</v>
      </c>
      <c r="BL289" s="56">
        <f t="shared" si="269"/>
        <v>3</v>
      </c>
      <c r="BN289" s="18">
        <f t="shared" si="288"/>
        <v>4.2568049984745624</v>
      </c>
      <c r="BO289" s="18">
        <f t="shared" si="288"/>
        <v>3.5683506422806603</v>
      </c>
      <c r="BP289" s="18">
        <f t="shared" si="288"/>
        <v>0.62921960949585465</v>
      </c>
      <c r="BQ289" s="18">
        <f t="shared" si="288"/>
        <v>2.3970219371837098</v>
      </c>
      <c r="BR289" s="18">
        <f t="shared" si="288"/>
        <v>1.7348414769491856</v>
      </c>
      <c r="BS289" s="56">
        <f t="shared" si="271"/>
        <v>3</v>
      </c>
      <c r="BU289" s="18">
        <f t="shared" si="289"/>
        <v>4.2568049984745624</v>
      </c>
      <c r="BV289" s="18">
        <f t="shared" si="289"/>
        <v>3.5683506422806603</v>
      </c>
      <c r="BW289" s="18">
        <f t="shared" si="289"/>
        <v>0.62921960949585465</v>
      </c>
      <c r="BX289" s="18">
        <f t="shared" si="289"/>
        <v>2.3970219371837098</v>
      </c>
      <c r="BY289" s="18">
        <f t="shared" si="289"/>
        <v>1.7348414769491856</v>
      </c>
      <c r="BZ289" s="56">
        <f t="shared" si="273"/>
        <v>3</v>
      </c>
      <c r="CB289" s="18">
        <f t="shared" si="290"/>
        <v>4.2568049984745624</v>
      </c>
      <c r="CC289" s="18">
        <f t="shared" si="290"/>
        <v>3.5683506422806603</v>
      </c>
      <c r="CD289" s="18">
        <f t="shared" si="290"/>
        <v>0.62921960949585465</v>
      </c>
      <c r="CE289" s="18">
        <f t="shared" si="290"/>
        <v>2.3970219371837098</v>
      </c>
      <c r="CF289" s="18">
        <f t="shared" si="290"/>
        <v>1.7348414769491856</v>
      </c>
      <c r="CG289" s="56">
        <f t="shared" si="275"/>
        <v>3</v>
      </c>
      <c r="CI289" s="18">
        <f t="shared" si="291"/>
        <v>4.2568049984745624</v>
      </c>
      <c r="CJ289" s="18">
        <f t="shared" si="291"/>
        <v>3.5683506422806603</v>
      </c>
      <c r="CK289" s="18">
        <f t="shared" si="291"/>
        <v>0.62921960949585465</v>
      </c>
      <c r="CL289" s="18">
        <f t="shared" si="291"/>
        <v>2.3970219371837098</v>
      </c>
      <c r="CM289" s="18">
        <f t="shared" si="291"/>
        <v>1.7348414769491856</v>
      </c>
      <c r="CN289" s="56">
        <f t="shared" si="277"/>
        <v>3</v>
      </c>
      <c r="CP289" s="18">
        <f t="shared" si="292"/>
        <v>4.2568049984745624</v>
      </c>
      <c r="CQ289" s="18">
        <f t="shared" si="292"/>
        <v>3.5683506422806603</v>
      </c>
      <c r="CR289" s="18">
        <f t="shared" si="292"/>
        <v>0.62921960949585465</v>
      </c>
      <c r="CS289" s="18">
        <f t="shared" si="292"/>
        <v>2.3970219371837098</v>
      </c>
      <c r="CT289" s="18">
        <f t="shared" si="292"/>
        <v>1.7348414769491856</v>
      </c>
      <c r="CU289" s="56">
        <f t="shared" si="279"/>
        <v>3</v>
      </c>
      <c r="CW289" s="18">
        <f t="shared" si="293"/>
        <v>4.2568049984745624</v>
      </c>
      <c r="CX289" s="18">
        <f t="shared" si="293"/>
        <v>3.5683506422806603</v>
      </c>
      <c r="CY289" s="18">
        <f t="shared" si="293"/>
        <v>0.62921960949585465</v>
      </c>
      <c r="CZ289" s="18">
        <f t="shared" si="293"/>
        <v>2.3970219371837098</v>
      </c>
      <c r="DA289" s="18">
        <f t="shared" si="293"/>
        <v>1.7348414769491856</v>
      </c>
      <c r="DB289" s="56">
        <f t="shared" si="281"/>
        <v>3</v>
      </c>
    </row>
    <row r="290" spans="1:106" x14ac:dyDescent="0.25">
      <c r="A290" s="36" t="str">
        <f>KMeans_Data!A18</f>
        <v>Larkana</v>
      </c>
      <c r="B290" s="18">
        <f>KMeans_Data!H18</f>
        <v>1.0373368721320242</v>
      </c>
      <c r="C290" s="18">
        <f>KMeans_Data!I18</f>
        <v>0.37868427752921691</v>
      </c>
      <c r="D290" s="18">
        <f>KMeans_Data!J18</f>
        <v>1.4704046399545831</v>
      </c>
      <c r="E290" s="56">
        <f t="shared" si="256"/>
        <v>3</v>
      </c>
      <c r="F290" s="38">
        <f t="shared" si="257"/>
        <v>0.59110487553722124</v>
      </c>
      <c r="G290" s="18">
        <f>IF(COUNTIF(Distance_Matrix!$E$11:$DQ$11,$E290)&lt;=1,0,SUMIF(Distance_Matrix!$E$11:$DQ$11,$E290,Distance_Matrix!$E$27:$DQ$27)/(COUNTIF(Distance_Matrix!$E$11:$DQ$11,$E290)-1))</f>
        <v>1.0498619111871439</v>
      </c>
      <c r="H290" s="18">
        <f>MIN(IF(1=$E290,1E+99,IF(COUNTIF(Distance_Matrix!$E$11:$DQ$11,1)=0,1E+99,SUMIF(Distance_Matrix!$E$11:$DQ$11,1,Distance_Matrix!$E$27:$DQ$27)/COUNTIF(Distance_Matrix!$E$11:$DQ$11,1))),IF(2=$E290,1E+99,IF(COUNTIF(Distance_Matrix!$E$11:$DQ$11,2)=0,1E+99,SUMIF(Distance_Matrix!$E$11:$DQ$11,2,Distance_Matrix!$E$27:$DQ$27)/COUNTIF(Distance_Matrix!$E$11:$DQ$11,2))),IF(3=$E290,1E+99,IF(COUNTIF(Distance_Matrix!$E$11:$DQ$11,3)=0,1E+99,SUMIF(Distance_Matrix!$E$11:$DQ$11,3,Distance_Matrix!$E$27:$DQ$27)/COUNTIF(Distance_Matrix!$E$11:$DQ$11,3))),IF(4=$E290,1E+99,IF(COUNTIF(Distance_Matrix!$E$11:$DQ$11,4)=0,1E+99,SUMIF(Distance_Matrix!$E$11:$DQ$11,4,Distance_Matrix!$E$27:$DQ$27)/COUNTIF(Distance_Matrix!$E$11:$DQ$11,4))),IF(5=$E290,1E+99,IF(COUNTIF(Distance_Matrix!$E$11:$DQ$11,5)=0,1E+99,SUMIF(Distance_Matrix!$E$11:$DQ$11,5,Distance_Matrix!$E$27:$DQ$27)/COUNTIF(Distance_Matrix!$E$11:$DQ$11,5))))</f>
        <v>2.2645318351870323</v>
      </c>
      <c r="I290" s="18">
        <f>IF(COUNTIF(Distance_Matrix!$E$11:$DQ$11,$E290)&lt;=1,0,(H290-G290)/MAX(G290,H290))</f>
        <v>0.536388981212784</v>
      </c>
      <c r="X290" s="18">
        <f t="shared" si="282"/>
        <v>4.6451579272007946</v>
      </c>
      <c r="Y290" s="18">
        <f t="shared" si="282"/>
        <v>4.2029955567656474</v>
      </c>
      <c r="Z290" s="18">
        <f t="shared" si="282"/>
        <v>0</v>
      </c>
      <c r="AA290" s="18">
        <f t="shared" si="282"/>
        <v>2.6969311940684069</v>
      </c>
      <c r="AB290" s="18">
        <f t="shared" si="282"/>
        <v>2.4987868185891187</v>
      </c>
      <c r="AC290" s="56">
        <f t="shared" si="259"/>
        <v>3</v>
      </c>
      <c r="AE290" s="18">
        <f t="shared" si="283"/>
        <v>4.5848616046146411</v>
      </c>
      <c r="AF290" s="18">
        <f t="shared" si="283"/>
        <v>3.4704568516510181</v>
      </c>
      <c r="AG290" s="18">
        <f t="shared" si="283"/>
        <v>0.80257610174882144</v>
      </c>
      <c r="AH290" s="18">
        <f t="shared" si="283"/>
        <v>2.4289872431227972</v>
      </c>
      <c r="AI290" s="18">
        <f t="shared" si="283"/>
        <v>2.4248709362075784</v>
      </c>
      <c r="AJ290" s="56">
        <f t="shared" si="261"/>
        <v>3</v>
      </c>
      <c r="AL290" s="18">
        <f t="shared" si="284"/>
        <v>4.5848616046146411</v>
      </c>
      <c r="AM290" s="18">
        <f t="shared" si="284"/>
        <v>3.4998992622218328</v>
      </c>
      <c r="AN290" s="18">
        <f t="shared" si="284"/>
        <v>0.78930498676077832</v>
      </c>
      <c r="AO290" s="18">
        <f t="shared" si="284"/>
        <v>2.3524360889059857</v>
      </c>
      <c r="AP290" s="18">
        <f t="shared" si="284"/>
        <v>2.1918712585696221</v>
      </c>
      <c r="AQ290" s="56">
        <f t="shared" si="263"/>
        <v>3</v>
      </c>
      <c r="AS290" s="18">
        <f t="shared" si="285"/>
        <v>4.5848616046146411</v>
      </c>
      <c r="AT290" s="18">
        <f t="shared" si="285"/>
        <v>3.5910499396884572</v>
      </c>
      <c r="AU290" s="18">
        <f t="shared" si="285"/>
        <v>0.76883345110447765</v>
      </c>
      <c r="AV290" s="18">
        <f t="shared" si="285"/>
        <v>2.3562180722451327</v>
      </c>
      <c r="AW290" s="18">
        <f t="shared" si="285"/>
        <v>2.1918712585696221</v>
      </c>
      <c r="AX290" s="56">
        <f t="shared" si="265"/>
        <v>3</v>
      </c>
      <c r="AZ290" s="18">
        <f t="shared" si="286"/>
        <v>4.5848616046146411</v>
      </c>
      <c r="BA290" s="18">
        <f t="shared" si="286"/>
        <v>3.5910499396884572</v>
      </c>
      <c r="BB290" s="18">
        <f t="shared" si="286"/>
        <v>0.76883345110447765</v>
      </c>
      <c r="BC290" s="18">
        <f t="shared" si="286"/>
        <v>2.3562180722451327</v>
      </c>
      <c r="BD290" s="18">
        <f t="shared" si="286"/>
        <v>2.1918712585696221</v>
      </c>
      <c r="BE290" s="56">
        <f t="shared" si="267"/>
        <v>3</v>
      </c>
      <c r="BG290" s="18">
        <f t="shared" si="287"/>
        <v>4.5848616046146411</v>
      </c>
      <c r="BH290" s="18">
        <f t="shared" si="287"/>
        <v>3.5910499396884572</v>
      </c>
      <c r="BI290" s="18">
        <f t="shared" si="287"/>
        <v>0.76883345110447765</v>
      </c>
      <c r="BJ290" s="18">
        <f t="shared" si="287"/>
        <v>2.3562180722451327</v>
      </c>
      <c r="BK290" s="18">
        <f t="shared" si="287"/>
        <v>2.1918712585696221</v>
      </c>
      <c r="BL290" s="56">
        <f t="shared" si="269"/>
        <v>3</v>
      </c>
      <c r="BN290" s="18">
        <f t="shared" si="288"/>
        <v>4.5848616046146411</v>
      </c>
      <c r="BO290" s="18">
        <f t="shared" si="288"/>
        <v>3.5910499396884572</v>
      </c>
      <c r="BP290" s="18">
        <f t="shared" si="288"/>
        <v>0.76883345110447765</v>
      </c>
      <c r="BQ290" s="18">
        <f t="shared" si="288"/>
        <v>2.3562180722451327</v>
      </c>
      <c r="BR290" s="18">
        <f t="shared" si="288"/>
        <v>2.1918712585696221</v>
      </c>
      <c r="BS290" s="56">
        <f t="shared" si="271"/>
        <v>3</v>
      </c>
      <c r="BU290" s="18">
        <f t="shared" si="289"/>
        <v>4.5848616046146411</v>
      </c>
      <c r="BV290" s="18">
        <f t="shared" si="289"/>
        <v>3.5910499396884572</v>
      </c>
      <c r="BW290" s="18">
        <f t="shared" si="289"/>
        <v>0.76883345110447765</v>
      </c>
      <c r="BX290" s="18">
        <f t="shared" si="289"/>
        <v>2.3562180722451327</v>
      </c>
      <c r="BY290" s="18">
        <f t="shared" si="289"/>
        <v>2.1918712585696221</v>
      </c>
      <c r="BZ290" s="56">
        <f t="shared" si="273"/>
        <v>3</v>
      </c>
      <c r="CB290" s="18">
        <f t="shared" si="290"/>
        <v>4.5848616046146411</v>
      </c>
      <c r="CC290" s="18">
        <f t="shared" si="290"/>
        <v>3.5910499396884572</v>
      </c>
      <c r="CD290" s="18">
        <f t="shared" si="290"/>
        <v>0.76883345110447765</v>
      </c>
      <c r="CE290" s="18">
        <f t="shared" si="290"/>
        <v>2.3562180722451327</v>
      </c>
      <c r="CF290" s="18">
        <f t="shared" si="290"/>
        <v>2.1918712585696221</v>
      </c>
      <c r="CG290" s="56">
        <f t="shared" si="275"/>
        <v>3</v>
      </c>
      <c r="CI290" s="18">
        <f t="shared" si="291"/>
        <v>4.5848616046146411</v>
      </c>
      <c r="CJ290" s="18">
        <f t="shared" si="291"/>
        <v>3.5910499396884572</v>
      </c>
      <c r="CK290" s="18">
        <f t="shared" si="291"/>
        <v>0.76883345110447765</v>
      </c>
      <c r="CL290" s="18">
        <f t="shared" si="291"/>
        <v>2.3562180722451327</v>
      </c>
      <c r="CM290" s="18">
        <f t="shared" si="291"/>
        <v>2.1918712585696221</v>
      </c>
      <c r="CN290" s="56">
        <f t="shared" si="277"/>
        <v>3</v>
      </c>
      <c r="CP290" s="18">
        <f t="shared" si="292"/>
        <v>4.5848616046146411</v>
      </c>
      <c r="CQ290" s="18">
        <f t="shared" si="292"/>
        <v>3.5910499396884572</v>
      </c>
      <c r="CR290" s="18">
        <f t="shared" si="292"/>
        <v>0.76883345110447765</v>
      </c>
      <c r="CS290" s="18">
        <f t="shared" si="292"/>
        <v>2.3562180722451327</v>
      </c>
      <c r="CT290" s="18">
        <f t="shared" si="292"/>
        <v>2.1918712585696221</v>
      </c>
      <c r="CU290" s="56">
        <f t="shared" si="279"/>
        <v>3</v>
      </c>
      <c r="CW290" s="18">
        <f t="shared" si="293"/>
        <v>4.5848616046146411</v>
      </c>
      <c r="CX290" s="18">
        <f t="shared" si="293"/>
        <v>3.5910499396884572</v>
      </c>
      <c r="CY290" s="18">
        <f t="shared" si="293"/>
        <v>0.76883345110447765</v>
      </c>
      <c r="CZ290" s="18">
        <f t="shared" si="293"/>
        <v>2.3562180722451327</v>
      </c>
      <c r="DA290" s="18">
        <f t="shared" si="293"/>
        <v>2.1918712585696221</v>
      </c>
      <c r="DB290" s="56">
        <f t="shared" si="281"/>
        <v>3</v>
      </c>
    </row>
    <row r="291" spans="1:106" x14ac:dyDescent="0.25">
      <c r="A291" s="36" t="str">
        <f>KMeans_Data!A19</f>
        <v>Ghotki</v>
      </c>
      <c r="B291" s="18">
        <f>KMeans_Data!H19</f>
        <v>1.0078177751973447</v>
      </c>
      <c r="C291" s="18">
        <f>KMeans_Data!I19</f>
        <v>-0.14698313392952958</v>
      </c>
      <c r="D291" s="18">
        <f>KMeans_Data!J19</f>
        <v>1.1668769645807604</v>
      </c>
      <c r="E291" s="56">
        <f t="shared" si="256"/>
        <v>3</v>
      </c>
      <c r="F291" s="38">
        <f t="shared" si="257"/>
        <v>0.7825244266664324</v>
      </c>
      <c r="G291" s="18">
        <f>IF(COUNTIF(Distance_Matrix!$E$11:$DQ$11,$E291)&lt;=1,0,SUMIF(Distance_Matrix!$E$11:$DQ$11,$E291,Distance_Matrix!$E$28:$DQ$28)/(COUNTIF(Distance_Matrix!$E$11:$DQ$11,$E291)-1))</f>
        <v>1.1429080048615834</v>
      </c>
      <c r="H291" s="18">
        <f>MIN(IF(1=$E291,1E+99,IF(COUNTIF(Distance_Matrix!$E$11:$DQ$11,1)=0,1E+99,SUMIF(Distance_Matrix!$E$11:$DQ$11,1,Distance_Matrix!$E$28:$DQ$28)/COUNTIF(Distance_Matrix!$E$11:$DQ$11,1))),IF(2=$E291,1E+99,IF(COUNTIF(Distance_Matrix!$E$11:$DQ$11,2)=0,1E+99,SUMIF(Distance_Matrix!$E$11:$DQ$11,2,Distance_Matrix!$E$28:$DQ$28)/COUNTIF(Distance_Matrix!$E$11:$DQ$11,2))),IF(3=$E291,1E+99,IF(COUNTIF(Distance_Matrix!$E$11:$DQ$11,3)=0,1E+99,SUMIF(Distance_Matrix!$E$11:$DQ$11,3,Distance_Matrix!$E$28:$DQ$28)/COUNTIF(Distance_Matrix!$E$11:$DQ$11,3))),IF(4=$E291,1E+99,IF(COUNTIF(Distance_Matrix!$E$11:$DQ$11,4)=0,1E+99,SUMIF(Distance_Matrix!$E$11:$DQ$11,4,Distance_Matrix!$E$28:$DQ$28)/COUNTIF(Distance_Matrix!$E$11:$DQ$11,4))),IF(5=$E291,1E+99,IF(COUNTIF(Distance_Matrix!$E$11:$DQ$11,5)=0,1E+99,SUMIF(Distance_Matrix!$E$11:$DQ$11,5,Distance_Matrix!$E$28:$DQ$28)/COUNTIF(Distance_Matrix!$E$11:$DQ$11,5))))</f>
        <v>2.0572606814267509</v>
      </c>
      <c r="I291" s="18">
        <f>IF(COUNTIF(Distance_Matrix!$E$11:$DQ$11,$E291)&lt;=1,0,(H291-G291)/MAX(G291,H291))</f>
        <v>0.44445153928234599</v>
      </c>
      <c r="X291" s="18">
        <f t="shared" si="282"/>
        <v>5.1970094204493611</v>
      </c>
      <c r="Y291" s="18">
        <f t="shared" si="282"/>
        <v>3.8932095409482974</v>
      </c>
      <c r="Z291" s="18">
        <f t="shared" si="282"/>
        <v>0.60772251420480949</v>
      </c>
      <c r="AA291" s="18">
        <f t="shared" si="282"/>
        <v>2.3407055657210845</v>
      </c>
      <c r="AB291" s="18">
        <f t="shared" si="282"/>
        <v>3.0418641689098118</v>
      </c>
      <c r="AC291" s="56">
        <f t="shared" si="259"/>
        <v>3</v>
      </c>
      <c r="AE291" s="18">
        <f t="shared" si="283"/>
        <v>5.132251177747337</v>
      </c>
      <c r="AF291" s="18">
        <f t="shared" si="283"/>
        <v>3.1197715366246386</v>
      </c>
      <c r="AG291" s="18">
        <f t="shared" si="283"/>
        <v>0.85626414717831278</v>
      </c>
      <c r="AH291" s="18">
        <f t="shared" si="283"/>
        <v>2.0217275636405705</v>
      </c>
      <c r="AI291" s="18">
        <f t="shared" si="283"/>
        <v>2.9622355925547863</v>
      </c>
      <c r="AJ291" s="56">
        <f t="shared" si="261"/>
        <v>3</v>
      </c>
      <c r="AL291" s="18">
        <f t="shared" si="284"/>
        <v>5.132251177747337</v>
      </c>
      <c r="AM291" s="18">
        <f t="shared" si="284"/>
        <v>3.1477177941594912</v>
      </c>
      <c r="AN291" s="18">
        <f t="shared" si="284"/>
        <v>0.88963155598927179</v>
      </c>
      <c r="AO291" s="18">
        <f t="shared" si="284"/>
        <v>1.940839118853382</v>
      </c>
      <c r="AP291" s="18">
        <f t="shared" si="284"/>
        <v>2.7295551116776888</v>
      </c>
      <c r="AQ291" s="56">
        <f t="shared" si="263"/>
        <v>3</v>
      </c>
      <c r="AS291" s="18">
        <f t="shared" si="285"/>
        <v>5.132251177747337</v>
      </c>
      <c r="AT291" s="18">
        <f t="shared" si="285"/>
        <v>3.2404549945942192</v>
      </c>
      <c r="AU291" s="18">
        <f t="shared" si="285"/>
        <v>0.88460410730814065</v>
      </c>
      <c r="AV291" s="18">
        <f t="shared" si="285"/>
        <v>1.9492687960121513</v>
      </c>
      <c r="AW291" s="18">
        <f t="shared" si="285"/>
        <v>2.7295551116776888</v>
      </c>
      <c r="AX291" s="56">
        <f t="shared" si="265"/>
        <v>3</v>
      </c>
      <c r="AZ291" s="18">
        <f t="shared" si="286"/>
        <v>5.132251177747337</v>
      </c>
      <c r="BA291" s="18">
        <f t="shared" si="286"/>
        <v>3.2404549945942192</v>
      </c>
      <c r="BB291" s="18">
        <f t="shared" si="286"/>
        <v>0.88460410730814065</v>
      </c>
      <c r="BC291" s="18">
        <f t="shared" si="286"/>
        <v>1.9492687960121513</v>
      </c>
      <c r="BD291" s="18">
        <f t="shared" si="286"/>
        <v>2.7295551116776888</v>
      </c>
      <c r="BE291" s="56">
        <f t="shared" si="267"/>
        <v>3</v>
      </c>
      <c r="BG291" s="18">
        <f t="shared" si="287"/>
        <v>5.132251177747337</v>
      </c>
      <c r="BH291" s="18">
        <f t="shared" si="287"/>
        <v>3.2404549945942192</v>
      </c>
      <c r="BI291" s="18">
        <f t="shared" si="287"/>
        <v>0.88460410730814065</v>
      </c>
      <c r="BJ291" s="18">
        <f t="shared" si="287"/>
        <v>1.9492687960121513</v>
      </c>
      <c r="BK291" s="18">
        <f t="shared" si="287"/>
        <v>2.7295551116776888</v>
      </c>
      <c r="BL291" s="56">
        <f t="shared" si="269"/>
        <v>3</v>
      </c>
      <c r="BN291" s="18">
        <f t="shared" si="288"/>
        <v>5.132251177747337</v>
      </c>
      <c r="BO291" s="18">
        <f t="shared" si="288"/>
        <v>3.2404549945942192</v>
      </c>
      <c r="BP291" s="18">
        <f t="shared" si="288"/>
        <v>0.88460410730814065</v>
      </c>
      <c r="BQ291" s="18">
        <f t="shared" si="288"/>
        <v>1.9492687960121513</v>
      </c>
      <c r="BR291" s="18">
        <f t="shared" si="288"/>
        <v>2.7295551116776888</v>
      </c>
      <c r="BS291" s="56">
        <f t="shared" si="271"/>
        <v>3</v>
      </c>
      <c r="BU291" s="18">
        <f t="shared" si="289"/>
        <v>5.132251177747337</v>
      </c>
      <c r="BV291" s="18">
        <f t="shared" si="289"/>
        <v>3.2404549945942192</v>
      </c>
      <c r="BW291" s="18">
        <f t="shared" si="289"/>
        <v>0.88460410730814065</v>
      </c>
      <c r="BX291" s="18">
        <f t="shared" si="289"/>
        <v>1.9492687960121513</v>
      </c>
      <c r="BY291" s="18">
        <f t="shared" si="289"/>
        <v>2.7295551116776888</v>
      </c>
      <c r="BZ291" s="56">
        <f t="shared" si="273"/>
        <v>3</v>
      </c>
      <c r="CB291" s="18">
        <f t="shared" si="290"/>
        <v>5.132251177747337</v>
      </c>
      <c r="CC291" s="18">
        <f t="shared" si="290"/>
        <v>3.2404549945942192</v>
      </c>
      <c r="CD291" s="18">
        <f t="shared" si="290"/>
        <v>0.88460410730814065</v>
      </c>
      <c r="CE291" s="18">
        <f t="shared" si="290"/>
        <v>1.9492687960121513</v>
      </c>
      <c r="CF291" s="18">
        <f t="shared" si="290"/>
        <v>2.7295551116776888</v>
      </c>
      <c r="CG291" s="56">
        <f t="shared" si="275"/>
        <v>3</v>
      </c>
      <c r="CI291" s="18">
        <f t="shared" si="291"/>
        <v>5.132251177747337</v>
      </c>
      <c r="CJ291" s="18">
        <f t="shared" si="291"/>
        <v>3.2404549945942192</v>
      </c>
      <c r="CK291" s="18">
        <f t="shared" si="291"/>
        <v>0.88460410730814065</v>
      </c>
      <c r="CL291" s="18">
        <f t="shared" si="291"/>
        <v>1.9492687960121513</v>
      </c>
      <c r="CM291" s="18">
        <f t="shared" si="291"/>
        <v>2.7295551116776888</v>
      </c>
      <c r="CN291" s="56">
        <f t="shared" si="277"/>
        <v>3</v>
      </c>
      <c r="CP291" s="18">
        <f t="shared" si="292"/>
        <v>5.132251177747337</v>
      </c>
      <c r="CQ291" s="18">
        <f t="shared" si="292"/>
        <v>3.2404549945942192</v>
      </c>
      <c r="CR291" s="18">
        <f t="shared" si="292"/>
        <v>0.88460410730814065</v>
      </c>
      <c r="CS291" s="18">
        <f t="shared" si="292"/>
        <v>1.9492687960121513</v>
      </c>
      <c r="CT291" s="18">
        <f t="shared" si="292"/>
        <v>2.7295551116776888</v>
      </c>
      <c r="CU291" s="56">
        <f t="shared" si="279"/>
        <v>3</v>
      </c>
      <c r="CW291" s="18">
        <f t="shared" si="293"/>
        <v>5.132251177747337</v>
      </c>
      <c r="CX291" s="18">
        <f t="shared" si="293"/>
        <v>3.2404549945942192</v>
      </c>
      <c r="CY291" s="18">
        <f t="shared" si="293"/>
        <v>0.88460410730814065</v>
      </c>
      <c r="CZ291" s="18">
        <f t="shared" si="293"/>
        <v>1.9492687960121513</v>
      </c>
      <c r="DA291" s="18">
        <f t="shared" si="293"/>
        <v>2.7295551116776888</v>
      </c>
      <c r="DB291" s="56">
        <f t="shared" si="281"/>
        <v>3</v>
      </c>
    </row>
    <row r="292" spans="1:106" x14ac:dyDescent="0.25">
      <c r="A292" s="36" t="str">
        <f>KMeans_Data!A20</f>
        <v>Dir Lower</v>
      </c>
      <c r="B292" s="18">
        <f>KMeans_Data!H20</f>
        <v>0.97062552695729998</v>
      </c>
      <c r="C292" s="18">
        <f>KMeans_Data!I20</f>
        <v>0.99367572463826759</v>
      </c>
      <c r="D292" s="18">
        <f>KMeans_Data!J20</f>
        <v>0.99752622880062936</v>
      </c>
      <c r="E292" s="56">
        <f t="shared" si="256"/>
        <v>3</v>
      </c>
      <c r="F292" s="38">
        <f t="shared" si="257"/>
        <v>0.31031872056006315</v>
      </c>
      <c r="G292" s="18">
        <f>IF(COUNTIF(Distance_Matrix!$E$11:$DQ$11,$E292)&lt;=1,0,SUMIF(Distance_Matrix!$E$11:$DQ$11,$E292,Distance_Matrix!$E$29:$DQ$29)/(COUNTIF(Distance_Matrix!$E$11:$DQ$11,$E292)-1))</f>
        <v>0.87987405714831113</v>
      </c>
      <c r="H292" s="18">
        <f>MIN(IF(1=$E292,1E+99,IF(COUNTIF(Distance_Matrix!$E$11:$DQ$11,1)=0,1E+99,SUMIF(Distance_Matrix!$E$11:$DQ$11,1,Distance_Matrix!$E$29:$DQ$29)/COUNTIF(Distance_Matrix!$E$11:$DQ$11,1))),IF(2=$E292,1E+99,IF(COUNTIF(Distance_Matrix!$E$11:$DQ$11,2)=0,1E+99,SUMIF(Distance_Matrix!$E$11:$DQ$11,2,Distance_Matrix!$E$29:$DQ$29)/COUNTIF(Distance_Matrix!$E$11:$DQ$11,2))),IF(3=$E292,1E+99,IF(COUNTIF(Distance_Matrix!$E$11:$DQ$11,3)=0,1E+99,SUMIF(Distance_Matrix!$E$11:$DQ$11,3,Distance_Matrix!$E$29:$DQ$29)/COUNTIF(Distance_Matrix!$E$11:$DQ$11,3))),IF(4=$E292,1E+99,IF(COUNTIF(Distance_Matrix!$E$11:$DQ$11,4)=0,1E+99,SUMIF(Distance_Matrix!$E$11:$DQ$11,4,Distance_Matrix!$E$29:$DQ$29)/COUNTIF(Distance_Matrix!$E$11:$DQ$11,4))),IF(5=$E292,1E+99,IF(COUNTIF(Distance_Matrix!$E$11:$DQ$11,5)=0,1E+99,SUMIF(Distance_Matrix!$E$11:$DQ$11,5,Distance_Matrix!$E$29:$DQ$29)/COUNTIF(Distance_Matrix!$E$11:$DQ$11,5))))</f>
        <v>1.8623387788295573</v>
      </c>
      <c r="I292" s="18">
        <f>IF(COUNTIF(Distance_Matrix!$E$11:$DQ$11,$E292)&lt;=1,0,(H292-G292)/MAX(G292,H292))</f>
        <v>0.52754350220785584</v>
      </c>
      <c r="X292" s="18">
        <f t="shared" si="282"/>
        <v>4.4346274447006611</v>
      </c>
      <c r="Y292" s="18">
        <f t="shared" si="282"/>
        <v>4.0834470612488181</v>
      </c>
      <c r="Z292" s="18">
        <f t="shared" si="282"/>
        <v>0.77863911751709047</v>
      </c>
      <c r="AA292" s="18">
        <f t="shared" si="282"/>
        <v>2.449464404018157</v>
      </c>
      <c r="AB292" s="18">
        <f t="shared" si="282"/>
        <v>2.3503914452842838</v>
      </c>
      <c r="AC292" s="56">
        <f t="shared" si="259"/>
        <v>3</v>
      </c>
      <c r="AE292" s="18">
        <f t="shared" si="283"/>
        <v>4.3318159453964959</v>
      </c>
      <c r="AF292" s="18">
        <f t="shared" si="283"/>
        <v>3.3676794160838406</v>
      </c>
      <c r="AG292" s="18">
        <f t="shared" si="283"/>
        <v>0.66727509332559387</v>
      </c>
      <c r="AH292" s="18">
        <f t="shared" si="283"/>
        <v>2.3558917663965455</v>
      </c>
      <c r="AI292" s="18">
        <f t="shared" si="283"/>
        <v>2.0667696461607443</v>
      </c>
      <c r="AJ292" s="56">
        <f t="shared" si="261"/>
        <v>3</v>
      </c>
      <c r="AL292" s="18">
        <f t="shared" si="284"/>
        <v>4.3318159453964959</v>
      </c>
      <c r="AM292" s="18">
        <f t="shared" si="284"/>
        <v>3.3911652302132564</v>
      </c>
      <c r="AN292" s="18">
        <f t="shared" si="284"/>
        <v>0.58184235315140387</v>
      </c>
      <c r="AO292" s="18">
        <f t="shared" si="284"/>
        <v>2.3064622953261966</v>
      </c>
      <c r="AP292" s="18">
        <f t="shared" si="284"/>
        <v>1.800522639188963</v>
      </c>
      <c r="AQ292" s="56">
        <f t="shared" si="263"/>
        <v>3</v>
      </c>
      <c r="AS292" s="18">
        <f t="shared" si="285"/>
        <v>4.3318159453964959</v>
      </c>
      <c r="AT292" s="18">
        <f t="shared" si="285"/>
        <v>3.4718844439947962</v>
      </c>
      <c r="AU292" s="18">
        <f t="shared" si="285"/>
        <v>0.55706258226528116</v>
      </c>
      <c r="AV292" s="18">
        <f t="shared" si="285"/>
        <v>2.3125321674791177</v>
      </c>
      <c r="AW292" s="18">
        <f t="shared" si="285"/>
        <v>1.800522639188963</v>
      </c>
      <c r="AX292" s="56">
        <f t="shared" si="265"/>
        <v>3</v>
      </c>
      <c r="AZ292" s="18">
        <f t="shared" si="286"/>
        <v>4.3318159453964959</v>
      </c>
      <c r="BA292" s="18">
        <f t="shared" si="286"/>
        <v>3.4718844439947962</v>
      </c>
      <c r="BB292" s="18">
        <f t="shared" si="286"/>
        <v>0.55706258226528116</v>
      </c>
      <c r="BC292" s="18">
        <f t="shared" si="286"/>
        <v>2.3125321674791177</v>
      </c>
      <c r="BD292" s="18">
        <f t="shared" si="286"/>
        <v>1.800522639188963</v>
      </c>
      <c r="BE292" s="56">
        <f t="shared" si="267"/>
        <v>3</v>
      </c>
      <c r="BG292" s="18">
        <f t="shared" si="287"/>
        <v>4.3318159453964959</v>
      </c>
      <c r="BH292" s="18">
        <f t="shared" si="287"/>
        <v>3.4718844439947962</v>
      </c>
      <c r="BI292" s="18">
        <f t="shared" si="287"/>
        <v>0.55706258226528116</v>
      </c>
      <c r="BJ292" s="18">
        <f t="shared" si="287"/>
        <v>2.3125321674791177</v>
      </c>
      <c r="BK292" s="18">
        <f t="shared" si="287"/>
        <v>1.800522639188963</v>
      </c>
      <c r="BL292" s="56">
        <f t="shared" si="269"/>
        <v>3</v>
      </c>
      <c r="BN292" s="18">
        <f t="shared" si="288"/>
        <v>4.3318159453964959</v>
      </c>
      <c r="BO292" s="18">
        <f t="shared" si="288"/>
        <v>3.4718844439947962</v>
      </c>
      <c r="BP292" s="18">
        <f t="shared" si="288"/>
        <v>0.55706258226528116</v>
      </c>
      <c r="BQ292" s="18">
        <f t="shared" si="288"/>
        <v>2.3125321674791177</v>
      </c>
      <c r="BR292" s="18">
        <f t="shared" si="288"/>
        <v>1.800522639188963</v>
      </c>
      <c r="BS292" s="56">
        <f t="shared" si="271"/>
        <v>3</v>
      </c>
      <c r="BU292" s="18">
        <f t="shared" si="289"/>
        <v>4.3318159453964959</v>
      </c>
      <c r="BV292" s="18">
        <f t="shared" si="289"/>
        <v>3.4718844439947962</v>
      </c>
      <c r="BW292" s="18">
        <f t="shared" si="289"/>
        <v>0.55706258226528116</v>
      </c>
      <c r="BX292" s="18">
        <f t="shared" si="289"/>
        <v>2.3125321674791177</v>
      </c>
      <c r="BY292" s="18">
        <f t="shared" si="289"/>
        <v>1.800522639188963</v>
      </c>
      <c r="BZ292" s="56">
        <f t="shared" si="273"/>
        <v>3</v>
      </c>
      <c r="CB292" s="18">
        <f t="shared" si="290"/>
        <v>4.3318159453964959</v>
      </c>
      <c r="CC292" s="18">
        <f t="shared" si="290"/>
        <v>3.4718844439947962</v>
      </c>
      <c r="CD292" s="18">
        <f t="shared" si="290"/>
        <v>0.55706258226528116</v>
      </c>
      <c r="CE292" s="18">
        <f t="shared" si="290"/>
        <v>2.3125321674791177</v>
      </c>
      <c r="CF292" s="18">
        <f t="shared" si="290"/>
        <v>1.800522639188963</v>
      </c>
      <c r="CG292" s="56">
        <f t="shared" si="275"/>
        <v>3</v>
      </c>
      <c r="CI292" s="18">
        <f t="shared" si="291"/>
        <v>4.3318159453964959</v>
      </c>
      <c r="CJ292" s="18">
        <f t="shared" si="291"/>
        <v>3.4718844439947962</v>
      </c>
      <c r="CK292" s="18">
        <f t="shared" si="291"/>
        <v>0.55706258226528116</v>
      </c>
      <c r="CL292" s="18">
        <f t="shared" si="291"/>
        <v>2.3125321674791177</v>
      </c>
      <c r="CM292" s="18">
        <f t="shared" si="291"/>
        <v>1.800522639188963</v>
      </c>
      <c r="CN292" s="56">
        <f t="shared" si="277"/>
        <v>3</v>
      </c>
      <c r="CP292" s="18">
        <f t="shared" si="292"/>
        <v>4.3318159453964959</v>
      </c>
      <c r="CQ292" s="18">
        <f t="shared" si="292"/>
        <v>3.4718844439947962</v>
      </c>
      <c r="CR292" s="18">
        <f t="shared" si="292"/>
        <v>0.55706258226528116</v>
      </c>
      <c r="CS292" s="18">
        <f t="shared" si="292"/>
        <v>2.3125321674791177</v>
      </c>
      <c r="CT292" s="18">
        <f t="shared" si="292"/>
        <v>1.800522639188963</v>
      </c>
      <c r="CU292" s="56">
        <f t="shared" si="279"/>
        <v>3</v>
      </c>
      <c r="CW292" s="18">
        <f t="shared" si="293"/>
        <v>4.3318159453964959</v>
      </c>
      <c r="CX292" s="18">
        <f t="shared" si="293"/>
        <v>3.4718844439947962</v>
      </c>
      <c r="CY292" s="18">
        <f t="shared" si="293"/>
        <v>0.55706258226528116</v>
      </c>
      <c r="CZ292" s="18">
        <f t="shared" si="293"/>
        <v>2.3125321674791177</v>
      </c>
      <c r="DA292" s="18">
        <f t="shared" si="293"/>
        <v>1.800522639188963</v>
      </c>
      <c r="DB292" s="56">
        <f t="shared" si="281"/>
        <v>3</v>
      </c>
    </row>
    <row r="293" spans="1:106" x14ac:dyDescent="0.25">
      <c r="A293" s="36" t="str">
        <f>KMeans_Data!A21</f>
        <v>Khairpur</v>
      </c>
      <c r="B293" s="18">
        <f>KMeans_Data!H21</f>
        <v>0.88016218188859063</v>
      </c>
      <c r="C293" s="18">
        <f>KMeans_Data!I21</f>
        <v>0.37868427752921691</v>
      </c>
      <c r="D293" s="18">
        <f>KMeans_Data!J21</f>
        <v>1.5832083798719481</v>
      </c>
      <c r="E293" s="56">
        <f t="shared" si="256"/>
        <v>3</v>
      </c>
      <c r="F293" s="38">
        <f t="shared" si="257"/>
        <v>0.6341735953009181</v>
      </c>
      <c r="G293" s="18">
        <f>IF(COUNTIF(Distance_Matrix!$E$11:$DQ$11,$E293)&lt;=1,0,SUMIF(Distance_Matrix!$E$11:$DQ$11,$E293,Distance_Matrix!$E$30:$DQ$30)/(COUNTIF(Distance_Matrix!$E$11:$DQ$11,$E293)-1))</f>
        <v>1.0738423322391808</v>
      </c>
      <c r="H293" s="18">
        <f>MIN(IF(1=$E293,1E+99,IF(COUNTIF(Distance_Matrix!$E$11:$DQ$11,1)=0,1E+99,SUMIF(Distance_Matrix!$E$11:$DQ$11,1,Distance_Matrix!$E$30:$DQ$30)/COUNTIF(Distance_Matrix!$E$11:$DQ$11,1))),IF(2=$E293,1E+99,IF(COUNTIF(Distance_Matrix!$E$11:$DQ$11,2)=0,1E+99,SUMIF(Distance_Matrix!$E$11:$DQ$11,2,Distance_Matrix!$E$30:$DQ$30)/COUNTIF(Distance_Matrix!$E$11:$DQ$11,2))),IF(3=$E293,1E+99,IF(COUNTIF(Distance_Matrix!$E$11:$DQ$11,3)=0,1E+99,SUMIF(Distance_Matrix!$E$11:$DQ$11,3,Distance_Matrix!$E$30:$DQ$30)/COUNTIF(Distance_Matrix!$E$11:$DQ$11,3))),IF(4=$E293,1E+99,IF(COUNTIF(Distance_Matrix!$E$11:$DQ$11,4)=0,1E+99,SUMIF(Distance_Matrix!$E$11:$DQ$11,4,Distance_Matrix!$E$30:$DQ$30)/COUNTIF(Distance_Matrix!$E$11:$DQ$11,4))),IF(5=$E293,1E+99,IF(COUNTIF(Distance_Matrix!$E$11:$DQ$11,5)=0,1E+99,SUMIF(Distance_Matrix!$E$11:$DQ$11,5,Distance_Matrix!$E$30:$DQ$30)/COUNTIF(Distance_Matrix!$E$11:$DQ$11,5))))</f>
        <v>2.3216585465392123</v>
      </c>
      <c r="I293" s="18">
        <f>IF(COUNTIF(Distance_Matrix!$E$11:$DQ$11,$E293)&lt;=1,0,(H293-G293)/MAX(G293,H293))</f>
        <v>0.53746758590322974</v>
      </c>
      <c r="X293" s="18">
        <f t="shared" si="282"/>
        <v>4.6814537702265193</v>
      </c>
      <c r="Y293" s="18">
        <f t="shared" si="282"/>
        <v>4.160883299847451</v>
      </c>
      <c r="Z293" s="18">
        <f t="shared" si="282"/>
        <v>0.19346464016058282</v>
      </c>
      <c r="AA293" s="18">
        <f t="shared" si="282"/>
        <v>2.7888971516416392</v>
      </c>
      <c r="AB293" s="18">
        <f t="shared" si="282"/>
        <v>2.548544720984494</v>
      </c>
      <c r="AC293" s="56">
        <f t="shared" si="259"/>
        <v>3</v>
      </c>
      <c r="AE293" s="18">
        <f t="shared" si="283"/>
        <v>4.6281986273397324</v>
      </c>
      <c r="AF293" s="18">
        <f t="shared" si="283"/>
        <v>3.4508011560273499</v>
      </c>
      <c r="AG293" s="18">
        <f t="shared" si="283"/>
        <v>0.81765858735074248</v>
      </c>
      <c r="AH293" s="18">
        <f t="shared" si="283"/>
        <v>2.4575274868578694</v>
      </c>
      <c r="AI293" s="18">
        <f t="shared" si="283"/>
        <v>2.485521554196235</v>
      </c>
      <c r="AJ293" s="56">
        <f t="shared" si="261"/>
        <v>3</v>
      </c>
      <c r="AL293" s="18">
        <f t="shared" si="284"/>
        <v>4.6281986273397324</v>
      </c>
      <c r="AM293" s="18">
        <f t="shared" si="284"/>
        <v>3.4824368556562697</v>
      </c>
      <c r="AN293" s="18">
        <f t="shared" si="284"/>
        <v>0.81462738004858182</v>
      </c>
      <c r="AO293" s="18">
        <f t="shared" si="284"/>
        <v>2.3751271238539955</v>
      </c>
      <c r="AP293" s="18">
        <f t="shared" si="284"/>
        <v>2.2515265560033062</v>
      </c>
      <c r="AQ293" s="56">
        <f t="shared" si="263"/>
        <v>3</v>
      </c>
      <c r="AS293" s="18">
        <f t="shared" si="285"/>
        <v>4.6281986273397324</v>
      </c>
      <c r="AT293" s="18">
        <f t="shared" si="285"/>
        <v>3.5748094556054926</v>
      </c>
      <c r="AU293" s="18">
        <f t="shared" si="285"/>
        <v>0.79635017128202978</v>
      </c>
      <c r="AV293" s="18">
        <f t="shared" si="285"/>
        <v>2.3746597692480513</v>
      </c>
      <c r="AW293" s="18">
        <f t="shared" si="285"/>
        <v>2.2515265560033062</v>
      </c>
      <c r="AX293" s="56">
        <f t="shared" si="265"/>
        <v>3</v>
      </c>
      <c r="AZ293" s="18">
        <f t="shared" si="286"/>
        <v>4.6281986273397324</v>
      </c>
      <c r="BA293" s="18">
        <f t="shared" si="286"/>
        <v>3.5748094556054926</v>
      </c>
      <c r="BB293" s="18">
        <f t="shared" si="286"/>
        <v>0.79635017128202978</v>
      </c>
      <c r="BC293" s="18">
        <f t="shared" si="286"/>
        <v>2.3746597692480513</v>
      </c>
      <c r="BD293" s="18">
        <f t="shared" si="286"/>
        <v>2.2515265560033062</v>
      </c>
      <c r="BE293" s="56">
        <f t="shared" si="267"/>
        <v>3</v>
      </c>
      <c r="BG293" s="18">
        <f t="shared" si="287"/>
        <v>4.6281986273397324</v>
      </c>
      <c r="BH293" s="18">
        <f t="shared" si="287"/>
        <v>3.5748094556054926</v>
      </c>
      <c r="BI293" s="18">
        <f t="shared" si="287"/>
        <v>0.79635017128202978</v>
      </c>
      <c r="BJ293" s="18">
        <f t="shared" si="287"/>
        <v>2.3746597692480513</v>
      </c>
      <c r="BK293" s="18">
        <f t="shared" si="287"/>
        <v>2.2515265560033062</v>
      </c>
      <c r="BL293" s="56">
        <f t="shared" si="269"/>
        <v>3</v>
      </c>
      <c r="BN293" s="18">
        <f t="shared" si="288"/>
        <v>4.6281986273397324</v>
      </c>
      <c r="BO293" s="18">
        <f t="shared" si="288"/>
        <v>3.5748094556054926</v>
      </c>
      <c r="BP293" s="18">
        <f t="shared" si="288"/>
        <v>0.79635017128202978</v>
      </c>
      <c r="BQ293" s="18">
        <f t="shared" si="288"/>
        <v>2.3746597692480513</v>
      </c>
      <c r="BR293" s="18">
        <f t="shared" si="288"/>
        <v>2.2515265560033062</v>
      </c>
      <c r="BS293" s="56">
        <f t="shared" si="271"/>
        <v>3</v>
      </c>
      <c r="BU293" s="18">
        <f t="shared" si="289"/>
        <v>4.6281986273397324</v>
      </c>
      <c r="BV293" s="18">
        <f t="shared" si="289"/>
        <v>3.5748094556054926</v>
      </c>
      <c r="BW293" s="18">
        <f t="shared" si="289"/>
        <v>0.79635017128202978</v>
      </c>
      <c r="BX293" s="18">
        <f t="shared" si="289"/>
        <v>2.3746597692480513</v>
      </c>
      <c r="BY293" s="18">
        <f t="shared" si="289"/>
        <v>2.2515265560033062</v>
      </c>
      <c r="BZ293" s="56">
        <f t="shared" si="273"/>
        <v>3</v>
      </c>
      <c r="CB293" s="18">
        <f t="shared" si="290"/>
        <v>4.6281986273397324</v>
      </c>
      <c r="CC293" s="18">
        <f t="shared" si="290"/>
        <v>3.5748094556054926</v>
      </c>
      <c r="CD293" s="18">
        <f t="shared" si="290"/>
        <v>0.79635017128202978</v>
      </c>
      <c r="CE293" s="18">
        <f t="shared" si="290"/>
        <v>2.3746597692480513</v>
      </c>
      <c r="CF293" s="18">
        <f t="shared" si="290"/>
        <v>2.2515265560033062</v>
      </c>
      <c r="CG293" s="56">
        <f t="shared" si="275"/>
        <v>3</v>
      </c>
      <c r="CI293" s="18">
        <f t="shared" si="291"/>
        <v>4.6281986273397324</v>
      </c>
      <c r="CJ293" s="18">
        <f t="shared" si="291"/>
        <v>3.5748094556054926</v>
      </c>
      <c r="CK293" s="18">
        <f t="shared" si="291"/>
        <v>0.79635017128202978</v>
      </c>
      <c r="CL293" s="18">
        <f t="shared" si="291"/>
        <v>2.3746597692480513</v>
      </c>
      <c r="CM293" s="18">
        <f t="shared" si="291"/>
        <v>2.2515265560033062</v>
      </c>
      <c r="CN293" s="56">
        <f t="shared" si="277"/>
        <v>3</v>
      </c>
      <c r="CP293" s="18">
        <f t="shared" si="292"/>
        <v>4.6281986273397324</v>
      </c>
      <c r="CQ293" s="18">
        <f t="shared" si="292"/>
        <v>3.5748094556054926</v>
      </c>
      <c r="CR293" s="18">
        <f t="shared" si="292"/>
        <v>0.79635017128202978</v>
      </c>
      <c r="CS293" s="18">
        <f t="shared" si="292"/>
        <v>2.3746597692480513</v>
      </c>
      <c r="CT293" s="18">
        <f t="shared" si="292"/>
        <v>2.2515265560033062</v>
      </c>
      <c r="CU293" s="56">
        <f t="shared" si="279"/>
        <v>3</v>
      </c>
      <c r="CW293" s="18">
        <f t="shared" si="293"/>
        <v>4.6281986273397324</v>
      </c>
      <c r="CX293" s="18">
        <f t="shared" si="293"/>
        <v>3.5748094556054926</v>
      </c>
      <c r="CY293" s="18">
        <f t="shared" si="293"/>
        <v>0.79635017128202978</v>
      </c>
      <c r="CZ293" s="18">
        <f t="shared" si="293"/>
        <v>2.3746597692480513</v>
      </c>
      <c r="DA293" s="18">
        <f t="shared" si="293"/>
        <v>2.2515265560033062</v>
      </c>
      <c r="DB293" s="56">
        <f t="shared" si="281"/>
        <v>3</v>
      </c>
    </row>
    <row r="294" spans="1:106" x14ac:dyDescent="0.25">
      <c r="A294" s="36" t="str">
        <f>KMeans_Data!A22</f>
        <v>Abbottabad</v>
      </c>
      <c r="B294" s="18">
        <f>KMeans_Data!H22</f>
        <v>0.85300106201847159</v>
      </c>
      <c r="C294" s="18">
        <f>KMeans_Data!I22</f>
        <v>1.3810745208577742</v>
      </c>
      <c r="D294" s="18">
        <f>KMeans_Data!J22</f>
        <v>0.61832866607444492</v>
      </c>
      <c r="E294" s="56">
        <f t="shared" si="256"/>
        <v>3</v>
      </c>
      <c r="F294" s="38">
        <f t="shared" si="257"/>
        <v>0.74735486021804654</v>
      </c>
      <c r="G294" s="18">
        <f>IF(COUNTIF(Distance_Matrix!$E$11:$DQ$11,$E294)&lt;=1,0,SUMIF(Distance_Matrix!$E$11:$DQ$11,$E294,Distance_Matrix!$E$31:$DQ$31)/(COUNTIF(Distance_Matrix!$E$11:$DQ$11,$E294)-1))</f>
        <v>1.0733600071838858</v>
      </c>
      <c r="H294" s="18">
        <f>MIN(IF(1=$E294,1E+99,IF(COUNTIF(Distance_Matrix!$E$11:$DQ$11,1)=0,1E+99,SUMIF(Distance_Matrix!$E$11:$DQ$11,1,Distance_Matrix!$E$31:$DQ$31)/COUNTIF(Distance_Matrix!$E$11:$DQ$11,1))),IF(2=$E294,1E+99,IF(COUNTIF(Distance_Matrix!$E$11:$DQ$11,2)=0,1E+99,SUMIF(Distance_Matrix!$E$11:$DQ$11,2,Distance_Matrix!$E$31:$DQ$31)/COUNTIF(Distance_Matrix!$E$11:$DQ$11,2))),IF(3=$E294,1E+99,IF(COUNTIF(Distance_Matrix!$E$11:$DQ$11,3)=0,1E+99,SUMIF(Distance_Matrix!$E$11:$DQ$11,3,Distance_Matrix!$E$31:$DQ$31)/COUNTIF(Distance_Matrix!$E$11:$DQ$11,3))),IF(4=$E294,1E+99,IF(COUNTIF(Distance_Matrix!$E$11:$DQ$11,4)=0,1E+99,SUMIF(Distance_Matrix!$E$11:$DQ$11,4,Distance_Matrix!$E$31:$DQ$31)/COUNTIF(Distance_Matrix!$E$11:$DQ$11,4))),IF(5=$E294,1E+99,IF(COUNTIF(Distance_Matrix!$E$11:$DQ$11,5)=0,1E+99,SUMIF(Distance_Matrix!$E$11:$DQ$11,5,Distance_Matrix!$E$31:$DQ$31)/COUNTIF(Distance_Matrix!$E$11:$DQ$11,5))))</f>
        <v>1.8458726664417462</v>
      </c>
      <c r="I294" s="18">
        <f>IF(COUNTIF(Distance_Matrix!$E$11:$DQ$11,$E294)&lt;=1,0,(H294-G294)/MAX(G294,H294))</f>
        <v>0.41850809825740493</v>
      </c>
      <c r="X294" s="18">
        <f t="shared" si="282"/>
        <v>4.4571842215707198</v>
      </c>
      <c r="Y294" s="18">
        <f t="shared" si="282"/>
        <v>3.9912836185819178</v>
      </c>
      <c r="Z294" s="18">
        <f t="shared" si="282"/>
        <v>1.3284575100748572</v>
      </c>
      <c r="AA294" s="18">
        <f t="shared" si="282"/>
        <v>2.3429778220059725</v>
      </c>
      <c r="AB294" s="18">
        <f t="shared" si="282"/>
        <v>2.4889808716445425</v>
      </c>
      <c r="AC294" s="56">
        <f t="shared" si="259"/>
        <v>3</v>
      </c>
      <c r="AE294" s="18">
        <f t="shared" si="283"/>
        <v>4.3243118270126164</v>
      </c>
      <c r="AF294" s="18">
        <f t="shared" si="283"/>
        <v>3.3074793321703488</v>
      </c>
      <c r="AG294" s="18">
        <f t="shared" si="283"/>
        <v>0.95970857437420598</v>
      </c>
      <c r="AH294" s="18">
        <f t="shared" si="283"/>
        <v>2.3701307868544825</v>
      </c>
      <c r="AI294" s="18">
        <f t="shared" si="283"/>
        <v>2.0606593304646994</v>
      </c>
      <c r="AJ294" s="56">
        <f t="shared" si="261"/>
        <v>3</v>
      </c>
      <c r="AL294" s="18">
        <f t="shared" si="284"/>
        <v>4.3243118270126164</v>
      </c>
      <c r="AM294" s="18">
        <f t="shared" si="284"/>
        <v>3.3259584140525784</v>
      </c>
      <c r="AN294" s="18">
        <f t="shared" si="284"/>
        <v>0.87619582133262375</v>
      </c>
      <c r="AO294" s="18">
        <f t="shared" si="284"/>
        <v>2.3427584142726174</v>
      </c>
      <c r="AP294" s="18">
        <f t="shared" si="284"/>
        <v>1.7877997905522525</v>
      </c>
      <c r="AQ294" s="56">
        <f t="shared" si="263"/>
        <v>3</v>
      </c>
      <c r="AS294" s="18">
        <f t="shared" si="285"/>
        <v>4.3243118270126164</v>
      </c>
      <c r="AT294" s="18">
        <f t="shared" si="285"/>
        <v>3.3965464131440011</v>
      </c>
      <c r="AU294" s="18">
        <f t="shared" si="285"/>
        <v>0.8644968827115842</v>
      </c>
      <c r="AV294" s="18">
        <f t="shared" si="285"/>
        <v>2.3493582785519389</v>
      </c>
      <c r="AW294" s="18">
        <f t="shared" si="285"/>
        <v>1.7877997905522525</v>
      </c>
      <c r="AX294" s="56">
        <f t="shared" si="265"/>
        <v>3</v>
      </c>
      <c r="AZ294" s="18">
        <f t="shared" si="286"/>
        <v>4.3243118270126164</v>
      </c>
      <c r="BA294" s="18">
        <f t="shared" si="286"/>
        <v>3.3965464131440011</v>
      </c>
      <c r="BB294" s="18">
        <f t="shared" si="286"/>
        <v>0.8644968827115842</v>
      </c>
      <c r="BC294" s="18">
        <f t="shared" si="286"/>
        <v>2.3493582785519389</v>
      </c>
      <c r="BD294" s="18">
        <f t="shared" si="286"/>
        <v>1.7877997905522525</v>
      </c>
      <c r="BE294" s="56">
        <f t="shared" si="267"/>
        <v>3</v>
      </c>
      <c r="BG294" s="18">
        <f t="shared" si="287"/>
        <v>4.3243118270126164</v>
      </c>
      <c r="BH294" s="18">
        <f t="shared" si="287"/>
        <v>3.3965464131440011</v>
      </c>
      <c r="BI294" s="18">
        <f t="shared" si="287"/>
        <v>0.8644968827115842</v>
      </c>
      <c r="BJ294" s="18">
        <f t="shared" si="287"/>
        <v>2.3493582785519389</v>
      </c>
      <c r="BK294" s="18">
        <f t="shared" si="287"/>
        <v>1.7877997905522525</v>
      </c>
      <c r="BL294" s="56">
        <f t="shared" si="269"/>
        <v>3</v>
      </c>
      <c r="BN294" s="18">
        <f t="shared" si="288"/>
        <v>4.3243118270126164</v>
      </c>
      <c r="BO294" s="18">
        <f t="shared" si="288"/>
        <v>3.3965464131440011</v>
      </c>
      <c r="BP294" s="18">
        <f t="shared" si="288"/>
        <v>0.8644968827115842</v>
      </c>
      <c r="BQ294" s="18">
        <f t="shared" si="288"/>
        <v>2.3493582785519389</v>
      </c>
      <c r="BR294" s="18">
        <f t="shared" si="288"/>
        <v>1.7877997905522525</v>
      </c>
      <c r="BS294" s="56">
        <f t="shared" si="271"/>
        <v>3</v>
      </c>
      <c r="BU294" s="18">
        <f t="shared" si="289"/>
        <v>4.3243118270126164</v>
      </c>
      <c r="BV294" s="18">
        <f t="shared" si="289"/>
        <v>3.3965464131440011</v>
      </c>
      <c r="BW294" s="18">
        <f t="shared" si="289"/>
        <v>0.8644968827115842</v>
      </c>
      <c r="BX294" s="18">
        <f t="shared" si="289"/>
        <v>2.3493582785519389</v>
      </c>
      <c r="BY294" s="18">
        <f t="shared" si="289"/>
        <v>1.7877997905522525</v>
      </c>
      <c r="BZ294" s="56">
        <f t="shared" si="273"/>
        <v>3</v>
      </c>
      <c r="CB294" s="18">
        <f t="shared" si="290"/>
        <v>4.3243118270126164</v>
      </c>
      <c r="CC294" s="18">
        <f t="shared" si="290"/>
        <v>3.3965464131440011</v>
      </c>
      <c r="CD294" s="18">
        <f t="shared" si="290"/>
        <v>0.8644968827115842</v>
      </c>
      <c r="CE294" s="18">
        <f t="shared" si="290"/>
        <v>2.3493582785519389</v>
      </c>
      <c r="CF294" s="18">
        <f t="shared" si="290"/>
        <v>1.7877997905522525</v>
      </c>
      <c r="CG294" s="56">
        <f t="shared" si="275"/>
        <v>3</v>
      </c>
      <c r="CI294" s="18">
        <f t="shared" si="291"/>
        <v>4.3243118270126164</v>
      </c>
      <c r="CJ294" s="18">
        <f t="shared" si="291"/>
        <v>3.3965464131440011</v>
      </c>
      <c r="CK294" s="18">
        <f t="shared" si="291"/>
        <v>0.8644968827115842</v>
      </c>
      <c r="CL294" s="18">
        <f t="shared" si="291"/>
        <v>2.3493582785519389</v>
      </c>
      <c r="CM294" s="18">
        <f t="shared" si="291"/>
        <v>1.7877997905522525</v>
      </c>
      <c r="CN294" s="56">
        <f t="shared" si="277"/>
        <v>3</v>
      </c>
      <c r="CP294" s="18">
        <f t="shared" si="292"/>
        <v>4.3243118270126164</v>
      </c>
      <c r="CQ294" s="18">
        <f t="shared" si="292"/>
        <v>3.3965464131440011</v>
      </c>
      <c r="CR294" s="18">
        <f t="shared" si="292"/>
        <v>0.8644968827115842</v>
      </c>
      <c r="CS294" s="18">
        <f t="shared" si="292"/>
        <v>2.3493582785519389</v>
      </c>
      <c r="CT294" s="18">
        <f t="shared" si="292"/>
        <v>1.7877997905522525</v>
      </c>
      <c r="CU294" s="56">
        <f t="shared" si="279"/>
        <v>3</v>
      </c>
      <c r="CW294" s="18">
        <f t="shared" si="293"/>
        <v>4.3243118270126164</v>
      </c>
      <c r="CX294" s="18">
        <f t="shared" si="293"/>
        <v>3.3965464131440011</v>
      </c>
      <c r="CY294" s="18">
        <f t="shared" si="293"/>
        <v>0.8644968827115842</v>
      </c>
      <c r="CZ294" s="18">
        <f t="shared" si="293"/>
        <v>2.3493582785519389</v>
      </c>
      <c r="DA294" s="18">
        <f t="shared" si="293"/>
        <v>1.7877997905522525</v>
      </c>
      <c r="DB294" s="56">
        <f t="shared" si="281"/>
        <v>3</v>
      </c>
    </row>
    <row r="295" spans="1:106" x14ac:dyDescent="0.25">
      <c r="A295" s="36" t="str">
        <f>KMeans_Data!A23</f>
        <v>Nowshera</v>
      </c>
      <c r="B295" s="18">
        <f>KMeans_Data!H23</f>
        <v>0.85113891327863989</v>
      </c>
      <c r="C295" s="18">
        <f>KMeans_Data!I23</f>
        <v>1.3810745208577742</v>
      </c>
      <c r="D295" s="18">
        <f>KMeans_Data!J23</f>
        <v>0.9343491606149037</v>
      </c>
      <c r="E295" s="56">
        <f t="shared" si="256"/>
        <v>3</v>
      </c>
      <c r="F295" s="38">
        <f t="shared" si="257"/>
        <v>0.6933644587854163</v>
      </c>
      <c r="G295" s="18">
        <f>IF(COUNTIF(Distance_Matrix!$E$11:$DQ$11,$E295)&lt;=1,0,SUMIF(Distance_Matrix!$E$11:$DQ$11,$E295,Distance_Matrix!$E$32:$DQ$32)/(COUNTIF(Distance_Matrix!$E$11:$DQ$11,$E295)-1))</f>
        <v>1.0443889134611826</v>
      </c>
      <c r="H295" s="18">
        <f>MIN(IF(1=$E295,1E+99,IF(COUNTIF(Distance_Matrix!$E$11:$DQ$11,1)=0,1E+99,SUMIF(Distance_Matrix!$E$11:$DQ$11,1,Distance_Matrix!$E$32:$DQ$32)/COUNTIF(Distance_Matrix!$E$11:$DQ$11,1))),IF(2=$E295,1E+99,IF(COUNTIF(Distance_Matrix!$E$11:$DQ$11,2)=0,1E+99,SUMIF(Distance_Matrix!$E$11:$DQ$11,2,Distance_Matrix!$E$32:$DQ$32)/COUNTIF(Distance_Matrix!$E$11:$DQ$11,2))),IF(3=$E295,1E+99,IF(COUNTIF(Distance_Matrix!$E$11:$DQ$11,3)=0,1E+99,SUMIF(Distance_Matrix!$E$11:$DQ$11,3,Distance_Matrix!$E$32:$DQ$32)/COUNTIF(Distance_Matrix!$E$11:$DQ$11,3))),IF(4=$E295,1E+99,IF(COUNTIF(Distance_Matrix!$E$11:$DQ$11,4)=0,1E+99,SUMIF(Distance_Matrix!$E$11:$DQ$11,4,Distance_Matrix!$E$32:$DQ$32)/COUNTIF(Distance_Matrix!$E$11:$DQ$11,4))),IF(5=$E295,1E+99,IF(COUNTIF(Distance_Matrix!$E$11:$DQ$11,5)=0,1E+99,SUMIF(Distance_Matrix!$E$11:$DQ$11,5,Distance_Matrix!$E$32:$DQ$32)/COUNTIF(Distance_Matrix!$E$11:$DQ$11,5))))</f>
        <v>1.6791381667572041</v>
      </c>
      <c r="I295" s="18">
        <f>IF(COUNTIF(Distance_Matrix!$E$11:$DQ$11,$E295)&lt;=1,0,(H295-G295)/MAX(G295,H295))</f>
        <v>0.37802085966628107</v>
      </c>
      <c r="X295" s="18">
        <f t="shared" si="282"/>
        <v>4.2790585979296116</v>
      </c>
      <c r="Y295" s="18">
        <f t="shared" si="282"/>
        <v>4.1393475396496306</v>
      </c>
      <c r="Z295" s="18">
        <f t="shared" si="282"/>
        <v>1.1518729776896166</v>
      </c>
      <c r="AA295" s="18">
        <f t="shared" si="282"/>
        <v>2.589121172506982</v>
      </c>
      <c r="AB295" s="18">
        <f t="shared" si="282"/>
        <v>2.2785764620254594</v>
      </c>
      <c r="AC295" s="56">
        <f t="shared" si="259"/>
        <v>3</v>
      </c>
      <c r="AE295" s="18">
        <f t="shared" si="283"/>
        <v>4.1622477108746416</v>
      </c>
      <c r="AF295" s="18">
        <f t="shared" si="283"/>
        <v>3.4660349718890777</v>
      </c>
      <c r="AG295" s="18">
        <f t="shared" si="283"/>
        <v>0.93587230710116487</v>
      </c>
      <c r="AH295" s="18">
        <f t="shared" si="283"/>
        <v>2.5356741749726455</v>
      </c>
      <c r="AI295" s="18">
        <f t="shared" si="283"/>
        <v>1.9003929003776923</v>
      </c>
      <c r="AJ295" s="56">
        <f t="shared" si="261"/>
        <v>3</v>
      </c>
      <c r="AL295" s="18">
        <f t="shared" si="284"/>
        <v>4.1622477108746416</v>
      </c>
      <c r="AM295" s="18">
        <f t="shared" si="284"/>
        <v>3.4882455088960151</v>
      </c>
      <c r="AN295" s="18">
        <f t="shared" si="284"/>
        <v>0.85077863913456109</v>
      </c>
      <c r="AO295" s="18">
        <f t="shared" si="284"/>
        <v>2.4954057866261867</v>
      </c>
      <c r="AP295" s="18">
        <f t="shared" si="284"/>
        <v>1.6245635392630526</v>
      </c>
      <c r="AQ295" s="56">
        <f t="shared" si="263"/>
        <v>3</v>
      </c>
      <c r="AS295" s="18">
        <f t="shared" si="285"/>
        <v>4.1622477108746416</v>
      </c>
      <c r="AT295" s="18">
        <f t="shared" si="285"/>
        <v>3.5634273466302271</v>
      </c>
      <c r="AU295" s="18">
        <f t="shared" si="285"/>
        <v>0.83268508980611411</v>
      </c>
      <c r="AV295" s="18">
        <f t="shared" si="285"/>
        <v>2.498714355577484</v>
      </c>
      <c r="AW295" s="18">
        <f t="shared" si="285"/>
        <v>1.6245635392630526</v>
      </c>
      <c r="AX295" s="56">
        <f t="shared" si="265"/>
        <v>3</v>
      </c>
      <c r="AZ295" s="18">
        <f t="shared" si="286"/>
        <v>4.1622477108746416</v>
      </c>
      <c r="BA295" s="18">
        <f t="shared" si="286"/>
        <v>3.5634273466302271</v>
      </c>
      <c r="BB295" s="18">
        <f t="shared" si="286"/>
        <v>0.83268508980611411</v>
      </c>
      <c r="BC295" s="18">
        <f t="shared" si="286"/>
        <v>2.498714355577484</v>
      </c>
      <c r="BD295" s="18">
        <f t="shared" si="286"/>
        <v>1.6245635392630526</v>
      </c>
      <c r="BE295" s="56">
        <f t="shared" si="267"/>
        <v>3</v>
      </c>
      <c r="BG295" s="18">
        <f t="shared" si="287"/>
        <v>4.1622477108746416</v>
      </c>
      <c r="BH295" s="18">
        <f t="shared" si="287"/>
        <v>3.5634273466302271</v>
      </c>
      <c r="BI295" s="18">
        <f t="shared" si="287"/>
        <v>0.83268508980611411</v>
      </c>
      <c r="BJ295" s="18">
        <f t="shared" si="287"/>
        <v>2.498714355577484</v>
      </c>
      <c r="BK295" s="18">
        <f t="shared" si="287"/>
        <v>1.6245635392630526</v>
      </c>
      <c r="BL295" s="56">
        <f t="shared" si="269"/>
        <v>3</v>
      </c>
      <c r="BN295" s="18">
        <f t="shared" si="288"/>
        <v>4.1622477108746416</v>
      </c>
      <c r="BO295" s="18">
        <f t="shared" si="288"/>
        <v>3.5634273466302271</v>
      </c>
      <c r="BP295" s="18">
        <f t="shared" si="288"/>
        <v>0.83268508980611411</v>
      </c>
      <c r="BQ295" s="18">
        <f t="shared" si="288"/>
        <v>2.498714355577484</v>
      </c>
      <c r="BR295" s="18">
        <f t="shared" si="288"/>
        <v>1.6245635392630526</v>
      </c>
      <c r="BS295" s="56">
        <f t="shared" si="271"/>
        <v>3</v>
      </c>
      <c r="BU295" s="18">
        <f t="shared" si="289"/>
        <v>4.1622477108746416</v>
      </c>
      <c r="BV295" s="18">
        <f t="shared" si="289"/>
        <v>3.5634273466302271</v>
      </c>
      <c r="BW295" s="18">
        <f t="shared" si="289"/>
        <v>0.83268508980611411</v>
      </c>
      <c r="BX295" s="18">
        <f t="shared" si="289"/>
        <v>2.498714355577484</v>
      </c>
      <c r="BY295" s="18">
        <f t="shared" si="289"/>
        <v>1.6245635392630526</v>
      </c>
      <c r="BZ295" s="56">
        <f t="shared" si="273"/>
        <v>3</v>
      </c>
      <c r="CB295" s="18">
        <f t="shared" si="290"/>
        <v>4.1622477108746416</v>
      </c>
      <c r="CC295" s="18">
        <f t="shared" si="290"/>
        <v>3.5634273466302271</v>
      </c>
      <c r="CD295" s="18">
        <f t="shared" si="290"/>
        <v>0.83268508980611411</v>
      </c>
      <c r="CE295" s="18">
        <f t="shared" si="290"/>
        <v>2.498714355577484</v>
      </c>
      <c r="CF295" s="18">
        <f t="shared" si="290"/>
        <v>1.6245635392630526</v>
      </c>
      <c r="CG295" s="56">
        <f t="shared" si="275"/>
        <v>3</v>
      </c>
      <c r="CI295" s="18">
        <f t="shared" si="291"/>
        <v>4.1622477108746416</v>
      </c>
      <c r="CJ295" s="18">
        <f t="shared" si="291"/>
        <v>3.5634273466302271</v>
      </c>
      <c r="CK295" s="18">
        <f t="shared" si="291"/>
        <v>0.83268508980611411</v>
      </c>
      <c r="CL295" s="18">
        <f t="shared" si="291"/>
        <v>2.498714355577484</v>
      </c>
      <c r="CM295" s="18">
        <f t="shared" si="291"/>
        <v>1.6245635392630526</v>
      </c>
      <c r="CN295" s="56">
        <f t="shared" si="277"/>
        <v>3</v>
      </c>
      <c r="CP295" s="18">
        <f t="shared" si="292"/>
        <v>4.1622477108746416</v>
      </c>
      <c r="CQ295" s="18">
        <f t="shared" si="292"/>
        <v>3.5634273466302271</v>
      </c>
      <c r="CR295" s="18">
        <f t="shared" si="292"/>
        <v>0.83268508980611411</v>
      </c>
      <c r="CS295" s="18">
        <f t="shared" si="292"/>
        <v>2.498714355577484</v>
      </c>
      <c r="CT295" s="18">
        <f t="shared" si="292"/>
        <v>1.6245635392630526</v>
      </c>
      <c r="CU295" s="56">
        <f t="shared" si="279"/>
        <v>3</v>
      </c>
      <c r="CW295" s="18">
        <f t="shared" si="293"/>
        <v>4.1622477108746416</v>
      </c>
      <c r="CX295" s="18">
        <f t="shared" si="293"/>
        <v>3.5634273466302271</v>
      </c>
      <c r="CY295" s="18">
        <f t="shared" si="293"/>
        <v>0.83268508980611411</v>
      </c>
      <c r="CZ295" s="18">
        <f t="shared" si="293"/>
        <v>2.498714355577484</v>
      </c>
      <c r="DA295" s="18">
        <f t="shared" si="293"/>
        <v>1.6245635392630526</v>
      </c>
      <c r="DB295" s="56">
        <f t="shared" si="281"/>
        <v>3</v>
      </c>
    </row>
    <row r="296" spans="1:106" x14ac:dyDescent="0.25">
      <c r="A296" s="36" t="str">
        <f>KMeans_Data!A24</f>
        <v>Muzaffarabad</v>
      </c>
      <c r="B296" s="18">
        <f>KMeans_Data!H24</f>
        <v>0.84172690240795967</v>
      </c>
      <c r="C296" s="18">
        <f>KMeans_Data!I24</f>
        <v>0.80308444953571578</v>
      </c>
      <c r="D296" s="18">
        <f>KMeans_Data!J24</f>
        <v>1.0367093535020828</v>
      </c>
      <c r="E296" s="56">
        <f t="shared" si="256"/>
        <v>3</v>
      </c>
      <c r="F296" s="38">
        <f t="shared" si="257"/>
        <v>0.12882452191447774</v>
      </c>
      <c r="G296" s="18">
        <f>IF(COUNTIF(Distance_Matrix!$E$11:$DQ$11,$E296)&lt;=1,0,SUMIF(Distance_Matrix!$E$11:$DQ$11,$E296,Distance_Matrix!$E$33:$DQ$33)/(COUNTIF(Distance_Matrix!$E$11:$DQ$11,$E296)-1))</f>
        <v>0.79789606633255494</v>
      </c>
      <c r="H296" s="18">
        <f>MIN(IF(1=$E296,1E+99,IF(COUNTIF(Distance_Matrix!$E$11:$DQ$11,1)=0,1E+99,SUMIF(Distance_Matrix!$E$11:$DQ$11,1,Distance_Matrix!$E$33:$DQ$33)/COUNTIF(Distance_Matrix!$E$11:$DQ$11,1))),IF(2=$E296,1E+99,IF(COUNTIF(Distance_Matrix!$E$11:$DQ$11,2)=0,1E+99,SUMIF(Distance_Matrix!$E$11:$DQ$11,2,Distance_Matrix!$E$33:$DQ$33)/COUNTIF(Distance_Matrix!$E$11:$DQ$11,2))),IF(3=$E296,1E+99,IF(COUNTIF(Distance_Matrix!$E$11:$DQ$11,3)=0,1E+99,SUMIF(Distance_Matrix!$E$11:$DQ$11,3,Distance_Matrix!$E$33:$DQ$33)/COUNTIF(Distance_Matrix!$E$11:$DQ$11,3))),IF(4=$E296,1E+99,IF(COUNTIF(Distance_Matrix!$E$11:$DQ$11,4)=0,1E+99,SUMIF(Distance_Matrix!$E$11:$DQ$11,4,Distance_Matrix!$E$33:$DQ$33)/COUNTIF(Distance_Matrix!$E$11:$DQ$11,4))),IF(5=$E296,1E+99,IF(COUNTIF(Distance_Matrix!$E$11:$DQ$11,5)=0,1E+99,SUMIF(Distance_Matrix!$E$11:$DQ$11,5,Distance_Matrix!$E$33:$DQ$33)/COUNTIF(Distance_Matrix!$E$11:$DQ$11,5))))</f>
        <v>2.0598946215294993</v>
      </c>
      <c r="I296" s="18">
        <f>IF(COUNTIF(Distance_Matrix!$E$11:$DQ$11,$E296)&lt;=1,0,(H296-G296)/MAX(G296,H296))</f>
        <v>0.61265199782884694</v>
      </c>
      <c r="X296" s="18">
        <f t="shared" si="282"/>
        <v>4.6150099077019524</v>
      </c>
      <c r="Y296" s="18">
        <f t="shared" si="282"/>
        <v>3.9338807191152401</v>
      </c>
      <c r="Z296" s="18">
        <f t="shared" si="282"/>
        <v>0.63755028644469414</v>
      </c>
      <c r="AA296" s="18">
        <f t="shared" si="282"/>
        <v>2.388248770565613</v>
      </c>
      <c r="AB296" s="18">
        <f t="shared" si="282"/>
        <v>2.5151808548031029</v>
      </c>
      <c r="AC296" s="56">
        <f t="shared" si="259"/>
        <v>3</v>
      </c>
      <c r="AE296" s="18">
        <f t="shared" si="283"/>
        <v>4.5209312877451007</v>
      </c>
      <c r="AF296" s="18">
        <f t="shared" si="283"/>
        <v>3.2169907953602945</v>
      </c>
      <c r="AG296" s="18">
        <f t="shared" si="283"/>
        <v>0.46312625435651217</v>
      </c>
      <c r="AH296" s="18">
        <f t="shared" si="283"/>
        <v>2.2117079693283599</v>
      </c>
      <c r="AI296" s="18">
        <f t="shared" si="283"/>
        <v>2.267664333038546</v>
      </c>
      <c r="AJ296" s="56">
        <f t="shared" si="261"/>
        <v>3</v>
      </c>
      <c r="AL296" s="18">
        <f t="shared" si="284"/>
        <v>4.5209312877451007</v>
      </c>
      <c r="AM296" s="18">
        <f t="shared" si="284"/>
        <v>3.2425248727210354</v>
      </c>
      <c r="AN296" s="18">
        <f t="shared" si="284"/>
        <v>0.38593079568927424</v>
      </c>
      <c r="AO296" s="18">
        <f t="shared" si="284"/>
        <v>2.1537179520447172</v>
      </c>
      <c r="AP296" s="18">
        <f t="shared" si="284"/>
        <v>2.0034630153377595</v>
      </c>
      <c r="AQ296" s="56">
        <f t="shared" si="263"/>
        <v>3</v>
      </c>
      <c r="AS296" s="18">
        <f t="shared" si="285"/>
        <v>4.5209312877451007</v>
      </c>
      <c r="AT296" s="18">
        <f t="shared" si="285"/>
        <v>3.3262505902756683</v>
      </c>
      <c r="AU296" s="18">
        <f t="shared" si="285"/>
        <v>0.35892133109426327</v>
      </c>
      <c r="AV296" s="18">
        <f t="shared" si="285"/>
        <v>2.1573135977112483</v>
      </c>
      <c r="AW296" s="18">
        <f t="shared" si="285"/>
        <v>2.0034630153377595</v>
      </c>
      <c r="AX296" s="56">
        <f t="shared" si="265"/>
        <v>3</v>
      </c>
      <c r="AZ296" s="18">
        <f t="shared" si="286"/>
        <v>4.5209312877451007</v>
      </c>
      <c r="BA296" s="18">
        <f t="shared" si="286"/>
        <v>3.3262505902756683</v>
      </c>
      <c r="BB296" s="18">
        <f t="shared" si="286"/>
        <v>0.35892133109426327</v>
      </c>
      <c r="BC296" s="18">
        <f t="shared" si="286"/>
        <v>2.1573135977112483</v>
      </c>
      <c r="BD296" s="18">
        <f t="shared" si="286"/>
        <v>2.0034630153377595</v>
      </c>
      <c r="BE296" s="56">
        <f t="shared" si="267"/>
        <v>3</v>
      </c>
      <c r="BG296" s="18">
        <f t="shared" si="287"/>
        <v>4.5209312877451007</v>
      </c>
      <c r="BH296" s="18">
        <f t="shared" si="287"/>
        <v>3.3262505902756683</v>
      </c>
      <c r="BI296" s="18">
        <f t="shared" si="287"/>
        <v>0.35892133109426327</v>
      </c>
      <c r="BJ296" s="18">
        <f t="shared" si="287"/>
        <v>2.1573135977112483</v>
      </c>
      <c r="BK296" s="18">
        <f t="shared" si="287"/>
        <v>2.0034630153377595</v>
      </c>
      <c r="BL296" s="56">
        <f t="shared" si="269"/>
        <v>3</v>
      </c>
      <c r="BN296" s="18">
        <f t="shared" si="288"/>
        <v>4.5209312877451007</v>
      </c>
      <c r="BO296" s="18">
        <f t="shared" si="288"/>
        <v>3.3262505902756683</v>
      </c>
      <c r="BP296" s="18">
        <f t="shared" si="288"/>
        <v>0.35892133109426327</v>
      </c>
      <c r="BQ296" s="18">
        <f t="shared" si="288"/>
        <v>2.1573135977112483</v>
      </c>
      <c r="BR296" s="18">
        <f t="shared" si="288"/>
        <v>2.0034630153377595</v>
      </c>
      <c r="BS296" s="56">
        <f t="shared" si="271"/>
        <v>3</v>
      </c>
      <c r="BU296" s="18">
        <f t="shared" si="289"/>
        <v>4.5209312877451007</v>
      </c>
      <c r="BV296" s="18">
        <f t="shared" si="289"/>
        <v>3.3262505902756683</v>
      </c>
      <c r="BW296" s="18">
        <f t="shared" si="289"/>
        <v>0.35892133109426327</v>
      </c>
      <c r="BX296" s="18">
        <f t="shared" si="289"/>
        <v>2.1573135977112483</v>
      </c>
      <c r="BY296" s="18">
        <f t="shared" si="289"/>
        <v>2.0034630153377595</v>
      </c>
      <c r="BZ296" s="56">
        <f t="shared" si="273"/>
        <v>3</v>
      </c>
      <c r="CB296" s="18">
        <f t="shared" si="290"/>
        <v>4.5209312877451007</v>
      </c>
      <c r="CC296" s="18">
        <f t="shared" si="290"/>
        <v>3.3262505902756683</v>
      </c>
      <c r="CD296" s="18">
        <f t="shared" si="290"/>
        <v>0.35892133109426327</v>
      </c>
      <c r="CE296" s="18">
        <f t="shared" si="290"/>
        <v>2.1573135977112483</v>
      </c>
      <c r="CF296" s="18">
        <f t="shared" si="290"/>
        <v>2.0034630153377595</v>
      </c>
      <c r="CG296" s="56">
        <f t="shared" si="275"/>
        <v>3</v>
      </c>
      <c r="CI296" s="18">
        <f t="shared" si="291"/>
        <v>4.5209312877451007</v>
      </c>
      <c r="CJ296" s="18">
        <f t="shared" si="291"/>
        <v>3.3262505902756683</v>
      </c>
      <c r="CK296" s="18">
        <f t="shared" si="291"/>
        <v>0.35892133109426327</v>
      </c>
      <c r="CL296" s="18">
        <f t="shared" si="291"/>
        <v>2.1573135977112483</v>
      </c>
      <c r="CM296" s="18">
        <f t="shared" si="291"/>
        <v>2.0034630153377595</v>
      </c>
      <c r="CN296" s="56">
        <f t="shared" si="277"/>
        <v>3</v>
      </c>
      <c r="CP296" s="18">
        <f t="shared" si="292"/>
        <v>4.5209312877451007</v>
      </c>
      <c r="CQ296" s="18">
        <f t="shared" si="292"/>
        <v>3.3262505902756683</v>
      </c>
      <c r="CR296" s="18">
        <f t="shared" si="292"/>
        <v>0.35892133109426327</v>
      </c>
      <c r="CS296" s="18">
        <f t="shared" si="292"/>
        <v>2.1573135977112483</v>
      </c>
      <c r="CT296" s="18">
        <f t="shared" si="292"/>
        <v>2.0034630153377595</v>
      </c>
      <c r="CU296" s="56">
        <f t="shared" si="279"/>
        <v>3</v>
      </c>
      <c r="CW296" s="18">
        <f t="shared" si="293"/>
        <v>4.5209312877451007</v>
      </c>
      <c r="CX296" s="18">
        <f t="shared" si="293"/>
        <v>3.3262505902756683</v>
      </c>
      <c r="CY296" s="18">
        <f t="shared" si="293"/>
        <v>0.35892133109426327</v>
      </c>
      <c r="CZ296" s="18">
        <f t="shared" si="293"/>
        <v>2.1573135977112483</v>
      </c>
      <c r="DA296" s="18">
        <f t="shared" si="293"/>
        <v>2.0034630153377595</v>
      </c>
      <c r="DB296" s="56">
        <f t="shared" si="281"/>
        <v>3</v>
      </c>
    </row>
    <row r="297" spans="1:106" x14ac:dyDescent="0.25">
      <c r="A297" s="36" t="str">
        <f>KMeans_Data!A25</f>
        <v>Dera Ghazi Khan</v>
      </c>
      <c r="B297" s="18">
        <f>KMeans_Data!H25</f>
        <v>0.78983637463992185</v>
      </c>
      <c r="C297" s="18">
        <f>KMeans_Data!I25</f>
        <v>0.80308444953571578</v>
      </c>
      <c r="D297" s="18">
        <f>KMeans_Data!J25</f>
        <v>1.2683843951613223</v>
      </c>
      <c r="E297" s="56">
        <f t="shared" si="256"/>
        <v>3</v>
      </c>
      <c r="F297" s="38">
        <f t="shared" si="257"/>
        <v>0.24361917957906515</v>
      </c>
      <c r="G297" s="18">
        <f>IF(COUNTIF(Distance_Matrix!$E$11:$DQ$11,$E297)&lt;=1,0,SUMIF(Distance_Matrix!$E$11:$DQ$11,$E297,Distance_Matrix!$E$34:$DQ$34)/(COUNTIF(Distance_Matrix!$E$11:$DQ$11,$E297)-1))</f>
        <v>0.86282400042864615</v>
      </c>
      <c r="H297" s="18">
        <f>MIN(IF(1=$E297,1E+99,IF(COUNTIF(Distance_Matrix!$E$11:$DQ$11,1)=0,1E+99,SUMIF(Distance_Matrix!$E$11:$DQ$11,1,Distance_Matrix!$E$34:$DQ$34)/COUNTIF(Distance_Matrix!$E$11:$DQ$11,1))),IF(2=$E297,1E+99,IF(COUNTIF(Distance_Matrix!$E$11:$DQ$11,2)=0,1E+99,SUMIF(Distance_Matrix!$E$11:$DQ$11,2,Distance_Matrix!$E$34:$DQ$34)/COUNTIF(Distance_Matrix!$E$11:$DQ$11,2))),IF(3=$E297,1E+99,IF(COUNTIF(Distance_Matrix!$E$11:$DQ$11,3)=0,1E+99,SUMIF(Distance_Matrix!$E$11:$DQ$11,3,Distance_Matrix!$E$34:$DQ$34)/COUNTIF(Distance_Matrix!$E$11:$DQ$11,3))),IF(4=$E297,1E+99,IF(COUNTIF(Distance_Matrix!$E$11:$DQ$11,4)=0,1E+99,SUMIF(Distance_Matrix!$E$11:$DQ$11,4,Distance_Matrix!$E$34:$DQ$34)/COUNTIF(Distance_Matrix!$E$11:$DQ$11,4))),IF(5=$E297,1E+99,IF(COUNTIF(Distance_Matrix!$E$11:$DQ$11,5)=0,1E+99,SUMIF(Distance_Matrix!$E$11:$DQ$11,5,Distance_Matrix!$E$34:$DQ$34)/COUNTIF(Distance_Matrix!$E$11:$DQ$11,5))))</f>
        <v>2.0342027246535666</v>
      </c>
      <c r="I297" s="18">
        <f>IF(COUNTIF(Distance_Matrix!$E$11:$DQ$11,$E297)&lt;=1,0,(H297-G297)/MAX(G297,H297))</f>
        <v>0.57584168481753017</v>
      </c>
      <c r="X297" s="18">
        <f t="shared" ref="X297:AB306" si="294">SQRT(($B297-X$270)^2+($C297-X$271)^2+($D297-X$272)^2)</f>
        <v>4.5365573847970895</v>
      </c>
      <c r="Y297" s="18">
        <f t="shared" si="294"/>
        <v>4.0298615877856374</v>
      </c>
      <c r="Z297" s="18">
        <f t="shared" si="294"/>
        <v>0.53121011056296075</v>
      </c>
      <c r="AA297" s="18">
        <f t="shared" si="294"/>
        <v>2.5982580951744239</v>
      </c>
      <c r="AB297" s="18">
        <f t="shared" si="294"/>
        <v>2.433447597801206</v>
      </c>
      <c r="AC297" s="56">
        <f t="shared" si="259"/>
        <v>3</v>
      </c>
      <c r="AE297" s="18">
        <f t="shared" ref="AE297:AI306" si="295">SQRT(($B297-AE$270)^2+($C297-AE$271)^2+($D297-AE$272)^2)</f>
        <v>4.455577075568022</v>
      </c>
      <c r="AF297" s="18">
        <f t="shared" si="295"/>
        <v>3.3321074013654659</v>
      </c>
      <c r="AG297" s="18">
        <f t="shared" si="295"/>
        <v>0.57333001983748932</v>
      </c>
      <c r="AH297" s="18">
        <f t="shared" si="295"/>
        <v>2.3606587481345032</v>
      </c>
      <c r="AI297" s="18">
        <f t="shared" si="295"/>
        <v>2.2316937837014303</v>
      </c>
      <c r="AJ297" s="56">
        <f t="shared" si="261"/>
        <v>3</v>
      </c>
      <c r="AL297" s="18">
        <f t="shared" ref="AL297:AP306" si="296">SQRT(($B297-AL$270)^2+($C297-AL$271)^2+($D297-AL$272)^2)</f>
        <v>4.455577075568022</v>
      </c>
      <c r="AM297" s="18">
        <f t="shared" si="296"/>
        <v>3.3603765390917211</v>
      </c>
      <c r="AN297" s="18">
        <f t="shared" si="296"/>
        <v>0.51882847367080198</v>
      </c>
      <c r="AO297" s="18">
        <f t="shared" si="296"/>
        <v>2.2942750265914285</v>
      </c>
      <c r="AP297" s="18">
        <f t="shared" si="296"/>
        <v>1.9721866024411312</v>
      </c>
      <c r="AQ297" s="56">
        <f t="shared" si="263"/>
        <v>3</v>
      </c>
      <c r="AS297" s="18">
        <f t="shared" ref="AS297:AW306" si="297">SQRT(($B297-AS$270)^2+($C297-AS$271)^2+($D297-AS$272)^2)</f>
        <v>4.455577075568022</v>
      </c>
      <c r="AT297" s="18">
        <f t="shared" si="297"/>
        <v>3.446486588329865</v>
      </c>
      <c r="AU297" s="18">
        <f t="shared" si="297"/>
        <v>0.49357793668180222</v>
      </c>
      <c r="AV297" s="18">
        <f t="shared" si="297"/>
        <v>2.2942992116937369</v>
      </c>
      <c r="AW297" s="18">
        <f t="shared" si="297"/>
        <v>1.9721866024411312</v>
      </c>
      <c r="AX297" s="56">
        <f t="shared" si="265"/>
        <v>3</v>
      </c>
      <c r="AZ297" s="18">
        <f t="shared" ref="AZ297:BD306" si="298">SQRT(($B297-AZ$270)^2+($C297-AZ$271)^2+($D297-AZ$272)^2)</f>
        <v>4.455577075568022</v>
      </c>
      <c r="BA297" s="18">
        <f t="shared" si="298"/>
        <v>3.446486588329865</v>
      </c>
      <c r="BB297" s="18">
        <f t="shared" si="298"/>
        <v>0.49357793668180222</v>
      </c>
      <c r="BC297" s="18">
        <f t="shared" si="298"/>
        <v>2.2942992116937369</v>
      </c>
      <c r="BD297" s="18">
        <f t="shared" si="298"/>
        <v>1.9721866024411312</v>
      </c>
      <c r="BE297" s="56">
        <f t="shared" si="267"/>
        <v>3</v>
      </c>
      <c r="BG297" s="18">
        <f t="shared" ref="BG297:BK306" si="299">SQRT(($B297-BG$270)^2+($C297-BG$271)^2+($D297-BG$272)^2)</f>
        <v>4.455577075568022</v>
      </c>
      <c r="BH297" s="18">
        <f t="shared" si="299"/>
        <v>3.446486588329865</v>
      </c>
      <c r="BI297" s="18">
        <f t="shared" si="299"/>
        <v>0.49357793668180222</v>
      </c>
      <c r="BJ297" s="18">
        <f t="shared" si="299"/>
        <v>2.2942992116937369</v>
      </c>
      <c r="BK297" s="18">
        <f t="shared" si="299"/>
        <v>1.9721866024411312</v>
      </c>
      <c r="BL297" s="56">
        <f t="shared" si="269"/>
        <v>3</v>
      </c>
      <c r="BN297" s="18">
        <f t="shared" ref="BN297:BR306" si="300">SQRT(($B297-BN$270)^2+($C297-BN$271)^2+($D297-BN$272)^2)</f>
        <v>4.455577075568022</v>
      </c>
      <c r="BO297" s="18">
        <f t="shared" si="300"/>
        <v>3.446486588329865</v>
      </c>
      <c r="BP297" s="18">
        <f t="shared" si="300"/>
        <v>0.49357793668180222</v>
      </c>
      <c r="BQ297" s="18">
        <f t="shared" si="300"/>
        <v>2.2942992116937369</v>
      </c>
      <c r="BR297" s="18">
        <f t="shared" si="300"/>
        <v>1.9721866024411312</v>
      </c>
      <c r="BS297" s="56">
        <f t="shared" si="271"/>
        <v>3</v>
      </c>
      <c r="BU297" s="18">
        <f t="shared" ref="BU297:BY306" si="301">SQRT(($B297-BU$270)^2+($C297-BU$271)^2+($D297-BU$272)^2)</f>
        <v>4.455577075568022</v>
      </c>
      <c r="BV297" s="18">
        <f t="shared" si="301"/>
        <v>3.446486588329865</v>
      </c>
      <c r="BW297" s="18">
        <f t="shared" si="301"/>
        <v>0.49357793668180222</v>
      </c>
      <c r="BX297" s="18">
        <f t="shared" si="301"/>
        <v>2.2942992116937369</v>
      </c>
      <c r="BY297" s="18">
        <f t="shared" si="301"/>
        <v>1.9721866024411312</v>
      </c>
      <c r="BZ297" s="56">
        <f t="shared" si="273"/>
        <v>3</v>
      </c>
      <c r="CB297" s="18">
        <f t="shared" ref="CB297:CF306" si="302">SQRT(($B297-CB$270)^2+($C297-CB$271)^2+($D297-CB$272)^2)</f>
        <v>4.455577075568022</v>
      </c>
      <c r="CC297" s="18">
        <f t="shared" si="302"/>
        <v>3.446486588329865</v>
      </c>
      <c r="CD297" s="18">
        <f t="shared" si="302"/>
        <v>0.49357793668180222</v>
      </c>
      <c r="CE297" s="18">
        <f t="shared" si="302"/>
        <v>2.2942992116937369</v>
      </c>
      <c r="CF297" s="18">
        <f t="shared" si="302"/>
        <v>1.9721866024411312</v>
      </c>
      <c r="CG297" s="56">
        <f t="shared" si="275"/>
        <v>3</v>
      </c>
      <c r="CI297" s="18">
        <f t="shared" ref="CI297:CM306" si="303">SQRT(($B297-CI$270)^2+($C297-CI$271)^2+($D297-CI$272)^2)</f>
        <v>4.455577075568022</v>
      </c>
      <c r="CJ297" s="18">
        <f t="shared" si="303"/>
        <v>3.446486588329865</v>
      </c>
      <c r="CK297" s="18">
        <f t="shared" si="303"/>
        <v>0.49357793668180222</v>
      </c>
      <c r="CL297" s="18">
        <f t="shared" si="303"/>
        <v>2.2942992116937369</v>
      </c>
      <c r="CM297" s="18">
        <f t="shared" si="303"/>
        <v>1.9721866024411312</v>
      </c>
      <c r="CN297" s="56">
        <f t="shared" si="277"/>
        <v>3</v>
      </c>
      <c r="CP297" s="18">
        <f t="shared" ref="CP297:CT306" si="304">SQRT(($B297-CP$270)^2+($C297-CP$271)^2+($D297-CP$272)^2)</f>
        <v>4.455577075568022</v>
      </c>
      <c r="CQ297" s="18">
        <f t="shared" si="304"/>
        <v>3.446486588329865</v>
      </c>
      <c r="CR297" s="18">
        <f t="shared" si="304"/>
        <v>0.49357793668180222</v>
      </c>
      <c r="CS297" s="18">
        <f t="shared" si="304"/>
        <v>2.2942992116937369</v>
      </c>
      <c r="CT297" s="18">
        <f t="shared" si="304"/>
        <v>1.9721866024411312</v>
      </c>
      <c r="CU297" s="56">
        <f t="shared" si="279"/>
        <v>3</v>
      </c>
      <c r="CW297" s="18">
        <f t="shared" ref="CW297:DA306" si="305">SQRT(($B297-CW$270)^2+($C297-CW$271)^2+($D297-CW$272)^2)</f>
        <v>4.455577075568022</v>
      </c>
      <c r="CX297" s="18">
        <f t="shared" si="305"/>
        <v>3.446486588329865</v>
      </c>
      <c r="CY297" s="18">
        <f t="shared" si="305"/>
        <v>0.49357793668180222</v>
      </c>
      <c r="CZ297" s="18">
        <f t="shared" si="305"/>
        <v>2.2942992116937369</v>
      </c>
      <c r="DA297" s="18">
        <f t="shared" si="305"/>
        <v>1.9721866024411312</v>
      </c>
      <c r="DB297" s="56">
        <f t="shared" si="281"/>
        <v>3</v>
      </c>
    </row>
    <row r="298" spans="1:106" x14ac:dyDescent="0.25">
      <c r="A298" s="36" t="str">
        <f>KMeans_Data!A26</f>
        <v>Charsadda</v>
      </c>
      <c r="B298" s="18">
        <f>KMeans_Data!H26</f>
        <v>0.78562201948780019</v>
      </c>
      <c r="C298" s="18">
        <f>KMeans_Data!I26</f>
        <v>0.80308444953571578</v>
      </c>
      <c r="D298" s="18">
        <f>KMeans_Data!J26</f>
        <v>0.61832866607444492</v>
      </c>
      <c r="E298" s="56">
        <f t="shared" si="256"/>
        <v>3</v>
      </c>
      <c r="F298" s="38">
        <f t="shared" si="257"/>
        <v>0.13430380500508554</v>
      </c>
      <c r="G298" s="18">
        <f>IF(COUNTIF(Distance_Matrix!$E$11:$DQ$11,$E298)&lt;=1,0,SUMIF(Distance_Matrix!$E$11:$DQ$11,$E298,Distance_Matrix!$E$35:$DQ$35)/(COUNTIF(Distance_Matrix!$E$11:$DQ$11,$E298)-1))</f>
        <v>0.81459201768970302</v>
      </c>
      <c r="H298" s="18">
        <f>MIN(IF(1=$E298,1E+99,IF(COUNTIF(Distance_Matrix!$E$11:$DQ$11,1)=0,1E+99,SUMIF(Distance_Matrix!$E$11:$DQ$11,1,Distance_Matrix!$E$35:$DQ$35)/COUNTIF(Distance_Matrix!$E$11:$DQ$11,1))),IF(2=$E298,1E+99,IF(COUNTIF(Distance_Matrix!$E$11:$DQ$11,2)=0,1E+99,SUMIF(Distance_Matrix!$E$11:$DQ$11,2,Distance_Matrix!$E$35:$DQ$35)/COUNTIF(Distance_Matrix!$E$11:$DQ$11,2))),IF(3=$E298,1E+99,IF(COUNTIF(Distance_Matrix!$E$11:$DQ$11,3)=0,1E+99,SUMIF(Distance_Matrix!$E$11:$DQ$11,3,Distance_Matrix!$E$35:$DQ$35)/COUNTIF(Distance_Matrix!$E$11:$DQ$11,3))),IF(4=$E298,1E+99,IF(COUNTIF(Distance_Matrix!$E$11:$DQ$11,4)=0,1E+99,SUMIF(Distance_Matrix!$E$11:$DQ$11,4,Distance_Matrix!$E$35:$DQ$35)/COUNTIF(Distance_Matrix!$E$11:$DQ$11,4))),IF(5=$E298,1E+99,IF(COUNTIF(Distance_Matrix!$E$11:$DQ$11,5)=0,1E+99,SUMIF(Distance_Matrix!$E$11:$DQ$11,5,Distance_Matrix!$E$35:$DQ$35)/COUNTIF(Distance_Matrix!$E$11:$DQ$11,5))))</f>
        <v>2.0015575042084111</v>
      </c>
      <c r="I298" s="18">
        <f>IF(COUNTIF(Distance_Matrix!$E$11:$DQ$11,$E298)&lt;=1,0,(H298-G298)/MAX(G298,H298))</f>
        <v>0.59302092696464237</v>
      </c>
      <c r="X298" s="18">
        <f t="shared" si="294"/>
        <v>4.8583672348654217</v>
      </c>
      <c r="Y298" s="18">
        <f t="shared" si="294"/>
        <v>3.6741912973222601</v>
      </c>
      <c r="Z298" s="18">
        <f t="shared" si="294"/>
        <v>0.98463665293581015</v>
      </c>
      <c r="AA298" s="18">
        <f t="shared" si="294"/>
        <v>2.0084357350604547</v>
      </c>
      <c r="AB298" s="18">
        <f t="shared" si="294"/>
        <v>2.7915615066157859</v>
      </c>
      <c r="AC298" s="56">
        <f t="shared" si="259"/>
        <v>3</v>
      </c>
      <c r="AE298" s="18">
        <f t="shared" si="295"/>
        <v>4.7437835837132107</v>
      </c>
      <c r="AF298" s="18">
        <f t="shared" si="295"/>
        <v>2.939980229422789</v>
      </c>
      <c r="AG298" s="18">
        <f t="shared" si="295"/>
        <v>0.44738906626103536</v>
      </c>
      <c r="AH298" s="18">
        <f t="shared" si="295"/>
        <v>1.9159481051352836</v>
      </c>
      <c r="AI298" s="18">
        <f t="shared" si="295"/>
        <v>2.4677257042034979</v>
      </c>
      <c r="AJ298" s="56">
        <f t="shared" si="261"/>
        <v>3</v>
      </c>
      <c r="AL298" s="18">
        <f t="shared" si="296"/>
        <v>4.7437835837132107</v>
      </c>
      <c r="AM298" s="18">
        <f t="shared" si="296"/>
        <v>2.9609527025126186</v>
      </c>
      <c r="AN298" s="18">
        <f t="shared" si="296"/>
        <v>0.37254479548913727</v>
      </c>
      <c r="AO298" s="18">
        <f t="shared" si="296"/>
        <v>1.8742777401152213</v>
      </c>
      <c r="AP298" s="18">
        <f t="shared" si="296"/>
        <v>2.1989958151058504</v>
      </c>
      <c r="AQ298" s="56">
        <f t="shared" si="263"/>
        <v>3</v>
      </c>
      <c r="AS298" s="18">
        <f t="shared" si="297"/>
        <v>4.7437835837132107</v>
      </c>
      <c r="AT298" s="18">
        <f t="shared" si="297"/>
        <v>3.0394431425762933</v>
      </c>
      <c r="AU298" s="18">
        <f t="shared" si="297"/>
        <v>0.36647483543223747</v>
      </c>
      <c r="AV298" s="18">
        <f t="shared" si="297"/>
        <v>1.8820135066490513</v>
      </c>
      <c r="AW298" s="18">
        <f t="shared" si="297"/>
        <v>2.1989958151058504</v>
      </c>
      <c r="AX298" s="56">
        <f t="shared" si="265"/>
        <v>3</v>
      </c>
      <c r="AZ298" s="18">
        <f t="shared" si="298"/>
        <v>4.7437835837132107</v>
      </c>
      <c r="BA298" s="18">
        <f t="shared" si="298"/>
        <v>3.0394431425762933</v>
      </c>
      <c r="BB298" s="18">
        <f t="shared" si="298"/>
        <v>0.36647483543223747</v>
      </c>
      <c r="BC298" s="18">
        <f t="shared" si="298"/>
        <v>1.8820135066490513</v>
      </c>
      <c r="BD298" s="18">
        <f t="shared" si="298"/>
        <v>2.1989958151058504</v>
      </c>
      <c r="BE298" s="56">
        <f t="shared" si="267"/>
        <v>3</v>
      </c>
      <c r="BG298" s="18">
        <f t="shared" si="299"/>
        <v>4.7437835837132107</v>
      </c>
      <c r="BH298" s="18">
        <f t="shared" si="299"/>
        <v>3.0394431425762933</v>
      </c>
      <c r="BI298" s="18">
        <f t="shared" si="299"/>
        <v>0.36647483543223747</v>
      </c>
      <c r="BJ298" s="18">
        <f t="shared" si="299"/>
        <v>1.8820135066490513</v>
      </c>
      <c r="BK298" s="18">
        <f t="shared" si="299"/>
        <v>2.1989958151058504</v>
      </c>
      <c r="BL298" s="56">
        <f t="shared" si="269"/>
        <v>3</v>
      </c>
      <c r="BN298" s="18">
        <f t="shared" si="300"/>
        <v>4.7437835837132107</v>
      </c>
      <c r="BO298" s="18">
        <f t="shared" si="300"/>
        <v>3.0394431425762933</v>
      </c>
      <c r="BP298" s="18">
        <f t="shared" si="300"/>
        <v>0.36647483543223747</v>
      </c>
      <c r="BQ298" s="18">
        <f t="shared" si="300"/>
        <v>1.8820135066490513</v>
      </c>
      <c r="BR298" s="18">
        <f t="shared" si="300"/>
        <v>2.1989958151058504</v>
      </c>
      <c r="BS298" s="56">
        <f t="shared" si="271"/>
        <v>3</v>
      </c>
      <c r="BU298" s="18">
        <f t="shared" si="301"/>
        <v>4.7437835837132107</v>
      </c>
      <c r="BV298" s="18">
        <f t="shared" si="301"/>
        <v>3.0394431425762933</v>
      </c>
      <c r="BW298" s="18">
        <f t="shared" si="301"/>
        <v>0.36647483543223747</v>
      </c>
      <c r="BX298" s="18">
        <f t="shared" si="301"/>
        <v>1.8820135066490513</v>
      </c>
      <c r="BY298" s="18">
        <f t="shared" si="301"/>
        <v>2.1989958151058504</v>
      </c>
      <c r="BZ298" s="56">
        <f t="shared" si="273"/>
        <v>3</v>
      </c>
      <c r="CB298" s="18">
        <f t="shared" si="302"/>
        <v>4.7437835837132107</v>
      </c>
      <c r="CC298" s="18">
        <f t="shared" si="302"/>
        <v>3.0394431425762933</v>
      </c>
      <c r="CD298" s="18">
        <f t="shared" si="302"/>
        <v>0.36647483543223747</v>
      </c>
      <c r="CE298" s="18">
        <f t="shared" si="302"/>
        <v>1.8820135066490513</v>
      </c>
      <c r="CF298" s="18">
        <f t="shared" si="302"/>
        <v>2.1989958151058504</v>
      </c>
      <c r="CG298" s="56">
        <f t="shared" si="275"/>
        <v>3</v>
      </c>
      <c r="CI298" s="18">
        <f t="shared" si="303"/>
        <v>4.7437835837132107</v>
      </c>
      <c r="CJ298" s="18">
        <f t="shared" si="303"/>
        <v>3.0394431425762933</v>
      </c>
      <c r="CK298" s="18">
        <f t="shared" si="303"/>
        <v>0.36647483543223747</v>
      </c>
      <c r="CL298" s="18">
        <f t="shared" si="303"/>
        <v>1.8820135066490513</v>
      </c>
      <c r="CM298" s="18">
        <f t="shared" si="303"/>
        <v>2.1989958151058504</v>
      </c>
      <c r="CN298" s="56">
        <f t="shared" si="277"/>
        <v>3</v>
      </c>
      <c r="CP298" s="18">
        <f t="shared" si="304"/>
        <v>4.7437835837132107</v>
      </c>
      <c r="CQ298" s="18">
        <f t="shared" si="304"/>
        <v>3.0394431425762933</v>
      </c>
      <c r="CR298" s="18">
        <f t="shared" si="304"/>
        <v>0.36647483543223747</v>
      </c>
      <c r="CS298" s="18">
        <f t="shared" si="304"/>
        <v>1.8820135066490513</v>
      </c>
      <c r="CT298" s="18">
        <f t="shared" si="304"/>
        <v>2.1989958151058504</v>
      </c>
      <c r="CU298" s="56">
        <f t="shared" si="279"/>
        <v>3</v>
      </c>
      <c r="CW298" s="18">
        <f t="shared" si="305"/>
        <v>4.7437835837132107</v>
      </c>
      <c r="CX298" s="18">
        <f t="shared" si="305"/>
        <v>3.0394431425762933</v>
      </c>
      <c r="CY298" s="18">
        <f t="shared" si="305"/>
        <v>0.36647483543223747</v>
      </c>
      <c r="CZ298" s="18">
        <f t="shared" si="305"/>
        <v>1.8820135066490513</v>
      </c>
      <c r="DA298" s="18">
        <f t="shared" si="305"/>
        <v>2.1989958151058504</v>
      </c>
      <c r="DB298" s="56">
        <f t="shared" si="281"/>
        <v>3</v>
      </c>
    </row>
    <row r="299" spans="1:106" x14ac:dyDescent="0.25">
      <c r="A299" s="36" t="str">
        <f>KMeans_Data!A27</f>
        <v>Dir Upper</v>
      </c>
      <c r="B299" s="18">
        <f>KMeans_Data!H27</f>
        <v>0.78350197575168823</v>
      </c>
      <c r="C299" s="18">
        <f>KMeans_Data!I27</f>
        <v>0.16051258962499582</v>
      </c>
      <c r="D299" s="18">
        <f>KMeans_Data!J27</f>
        <v>0.95967737195633995</v>
      </c>
      <c r="E299" s="56">
        <f t="shared" si="256"/>
        <v>3</v>
      </c>
      <c r="F299" s="38">
        <f t="shared" si="257"/>
        <v>0.21785518196967368</v>
      </c>
      <c r="G299" s="18">
        <f>IF(COUNTIF(Distance_Matrix!$E$11:$DQ$11,$E299)&lt;=1,0,SUMIF(Distance_Matrix!$E$11:$DQ$11,$E299,Distance_Matrix!$E$36:$DQ$36)/(COUNTIF(Distance_Matrix!$E$11:$DQ$11,$E299)-1))</f>
        <v>0.87031134235539809</v>
      </c>
      <c r="H299" s="18">
        <f>MIN(IF(1=$E299,1E+99,IF(COUNTIF(Distance_Matrix!$E$11:$DQ$11,1)=0,1E+99,SUMIF(Distance_Matrix!$E$11:$DQ$11,1,Distance_Matrix!$E$36:$DQ$36)/COUNTIF(Distance_Matrix!$E$11:$DQ$11,1))),IF(2=$E299,1E+99,IF(COUNTIF(Distance_Matrix!$E$11:$DQ$11,2)=0,1E+99,SUMIF(Distance_Matrix!$E$11:$DQ$11,2,Distance_Matrix!$E$36:$DQ$36)/COUNTIF(Distance_Matrix!$E$11:$DQ$11,2))),IF(3=$E299,1E+99,IF(COUNTIF(Distance_Matrix!$E$11:$DQ$11,3)=0,1E+99,SUMIF(Distance_Matrix!$E$11:$DQ$11,3,Distance_Matrix!$E$36:$DQ$36)/COUNTIF(Distance_Matrix!$E$11:$DQ$11,3))),IF(4=$E299,1E+99,IF(COUNTIF(Distance_Matrix!$E$11:$DQ$11,4)=0,1E+99,SUMIF(Distance_Matrix!$E$11:$DQ$11,4,Distance_Matrix!$E$36:$DQ$36)/COUNTIF(Distance_Matrix!$E$11:$DQ$11,4))),IF(5=$E299,1E+99,IF(COUNTIF(Distance_Matrix!$E$11:$DQ$11,5)=0,1E+99,SUMIF(Distance_Matrix!$E$11:$DQ$11,5,Distance_Matrix!$E$36:$DQ$36)/COUNTIF(Distance_Matrix!$E$11:$DQ$11,5))))</f>
        <v>1.8687896125084973</v>
      </c>
      <c r="I299" s="18">
        <f>IF(COUNTIF(Distance_Matrix!$E$11:$DQ$11,$E299)&lt;=1,0,(H299-G299)/MAX(G299,H299))</f>
        <v>0.53429142770802895</v>
      </c>
      <c r="X299" s="18">
        <f t="shared" si="294"/>
        <v>5.1481691193932422</v>
      </c>
      <c r="Y299" s="18">
        <f t="shared" si="294"/>
        <v>3.6502989512011172</v>
      </c>
      <c r="Z299" s="18">
        <f t="shared" si="294"/>
        <v>0.61063359087127045</v>
      </c>
      <c r="AA299" s="18">
        <f t="shared" si="294"/>
        <v>2.1321184299774374</v>
      </c>
      <c r="AB299" s="18">
        <f t="shared" si="294"/>
        <v>3.0079368972061076</v>
      </c>
      <c r="AC299" s="56">
        <f t="shared" si="259"/>
        <v>3</v>
      </c>
      <c r="AE299" s="18">
        <f t="shared" si="295"/>
        <v>5.0669991956868348</v>
      </c>
      <c r="AF299" s="18">
        <f t="shared" si="295"/>
        <v>2.8900710214749368</v>
      </c>
      <c r="AG299" s="18">
        <f t="shared" si="295"/>
        <v>0.42865671485353779</v>
      </c>
      <c r="AH299" s="18">
        <f t="shared" si="295"/>
        <v>1.8190660246893711</v>
      </c>
      <c r="AI299" s="18">
        <f t="shared" si="295"/>
        <v>2.8382866556485391</v>
      </c>
      <c r="AJ299" s="56">
        <f t="shared" si="261"/>
        <v>3</v>
      </c>
      <c r="AL299" s="18">
        <f t="shared" si="296"/>
        <v>5.0669991956868348</v>
      </c>
      <c r="AM299" s="18">
        <f t="shared" si="296"/>
        <v>2.9173109200948506</v>
      </c>
      <c r="AN299" s="18">
        <f t="shared" si="296"/>
        <v>0.4674268041552605</v>
      </c>
      <c r="AO299" s="18">
        <f t="shared" si="296"/>
        <v>1.7441994559552965</v>
      </c>
      <c r="AP299" s="18">
        <f t="shared" si="296"/>
        <v>2.5861073955019744</v>
      </c>
      <c r="AQ299" s="56">
        <f t="shared" si="263"/>
        <v>3</v>
      </c>
      <c r="AS299" s="18">
        <f t="shared" si="297"/>
        <v>5.0669991956868348</v>
      </c>
      <c r="AT299" s="18">
        <f t="shared" si="297"/>
        <v>3.0074324856844696</v>
      </c>
      <c r="AU299" s="18">
        <f t="shared" si="297"/>
        <v>0.46674959236155061</v>
      </c>
      <c r="AV299" s="18">
        <f t="shared" si="297"/>
        <v>1.7494778359365217</v>
      </c>
      <c r="AW299" s="18">
        <f t="shared" si="297"/>
        <v>2.5861073955019744</v>
      </c>
      <c r="AX299" s="56">
        <f t="shared" si="265"/>
        <v>3</v>
      </c>
      <c r="AZ299" s="18">
        <f t="shared" si="298"/>
        <v>5.0669991956868348</v>
      </c>
      <c r="BA299" s="18">
        <f t="shared" si="298"/>
        <v>3.0074324856844696</v>
      </c>
      <c r="BB299" s="18">
        <f t="shared" si="298"/>
        <v>0.46674959236155061</v>
      </c>
      <c r="BC299" s="18">
        <f t="shared" si="298"/>
        <v>1.7494778359365217</v>
      </c>
      <c r="BD299" s="18">
        <f t="shared" si="298"/>
        <v>2.5861073955019744</v>
      </c>
      <c r="BE299" s="56">
        <f t="shared" si="267"/>
        <v>3</v>
      </c>
      <c r="BG299" s="18">
        <f t="shared" si="299"/>
        <v>5.0669991956868348</v>
      </c>
      <c r="BH299" s="18">
        <f t="shared" si="299"/>
        <v>3.0074324856844696</v>
      </c>
      <c r="BI299" s="18">
        <f t="shared" si="299"/>
        <v>0.46674959236155061</v>
      </c>
      <c r="BJ299" s="18">
        <f t="shared" si="299"/>
        <v>1.7494778359365217</v>
      </c>
      <c r="BK299" s="18">
        <f t="shared" si="299"/>
        <v>2.5861073955019744</v>
      </c>
      <c r="BL299" s="56">
        <f t="shared" si="269"/>
        <v>3</v>
      </c>
      <c r="BN299" s="18">
        <f t="shared" si="300"/>
        <v>5.0669991956868348</v>
      </c>
      <c r="BO299" s="18">
        <f t="shared" si="300"/>
        <v>3.0074324856844696</v>
      </c>
      <c r="BP299" s="18">
        <f t="shared" si="300"/>
        <v>0.46674959236155061</v>
      </c>
      <c r="BQ299" s="18">
        <f t="shared" si="300"/>
        <v>1.7494778359365217</v>
      </c>
      <c r="BR299" s="18">
        <f t="shared" si="300"/>
        <v>2.5861073955019744</v>
      </c>
      <c r="BS299" s="56">
        <f t="shared" si="271"/>
        <v>3</v>
      </c>
      <c r="BU299" s="18">
        <f t="shared" si="301"/>
        <v>5.0669991956868348</v>
      </c>
      <c r="BV299" s="18">
        <f t="shared" si="301"/>
        <v>3.0074324856844696</v>
      </c>
      <c r="BW299" s="18">
        <f t="shared" si="301"/>
        <v>0.46674959236155061</v>
      </c>
      <c r="BX299" s="18">
        <f t="shared" si="301"/>
        <v>1.7494778359365217</v>
      </c>
      <c r="BY299" s="18">
        <f t="shared" si="301"/>
        <v>2.5861073955019744</v>
      </c>
      <c r="BZ299" s="56">
        <f t="shared" si="273"/>
        <v>3</v>
      </c>
      <c r="CB299" s="18">
        <f t="shared" si="302"/>
        <v>5.0669991956868348</v>
      </c>
      <c r="CC299" s="18">
        <f t="shared" si="302"/>
        <v>3.0074324856844696</v>
      </c>
      <c r="CD299" s="18">
        <f t="shared" si="302"/>
        <v>0.46674959236155061</v>
      </c>
      <c r="CE299" s="18">
        <f t="shared" si="302"/>
        <v>1.7494778359365217</v>
      </c>
      <c r="CF299" s="18">
        <f t="shared" si="302"/>
        <v>2.5861073955019744</v>
      </c>
      <c r="CG299" s="56">
        <f t="shared" si="275"/>
        <v>3</v>
      </c>
      <c r="CI299" s="18">
        <f t="shared" si="303"/>
        <v>5.0669991956868348</v>
      </c>
      <c r="CJ299" s="18">
        <f t="shared" si="303"/>
        <v>3.0074324856844696</v>
      </c>
      <c r="CK299" s="18">
        <f t="shared" si="303"/>
        <v>0.46674959236155061</v>
      </c>
      <c r="CL299" s="18">
        <f t="shared" si="303"/>
        <v>1.7494778359365217</v>
      </c>
      <c r="CM299" s="18">
        <f t="shared" si="303"/>
        <v>2.5861073955019744</v>
      </c>
      <c r="CN299" s="56">
        <f t="shared" si="277"/>
        <v>3</v>
      </c>
      <c r="CP299" s="18">
        <f t="shared" si="304"/>
        <v>5.0669991956868348</v>
      </c>
      <c r="CQ299" s="18">
        <f t="shared" si="304"/>
        <v>3.0074324856844696</v>
      </c>
      <c r="CR299" s="18">
        <f t="shared" si="304"/>
        <v>0.46674959236155061</v>
      </c>
      <c r="CS299" s="18">
        <f t="shared" si="304"/>
        <v>1.7494778359365217</v>
      </c>
      <c r="CT299" s="18">
        <f t="shared" si="304"/>
        <v>2.5861073955019744</v>
      </c>
      <c r="CU299" s="56">
        <f t="shared" si="279"/>
        <v>3</v>
      </c>
      <c r="CW299" s="18">
        <f t="shared" si="305"/>
        <v>5.0669991956868348</v>
      </c>
      <c r="CX299" s="18">
        <f t="shared" si="305"/>
        <v>3.0074324856844696</v>
      </c>
      <c r="CY299" s="18">
        <f t="shared" si="305"/>
        <v>0.46674959236155061</v>
      </c>
      <c r="CZ299" s="18">
        <f t="shared" si="305"/>
        <v>1.7494778359365217</v>
      </c>
      <c r="DA299" s="18">
        <f t="shared" si="305"/>
        <v>2.5861073955019744</v>
      </c>
      <c r="DB299" s="56">
        <f t="shared" si="281"/>
        <v>3</v>
      </c>
    </row>
    <row r="300" spans="1:106" x14ac:dyDescent="0.25">
      <c r="A300" s="36" t="str">
        <f>KMeans_Data!A28</f>
        <v>Khyber</v>
      </c>
      <c r="B300" s="18">
        <f>KMeans_Data!H28</f>
        <v>0.78350197575168823</v>
      </c>
      <c r="C300" s="18">
        <f>KMeans_Data!I28</f>
        <v>0.54791138584450239</v>
      </c>
      <c r="D300" s="18">
        <f>KMeans_Data!J28</f>
        <v>0.66715177094920652</v>
      </c>
      <c r="E300" s="56">
        <f t="shared" si="256"/>
        <v>3</v>
      </c>
      <c r="F300" s="38">
        <f t="shared" si="257"/>
        <v>6.6301106316533298E-2</v>
      </c>
      <c r="G300" s="18">
        <f>IF(COUNTIF(Distance_Matrix!$E$11:$DQ$11,$E300)&lt;=1,0,SUMIF(Distance_Matrix!$E$11:$DQ$11,$E300,Distance_Matrix!$E$37:$DQ$37)/(COUNTIF(Distance_Matrix!$E$11:$DQ$11,$E300)-1))</f>
        <v>0.78613751379152497</v>
      </c>
      <c r="H300" s="18">
        <f>MIN(IF(1=$E300,1E+99,IF(COUNTIF(Distance_Matrix!$E$11:$DQ$11,1)=0,1E+99,SUMIF(Distance_Matrix!$E$11:$DQ$11,1,Distance_Matrix!$E$37:$DQ$37)/COUNTIF(Distance_Matrix!$E$11:$DQ$11,1))),IF(2=$E300,1E+99,IF(COUNTIF(Distance_Matrix!$E$11:$DQ$11,2)=0,1E+99,SUMIF(Distance_Matrix!$E$11:$DQ$11,2,Distance_Matrix!$E$37:$DQ$37)/COUNTIF(Distance_Matrix!$E$11:$DQ$11,2))),IF(3=$E300,1E+99,IF(COUNTIF(Distance_Matrix!$E$11:$DQ$11,3)=0,1E+99,SUMIF(Distance_Matrix!$E$11:$DQ$11,3,Distance_Matrix!$E$37:$DQ$37)/COUNTIF(Distance_Matrix!$E$11:$DQ$11,3))),IF(4=$E300,1E+99,IF(COUNTIF(Distance_Matrix!$E$11:$DQ$11,4)=0,1E+99,SUMIF(Distance_Matrix!$E$11:$DQ$11,4,Distance_Matrix!$E$37:$DQ$37)/COUNTIF(Distance_Matrix!$E$11:$DQ$11,4))),IF(5=$E300,1E+99,IF(COUNTIF(Distance_Matrix!$E$11:$DQ$11,5)=0,1E+99,SUMIF(Distance_Matrix!$E$11:$DQ$11,5,Distance_Matrix!$E$37:$DQ$37)/COUNTIF(Distance_Matrix!$E$11:$DQ$11,5))))</f>
        <v>1.8683645240552569</v>
      </c>
      <c r="I300" s="18">
        <f>IF(COUNTIF(Distance_Matrix!$E$11:$DQ$11,$E300)&lt;=1,0,(H300-G300)/MAX(G300,H300))</f>
        <v>0.5792376146785182</v>
      </c>
      <c r="X300" s="18">
        <f t="shared" si="294"/>
        <v>5.0075852088878463</v>
      </c>
      <c r="Y300" s="18">
        <f t="shared" si="294"/>
        <v>3.6019638270620704</v>
      </c>
      <c r="Z300" s="18">
        <f t="shared" si="294"/>
        <v>0.85923520666610143</v>
      </c>
      <c r="AA300" s="18">
        <f t="shared" si="294"/>
        <v>1.9463052517401351</v>
      </c>
      <c r="AB300" s="18">
        <f t="shared" si="294"/>
        <v>2.9080392987208228</v>
      </c>
      <c r="AC300" s="56">
        <f t="shared" si="259"/>
        <v>3</v>
      </c>
      <c r="AE300" s="18">
        <f t="shared" si="295"/>
        <v>4.9024129940726828</v>
      </c>
      <c r="AF300" s="18">
        <f t="shared" si="295"/>
        <v>2.8479002078493143</v>
      </c>
      <c r="AG300" s="18">
        <f t="shared" si="295"/>
        <v>0.29965365950898482</v>
      </c>
      <c r="AH300" s="18">
        <f t="shared" si="295"/>
        <v>1.7848932350727291</v>
      </c>
      <c r="AI300" s="18">
        <f t="shared" si="295"/>
        <v>2.633245200548509</v>
      </c>
      <c r="AJ300" s="56">
        <f t="shared" si="261"/>
        <v>3</v>
      </c>
      <c r="AL300" s="18">
        <f t="shared" si="296"/>
        <v>4.9024129940726828</v>
      </c>
      <c r="AM300" s="18">
        <f t="shared" si="296"/>
        <v>2.8704093406084561</v>
      </c>
      <c r="AN300" s="18">
        <f t="shared" si="296"/>
        <v>0.25771465915555342</v>
      </c>
      <c r="AO300" s="18">
        <f t="shared" si="296"/>
        <v>1.7334402945047798</v>
      </c>
      <c r="AP300" s="18">
        <f t="shared" si="296"/>
        <v>2.369101990906215</v>
      </c>
      <c r="AQ300" s="56">
        <f t="shared" si="263"/>
        <v>3</v>
      </c>
      <c r="AS300" s="18">
        <f t="shared" si="297"/>
        <v>4.9024129940726828</v>
      </c>
      <c r="AT300" s="18">
        <f t="shared" si="297"/>
        <v>2.9529307731798076</v>
      </c>
      <c r="AU300" s="18">
        <f t="shared" si="297"/>
        <v>0.25749001207140693</v>
      </c>
      <c r="AV300" s="18">
        <f t="shared" si="297"/>
        <v>1.741680521804132</v>
      </c>
      <c r="AW300" s="18">
        <f t="shared" si="297"/>
        <v>2.369101990906215</v>
      </c>
      <c r="AX300" s="56">
        <f t="shared" si="265"/>
        <v>3</v>
      </c>
      <c r="AZ300" s="18">
        <f t="shared" si="298"/>
        <v>4.9024129940726828</v>
      </c>
      <c r="BA300" s="18">
        <f t="shared" si="298"/>
        <v>2.9529307731798076</v>
      </c>
      <c r="BB300" s="18">
        <f t="shared" si="298"/>
        <v>0.25749001207140693</v>
      </c>
      <c r="BC300" s="18">
        <f t="shared" si="298"/>
        <v>1.741680521804132</v>
      </c>
      <c r="BD300" s="18">
        <f t="shared" si="298"/>
        <v>2.369101990906215</v>
      </c>
      <c r="BE300" s="56">
        <f t="shared" si="267"/>
        <v>3</v>
      </c>
      <c r="BG300" s="18">
        <f t="shared" si="299"/>
        <v>4.9024129940726828</v>
      </c>
      <c r="BH300" s="18">
        <f t="shared" si="299"/>
        <v>2.9529307731798076</v>
      </c>
      <c r="BI300" s="18">
        <f t="shared" si="299"/>
        <v>0.25749001207140693</v>
      </c>
      <c r="BJ300" s="18">
        <f t="shared" si="299"/>
        <v>1.741680521804132</v>
      </c>
      <c r="BK300" s="18">
        <f t="shared" si="299"/>
        <v>2.369101990906215</v>
      </c>
      <c r="BL300" s="56">
        <f t="shared" si="269"/>
        <v>3</v>
      </c>
      <c r="BN300" s="18">
        <f t="shared" si="300"/>
        <v>4.9024129940726828</v>
      </c>
      <c r="BO300" s="18">
        <f t="shared" si="300"/>
        <v>2.9529307731798076</v>
      </c>
      <c r="BP300" s="18">
        <f t="shared" si="300"/>
        <v>0.25749001207140693</v>
      </c>
      <c r="BQ300" s="18">
        <f t="shared" si="300"/>
        <v>1.741680521804132</v>
      </c>
      <c r="BR300" s="18">
        <f t="shared" si="300"/>
        <v>2.369101990906215</v>
      </c>
      <c r="BS300" s="56">
        <f t="shared" si="271"/>
        <v>3</v>
      </c>
      <c r="BU300" s="18">
        <f t="shared" si="301"/>
        <v>4.9024129940726828</v>
      </c>
      <c r="BV300" s="18">
        <f t="shared" si="301"/>
        <v>2.9529307731798076</v>
      </c>
      <c r="BW300" s="18">
        <f t="shared" si="301"/>
        <v>0.25749001207140693</v>
      </c>
      <c r="BX300" s="18">
        <f t="shared" si="301"/>
        <v>1.741680521804132</v>
      </c>
      <c r="BY300" s="18">
        <f t="shared" si="301"/>
        <v>2.369101990906215</v>
      </c>
      <c r="BZ300" s="56">
        <f t="shared" si="273"/>
        <v>3</v>
      </c>
      <c r="CB300" s="18">
        <f t="shared" si="302"/>
        <v>4.9024129940726828</v>
      </c>
      <c r="CC300" s="18">
        <f t="shared" si="302"/>
        <v>2.9529307731798076</v>
      </c>
      <c r="CD300" s="18">
        <f t="shared" si="302"/>
        <v>0.25749001207140693</v>
      </c>
      <c r="CE300" s="18">
        <f t="shared" si="302"/>
        <v>1.741680521804132</v>
      </c>
      <c r="CF300" s="18">
        <f t="shared" si="302"/>
        <v>2.369101990906215</v>
      </c>
      <c r="CG300" s="56">
        <f t="shared" si="275"/>
        <v>3</v>
      </c>
      <c r="CI300" s="18">
        <f t="shared" si="303"/>
        <v>4.9024129940726828</v>
      </c>
      <c r="CJ300" s="18">
        <f t="shared" si="303"/>
        <v>2.9529307731798076</v>
      </c>
      <c r="CK300" s="18">
        <f t="shared" si="303"/>
        <v>0.25749001207140693</v>
      </c>
      <c r="CL300" s="18">
        <f t="shared" si="303"/>
        <v>1.741680521804132</v>
      </c>
      <c r="CM300" s="18">
        <f t="shared" si="303"/>
        <v>2.369101990906215</v>
      </c>
      <c r="CN300" s="56">
        <f t="shared" si="277"/>
        <v>3</v>
      </c>
      <c r="CP300" s="18">
        <f t="shared" si="304"/>
        <v>4.9024129940726828</v>
      </c>
      <c r="CQ300" s="18">
        <f t="shared" si="304"/>
        <v>2.9529307731798076</v>
      </c>
      <c r="CR300" s="18">
        <f t="shared" si="304"/>
        <v>0.25749001207140693</v>
      </c>
      <c r="CS300" s="18">
        <f t="shared" si="304"/>
        <v>1.741680521804132</v>
      </c>
      <c r="CT300" s="18">
        <f t="shared" si="304"/>
        <v>2.369101990906215</v>
      </c>
      <c r="CU300" s="56">
        <f t="shared" si="279"/>
        <v>3</v>
      </c>
      <c r="CW300" s="18">
        <f t="shared" si="305"/>
        <v>4.9024129940726828</v>
      </c>
      <c r="CX300" s="18">
        <f t="shared" si="305"/>
        <v>2.9529307731798076</v>
      </c>
      <c r="CY300" s="18">
        <f t="shared" si="305"/>
        <v>0.25749001207140693</v>
      </c>
      <c r="CZ300" s="18">
        <f t="shared" si="305"/>
        <v>1.741680521804132</v>
      </c>
      <c r="DA300" s="18">
        <f t="shared" si="305"/>
        <v>2.369101990906215</v>
      </c>
      <c r="DB300" s="56">
        <f t="shared" si="281"/>
        <v>3</v>
      </c>
    </row>
    <row r="301" spans="1:106" x14ac:dyDescent="0.25">
      <c r="A301" s="36" t="str">
        <f>KMeans_Data!A29</f>
        <v>Bajaur</v>
      </c>
      <c r="B301" s="18">
        <f>KMeans_Data!H29</f>
        <v>0.76181258672347318</v>
      </c>
      <c r="C301" s="18">
        <f>KMeans_Data!I29</f>
        <v>1.3810745208577742</v>
      </c>
      <c r="D301" s="18">
        <f>KMeans_Data!J29</f>
        <v>0.72786907626120334</v>
      </c>
      <c r="E301" s="56">
        <f t="shared" si="256"/>
        <v>3</v>
      </c>
      <c r="F301" s="38">
        <f t="shared" si="257"/>
        <v>0.67168453687528407</v>
      </c>
      <c r="G301" s="18">
        <f>IF(COUNTIF(Distance_Matrix!$E$11:$DQ$11,$E301)&lt;=1,0,SUMIF(Distance_Matrix!$E$11:$DQ$11,$E301,Distance_Matrix!$E$38:$DQ$38)/(COUNTIF(Distance_Matrix!$E$11:$DQ$11,$E301)-1))</f>
        <v>1.0346789986911569</v>
      </c>
      <c r="H301" s="18">
        <f>MIN(IF(1=$E301,1E+99,IF(COUNTIF(Distance_Matrix!$E$11:$DQ$11,1)=0,1E+99,SUMIF(Distance_Matrix!$E$11:$DQ$11,1,Distance_Matrix!$E$38:$DQ$38)/COUNTIF(Distance_Matrix!$E$11:$DQ$11,1))),IF(2=$E301,1E+99,IF(COUNTIF(Distance_Matrix!$E$11:$DQ$11,2)=0,1E+99,SUMIF(Distance_Matrix!$E$11:$DQ$11,2,Distance_Matrix!$E$38:$DQ$38)/COUNTIF(Distance_Matrix!$E$11:$DQ$11,2))),IF(3=$E301,1E+99,IF(COUNTIF(Distance_Matrix!$E$11:$DQ$11,3)=0,1E+99,SUMIF(Distance_Matrix!$E$11:$DQ$11,3,Distance_Matrix!$E$38:$DQ$38)/COUNTIF(Distance_Matrix!$E$11:$DQ$11,3))),IF(4=$E301,1E+99,IF(COUNTIF(Distance_Matrix!$E$11:$DQ$11,4)=0,1E+99,SUMIF(Distance_Matrix!$E$11:$DQ$11,4,Distance_Matrix!$E$38:$DQ$38)/COUNTIF(Distance_Matrix!$E$11:$DQ$11,4))),IF(5=$E301,1E+99,IF(COUNTIF(Distance_Matrix!$E$11:$DQ$11,5)=0,1E+99,SUMIF(Distance_Matrix!$E$11:$DQ$11,5,Distance_Matrix!$E$38:$DQ$38)/COUNTIF(Distance_Matrix!$E$11:$DQ$11,5))))</f>
        <v>1.8357560937978454</v>
      </c>
      <c r="I301" s="18">
        <f>IF(COUNTIF(Distance_Matrix!$E$11:$DQ$11,$E301)&lt;=1,0,(H301-G301)/MAX(G301,H301))</f>
        <v>0.43637447143068214</v>
      </c>
      <c r="X301" s="18">
        <f t="shared" si="294"/>
        <v>4.4442382127810589</v>
      </c>
      <c r="Y301" s="18">
        <f t="shared" si="294"/>
        <v>3.9752041411792853</v>
      </c>
      <c r="Z301" s="18">
        <f t="shared" si="294"/>
        <v>1.2775206045773282</v>
      </c>
      <c r="AA301" s="18">
        <f t="shared" si="294"/>
        <v>2.420433901010778</v>
      </c>
      <c r="AB301" s="18">
        <f t="shared" si="294"/>
        <v>2.4711808824373649</v>
      </c>
      <c r="AC301" s="56">
        <f t="shared" si="259"/>
        <v>3</v>
      </c>
      <c r="AE301" s="18">
        <f t="shared" si="295"/>
        <v>4.3179753389450557</v>
      </c>
      <c r="AF301" s="18">
        <f t="shared" si="295"/>
        <v>3.3042679615695514</v>
      </c>
      <c r="AG301" s="18">
        <f t="shared" si="295"/>
        <v>0.91423502587270933</v>
      </c>
      <c r="AH301" s="18">
        <f t="shared" si="295"/>
        <v>2.3914384376447568</v>
      </c>
      <c r="AI301" s="18">
        <f t="shared" si="295"/>
        <v>2.0583084810575882</v>
      </c>
      <c r="AJ301" s="56">
        <f t="shared" si="261"/>
        <v>3</v>
      </c>
      <c r="AL301" s="18">
        <f t="shared" si="296"/>
        <v>4.3179753389450557</v>
      </c>
      <c r="AM301" s="18">
        <f t="shared" si="296"/>
        <v>3.324665173753111</v>
      </c>
      <c r="AN301" s="18">
        <f t="shared" si="296"/>
        <v>0.83189191162166254</v>
      </c>
      <c r="AO301" s="18">
        <f t="shared" si="296"/>
        <v>2.358186018352304</v>
      </c>
      <c r="AP301" s="18">
        <f t="shared" si="296"/>
        <v>1.7828356443929865</v>
      </c>
      <c r="AQ301" s="56">
        <f t="shared" si="263"/>
        <v>3</v>
      </c>
      <c r="AS301" s="18">
        <f t="shared" si="297"/>
        <v>4.3179753389450557</v>
      </c>
      <c r="AT301" s="18">
        <f t="shared" si="297"/>
        <v>3.3969005355388333</v>
      </c>
      <c r="AU301" s="18">
        <f t="shared" si="297"/>
        <v>0.8195636258859248</v>
      </c>
      <c r="AV301" s="18">
        <f t="shared" si="297"/>
        <v>2.3618633118376064</v>
      </c>
      <c r="AW301" s="18">
        <f t="shared" si="297"/>
        <v>1.7828356443929865</v>
      </c>
      <c r="AX301" s="56">
        <f t="shared" si="265"/>
        <v>3</v>
      </c>
      <c r="AZ301" s="18">
        <f t="shared" si="298"/>
        <v>4.3179753389450557</v>
      </c>
      <c r="BA301" s="18">
        <f t="shared" si="298"/>
        <v>3.3969005355388333</v>
      </c>
      <c r="BB301" s="18">
        <f t="shared" si="298"/>
        <v>0.8195636258859248</v>
      </c>
      <c r="BC301" s="18">
        <f t="shared" si="298"/>
        <v>2.3618633118376064</v>
      </c>
      <c r="BD301" s="18">
        <f t="shared" si="298"/>
        <v>1.7828356443929865</v>
      </c>
      <c r="BE301" s="56">
        <f t="shared" si="267"/>
        <v>3</v>
      </c>
      <c r="BG301" s="18">
        <f t="shared" si="299"/>
        <v>4.3179753389450557</v>
      </c>
      <c r="BH301" s="18">
        <f t="shared" si="299"/>
        <v>3.3969005355388333</v>
      </c>
      <c r="BI301" s="18">
        <f t="shared" si="299"/>
        <v>0.8195636258859248</v>
      </c>
      <c r="BJ301" s="18">
        <f t="shared" si="299"/>
        <v>2.3618633118376064</v>
      </c>
      <c r="BK301" s="18">
        <f t="shared" si="299"/>
        <v>1.7828356443929865</v>
      </c>
      <c r="BL301" s="56">
        <f t="shared" si="269"/>
        <v>3</v>
      </c>
      <c r="BN301" s="18">
        <f t="shared" si="300"/>
        <v>4.3179753389450557</v>
      </c>
      <c r="BO301" s="18">
        <f t="shared" si="300"/>
        <v>3.3969005355388333</v>
      </c>
      <c r="BP301" s="18">
        <f t="shared" si="300"/>
        <v>0.8195636258859248</v>
      </c>
      <c r="BQ301" s="18">
        <f t="shared" si="300"/>
        <v>2.3618633118376064</v>
      </c>
      <c r="BR301" s="18">
        <f t="shared" si="300"/>
        <v>1.7828356443929865</v>
      </c>
      <c r="BS301" s="56">
        <f t="shared" si="271"/>
        <v>3</v>
      </c>
      <c r="BU301" s="18">
        <f t="shared" si="301"/>
        <v>4.3179753389450557</v>
      </c>
      <c r="BV301" s="18">
        <f t="shared" si="301"/>
        <v>3.3969005355388333</v>
      </c>
      <c r="BW301" s="18">
        <f t="shared" si="301"/>
        <v>0.8195636258859248</v>
      </c>
      <c r="BX301" s="18">
        <f t="shared" si="301"/>
        <v>2.3618633118376064</v>
      </c>
      <c r="BY301" s="18">
        <f t="shared" si="301"/>
        <v>1.7828356443929865</v>
      </c>
      <c r="BZ301" s="56">
        <f t="shared" si="273"/>
        <v>3</v>
      </c>
      <c r="CB301" s="18">
        <f t="shared" si="302"/>
        <v>4.3179753389450557</v>
      </c>
      <c r="CC301" s="18">
        <f t="shared" si="302"/>
        <v>3.3969005355388333</v>
      </c>
      <c r="CD301" s="18">
        <f t="shared" si="302"/>
        <v>0.8195636258859248</v>
      </c>
      <c r="CE301" s="18">
        <f t="shared" si="302"/>
        <v>2.3618633118376064</v>
      </c>
      <c r="CF301" s="18">
        <f t="shared" si="302"/>
        <v>1.7828356443929865</v>
      </c>
      <c r="CG301" s="56">
        <f t="shared" si="275"/>
        <v>3</v>
      </c>
      <c r="CI301" s="18">
        <f t="shared" si="303"/>
        <v>4.3179753389450557</v>
      </c>
      <c r="CJ301" s="18">
        <f t="shared" si="303"/>
        <v>3.3969005355388333</v>
      </c>
      <c r="CK301" s="18">
        <f t="shared" si="303"/>
        <v>0.8195636258859248</v>
      </c>
      <c r="CL301" s="18">
        <f t="shared" si="303"/>
        <v>2.3618633118376064</v>
      </c>
      <c r="CM301" s="18">
        <f t="shared" si="303"/>
        <v>1.7828356443929865</v>
      </c>
      <c r="CN301" s="56">
        <f t="shared" si="277"/>
        <v>3</v>
      </c>
      <c r="CP301" s="18">
        <f t="shared" si="304"/>
        <v>4.3179753389450557</v>
      </c>
      <c r="CQ301" s="18">
        <f t="shared" si="304"/>
        <v>3.3969005355388333</v>
      </c>
      <c r="CR301" s="18">
        <f t="shared" si="304"/>
        <v>0.8195636258859248</v>
      </c>
      <c r="CS301" s="18">
        <f t="shared" si="304"/>
        <v>2.3618633118376064</v>
      </c>
      <c r="CT301" s="18">
        <f t="shared" si="304"/>
        <v>1.7828356443929865</v>
      </c>
      <c r="CU301" s="56">
        <f t="shared" si="279"/>
        <v>3</v>
      </c>
      <c r="CW301" s="18">
        <f t="shared" si="305"/>
        <v>4.3179753389450557</v>
      </c>
      <c r="CX301" s="18">
        <f t="shared" si="305"/>
        <v>3.3969005355388333</v>
      </c>
      <c r="CY301" s="18">
        <f t="shared" si="305"/>
        <v>0.8195636258859248</v>
      </c>
      <c r="CZ301" s="18">
        <f t="shared" si="305"/>
        <v>2.3618633118376064</v>
      </c>
      <c r="DA301" s="18">
        <f t="shared" si="305"/>
        <v>1.7828356443929865</v>
      </c>
      <c r="DB301" s="56">
        <f t="shared" si="281"/>
        <v>3</v>
      </c>
    </row>
    <row r="302" spans="1:106" x14ac:dyDescent="0.25">
      <c r="A302" s="36" t="str">
        <f>KMeans_Data!A30</f>
        <v>Shikarpur</v>
      </c>
      <c r="B302" s="18">
        <f>KMeans_Data!H30</f>
        <v>0.70820457074466558</v>
      </c>
      <c r="C302" s="18">
        <f>KMeans_Data!I30</f>
        <v>0.80308444953571578</v>
      </c>
      <c r="D302" s="18">
        <f>KMeans_Data!J30</f>
        <v>1.2784040483641788</v>
      </c>
      <c r="E302" s="56">
        <f t="shared" si="256"/>
        <v>3</v>
      </c>
      <c r="F302" s="38">
        <f t="shared" si="257"/>
        <v>0.23041761891880408</v>
      </c>
      <c r="G302" s="18">
        <f>IF(COUNTIF(Distance_Matrix!$E$11:$DQ$11,$E302)&lt;=1,0,SUMIF(Distance_Matrix!$E$11:$DQ$11,$E302,Distance_Matrix!$E$39:$DQ$39)/(COUNTIF(Distance_Matrix!$E$11:$DQ$11,$E302)-1))</f>
        <v>0.86202678738768279</v>
      </c>
      <c r="H302" s="18">
        <f>MIN(IF(1=$E302,1E+99,IF(COUNTIF(Distance_Matrix!$E$11:$DQ$11,1)=0,1E+99,SUMIF(Distance_Matrix!$E$11:$DQ$11,1,Distance_Matrix!$E$39:$DQ$39)/COUNTIF(Distance_Matrix!$E$11:$DQ$11,1))),IF(2=$E302,1E+99,IF(COUNTIF(Distance_Matrix!$E$11:$DQ$11,2)=0,1E+99,SUMIF(Distance_Matrix!$E$11:$DQ$11,2,Distance_Matrix!$E$39:$DQ$39)/COUNTIF(Distance_Matrix!$E$11:$DQ$11,2))),IF(3=$E302,1E+99,IF(COUNTIF(Distance_Matrix!$E$11:$DQ$11,3)=0,1E+99,SUMIF(Distance_Matrix!$E$11:$DQ$11,3,Distance_Matrix!$E$39:$DQ$39)/COUNTIF(Distance_Matrix!$E$11:$DQ$11,3))),IF(4=$E302,1E+99,IF(COUNTIF(Distance_Matrix!$E$11:$DQ$11,4)=0,1E+99,SUMIF(Distance_Matrix!$E$11:$DQ$11,4,Distance_Matrix!$E$39:$DQ$39)/COUNTIF(Distance_Matrix!$E$11:$DQ$11,4))),IF(5=$E302,1E+99,IF(COUNTIF(Distance_Matrix!$E$11:$DQ$11,5)=0,1E+99,SUMIF(Distance_Matrix!$E$11:$DQ$11,5,Distance_Matrix!$E$39:$DQ$39)/COUNTIF(Distance_Matrix!$E$11:$DQ$11,5))))</f>
        <v>2.0768290596360668</v>
      </c>
      <c r="I302" s="18">
        <f>IF(COUNTIF(Distance_Matrix!$E$11:$DQ$11,$E302)&lt;=1,0,(H302-G302)/MAX(G302,H302))</f>
        <v>0.58493127617410168</v>
      </c>
      <c r="X302" s="18">
        <f t="shared" si="294"/>
        <v>4.5774421255084663</v>
      </c>
      <c r="Y302" s="18">
        <f t="shared" si="294"/>
        <v>3.9782442052148572</v>
      </c>
      <c r="Z302" s="18">
        <f t="shared" si="294"/>
        <v>0.57035761149190434</v>
      </c>
      <c r="AA302" s="18">
        <f t="shared" si="294"/>
        <v>2.6043325647718318</v>
      </c>
      <c r="AB302" s="18">
        <f t="shared" si="294"/>
        <v>2.4826193856844538</v>
      </c>
      <c r="AC302" s="56">
        <f t="shared" si="259"/>
        <v>3</v>
      </c>
      <c r="AE302" s="18">
        <f t="shared" si="295"/>
        <v>4.4976162372573842</v>
      </c>
      <c r="AF302" s="18">
        <f t="shared" si="295"/>
        <v>3.2897262967664265</v>
      </c>
      <c r="AG302" s="18">
        <f t="shared" si="295"/>
        <v>0.55175701176539149</v>
      </c>
      <c r="AH302" s="18">
        <f t="shared" si="295"/>
        <v>2.3401015809001877</v>
      </c>
      <c r="AI302" s="18">
        <f t="shared" si="295"/>
        <v>2.2780856939381833</v>
      </c>
      <c r="AJ302" s="56">
        <f t="shared" si="261"/>
        <v>3</v>
      </c>
      <c r="AL302" s="18">
        <f t="shared" si="296"/>
        <v>4.4976162372573842</v>
      </c>
      <c r="AM302" s="18">
        <f t="shared" si="296"/>
        <v>3.3187235366442689</v>
      </c>
      <c r="AN302" s="18">
        <f t="shared" si="296"/>
        <v>0.5031348187548399</v>
      </c>
      <c r="AO302" s="18">
        <f t="shared" si="296"/>
        <v>2.2719252660626443</v>
      </c>
      <c r="AP302" s="18">
        <f t="shared" si="296"/>
        <v>2.0173404081554289</v>
      </c>
      <c r="AQ302" s="56">
        <f t="shared" si="263"/>
        <v>3</v>
      </c>
      <c r="AS302" s="18">
        <f t="shared" si="297"/>
        <v>4.4976162372573842</v>
      </c>
      <c r="AT302" s="18">
        <f t="shared" si="297"/>
        <v>3.405051090216896</v>
      </c>
      <c r="AU302" s="18">
        <f t="shared" si="297"/>
        <v>0.4800183526895655</v>
      </c>
      <c r="AV302" s="18">
        <f t="shared" si="297"/>
        <v>2.2701423112948627</v>
      </c>
      <c r="AW302" s="18">
        <f t="shared" si="297"/>
        <v>2.0173404081554289</v>
      </c>
      <c r="AX302" s="56">
        <f t="shared" si="265"/>
        <v>3</v>
      </c>
      <c r="AZ302" s="18">
        <f t="shared" si="298"/>
        <v>4.4976162372573842</v>
      </c>
      <c r="BA302" s="18">
        <f t="shared" si="298"/>
        <v>3.405051090216896</v>
      </c>
      <c r="BB302" s="18">
        <f t="shared" si="298"/>
        <v>0.4800183526895655</v>
      </c>
      <c r="BC302" s="18">
        <f t="shared" si="298"/>
        <v>2.2701423112948627</v>
      </c>
      <c r="BD302" s="18">
        <f t="shared" si="298"/>
        <v>2.0173404081554289</v>
      </c>
      <c r="BE302" s="56">
        <f t="shared" si="267"/>
        <v>3</v>
      </c>
      <c r="BG302" s="18">
        <f t="shared" si="299"/>
        <v>4.4976162372573842</v>
      </c>
      <c r="BH302" s="18">
        <f t="shared" si="299"/>
        <v>3.405051090216896</v>
      </c>
      <c r="BI302" s="18">
        <f t="shared" si="299"/>
        <v>0.4800183526895655</v>
      </c>
      <c r="BJ302" s="18">
        <f t="shared" si="299"/>
        <v>2.2701423112948627</v>
      </c>
      <c r="BK302" s="18">
        <f t="shared" si="299"/>
        <v>2.0173404081554289</v>
      </c>
      <c r="BL302" s="56">
        <f t="shared" si="269"/>
        <v>3</v>
      </c>
      <c r="BN302" s="18">
        <f t="shared" si="300"/>
        <v>4.4976162372573842</v>
      </c>
      <c r="BO302" s="18">
        <f t="shared" si="300"/>
        <v>3.405051090216896</v>
      </c>
      <c r="BP302" s="18">
        <f t="shared" si="300"/>
        <v>0.4800183526895655</v>
      </c>
      <c r="BQ302" s="18">
        <f t="shared" si="300"/>
        <v>2.2701423112948627</v>
      </c>
      <c r="BR302" s="18">
        <f t="shared" si="300"/>
        <v>2.0173404081554289</v>
      </c>
      <c r="BS302" s="56">
        <f t="shared" si="271"/>
        <v>3</v>
      </c>
      <c r="BU302" s="18">
        <f t="shared" si="301"/>
        <v>4.4976162372573842</v>
      </c>
      <c r="BV302" s="18">
        <f t="shared" si="301"/>
        <v>3.405051090216896</v>
      </c>
      <c r="BW302" s="18">
        <f t="shared" si="301"/>
        <v>0.4800183526895655</v>
      </c>
      <c r="BX302" s="18">
        <f t="shared" si="301"/>
        <v>2.2701423112948627</v>
      </c>
      <c r="BY302" s="18">
        <f t="shared" si="301"/>
        <v>2.0173404081554289</v>
      </c>
      <c r="BZ302" s="56">
        <f t="shared" si="273"/>
        <v>3</v>
      </c>
      <c r="CB302" s="18">
        <f t="shared" si="302"/>
        <v>4.4976162372573842</v>
      </c>
      <c r="CC302" s="18">
        <f t="shared" si="302"/>
        <v>3.405051090216896</v>
      </c>
      <c r="CD302" s="18">
        <f t="shared" si="302"/>
        <v>0.4800183526895655</v>
      </c>
      <c r="CE302" s="18">
        <f t="shared" si="302"/>
        <v>2.2701423112948627</v>
      </c>
      <c r="CF302" s="18">
        <f t="shared" si="302"/>
        <v>2.0173404081554289</v>
      </c>
      <c r="CG302" s="56">
        <f t="shared" si="275"/>
        <v>3</v>
      </c>
      <c r="CI302" s="18">
        <f t="shared" si="303"/>
        <v>4.4976162372573842</v>
      </c>
      <c r="CJ302" s="18">
        <f t="shared" si="303"/>
        <v>3.405051090216896</v>
      </c>
      <c r="CK302" s="18">
        <f t="shared" si="303"/>
        <v>0.4800183526895655</v>
      </c>
      <c r="CL302" s="18">
        <f t="shared" si="303"/>
        <v>2.2701423112948627</v>
      </c>
      <c r="CM302" s="18">
        <f t="shared" si="303"/>
        <v>2.0173404081554289</v>
      </c>
      <c r="CN302" s="56">
        <f t="shared" si="277"/>
        <v>3</v>
      </c>
      <c r="CP302" s="18">
        <f t="shared" si="304"/>
        <v>4.4976162372573842</v>
      </c>
      <c r="CQ302" s="18">
        <f t="shared" si="304"/>
        <v>3.405051090216896</v>
      </c>
      <c r="CR302" s="18">
        <f t="shared" si="304"/>
        <v>0.4800183526895655</v>
      </c>
      <c r="CS302" s="18">
        <f t="shared" si="304"/>
        <v>2.2701423112948627</v>
      </c>
      <c r="CT302" s="18">
        <f t="shared" si="304"/>
        <v>2.0173404081554289</v>
      </c>
      <c r="CU302" s="56">
        <f t="shared" si="279"/>
        <v>3</v>
      </c>
      <c r="CW302" s="18">
        <f t="shared" si="305"/>
        <v>4.4976162372573842</v>
      </c>
      <c r="CX302" s="18">
        <f t="shared" si="305"/>
        <v>3.405051090216896</v>
      </c>
      <c r="CY302" s="18">
        <f t="shared" si="305"/>
        <v>0.4800183526895655</v>
      </c>
      <c r="CZ302" s="18">
        <f t="shared" si="305"/>
        <v>2.2701423112948627</v>
      </c>
      <c r="DA302" s="18">
        <f t="shared" si="305"/>
        <v>2.0173404081554289</v>
      </c>
      <c r="DB302" s="56">
        <f t="shared" si="281"/>
        <v>3</v>
      </c>
    </row>
    <row r="303" spans="1:106" x14ac:dyDescent="0.25">
      <c r="A303" s="36" t="str">
        <f>KMeans_Data!A31</f>
        <v>Rawalpindi</v>
      </c>
      <c r="B303" s="18">
        <f>KMeans_Data!H31</f>
        <v>0.64567305864807512</v>
      </c>
      <c r="C303" s="18">
        <f>KMeans_Data!I31</f>
        <v>-0.14698313392952958</v>
      </c>
      <c r="D303" s="18">
        <f>KMeans_Data!J31</f>
        <v>-1.1456441163335547</v>
      </c>
      <c r="E303" s="56">
        <f t="shared" si="256"/>
        <v>4</v>
      </c>
      <c r="F303" s="38">
        <f t="shared" si="257"/>
        <v>1.323796485278627</v>
      </c>
      <c r="G303" s="18">
        <f>IF(COUNTIF(Distance_Matrix!$E$11:$DQ$11,$E303)&lt;=1,0,SUMIF(Distance_Matrix!$E$11:$DQ$11,$E303,Distance_Matrix!$E$40:$DQ$40)/(COUNTIF(Distance_Matrix!$E$11:$DQ$11,$E303)-1))</f>
        <v>1.3393694812978458</v>
      </c>
      <c r="H303" s="18">
        <f>MIN(IF(1=$E303,1E+99,IF(COUNTIF(Distance_Matrix!$E$11:$DQ$11,1)=0,1E+99,SUMIF(Distance_Matrix!$E$11:$DQ$11,1,Distance_Matrix!$E$40:$DQ$40)/COUNTIF(Distance_Matrix!$E$11:$DQ$11,1))),IF(2=$E303,1E+99,IF(COUNTIF(Distance_Matrix!$E$11:$DQ$11,2)=0,1E+99,SUMIF(Distance_Matrix!$E$11:$DQ$11,2,Distance_Matrix!$E$40:$DQ$40)/COUNTIF(Distance_Matrix!$E$11:$DQ$11,2))),IF(3=$E303,1E+99,IF(COUNTIF(Distance_Matrix!$E$11:$DQ$11,3)=0,1E+99,SUMIF(Distance_Matrix!$E$11:$DQ$11,3,Distance_Matrix!$E$40:$DQ$40)/COUNTIF(Distance_Matrix!$E$11:$DQ$11,3))),IF(4=$E303,1E+99,IF(COUNTIF(Distance_Matrix!$E$11:$DQ$11,4)=0,1E+99,SUMIF(Distance_Matrix!$E$11:$DQ$11,4,Distance_Matrix!$E$40:$DQ$40)/COUNTIF(Distance_Matrix!$E$11:$DQ$11,4))),IF(5=$E303,1E+99,IF(COUNTIF(Distance_Matrix!$E$11:$DQ$11,5)=0,1E+99,SUMIF(Distance_Matrix!$E$11:$DQ$11,5,Distance_Matrix!$E$40:$DQ$40)/COUNTIF(Distance_Matrix!$E$11:$DQ$11,5))))</f>
        <v>2.0039157394970433</v>
      </c>
      <c r="I303" s="18">
        <f>IF(COUNTIF(Distance_Matrix!$E$11:$DQ$11,$E303)&lt;=1,0,(H303-G303)/MAX(G303,H303))</f>
        <v>0.33162385279033235</v>
      </c>
      <c r="X303" s="18">
        <f t="shared" si="294"/>
        <v>6.6163799696290333</v>
      </c>
      <c r="Y303" s="18">
        <f t="shared" si="294"/>
        <v>2.7756425502726647</v>
      </c>
      <c r="Z303" s="18">
        <f t="shared" si="294"/>
        <v>2.6969311940684069</v>
      </c>
      <c r="AA303" s="18">
        <f t="shared" si="294"/>
        <v>0</v>
      </c>
      <c r="AB303" s="18">
        <f t="shared" si="294"/>
        <v>4.6140961456431953</v>
      </c>
      <c r="AC303" s="56">
        <f t="shared" si="259"/>
        <v>4</v>
      </c>
      <c r="AE303" s="18">
        <f t="shared" si="295"/>
        <v>6.4634051549982905</v>
      </c>
      <c r="AF303" s="18">
        <f t="shared" si="295"/>
        <v>1.9648908863760912</v>
      </c>
      <c r="AG303" s="18">
        <f t="shared" si="295"/>
        <v>2.0964422591627017</v>
      </c>
      <c r="AH303" s="18">
        <f t="shared" si="295"/>
        <v>1.0085876050673221</v>
      </c>
      <c r="AI303" s="18">
        <f t="shared" si="295"/>
        <v>4.2323981191605533</v>
      </c>
      <c r="AJ303" s="56">
        <f t="shared" si="261"/>
        <v>4</v>
      </c>
      <c r="AL303" s="18">
        <f t="shared" si="296"/>
        <v>6.4634051549982905</v>
      </c>
      <c r="AM303" s="18">
        <f t="shared" si="296"/>
        <v>1.9517274722174118</v>
      </c>
      <c r="AN303" s="18">
        <f t="shared" si="296"/>
        <v>2.1169870327508433</v>
      </c>
      <c r="AO303" s="18">
        <f t="shared" si="296"/>
        <v>1.104995819312895</v>
      </c>
      <c r="AP303" s="18">
        <f t="shared" si="296"/>
        <v>3.9842436342804364</v>
      </c>
      <c r="AQ303" s="56">
        <f t="shared" si="263"/>
        <v>4</v>
      </c>
      <c r="AS303" s="18">
        <f t="shared" si="297"/>
        <v>6.4634051549982905</v>
      </c>
      <c r="AT303" s="18">
        <f t="shared" si="297"/>
        <v>1.9900346330612304</v>
      </c>
      <c r="AU303" s="18">
        <f t="shared" si="297"/>
        <v>2.1356807492028604</v>
      </c>
      <c r="AV303" s="18">
        <f t="shared" si="297"/>
        <v>1.1505635511690031</v>
      </c>
      <c r="AW303" s="18">
        <f t="shared" si="297"/>
        <v>3.9842436342804364</v>
      </c>
      <c r="AX303" s="56">
        <f t="shared" si="265"/>
        <v>4</v>
      </c>
      <c r="AZ303" s="18">
        <f t="shared" si="298"/>
        <v>6.4634051549982905</v>
      </c>
      <c r="BA303" s="18">
        <f t="shared" si="298"/>
        <v>1.9900346330612304</v>
      </c>
      <c r="BB303" s="18">
        <f t="shared" si="298"/>
        <v>2.1356807492028604</v>
      </c>
      <c r="BC303" s="18">
        <f t="shared" si="298"/>
        <v>1.1505635511690031</v>
      </c>
      <c r="BD303" s="18">
        <f t="shared" si="298"/>
        <v>3.9842436342804364</v>
      </c>
      <c r="BE303" s="56">
        <f t="shared" si="267"/>
        <v>4</v>
      </c>
      <c r="BG303" s="18">
        <f t="shared" si="299"/>
        <v>6.4634051549982905</v>
      </c>
      <c r="BH303" s="18">
        <f t="shared" si="299"/>
        <v>1.9900346330612304</v>
      </c>
      <c r="BI303" s="18">
        <f t="shared" si="299"/>
        <v>2.1356807492028604</v>
      </c>
      <c r="BJ303" s="18">
        <f t="shared" si="299"/>
        <v>1.1505635511690031</v>
      </c>
      <c r="BK303" s="18">
        <f t="shared" si="299"/>
        <v>3.9842436342804364</v>
      </c>
      <c r="BL303" s="56">
        <f t="shared" si="269"/>
        <v>4</v>
      </c>
      <c r="BN303" s="18">
        <f t="shared" si="300"/>
        <v>6.4634051549982905</v>
      </c>
      <c r="BO303" s="18">
        <f t="shared" si="300"/>
        <v>1.9900346330612304</v>
      </c>
      <c r="BP303" s="18">
        <f t="shared" si="300"/>
        <v>2.1356807492028604</v>
      </c>
      <c r="BQ303" s="18">
        <f t="shared" si="300"/>
        <v>1.1505635511690031</v>
      </c>
      <c r="BR303" s="18">
        <f t="shared" si="300"/>
        <v>3.9842436342804364</v>
      </c>
      <c r="BS303" s="56">
        <f t="shared" si="271"/>
        <v>4</v>
      </c>
      <c r="BU303" s="18">
        <f t="shared" si="301"/>
        <v>6.4634051549982905</v>
      </c>
      <c r="BV303" s="18">
        <f t="shared" si="301"/>
        <v>1.9900346330612304</v>
      </c>
      <c r="BW303" s="18">
        <f t="shared" si="301"/>
        <v>2.1356807492028604</v>
      </c>
      <c r="BX303" s="18">
        <f t="shared" si="301"/>
        <v>1.1505635511690031</v>
      </c>
      <c r="BY303" s="18">
        <f t="shared" si="301"/>
        <v>3.9842436342804364</v>
      </c>
      <c r="BZ303" s="56">
        <f t="shared" si="273"/>
        <v>4</v>
      </c>
      <c r="CB303" s="18">
        <f t="shared" si="302"/>
        <v>6.4634051549982905</v>
      </c>
      <c r="CC303" s="18">
        <f t="shared" si="302"/>
        <v>1.9900346330612304</v>
      </c>
      <c r="CD303" s="18">
        <f t="shared" si="302"/>
        <v>2.1356807492028604</v>
      </c>
      <c r="CE303" s="18">
        <f t="shared" si="302"/>
        <v>1.1505635511690031</v>
      </c>
      <c r="CF303" s="18">
        <f t="shared" si="302"/>
        <v>3.9842436342804364</v>
      </c>
      <c r="CG303" s="56">
        <f t="shared" si="275"/>
        <v>4</v>
      </c>
      <c r="CI303" s="18">
        <f t="shared" si="303"/>
        <v>6.4634051549982905</v>
      </c>
      <c r="CJ303" s="18">
        <f t="shared" si="303"/>
        <v>1.9900346330612304</v>
      </c>
      <c r="CK303" s="18">
        <f t="shared" si="303"/>
        <v>2.1356807492028604</v>
      </c>
      <c r="CL303" s="18">
        <f t="shared" si="303"/>
        <v>1.1505635511690031</v>
      </c>
      <c r="CM303" s="18">
        <f t="shared" si="303"/>
        <v>3.9842436342804364</v>
      </c>
      <c r="CN303" s="56">
        <f t="shared" si="277"/>
        <v>4</v>
      </c>
      <c r="CP303" s="18">
        <f t="shared" si="304"/>
        <v>6.4634051549982905</v>
      </c>
      <c r="CQ303" s="18">
        <f t="shared" si="304"/>
        <v>1.9900346330612304</v>
      </c>
      <c r="CR303" s="18">
        <f t="shared" si="304"/>
        <v>2.1356807492028604</v>
      </c>
      <c r="CS303" s="18">
        <f t="shared" si="304"/>
        <v>1.1505635511690031</v>
      </c>
      <c r="CT303" s="18">
        <f t="shared" si="304"/>
        <v>3.9842436342804364</v>
      </c>
      <c r="CU303" s="56">
        <f t="shared" si="279"/>
        <v>4</v>
      </c>
      <c r="CW303" s="18">
        <f t="shared" si="305"/>
        <v>6.4634051549982905</v>
      </c>
      <c r="CX303" s="18">
        <f t="shared" si="305"/>
        <v>1.9900346330612304</v>
      </c>
      <c r="CY303" s="18">
        <f t="shared" si="305"/>
        <v>2.1356807492028604</v>
      </c>
      <c r="CZ303" s="18">
        <f t="shared" si="305"/>
        <v>1.1505635511690031</v>
      </c>
      <c r="DA303" s="18">
        <f t="shared" si="305"/>
        <v>3.9842436342804364</v>
      </c>
      <c r="DB303" s="56">
        <f t="shared" si="281"/>
        <v>4</v>
      </c>
    </row>
    <row r="304" spans="1:106" x14ac:dyDescent="0.25">
      <c r="A304" s="36" t="str">
        <f>KMeans_Data!A32</f>
        <v>Buner</v>
      </c>
      <c r="B304" s="18">
        <f>KMeans_Data!H32</f>
        <v>0.60239578498043678</v>
      </c>
      <c r="C304" s="18">
        <f>KMeans_Data!I32</f>
        <v>0.68618000108374222</v>
      </c>
      <c r="D304" s="18">
        <f>KMeans_Data!J32</f>
        <v>0.8732151368336003</v>
      </c>
      <c r="E304" s="56">
        <f t="shared" si="256"/>
        <v>3</v>
      </c>
      <c r="F304" s="38">
        <f t="shared" si="257"/>
        <v>1.0572781796334134E-2</v>
      </c>
      <c r="G304" s="18">
        <f>IF(COUNTIF(Distance_Matrix!$E$11:$DQ$11,$E304)&lt;=1,0,SUMIF(Distance_Matrix!$E$11:$DQ$11,$E304,Distance_Matrix!$E$41:$DQ$41)/(COUNTIF(Distance_Matrix!$E$11:$DQ$11,$E304)-1))</f>
        <v>0.74759207725312826</v>
      </c>
      <c r="H304" s="18">
        <f>MIN(IF(1=$E304,1E+99,IF(COUNTIF(Distance_Matrix!$E$11:$DQ$11,1)=0,1E+99,SUMIF(Distance_Matrix!$E$11:$DQ$11,1,Distance_Matrix!$E$41:$DQ$41)/COUNTIF(Distance_Matrix!$E$11:$DQ$11,1))),IF(2=$E304,1E+99,IF(COUNTIF(Distance_Matrix!$E$11:$DQ$11,2)=0,1E+99,SUMIF(Distance_Matrix!$E$11:$DQ$11,2,Distance_Matrix!$E$41:$DQ$41)/COUNTIF(Distance_Matrix!$E$11:$DQ$11,2))),IF(3=$E304,1E+99,IF(COUNTIF(Distance_Matrix!$E$11:$DQ$11,3)=0,1E+99,SUMIF(Distance_Matrix!$E$11:$DQ$11,3,Distance_Matrix!$E$41:$DQ$41)/COUNTIF(Distance_Matrix!$E$11:$DQ$11,3))),IF(4=$E304,1E+99,IF(COUNTIF(Distance_Matrix!$E$11:$DQ$11,4)=0,1E+99,SUMIF(Distance_Matrix!$E$11:$DQ$11,4,Distance_Matrix!$E$41:$DQ$41)/COUNTIF(Distance_Matrix!$E$11:$DQ$11,4))),IF(5=$E304,1E+99,IF(COUNTIF(Distance_Matrix!$E$11:$DQ$11,5)=0,1E+99,SUMIF(Distance_Matrix!$E$11:$DQ$11,5,Distance_Matrix!$E$41:$DQ$41)/COUNTIF(Distance_Matrix!$E$11:$DQ$11,5))))</f>
        <v>1.9889606289930242</v>
      </c>
      <c r="I304" s="18">
        <f>IF(COUNTIF(Distance_Matrix!$E$11:$DQ$11,$E304)&lt;=1,0,(H304-G304)/MAX(G304,H304))</f>
        <v>0.62412927317137445</v>
      </c>
      <c r="X304" s="18">
        <f t="shared" si="294"/>
        <v>4.903216967148734</v>
      </c>
      <c r="Y304" s="18">
        <f t="shared" si="294"/>
        <v>3.6216094048151786</v>
      </c>
      <c r="Z304" s="18">
        <f t="shared" si="294"/>
        <v>0.80022663785630888</v>
      </c>
      <c r="AA304" s="18">
        <f t="shared" si="294"/>
        <v>2.1844510560000856</v>
      </c>
      <c r="AB304" s="18">
        <f t="shared" si="294"/>
        <v>2.8174604630695534</v>
      </c>
      <c r="AC304" s="56">
        <f t="shared" si="259"/>
        <v>3</v>
      </c>
      <c r="AE304" s="18">
        <f t="shared" si="295"/>
        <v>4.8058818500551279</v>
      </c>
      <c r="AF304" s="18">
        <f t="shared" si="295"/>
        <v>2.9093522232654689</v>
      </c>
      <c r="AG304" s="18">
        <f t="shared" si="295"/>
        <v>0.195784896695465</v>
      </c>
      <c r="AH304" s="18">
        <f t="shared" si="295"/>
        <v>1.9358297483834981</v>
      </c>
      <c r="AI304" s="18">
        <f t="shared" si="295"/>
        <v>2.5476629224071647</v>
      </c>
      <c r="AJ304" s="56">
        <f t="shared" si="261"/>
        <v>3</v>
      </c>
      <c r="AL304" s="18">
        <f t="shared" si="296"/>
        <v>4.8058818500551279</v>
      </c>
      <c r="AM304" s="18">
        <f t="shared" si="296"/>
        <v>2.9354683417482472</v>
      </c>
      <c r="AN304" s="18">
        <f t="shared" si="296"/>
        <v>0.11612188583982423</v>
      </c>
      <c r="AO304" s="18">
        <f t="shared" si="296"/>
        <v>1.8756146397351405</v>
      </c>
      <c r="AP304" s="18">
        <f t="shared" si="296"/>
        <v>2.2788136580652596</v>
      </c>
      <c r="AQ304" s="56">
        <f t="shared" si="263"/>
        <v>3</v>
      </c>
      <c r="AS304" s="18">
        <f t="shared" si="297"/>
        <v>4.8058818500551279</v>
      </c>
      <c r="AT304" s="18">
        <f t="shared" si="297"/>
        <v>3.019392744561777</v>
      </c>
      <c r="AU304" s="18">
        <f t="shared" si="297"/>
        <v>0.10282403316508322</v>
      </c>
      <c r="AV304" s="18">
        <f t="shared" si="297"/>
        <v>1.8758941877818405</v>
      </c>
      <c r="AW304" s="18">
        <f t="shared" si="297"/>
        <v>2.2788136580652596</v>
      </c>
      <c r="AX304" s="56">
        <f t="shared" si="265"/>
        <v>3</v>
      </c>
      <c r="AZ304" s="18">
        <f t="shared" si="298"/>
        <v>4.8058818500551279</v>
      </c>
      <c r="BA304" s="18">
        <f t="shared" si="298"/>
        <v>3.019392744561777</v>
      </c>
      <c r="BB304" s="18">
        <f t="shared" si="298"/>
        <v>0.10282403316508322</v>
      </c>
      <c r="BC304" s="18">
        <f t="shared" si="298"/>
        <v>1.8758941877818405</v>
      </c>
      <c r="BD304" s="18">
        <f t="shared" si="298"/>
        <v>2.2788136580652596</v>
      </c>
      <c r="BE304" s="56">
        <f t="shared" si="267"/>
        <v>3</v>
      </c>
      <c r="BG304" s="18">
        <f t="shared" si="299"/>
        <v>4.8058818500551279</v>
      </c>
      <c r="BH304" s="18">
        <f t="shared" si="299"/>
        <v>3.019392744561777</v>
      </c>
      <c r="BI304" s="18">
        <f t="shared" si="299"/>
        <v>0.10282403316508322</v>
      </c>
      <c r="BJ304" s="18">
        <f t="shared" si="299"/>
        <v>1.8758941877818405</v>
      </c>
      <c r="BK304" s="18">
        <f t="shared" si="299"/>
        <v>2.2788136580652596</v>
      </c>
      <c r="BL304" s="56">
        <f t="shared" si="269"/>
        <v>3</v>
      </c>
      <c r="BN304" s="18">
        <f t="shared" si="300"/>
        <v>4.8058818500551279</v>
      </c>
      <c r="BO304" s="18">
        <f t="shared" si="300"/>
        <v>3.019392744561777</v>
      </c>
      <c r="BP304" s="18">
        <f t="shared" si="300"/>
        <v>0.10282403316508322</v>
      </c>
      <c r="BQ304" s="18">
        <f t="shared" si="300"/>
        <v>1.8758941877818405</v>
      </c>
      <c r="BR304" s="18">
        <f t="shared" si="300"/>
        <v>2.2788136580652596</v>
      </c>
      <c r="BS304" s="56">
        <f t="shared" si="271"/>
        <v>3</v>
      </c>
      <c r="BU304" s="18">
        <f t="shared" si="301"/>
        <v>4.8058818500551279</v>
      </c>
      <c r="BV304" s="18">
        <f t="shared" si="301"/>
        <v>3.019392744561777</v>
      </c>
      <c r="BW304" s="18">
        <f t="shared" si="301"/>
        <v>0.10282403316508322</v>
      </c>
      <c r="BX304" s="18">
        <f t="shared" si="301"/>
        <v>1.8758941877818405</v>
      </c>
      <c r="BY304" s="18">
        <f t="shared" si="301"/>
        <v>2.2788136580652596</v>
      </c>
      <c r="BZ304" s="56">
        <f t="shared" si="273"/>
        <v>3</v>
      </c>
      <c r="CB304" s="18">
        <f t="shared" si="302"/>
        <v>4.8058818500551279</v>
      </c>
      <c r="CC304" s="18">
        <f t="shared" si="302"/>
        <v>3.019392744561777</v>
      </c>
      <c r="CD304" s="18">
        <f t="shared" si="302"/>
        <v>0.10282403316508322</v>
      </c>
      <c r="CE304" s="18">
        <f t="shared" si="302"/>
        <v>1.8758941877818405</v>
      </c>
      <c r="CF304" s="18">
        <f t="shared" si="302"/>
        <v>2.2788136580652596</v>
      </c>
      <c r="CG304" s="56">
        <f t="shared" si="275"/>
        <v>3</v>
      </c>
      <c r="CI304" s="18">
        <f t="shared" si="303"/>
        <v>4.8058818500551279</v>
      </c>
      <c r="CJ304" s="18">
        <f t="shared" si="303"/>
        <v>3.019392744561777</v>
      </c>
      <c r="CK304" s="18">
        <f t="shared" si="303"/>
        <v>0.10282403316508322</v>
      </c>
      <c r="CL304" s="18">
        <f t="shared" si="303"/>
        <v>1.8758941877818405</v>
      </c>
      <c r="CM304" s="18">
        <f t="shared" si="303"/>
        <v>2.2788136580652596</v>
      </c>
      <c r="CN304" s="56">
        <f t="shared" si="277"/>
        <v>3</v>
      </c>
      <c r="CP304" s="18">
        <f t="shared" si="304"/>
        <v>4.8058818500551279</v>
      </c>
      <c r="CQ304" s="18">
        <f t="shared" si="304"/>
        <v>3.019392744561777</v>
      </c>
      <c r="CR304" s="18">
        <f t="shared" si="304"/>
        <v>0.10282403316508322</v>
      </c>
      <c r="CS304" s="18">
        <f t="shared" si="304"/>
        <v>1.8758941877818405</v>
      </c>
      <c r="CT304" s="18">
        <f t="shared" si="304"/>
        <v>2.2788136580652596</v>
      </c>
      <c r="CU304" s="56">
        <f t="shared" si="279"/>
        <v>3</v>
      </c>
      <c r="CW304" s="18">
        <f t="shared" si="305"/>
        <v>4.8058818500551279</v>
      </c>
      <c r="CX304" s="18">
        <f t="shared" si="305"/>
        <v>3.019392744561777</v>
      </c>
      <c r="CY304" s="18">
        <f t="shared" si="305"/>
        <v>0.10282403316508322</v>
      </c>
      <c r="CZ304" s="18">
        <f t="shared" si="305"/>
        <v>1.8758941877818405</v>
      </c>
      <c r="DA304" s="18">
        <f t="shared" si="305"/>
        <v>2.2788136580652596</v>
      </c>
      <c r="DB304" s="56">
        <f t="shared" si="281"/>
        <v>3</v>
      </c>
    </row>
    <row r="305" spans="1:106" x14ac:dyDescent="0.25">
      <c r="A305" s="36" t="str">
        <f>KMeans_Data!A33</f>
        <v>Sargodha</v>
      </c>
      <c r="B305" s="18">
        <f>KMeans_Data!H33</f>
        <v>0.57775354876086193</v>
      </c>
      <c r="C305" s="18">
        <f>KMeans_Data!I33</f>
        <v>-0.67265054538827607</v>
      </c>
      <c r="D305" s="18">
        <f>KMeans_Data!J33</f>
        <v>-0.39984522290956798</v>
      </c>
      <c r="E305" s="56">
        <f t="shared" si="256"/>
        <v>4</v>
      </c>
      <c r="F305" s="38">
        <f t="shared" si="257"/>
        <v>0.52674697636267642</v>
      </c>
      <c r="G305" s="18">
        <f>IF(COUNTIF(Distance_Matrix!$E$11:$DQ$11,$E305)&lt;=1,0,SUMIF(Distance_Matrix!$E$11:$DQ$11,$E305,Distance_Matrix!$E$42:$DQ$42)/(COUNTIF(Distance_Matrix!$E$11:$DQ$11,$E305)-1))</f>
        <v>1.0346960199158854</v>
      </c>
      <c r="H305" s="18">
        <f>MIN(IF(1=$E305,1E+99,IF(COUNTIF(Distance_Matrix!$E$11:$DQ$11,1)=0,1E+99,SUMIF(Distance_Matrix!$E$11:$DQ$11,1,Distance_Matrix!$E$42:$DQ$42)/COUNTIF(Distance_Matrix!$E$11:$DQ$11,1))),IF(2=$E305,1E+99,IF(COUNTIF(Distance_Matrix!$E$11:$DQ$11,2)=0,1E+99,SUMIF(Distance_Matrix!$E$11:$DQ$11,2,Distance_Matrix!$E$42:$DQ$42)/COUNTIF(Distance_Matrix!$E$11:$DQ$11,2))),IF(3=$E305,1E+99,IF(COUNTIF(Distance_Matrix!$E$11:$DQ$11,3)=0,1E+99,SUMIF(Distance_Matrix!$E$11:$DQ$11,3,Distance_Matrix!$E$42:$DQ$42)/COUNTIF(Distance_Matrix!$E$11:$DQ$11,3))),IF(4=$E305,1E+99,IF(COUNTIF(Distance_Matrix!$E$11:$DQ$11,4)=0,1E+99,SUMIF(Distance_Matrix!$E$11:$DQ$11,4,Distance_Matrix!$E$42:$DQ$42)/COUNTIF(Distance_Matrix!$E$11:$DQ$11,4))),IF(5=$E305,1E+99,IF(COUNTIF(Distance_Matrix!$E$11:$DQ$11,5)=0,1E+99,SUMIF(Distance_Matrix!$E$11:$DQ$11,5,Distance_Matrix!$E$42:$DQ$42)/COUNTIF(Distance_Matrix!$E$11:$DQ$11,5))))</f>
        <v>1.8861699964060143</v>
      </c>
      <c r="I305" s="18">
        <f>IF(COUNTIF(Distance_Matrix!$E$11:$DQ$11,$E305)&lt;=1,0,(H305-G305)/MAX(G305,H305))</f>
        <v>0.45143013520126091</v>
      </c>
      <c r="X305" s="18">
        <f t="shared" si="294"/>
        <v>6.5429996922998921</v>
      </c>
      <c r="Y305" s="18">
        <f t="shared" si="294"/>
        <v>2.7601589128984672</v>
      </c>
      <c r="Z305" s="18">
        <f t="shared" si="294"/>
        <v>2.1941641439380088</v>
      </c>
      <c r="AA305" s="18">
        <f t="shared" si="294"/>
        <v>0.91496189905673209</v>
      </c>
      <c r="AB305" s="18">
        <f t="shared" si="294"/>
        <v>4.4361610207384006</v>
      </c>
      <c r="AC305" s="56">
        <f t="shared" si="259"/>
        <v>4</v>
      </c>
      <c r="AE305" s="18">
        <f t="shared" si="295"/>
        <v>6.4262816392582698</v>
      </c>
      <c r="AF305" s="18">
        <f t="shared" si="295"/>
        <v>1.8960169430752012</v>
      </c>
      <c r="AG305" s="18">
        <f t="shared" si="295"/>
        <v>1.711276751278884</v>
      </c>
      <c r="AH305" s="18">
        <f t="shared" si="295"/>
        <v>0.67550775385751227</v>
      </c>
      <c r="AI305" s="18">
        <f t="shared" si="295"/>
        <v>4.1706245528765082</v>
      </c>
      <c r="AJ305" s="56">
        <f t="shared" si="261"/>
        <v>4</v>
      </c>
      <c r="AL305" s="18">
        <f t="shared" si="296"/>
        <v>6.4262816392582698</v>
      </c>
      <c r="AM305" s="18">
        <f t="shared" si="296"/>
        <v>1.9025420820617056</v>
      </c>
      <c r="AN305" s="18">
        <f t="shared" si="296"/>
        <v>1.7612293703056687</v>
      </c>
      <c r="AO305" s="18">
        <f t="shared" si="296"/>
        <v>0.67823562557542783</v>
      </c>
      <c r="AP305" s="18">
        <f t="shared" si="296"/>
        <v>3.9182041557617948</v>
      </c>
      <c r="AQ305" s="56">
        <f t="shared" si="263"/>
        <v>4</v>
      </c>
      <c r="AS305" s="18">
        <f t="shared" si="297"/>
        <v>6.4262816392582698</v>
      </c>
      <c r="AT305" s="18">
        <f t="shared" si="297"/>
        <v>1.9744645505750247</v>
      </c>
      <c r="AU305" s="18">
        <f t="shared" si="297"/>
        <v>1.7810473704251411</v>
      </c>
      <c r="AV305" s="18">
        <f t="shared" si="297"/>
        <v>0.72577336432434358</v>
      </c>
      <c r="AW305" s="18">
        <f t="shared" si="297"/>
        <v>3.9182041557617948</v>
      </c>
      <c r="AX305" s="56">
        <f t="shared" si="265"/>
        <v>4</v>
      </c>
      <c r="AZ305" s="18">
        <f t="shared" si="298"/>
        <v>6.4262816392582698</v>
      </c>
      <c r="BA305" s="18">
        <f t="shared" si="298"/>
        <v>1.9744645505750247</v>
      </c>
      <c r="BB305" s="18">
        <f t="shared" si="298"/>
        <v>1.7810473704251411</v>
      </c>
      <c r="BC305" s="18">
        <f t="shared" si="298"/>
        <v>0.72577336432434358</v>
      </c>
      <c r="BD305" s="18">
        <f t="shared" si="298"/>
        <v>3.9182041557617948</v>
      </c>
      <c r="BE305" s="56">
        <f t="shared" si="267"/>
        <v>4</v>
      </c>
      <c r="BG305" s="18">
        <f t="shared" si="299"/>
        <v>6.4262816392582698</v>
      </c>
      <c r="BH305" s="18">
        <f t="shared" si="299"/>
        <v>1.9744645505750247</v>
      </c>
      <c r="BI305" s="18">
        <f t="shared" si="299"/>
        <v>1.7810473704251411</v>
      </c>
      <c r="BJ305" s="18">
        <f t="shared" si="299"/>
        <v>0.72577336432434358</v>
      </c>
      <c r="BK305" s="18">
        <f t="shared" si="299"/>
        <v>3.9182041557617948</v>
      </c>
      <c r="BL305" s="56">
        <f t="shared" si="269"/>
        <v>4</v>
      </c>
      <c r="BN305" s="18">
        <f t="shared" si="300"/>
        <v>6.4262816392582698</v>
      </c>
      <c r="BO305" s="18">
        <f t="shared" si="300"/>
        <v>1.9744645505750247</v>
      </c>
      <c r="BP305" s="18">
        <f t="shared" si="300"/>
        <v>1.7810473704251411</v>
      </c>
      <c r="BQ305" s="18">
        <f t="shared" si="300"/>
        <v>0.72577336432434358</v>
      </c>
      <c r="BR305" s="18">
        <f t="shared" si="300"/>
        <v>3.9182041557617948</v>
      </c>
      <c r="BS305" s="56">
        <f t="shared" si="271"/>
        <v>4</v>
      </c>
      <c r="BU305" s="18">
        <f t="shared" si="301"/>
        <v>6.4262816392582698</v>
      </c>
      <c r="BV305" s="18">
        <f t="shared" si="301"/>
        <v>1.9744645505750247</v>
      </c>
      <c r="BW305" s="18">
        <f t="shared" si="301"/>
        <v>1.7810473704251411</v>
      </c>
      <c r="BX305" s="18">
        <f t="shared" si="301"/>
        <v>0.72577336432434358</v>
      </c>
      <c r="BY305" s="18">
        <f t="shared" si="301"/>
        <v>3.9182041557617948</v>
      </c>
      <c r="BZ305" s="56">
        <f t="shared" si="273"/>
        <v>4</v>
      </c>
      <c r="CB305" s="18">
        <f t="shared" si="302"/>
        <v>6.4262816392582698</v>
      </c>
      <c r="CC305" s="18">
        <f t="shared" si="302"/>
        <v>1.9744645505750247</v>
      </c>
      <c r="CD305" s="18">
        <f t="shared" si="302"/>
        <v>1.7810473704251411</v>
      </c>
      <c r="CE305" s="18">
        <f t="shared" si="302"/>
        <v>0.72577336432434358</v>
      </c>
      <c r="CF305" s="18">
        <f t="shared" si="302"/>
        <v>3.9182041557617948</v>
      </c>
      <c r="CG305" s="56">
        <f t="shared" si="275"/>
        <v>4</v>
      </c>
      <c r="CI305" s="18">
        <f t="shared" si="303"/>
        <v>6.4262816392582698</v>
      </c>
      <c r="CJ305" s="18">
        <f t="shared" si="303"/>
        <v>1.9744645505750247</v>
      </c>
      <c r="CK305" s="18">
        <f t="shared" si="303"/>
        <v>1.7810473704251411</v>
      </c>
      <c r="CL305" s="18">
        <f t="shared" si="303"/>
        <v>0.72577336432434358</v>
      </c>
      <c r="CM305" s="18">
        <f t="shared" si="303"/>
        <v>3.9182041557617948</v>
      </c>
      <c r="CN305" s="56">
        <f t="shared" si="277"/>
        <v>4</v>
      </c>
      <c r="CP305" s="18">
        <f t="shared" si="304"/>
        <v>6.4262816392582698</v>
      </c>
      <c r="CQ305" s="18">
        <f t="shared" si="304"/>
        <v>1.9744645505750247</v>
      </c>
      <c r="CR305" s="18">
        <f t="shared" si="304"/>
        <v>1.7810473704251411</v>
      </c>
      <c r="CS305" s="18">
        <f t="shared" si="304"/>
        <v>0.72577336432434358</v>
      </c>
      <c r="CT305" s="18">
        <f t="shared" si="304"/>
        <v>3.9182041557617948</v>
      </c>
      <c r="CU305" s="56">
        <f t="shared" si="279"/>
        <v>4</v>
      </c>
      <c r="CW305" s="18">
        <f t="shared" si="305"/>
        <v>6.4262816392582698</v>
      </c>
      <c r="CX305" s="18">
        <f t="shared" si="305"/>
        <v>1.9744645505750247</v>
      </c>
      <c r="CY305" s="18">
        <f t="shared" si="305"/>
        <v>1.7810473704251411</v>
      </c>
      <c r="CZ305" s="18">
        <f t="shared" si="305"/>
        <v>0.72577336432434358</v>
      </c>
      <c r="DA305" s="18">
        <f t="shared" si="305"/>
        <v>3.9182041557617948</v>
      </c>
      <c r="DB305" s="56">
        <f t="shared" si="281"/>
        <v>4</v>
      </c>
    </row>
    <row r="306" spans="1:106" x14ac:dyDescent="0.25">
      <c r="A306" s="36" t="str">
        <f>KMeans_Data!A34</f>
        <v>Shaheed Benazirabad</v>
      </c>
      <c r="B306" s="18">
        <f>KMeans_Data!H34</f>
        <v>0.57775354876086193</v>
      </c>
      <c r="C306" s="18">
        <f>KMeans_Data!I34</f>
        <v>0.16051258962499582</v>
      </c>
      <c r="D306" s="18">
        <f>KMeans_Data!J34</f>
        <v>0.78154448627517237</v>
      </c>
      <c r="E306" s="56">
        <f t="shared" si="256"/>
        <v>3</v>
      </c>
      <c r="F306" s="38">
        <f t="shared" si="257"/>
        <v>0.1882188515767565</v>
      </c>
      <c r="G306" s="18">
        <f>IF(COUNTIF(Distance_Matrix!$E$11:$DQ$11,$E306)&lt;=1,0,SUMIF(Distance_Matrix!$E$11:$DQ$11,$E306,Distance_Matrix!$E$43:$DQ$43)/(COUNTIF(Distance_Matrix!$E$11:$DQ$11,$E306)-1))</f>
        <v>0.84038536544945031</v>
      </c>
      <c r="H306" s="18">
        <f>MIN(IF(1=$E306,1E+99,IF(COUNTIF(Distance_Matrix!$E$11:$DQ$11,1)=0,1E+99,SUMIF(Distance_Matrix!$E$11:$DQ$11,1,Distance_Matrix!$E$43:$DQ$43)/COUNTIF(Distance_Matrix!$E$11:$DQ$11,1))),IF(2=$E306,1E+99,IF(COUNTIF(Distance_Matrix!$E$11:$DQ$11,2)=0,1E+99,SUMIF(Distance_Matrix!$E$11:$DQ$11,2,Distance_Matrix!$E$43:$DQ$43)/COUNTIF(Distance_Matrix!$E$11:$DQ$11,2))),IF(3=$E306,1E+99,IF(COUNTIF(Distance_Matrix!$E$11:$DQ$11,3)=0,1E+99,SUMIF(Distance_Matrix!$E$11:$DQ$11,3,Distance_Matrix!$E$43:$DQ$43)/COUNTIF(Distance_Matrix!$E$11:$DQ$11,3))),IF(4=$E306,1E+99,IF(COUNTIF(Distance_Matrix!$E$11:$DQ$11,4)=0,1E+99,SUMIF(Distance_Matrix!$E$11:$DQ$11,4,Distance_Matrix!$E$43:$DQ$43)/COUNTIF(Distance_Matrix!$E$11:$DQ$11,4))),IF(5=$E306,1E+99,IF(COUNTIF(Distance_Matrix!$E$11:$DQ$11,5)=0,1E+99,SUMIF(Distance_Matrix!$E$11:$DQ$11,5,Distance_Matrix!$E$43:$DQ$43)/COUNTIF(Distance_Matrix!$E$11:$DQ$11,5))))</f>
        <v>1.6480890861751258</v>
      </c>
      <c r="I306" s="18">
        <f>IF(COUNTIF(Distance_Matrix!$E$11:$DQ$11,$E306)&lt;=1,0,(H306-G306)/MAX(G306,H306))</f>
        <v>0.49008498842753029</v>
      </c>
      <c r="X306" s="18">
        <f t="shared" si="294"/>
        <v>5.3310034929576178</v>
      </c>
      <c r="Y306" s="18">
        <f t="shared" si="294"/>
        <v>3.3868094062982825</v>
      </c>
      <c r="Z306" s="18">
        <f t="shared" si="294"/>
        <v>0.85635508280799066</v>
      </c>
      <c r="AA306" s="18">
        <f t="shared" si="294"/>
        <v>1.9527474465103312</v>
      </c>
      <c r="AB306" s="18">
        <f t="shared" si="294"/>
        <v>3.2055617057629036</v>
      </c>
      <c r="AC306" s="56">
        <f t="shared" si="259"/>
        <v>3</v>
      </c>
      <c r="AE306" s="18">
        <f t="shared" si="295"/>
        <v>5.2424742093381074</v>
      </c>
      <c r="AF306" s="18">
        <f t="shared" si="295"/>
        <v>2.6302865315271093</v>
      </c>
      <c r="AG306" s="18">
        <f t="shared" si="295"/>
        <v>0.34695006285437718</v>
      </c>
      <c r="AH306" s="18">
        <f t="shared" si="295"/>
        <v>1.58430673069481</v>
      </c>
      <c r="AI306" s="18">
        <f t="shared" si="295"/>
        <v>2.9940248092656447</v>
      </c>
      <c r="AJ306" s="56">
        <f t="shared" si="261"/>
        <v>3</v>
      </c>
      <c r="AL306" s="18">
        <f t="shared" si="296"/>
        <v>5.2424742093381074</v>
      </c>
      <c r="AM306" s="18">
        <f t="shared" si="296"/>
        <v>2.6574882936386328</v>
      </c>
      <c r="AN306" s="18">
        <f t="shared" si="296"/>
        <v>0.41851854900006946</v>
      </c>
      <c r="AO306" s="18">
        <f t="shared" si="296"/>
        <v>1.5089454119026122</v>
      </c>
      <c r="AP306" s="18">
        <f t="shared" si="296"/>
        <v>2.7335777038930131</v>
      </c>
      <c r="AQ306" s="56">
        <f t="shared" si="263"/>
        <v>3</v>
      </c>
      <c r="AS306" s="18">
        <f t="shared" si="297"/>
        <v>5.2424742093381074</v>
      </c>
      <c r="AT306" s="18">
        <f t="shared" si="297"/>
        <v>2.7469859859493582</v>
      </c>
      <c r="AU306" s="18">
        <f t="shared" si="297"/>
        <v>0.43384196613139731</v>
      </c>
      <c r="AV306" s="18">
        <f t="shared" si="297"/>
        <v>1.5112406322150711</v>
      </c>
      <c r="AW306" s="18">
        <f t="shared" si="297"/>
        <v>2.7335777038930131</v>
      </c>
      <c r="AX306" s="56">
        <f t="shared" si="265"/>
        <v>3</v>
      </c>
      <c r="AZ306" s="18">
        <f t="shared" si="298"/>
        <v>5.2424742093381074</v>
      </c>
      <c r="BA306" s="18">
        <f t="shared" si="298"/>
        <v>2.7469859859493582</v>
      </c>
      <c r="BB306" s="18">
        <f t="shared" si="298"/>
        <v>0.43384196613139731</v>
      </c>
      <c r="BC306" s="18">
        <f t="shared" si="298"/>
        <v>1.5112406322150711</v>
      </c>
      <c r="BD306" s="18">
        <f t="shared" si="298"/>
        <v>2.7335777038930131</v>
      </c>
      <c r="BE306" s="56">
        <f t="shared" si="267"/>
        <v>3</v>
      </c>
      <c r="BG306" s="18">
        <f t="shared" si="299"/>
        <v>5.2424742093381074</v>
      </c>
      <c r="BH306" s="18">
        <f t="shared" si="299"/>
        <v>2.7469859859493582</v>
      </c>
      <c r="BI306" s="18">
        <f t="shared" si="299"/>
        <v>0.43384196613139731</v>
      </c>
      <c r="BJ306" s="18">
        <f t="shared" si="299"/>
        <v>1.5112406322150711</v>
      </c>
      <c r="BK306" s="18">
        <f t="shared" si="299"/>
        <v>2.7335777038930131</v>
      </c>
      <c r="BL306" s="56">
        <f t="shared" si="269"/>
        <v>3</v>
      </c>
      <c r="BN306" s="18">
        <f t="shared" si="300"/>
        <v>5.2424742093381074</v>
      </c>
      <c r="BO306" s="18">
        <f t="shared" si="300"/>
        <v>2.7469859859493582</v>
      </c>
      <c r="BP306" s="18">
        <f t="shared" si="300"/>
        <v>0.43384196613139731</v>
      </c>
      <c r="BQ306" s="18">
        <f t="shared" si="300"/>
        <v>1.5112406322150711</v>
      </c>
      <c r="BR306" s="18">
        <f t="shared" si="300"/>
        <v>2.7335777038930131</v>
      </c>
      <c r="BS306" s="56">
        <f t="shared" si="271"/>
        <v>3</v>
      </c>
      <c r="BU306" s="18">
        <f t="shared" si="301"/>
        <v>5.2424742093381074</v>
      </c>
      <c r="BV306" s="18">
        <f t="shared" si="301"/>
        <v>2.7469859859493582</v>
      </c>
      <c r="BW306" s="18">
        <f t="shared" si="301"/>
        <v>0.43384196613139731</v>
      </c>
      <c r="BX306" s="18">
        <f t="shared" si="301"/>
        <v>1.5112406322150711</v>
      </c>
      <c r="BY306" s="18">
        <f t="shared" si="301"/>
        <v>2.7335777038930131</v>
      </c>
      <c r="BZ306" s="56">
        <f t="shared" si="273"/>
        <v>3</v>
      </c>
      <c r="CB306" s="18">
        <f t="shared" si="302"/>
        <v>5.2424742093381074</v>
      </c>
      <c r="CC306" s="18">
        <f t="shared" si="302"/>
        <v>2.7469859859493582</v>
      </c>
      <c r="CD306" s="18">
        <f t="shared" si="302"/>
        <v>0.43384196613139731</v>
      </c>
      <c r="CE306" s="18">
        <f t="shared" si="302"/>
        <v>1.5112406322150711</v>
      </c>
      <c r="CF306" s="18">
        <f t="shared" si="302"/>
        <v>2.7335777038930131</v>
      </c>
      <c r="CG306" s="56">
        <f t="shared" si="275"/>
        <v>3</v>
      </c>
      <c r="CI306" s="18">
        <f t="shared" si="303"/>
        <v>5.2424742093381074</v>
      </c>
      <c r="CJ306" s="18">
        <f t="shared" si="303"/>
        <v>2.7469859859493582</v>
      </c>
      <c r="CK306" s="18">
        <f t="shared" si="303"/>
        <v>0.43384196613139731</v>
      </c>
      <c r="CL306" s="18">
        <f t="shared" si="303"/>
        <v>1.5112406322150711</v>
      </c>
      <c r="CM306" s="18">
        <f t="shared" si="303"/>
        <v>2.7335777038930131</v>
      </c>
      <c r="CN306" s="56">
        <f t="shared" si="277"/>
        <v>3</v>
      </c>
      <c r="CP306" s="18">
        <f t="shared" si="304"/>
        <v>5.2424742093381074</v>
      </c>
      <c r="CQ306" s="18">
        <f t="shared" si="304"/>
        <v>2.7469859859493582</v>
      </c>
      <c r="CR306" s="18">
        <f t="shared" si="304"/>
        <v>0.43384196613139731</v>
      </c>
      <c r="CS306" s="18">
        <f t="shared" si="304"/>
        <v>1.5112406322150711</v>
      </c>
      <c r="CT306" s="18">
        <f t="shared" si="304"/>
        <v>2.7335777038930131</v>
      </c>
      <c r="CU306" s="56">
        <f t="shared" si="279"/>
        <v>3</v>
      </c>
      <c r="CW306" s="18">
        <f t="shared" si="305"/>
        <v>5.2424742093381074</v>
      </c>
      <c r="CX306" s="18">
        <f t="shared" si="305"/>
        <v>2.7469859859493582</v>
      </c>
      <c r="CY306" s="18">
        <f t="shared" si="305"/>
        <v>0.43384196613139731</v>
      </c>
      <c r="CZ306" s="18">
        <f t="shared" si="305"/>
        <v>1.5112406322150711</v>
      </c>
      <c r="DA306" s="18">
        <f t="shared" si="305"/>
        <v>2.7335777038930131</v>
      </c>
      <c r="DB306" s="56">
        <f t="shared" si="281"/>
        <v>3</v>
      </c>
    </row>
    <row r="307" spans="1:106" x14ac:dyDescent="0.25">
      <c r="A307" s="36" t="str">
        <f>KMeans_Data!A35</f>
        <v>Gujrat</v>
      </c>
      <c r="B307" s="18">
        <f>KMeans_Data!H35</f>
        <v>0.57458958754261724</v>
      </c>
      <c r="C307" s="18">
        <f>KMeans_Data!I35</f>
        <v>-0.67265054538827607</v>
      </c>
      <c r="D307" s="18">
        <f>KMeans_Data!J35</f>
        <v>-0.39984522290956798</v>
      </c>
      <c r="E307" s="56">
        <f t="shared" si="256"/>
        <v>4</v>
      </c>
      <c r="F307" s="38">
        <f t="shared" si="257"/>
        <v>0.52228671391468617</v>
      </c>
      <c r="G307" s="18">
        <f>IF(COUNTIF(Distance_Matrix!$E$11:$DQ$11,$E307)&lt;=1,0,SUMIF(Distance_Matrix!$E$11:$DQ$11,$E307,Distance_Matrix!$E$44:$DQ$44)/(COUNTIF(Distance_Matrix!$E$11:$DQ$11,$E307)-1))</f>
        <v>1.0325765050107483</v>
      </c>
      <c r="H307" s="18">
        <f>MIN(IF(1=$E307,1E+99,IF(COUNTIF(Distance_Matrix!$E$11:$DQ$11,1)=0,1E+99,SUMIF(Distance_Matrix!$E$11:$DQ$11,1,Distance_Matrix!$E$44:$DQ$44)/COUNTIF(Distance_Matrix!$E$11:$DQ$11,1))),IF(2=$E307,1E+99,IF(COUNTIF(Distance_Matrix!$E$11:$DQ$11,2)=0,1E+99,SUMIF(Distance_Matrix!$E$11:$DQ$11,2,Distance_Matrix!$E$44:$DQ$44)/COUNTIF(Distance_Matrix!$E$11:$DQ$11,2))),IF(3=$E307,1E+99,IF(COUNTIF(Distance_Matrix!$E$11:$DQ$11,3)=0,1E+99,SUMIF(Distance_Matrix!$E$11:$DQ$11,3,Distance_Matrix!$E$44:$DQ$44)/COUNTIF(Distance_Matrix!$E$11:$DQ$11,3))),IF(4=$E307,1E+99,IF(COUNTIF(Distance_Matrix!$E$11:$DQ$11,4)=0,1E+99,SUMIF(Distance_Matrix!$E$11:$DQ$11,4,Distance_Matrix!$E$44:$DQ$44)/COUNTIF(Distance_Matrix!$E$11:$DQ$11,4))),IF(5=$E307,1E+99,IF(COUNTIF(Distance_Matrix!$E$11:$DQ$11,5)=0,1E+99,SUMIF(Distance_Matrix!$E$11:$DQ$11,5,Distance_Matrix!$E$44:$DQ$44)/COUNTIF(Distance_Matrix!$E$11:$DQ$11,5))))</f>
        <v>1.8861365311662277</v>
      </c>
      <c r="I307" s="18">
        <f>IF(COUNTIF(Distance_Matrix!$E$11:$DQ$11,$E307)&lt;=1,0,(H307-G307)/MAX(G307,H307))</f>
        <v>0.45254413561870305</v>
      </c>
      <c r="X307" s="18">
        <f t="shared" ref="X307:AB316" si="306">SQRT(($B307-X$270)^2+($C307-X$271)^2+($D307-X$272)^2)</f>
        <v>6.5443042851341469</v>
      </c>
      <c r="Y307" s="18">
        <f t="shared" si="306"/>
        <v>2.7571127715097909</v>
      </c>
      <c r="Z307" s="18">
        <f t="shared" si="306"/>
        <v>2.1948290386308456</v>
      </c>
      <c r="AA307" s="18">
        <f t="shared" si="306"/>
        <v>0.91520220539866637</v>
      </c>
      <c r="AB307" s="18">
        <f t="shared" si="306"/>
        <v>4.4374363327787467</v>
      </c>
      <c r="AC307" s="56">
        <f t="shared" si="259"/>
        <v>4</v>
      </c>
      <c r="AE307" s="18">
        <f t="shared" ref="AE307:AI316" si="307">SQRT(($B307-AE$270)^2+($C307-AE$271)^2+($D307-AE$272)^2)</f>
        <v>6.4276039763691513</v>
      </c>
      <c r="AF307" s="18">
        <f t="shared" si="307"/>
        <v>1.8929821075169908</v>
      </c>
      <c r="AG307" s="18">
        <f t="shared" si="307"/>
        <v>1.7112244812835908</v>
      </c>
      <c r="AH307" s="18">
        <f t="shared" si="307"/>
        <v>0.67251082311701338</v>
      </c>
      <c r="AI307" s="18">
        <f t="shared" si="307"/>
        <v>4.171775606788823</v>
      </c>
      <c r="AJ307" s="56">
        <f t="shared" si="261"/>
        <v>4</v>
      </c>
      <c r="AL307" s="18">
        <f t="shared" ref="AL307:AP316" si="308">SQRT(($B307-AL$270)^2+($C307-AL$271)^2+($D307-AL$272)^2)</f>
        <v>6.4276039763691513</v>
      </c>
      <c r="AM307" s="18">
        <f t="shared" si="308"/>
        <v>1.8995322237439018</v>
      </c>
      <c r="AN307" s="18">
        <f t="shared" si="308"/>
        <v>1.7612687914519445</v>
      </c>
      <c r="AO307" s="18">
        <f t="shared" si="308"/>
        <v>0.67516216695214848</v>
      </c>
      <c r="AP307" s="18">
        <f t="shared" si="308"/>
        <v>3.9192732680848779</v>
      </c>
      <c r="AQ307" s="56">
        <f t="shared" si="263"/>
        <v>4</v>
      </c>
      <c r="AS307" s="18">
        <f t="shared" ref="AS307:AW316" si="309">SQRT(($B307-AS$270)^2+($C307-AS$271)^2+($D307-AS$272)^2)</f>
        <v>6.4276039763691513</v>
      </c>
      <c r="AT307" s="18">
        <f t="shared" si="309"/>
        <v>1.9714911508038451</v>
      </c>
      <c r="AU307" s="18">
        <f t="shared" si="309"/>
        <v>1.7811207263728583</v>
      </c>
      <c r="AV307" s="18">
        <f t="shared" si="309"/>
        <v>0.7226940666109597</v>
      </c>
      <c r="AW307" s="18">
        <f t="shared" si="309"/>
        <v>3.9192732680848779</v>
      </c>
      <c r="AX307" s="56">
        <f t="shared" si="265"/>
        <v>4</v>
      </c>
      <c r="AZ307" s="18">
        <f t="shared" ref="AZ307:BD316" si="310">SQRT(($B307-AZ$270)^2+($C307-AZ$271)^2+($D307-AZ$272)^2)</f>
        <v>6.4276039763691513</v>
      </c>
      <c r="BA307" s="18">
        <f t="shared" si="310"/>
        <v>1.9714911508038451</v>
      </c>
      <c r="BB307" s="18">
        <f t="shared" si="310"/>
        <v>1.7811207263728583</v>
      </c>
      <c r="BC307" s="18">
        <f t="shared" si="310"/>
        <v>0.7226940666109597</v>
      </c>
      <c r="BD307" s="18">
        <f t="shared" si="310"/>
        <v>3.9192732680848779</v>
      </c>
      <c r="BE307" s="56">
        <f t="shared" si="267"/>
        <v>4</v>
      </c>
      <c r="BG307" s="18">
        <f t="shared" ref="BG307:BK316" si="311">SQRT(($B307-BG$270)^2+($C307-BG$271)^2+($D307-BG$272)^2)</f>
        <v>6.4276039763691513</v>
      </c>
      <c r="BH307" s="18">
        <f t="shared" si="311"/>
        <v>1.9714911508038451</v>
      </c>
      <c r="BI307" s="18">
        <f t="shared" si="311"/>
        <v>1.7811207263728583</v>
      </c>
      <c r="BJ307" s="18">
        <f t="shared" si="311"/>
        <v>0.7226940666109597</v>
      </c>
      <c r="BK307" s="18">
        <f t="shared" si="311"/>
        <v>3.9192732680848779</v>
      </c>
      <c r="BL307" s="56">
        <f t="shared" si="269"/>
        <v>4</v>
      </c>
      <c r="BN307" s="18">
        <f t="shared" ref="BN307:BR316" si="312">SQRT(($B307-BN$270)^2+($C307-BN$271)^2+($D307-BN$272)^2)</f>
        <v>6.4276039763691513</v>
      </c>
      <c r="BO307" s="18">
        <f t="shared" si="312"/>
        <v>1.9714911508038451</v>
      </c>
      <c r="BP307" s="18">
        <f t="shared" si="312"/>
        <v>1.7811207263728583</v>
      </c>
      <c r="BQ307" s="18">
        <f t="shared" si="312"/>
        <v>0.7226940666109597</v>
      </c>
      <c r="BR307" s="18">
        <f t="shared" si="312"/>
        <v>3.9192732680848779</v>
      </c>
      <c r="BS307" s="56">
        <f t="shared" si="271"/>
        <v>4</v>
      </c>
      <c r="BU307" s="18">
        <f t="shared" ref="BU307:BY316" si="313">SQRT(($B307-BU$270)^2+($C307-BU$271)^2+($D307-BU$272)^2)</f>
        <v>6.4276039763691513</v>
      </c>
      <c r="BV307" s="18">
        <f t="shared" si="313"/>
        <v>1.9714911508038451</v>
      </c>
      <c r="BW307" s="18">
        <f t="shared" si="313"/>
        <v>1.7811207263728583</v>
      </c>
      <c r="BX307" s="18">
        <f t="shared" si="313"/>
        <v>0.7226940666109597</v>
      </c>
      <c r="BY307" s="18">
        <f t="shared" si="313"/>
        <v>3.9192732680848779</v>
      </c>
      <c r="BZ307" s="56">
        <f t="shared" si="273"/>
        <v>4</v>
      </c>
      <c r="CB307" s="18">
        <f t="shared" ref="CB307:CF316" si="314">SQRT(($B307-CB$270)^2+($C307-CB$271)^2+($D307-CB$272)^2)</f>
        <v>6.4276039763691513</v>
      </c>
      <c r="CC307" s="18">
        <f t="shared" si="314"/>
        <v>1.9714911508038451</v>
      </c>
      <c r="CD307" s="18">
        <f t="shared" si="314"/>
        <v>1.7811207263728583</v>
      </c>
      <c r="CE307" s="18">
        <f t="shared" si="314"/>
        <v>0.7226940666109597</v>
      </c>
      <c r="CF307" s="18">
        <f t="shared" si="314"/>
        <v>3.9192732680848779</v>
      </c>
      <c r="CG307" s="56">
        <f t="shared" si="275"/>
        <v>4</v>
      </c>
      <c r="CI307" s="18">
        <f t="shared" ref="CI307:CM316" si="315">SQRT(($B307-CI$270)^2+($C307-CI$271)^2+($D307-CI$272)^2)</f>
        <v>6.4276039763691513</v>
      </c>
      <c r="CJ307" s="18">
        <f t="shared" si="315"/>
        <v>1.9714911508038451</v>
      </c>
      <c r="CK307" s="18">
        <f t="shared" si="315"/>
        <v>1.7811207263728583</v>
      </c>
      <c r="CL307" s="18">
        <f t="shared" si="315"/>
        <v>0.7226940666109597</v>
      </c>
      <c r="CM307" s="18">
        <f t="shared" si="315"/>
        <v>3.9192732680848779</v>
      </c>
      <c r="CN307" s="56">
        <f t="shared" si="277"/>
        <v>4</v>
      </c>
      <c r="CP307" s="18">
        <f t="shared" ref="CP307:CT316" si="316">SQRT(($B307-CP$270)^2+($C307-CP$271)^2+($D307-CP$272)^2)</f>
        <v>6.4276039763691513</v>
      </c>
      <c r="CQ307" s="18">
        <f t="shared" si="316"/>
        <v>1.9714911508038451</v>
      </c>
      <c r="CR307" s="18">
        <f t="shared" si="316"/>
        <v>1.7811207263728583</v>
      </c>
      <c r="CS307" s="18">
        <f t="shared" si="316"/>
        <v>0.7226940666109597</v>
      </c>
      <c r="CT307" s="18">
        <f t="shared" si="316"/>
        <v>3.9192732680848779</v>
      </c>
      <c r="CU307" s="56">
        <f t="shared" si="279"/>
        <v>4</v>
      </c>
      <c r="CW307" s="18">
        <f t="shared" ref="CW307:DA316" si="317">SQRT(($B307-CW$270)^2+($C307-CW$271)^2+($D307-CW$272)^2)</f>
        <v>6.4276039763691513</v>
      </c>
      <c r="CX307" s="18">
        <f t="shared" si="317"/>
        <v>1.9714911508038451</v>
      </c>
      <c r="CY307" s="18">
        <f t="shared" si="317"/>
        <v>1.7811207263728583</v>
      </c>
      <c r="CZ307" s="18">
        <f t="shared" si="317"/>
        <v>0.7226940666109597</v>
      </c>
      <c r="DA307" s="18">
        <f t="shared" si="317"/>
        <v>3.9192732680848779</v>
      </c>
      <c r="DB307" s="56">
        <f t="shared" si="281"/>
        <v>4</v>
      </c>
    </row>
    <row r="308" spans="1:106" x14ac:dyDescent="0.25">
      <c r="A308" s="36" t="str">
        <f>KMeans_Data!A36</f>
        <v>Dera Ismail Khan</v>
      </c>
      <c r="B308" s="18">
        <f>KMeans_Data!H36</f>
        <v>0.56820337223564554</v>
      </c>
      <c r="C308" s="18">
        <f>KMeans_Data!I36</f>
        <v>0.54791138584450239</v>
      </c>
      <c r="D308" s="18">
        <f>KMeans_Data!J36</f>
        <v>1.1134779913146182</v>
      </c>
      <c r="E308" s="56">
        <f t="shared" si="256"/>
        <v>3</v>
      </c>
      <c r="F308" s="38">
        <f t="shared" si="257"/>
        <v>6.7882347358521083E-2</v>
      </c>
      <c r="G308" s="18">
        <f>IF(COUNTIF(Distance_Matrix!$E$11:$DQ$11,$E308)&lt;=1,0,SUMIF(Distance_Matrix!$E$11:$DQ$11,$E308,Distance_Matrix!$E$45:$DQ$45)/(COUNTIF(Distance_Matrix!$E$11:$DQ$11,$E308)-1))</f>
        <v>0.79291420334479779</v>
      </c>
      <c r="H308" s="18">
        <f>MIN(IF(1=$E308,1E+99,IF(COUNTIF(Distance_Matrix!$E$11:$DQ$11,1)=0,1E+99,SUMIF(Distance_Matrix!$E$11:$DQ$11,1,Distance_Matrix!$E$45:$DQ$45)/COUNTIF(Distance_Matrix!$E$11:$DQ$11,1))),IF(2=$E308,1E+99,IF(COUNTIF(Distance_Matrix!$E$11:$DQ$11,2)=0,1E+99,SUMIF(Distance_Matrix!$E$11:$DQ$11,2,Distance_Matrix!$E$45:$DQ$45)/COUNTIF(Distance_Matrix!$E$11:$DQ$11,2))),IF(3=$E308,1E+99,IF(COUNTIF(Distance_Matrix!$E$11:$DQ$11,3)=0,1E+99,SUMIF(Distance_Matrix!$E$11:$DQ$11,3,Distance_Matrix!$E$45:$DQ$45)/COUNTIF(Distance_Matrix!$E$11:$DQ$11,3))),IF(4=$E308,1E+99,IF(COUNTIF(Distance_Matrix!$E$11:$DQ$11,4)=0,1E+99,SUMIF(Distance_Matrix!$E$11:$DQ$11,4,Distance_Matrix!$E$45:$DQ$45)/COUNTIF(Distance_Matrix!$E$11:$DQ$11,4))),IF(5=$E308,1E+99,IF(COUNTIF(Distance_Matrix!$E$11:$DQ$11,5)=0,1E+99,SUMIF(Distance_Matrix!$E$11:$DQ$11,5,Distance_Matrix!$E$45:$DQ$45)/COUNTIF(Distance_Matrix!$E$11:$DQ$11,5))))</f>
        <v>2.0565490604079679</v>
      </c>
      <c r="I308" s="18">
        <f>IF(COUNTIF(Distance_Matrix!$E$11:$DQ$11,$E308)&lt;=1,0,(H308-G308)/MAX(G308,H308))</f>
        <v>0.61444430448573717</v>
      </c>
      <c r="X308" s="18">
        <f t="shared" si="306"/>
        <v>4.9077486940462336</v>
      </c>
      <c r="Y308" s="18">
        <f t="shared" si="306"/>
        <v>3.6884952947874514</v>
      </c>
      <c r="Z308" s="18">
        <f t="shared" si="306"/>
        <v>0.61328679051740209</v>
      </c>
      <c r="AA308" s="18">
        <f t="shared" si="306"/>
        <v>2.3648493912275987</v>
      </c>
      <c r="AB308" s="18">
        <f t="shared" si="306"/>
        <v>2.8037271427768466</v>
      </c>
      <c r="AC308" s="56">
        <f t="shared" si="259"/>
        <v>3</v>
      </c>
      <c r="AE308" s="18">
        <f t="shared" si="307"/>
        <v>4.8263783087581462</v>
      </c>
      <c r="AF308" s="18">
        <f t="shared" si="307"/>
        <v>2.9857504843238671</v>
      </c>
      <c r="AG308" s="18">
        <f t="shared" si="307"/>
        <v>0.27243944872873826</v>
      </c>
      <c r="AH308" s="18">
        <f t="shared" si="307"/>
        <v>2.0301615032797069</v>
      </c>
      <c r="AI308" s="18">
        <f t="shared" si="307"/>
        <v>2.5967502862002951</v>
      </c>
      <c r="AJ308" s="56">
        <f t="shared" si="261"/>
        <v>3</v>
      </c>
      <c r="AL308" s="18">
        <f t="shared" si="308"/>
        <v>4.8263783087581462</v>
      </c>
      <c r="AM308" s="18">
        <f t="shared" si="308"/>
        <v>3.0153207336773926</v>
      </c>
      <c r="AN308" s="18">
        <f t="shared" si="308"/>
        <v>0.27207743095591963</v>
      </c>
      <c r="AO308" s="18">
        <f t="shared" si="308"/>
        <v>1.956667436562632</v>
      </c>
      <c r="AP308" s="18">
        <f t="shared" si="308"/>
        <v>2.3344006112911573</v>
      </c>
      <c r="AQ308" s="56">
        <f t="shared" si="263"/>
        <v>3</v>
      </c>
      <c r="AS308" s="18">
        <f t="shared" si="309"/>
        <v>4.8263783087581462</v>
      </c>
      <c r="AT308" s="18">
        <f t="shared" si="309"/>
        <v>3.1035202910729409</v>
      </c>
      <c r="AU308" s="18">
        <f t="shared" si="309"/>
        <v>0.26054240990387934</v>
      </c>
      <c r="AV308" s="18">
        <f t="shared" si="309"/>
        <v>1.9536056636574184</v>
      </c>
      <c r="AW308" s="18">
        <f t="shared" si="309"/>
        <v>2.3344006112911573</v>
      </c>
      <c r="AX308" s="56">
        <f t="shared" si="265"/>
        <v>3</v>
      </c>
      <c r="AZ308" s="18">
        <f t="shared" si="310"/>
        <v>4.8263783087581462</v>
      </c>
      <c r="BA308" s="18">
        <f t="shared" si="310"/>
        <v>3.1035202910729409</v>
      </c>
      <c r="BB308" s="18">
        <f t="shared" si="310"/>
        <v>0.26054240990387934</v>
      </c>
      <c r="BC308" s="18">
        <f t="shared" si="310"/>
        <v>1.9536056636574184</v>
      </c>
      <c r="BD308" s="18">
        <f t="shared" si="310"/>
        <v>2.3344006112911573</v>
      </c>
      <c r="BE308" s="56">
        <f t="shared" si="267"/>
        <v>3</v>
      </c>
      <c r="BG308" s="18">
        <f t="shared" si="311"/>
        <v>4.8263783087581462</v>
      </c>
      <c r="BH308" s="18">
        <f t="shared" si="311"/>
        <v>3.1035202910729409</v>
      </c>
      <c r="BI308" s="18">
        <f t="shared" si="311"/>
        <v>0.26054240990387934</v>
      </c>
      <c r="BJ308" s="18">
        <f t="shared" si="311"/>
        <v>1.9536056636574184</v>
      </c>
      <c r="BK308" s="18">
        <f t="shared" si="311"/>
        <v>2.3344006112911573</v>
      </c>
      <c r="BL308" s="56">
        <f t="shared" si="269"/>
        <v>3</v>
      </c>
      <c r="BN308" s="18">
        <f t="shared" si="312"/>
        <v>4.8263783087581462</v>
      </c>
      <c r="BO308" s="18">
        <f t="shared" si="312"/>
        <v>3.1035202910729409</v>
      </c>
      <c r="BP308" s="18">
        <f t="shared" si="312"/>
        <v>0.26054240990387934</v>
      </c>
      <c r="BQ308" s="18">
        <f t="shared" si="312"/>
        <v>1.9536056636574184</v>
      </c>
      <c r="BR308" s="18">
        <f t="shared" si="312"/>
        <v>2.3344006112911573</v>
      </c>
      <c r="BS308" s="56">
        <f t="shared" si="271"/>
        <v>3</v>
      </c>
      <c r="BU308" s="18">
        <f t="shared" si="313"/>
        <v>4.8263783087581462</v>
      </c>
      <c r="BV308" s="18">
        <f t="shared" si="313"/>
        <v>3.1035202910729409</v>
      </c>
      <c r="BW308" s="18">
        <f t="shared" si="313"/>
        <v>0.26054240990387934</v>
      </c>
      <c r="BX308" s="18">
        <f t="shared" si="313"/>
        <v>1.9536056636574184</v>
      </c>
      <c r="BY308" s="18">
        <f t="shared" si="313"/>
        <v>2.3344006112911573</v>
      </c>
      <c r="BZ308" s="56">
        <f t="shared" si="273"/>
        <v>3</v>
      </c>
      <c r="CB308" s="18">
        <f t="shared" si="314"/>
        <v>4.8263783087581462</v>
      </c>
      <c r="CC308" s="18">
        <f t="shared" si="314"/>
        <v>3.1035202910729409</v>
      </c>
      <c r="CD308" s="18">
        <f t="shared" si="314"/>
        <v>0.26054240990387934</v>
      </c>
      <c r="CE308" s="18">
        <f t="shared" si="314"/>
        <v>1.9536056636574184</v>
      </c>
      <c r="CF308" s="18">
        <f t="shared" si="314"/>
        <v>2.3344006112911573</v>
      </c>
      <c r="CG308" s="56">
        <f t="shared" si="275"/>
        <v>3</v>
      </c>
      <c r="CI308" s="18">
        <f t="shared" si="315"/>
        <v>4.8263783087581462</v>
      </c>
      <c r="CJ308" s="18">
        <f t="shared" si="315"/>
        <v>3.1035202910729409</v>
      </c>
      <c r="CK308" s="18">
        <f t="shared" si="315"/>
        <v>0.26054240990387934</v>
      </c>
      <c r="CL308" s="18">
        <f t="shared" si="315"/>
        <v>1.9536056636574184</v>
      </c>
      <c r="CM308" s="18">
        <f t="shared" si="315"/>
        <v>2.3344006112911573</v>
      </c>
      <c r="CN308" s="56">
        <f t="shared" si="277"/>
        <v>3</v>
      </c>
      <c r="CP308" s="18">
        <f t="shared" si="316"/>
        <v>4.8263783087581462</v>
      </c>
      <c r="CQ308" s="18">
        <f t="shared" si="316"/>
        <v>3.1035202910729409</v>
      </c>
      <c r="CR308" s="18">
        <f t="shared" si="316"/>
        <v>0.26054240990387934</v>
      </c>
      <c r="CS308" s="18">
        <f t="shared" si="316"/>
        <v>1.9536056636574184</v>
      </c>
      <c r="CT308" s="18">
        <f t="shared" si="316"/>
        <v>2.3344006112911573</v>
      </c>
      <c r="CU308" s="56">
        <f t="shared" si="279"/>
        <v>3</v>
      </c>
      <c r="CW308" s="18">
        <f t="shared" si="317"/>
        <v>4.8263783087581462</v>
      </c>
      <c r="CX308" s="18">
        <f t="shared" si="317"/>
        <v>3.1035202910729409</v>
      </c>
      <c r="CY308" s="18">
        <f t="shared" si="317"/>
        <v>0.26054240990387934</v>
      </c>
      <c r="CZ308" s="18">
        <f t="shared" si="317"/>
        <v>1.9536056636574184</v>
      </c>
      <c r="DA308" s="18">
        <f t="shared" si="317"/>
        <v>2.3344006112911573</v>
      </c>
      <c r="DB308" s="56">
        <f t="shared" si="281"/>
        <v>3</v>
      </c>
    </row>
    <row r="309" spans="1:106" x14ac:dyDescent="0.25">
      <c r="A309" s="36" t="str">
        <f>KMeans_Data!A37</f>
        <v>Karak</v>
      </c>
      <c r="B309" s="18">
        <f>KMeans_Data!H37</f>
        <v>0.53160574306813768</v>
      </c>
      <c r="C309" s="18">
        <f>KMeans_Data!I37</f>
        <v>0.37868427752921691</v>
      </c>
      <c r="D309" s="18">
        <f>KMeans_Data!J37</f>
        <v>0.2867168485915767</v>
      </c>
      <c r="E309" s="56">
        <f t="shared" ref="E309:E340" si="318">DB309</f>
        <v>3</v>
      </c>
      <c r="F309" s="38">
        <f t="shared" ref="F309:F340" si="319">($B309-INDEX($L$270:$P$270,E309))^2+($C309-INDEX($L$271:$P$271,E309))^2+($D309-INDEX($L$272:$P$272,E309))^2</f>
        <v>0.37914158613383142</v>
      </c>
      <c r="G309" s="18">
        <f>IF(COUNTIF(Distance_Matrix!$E$11:$DQ$11,$E309)&lt;=1,0,SUMIF(Distance_Matrix!$E$11:$DQ$11,$E309,Distance_Matrix!$E$46:$DQ$46)/(COUNTIF(Distance_Matrix!$E$11:$DQ$11,$E309)-1))</f>
        <v>0.94106880433568263</v>
      </c>
      <c r="H309" s="18">
        <f>MIN(IF(1=$E309,1E+99,IF(COUNTIF(Distance_Matrix!$E$11:$DQ$11,1)=0,1E+99,SUMIF(Distance_Matrix!$E$11:$DQ$11,1,Distance_Matrix!$E$46:$DQ$46)/COUNTIF(Distance_Matrix!$E$11:$DQ$11,1))),IF(2=$E309,1E+99,IF(COUNTIF(Distance_Matrix!$E$11:$DQ$11,2)=0,1E+99,SUMIF(Distance_Matrix!$E$11:$DQ$11,2,Distance_Matrix!$E$46:$DQ$46)/COUNTIF(Distance_Matrix!$E$11:$DQ$11,2))),IF(3=$E309,1E+99,IF(COUNTIF(Distance_Matrix!$E$11:$DQ$11,3)=0,1E+99,SUMIF(Distance_Matrix!$E$11:$DQ$11,3,Distance_Matrix!$E$46:$DQ$46)/COUNTIF(Distance_Matrix!$E$11:$DQ$11,3))),IF(4=$E309,1E+99,IF(COUNTIF(Distance_Matrix!$E$11:$DQ$11,4)=0,1E+99,SUMIF(Distance_Matrix!$E$11:$DQ$11,4,Distance_Matrix!$E$46:$DQ$46)/COUNTIF(Distance_Matrix!$E$11:$DQ$11,4))),IF(5=$E309,1E+99,IF(COUNTIF(Distance_Matrix!$E$11:$DQ$11,5)=0,1E+99,SUMIF(Distance_Matrix!$E$11:$DQ$11,5,Distance_Matrix!$E$46:$DQ$46)/COUNTIF(Distance_Matrix!$E$11:$DQ$11,5))))</f>
        <v>1.4637640448543705</v>
      </c>
      <c r="I309" s="18">
        <f>IF(COUNTIF(Distance_Matrix!$E$11:$DQ$11,$E309)&lt;=1,0,(H309-G309)/MAX(G309,H309))</f>
        <v>0.35708982083289981</v>
      </c>
      <c r="X309" s="18">
        <f t="shared" si="306"/>
        <v>5.4512731124576481</v>
      </c>
      <c r="Y309" s="18">
        <f t="shared" si="306"/>
        <v>3.1584931364728011</v>
      </c>
      <c r="Z309" s="18">
        <f t="shared" si="306"/>
        <v>1.2871988045077052</v>
      </c>
      <c r="AA309" s="18">
        <f t="shared" si="306"/>
        <v>1.5300312133399783</v>
      </c>
      <c r="AB309" s="18">
        <f t="shared" si="306"/>
        <v>3.373200352844651</v>
      </c>
      <c r="AC309" s="56">
        <f t="shared" ref="AC309:AC340" si="320">MATCH(MIN(X309:AB309),X309:AB309,0)</f>
        <v>3</v>
      </c>
      <c r="AE309" s="18">
        <f t="shared" si="307"/>
        <v>5.3357585274744697</v>
      </c>
      <c r="AF309" s="18">
        <f t="shared" si="307"/>
        <v>2.3877764663604468</v>
      </c>
      <c r="AG309" s="18">
        <f t="shared" si="307"/>
        <v>0.57257810147148502</v>
      </c>
      <c r="AH309" s="18">
        <f t="shared" si="307"/>
        <v>1.3217037479186102</v>
      </c>
      <c r="AI309" s="18">
        <f t="shared" si="307"/>
        <v>3.0589729406309392</v>
      </c>
      <c r="AJ309" s="56">
        <f t="shared" ref="AJ309:AJ340" si="321">MATCH(MIN(AE309:AI309),AE309:AI309,0)</f>
        <v>3</v>
      </c>
      <c r="AL309" s="18">
        <f t="shared" si="308"/>
        <v>5.3357585274744697</v>
      </c>
      <c r="AM309" s="18">
        <f t="shared" si="308"/>
        <v>2.4075412685269812</v>
      </c>
      <c r="AN309" s="18">
        <f t="shared" si="308"/>
        <v>0.59446052147636352</v>
      </c>
      <c r="AO309" s="18">
        <f t="shared" si="308"/>
        <v>1.2795008641469969</v>
      </c>
      <c r="AP309" s="18">
        <f t="shared" si="308"/>
        <v>2.7914066994903046</v>
      </c>
      <c r="AQ309" s="56">
        <f t="shared" ref="AQ309:AQ340" si="322">MATCH(MIN(AL309:AP309),AL309:AP309,0)</f>
        <v>3</v>
      </c>
      <c r="AS309" s="18">
        <f t="shared" si="309"/>
        <v>5.3357585274744697</v>
      </c>
      <c r="AT309" s="18">
        <f t="shared" si="309"/>
        <v>2.4874424734001663</v>
      </c>
      <c r="AU309" s="18">
        <f t="shared" si="309"/>
        <v>0.6157447410525172</v>
      </c>
      <c r="AV309" s="18">
        <f t="shared" si="309"/>
        <v>1.2885312355900156</v>
      </c>
      <c r="AW309" s="18">
        <f t="shared" si="309"/>
        <v>2.7914066994903046</v>
      </c>
      <c r="AX309" s="56">
        <f t="shared" ref="AX309:AX340" si="323">MATCH(MIN(AS309:AW309),AS309:AW309,0)</f>
        <v>3</v>
      </c>
      <c r="AZ309" s="18">
        <f t="shared" si="310"/>
        <v>5.3357585274744697</v>
      </c>
      <c r="BA309" s="18">
        <f t="shared" si="310"/>
        <v>2.4874424734001663</v>
      </c>
      <c r="BB309" s="18">
        <f t="shared" si="310"/>
        <v>0.6157447410525172</v>
      </c>
      <c r="BC309" s="18">
        <f t="shared" si="310"/>
        <v>1.2885312355900156</v>
      </c>
      <c r="BD309" s="18">
        <f t="shared" si="310"/>
        <v>2.7914066994903046</v>
      </c>
      <c r="BE309" s="56">
        <f t="shared" ref="BE309:BE340" si="324">MATCH(MIN(AZ309:BD309),AZ309:BD309,0)</f>
        <v>3</v>
      </c>
      <c r="BG309" s="18">
        <f t="shared" si="311"/>
        <v>5.3357585274744697</v>
      </c>
      <c r="BH309" s="18">
        <f t="shared" si="311"/>
        <v>2.4874424734001663</v>
      </c>
      <c r="BI309" s="18">
        <f t="shared" si="311"/>
        <v>0.6157447410525172</v>
      </c>
      <c r="BJ309" s="18">
        <f t="shared" si="311"/>
        <v>1.2885312355900156</v>
      </c>
      <c r="BK309" s="18">
        <f t="shared" si="311"/>
        <v>2.7914066994903046</v>
      </c>
      <c r="BL309" s="56">
        <f t="shared" ref="BL309:BL340" si="325">MATCH(MIN(BG309:BK309),BG309:BK309,0)</f>
        <v>3</v>
      </c>
      <c r="BN309" s="18">
        <f t="shared" si="312"/>
        <v>5.3357585274744697</v>
      </c>
      <c r="BO309" s="18">
        <f t="shared" si="312"/>
        <v>2.4874424734001663</v>
      </c>
      <c r="BP309" s="18">
        <f t="shared" si="312"/>
        <v>0.6157447410525172</v>
      </c>
      <c r="BQ309" s="18">
        <f t="shared" si="312"/>
        <v>1.2885312355900156</v>
      </c>
      <c r="BR309" s="18">
        <f t="shared" si="312"/>
        <v>2.7914066994903046</v>
      </c>
      <c r="BS309" s="56">
        <f t="shared" ref="BS309:BS340" si="326">MATCH(MIN(BN309:BR309),BN309:BR309,0)</f>
        <v>3</v>
      </c>
      <c r="BU309" s="18">
        <f t="shared" si="313"/>
        <v>5.3357585274744697</v>
      </c>
      <c r="BV309" s="18">
        <f t="shared" si="313"/>
        <v>2.4874424734001663</v>
      </c>
      <c r="BW309" s="18">
        <f t="shared" si="313"/>
        <v>0.6157447410525172</v>
      </c>
      <c r="BX309" s="18">
        <f t="shared" si="313"/>
        <v>1.2885312355900156</v>
      </c>
      <c r="BY309" s="18">
        <f t="shared" si="313"/>
        <v>2.7914066994903046</v>
      </c>
      <c r="BZ309" s="56">
        <f t="shared" ref="BZ309:BZ340" si="327">MATCH(MIN(BU309:BY309),BU309:BY309,0)</f>
        <v>3</v>
      </c>
      <c r="CB309" s="18">
        <f t="shared" si="314"/>
        <v>5.3357585274744697</v>
      </c>
      <c r="CC309" s="18">
        <f t="shared" si="314"/>
        <v>2.4874424734001663</v>
      </c>
      <c r="CD309" s="18">
        <f t="shared" si="314"/>
        <v>0.6157447410525172</v>
      </c>
      <c r="CE309" s="18">
        <f t="shared" si="314"/>
        <v>1.2885312355900156</v>
      </c>
      <c r="CF309" s="18">
        <f t="shared" si="314"/>
        <v>2.7914066994903046</v>
      </c>
      <c r="CG309" s="56">
        <f t="shared" ref="CG309:CG340" si="328">MATCH(MIN(CB309:CF309),CB309:CF309,0)</f>
        <v>3</v>
      </c>
      <c r="CI309" s="18">
        <f t="shared" si="315"/>
        <v>5.3357585274744697</v>
      </c>
      <c r="CJ309" s="18">
        <f t="shared" si="315"/>
        <v>2.4874424734001663</v>
      </c>
      <c r="CK309" s="18">
        <f t="shared" si="315"/>
        <v>0.6157447410525172</v>
      </c>
      <c r="CL309" s="18">
        <f t="shared" si="315"/>
        <v>1.2885312355900156</v>
      </c>
      <c r="CM309" s="18">
        <f t="shared" si="315"/>
        <v>2.7914066994903046</v>
      </c>
      <c r="CN309" s="56">
        <f t="shared" ref="CN309:CN340" si="329">MATCH(MIN(CI309:CM309),CI309:CM309,0)</f>
        <v>3</v>
      </c>
      <c r="CP309" s="18">
        <f t="shared" si="316"/>
        <v>5.3357585274744697</v>
      </c>
      <c r="CQ309" s="18">
        <f t="shared" si="316"/>
        <v>2.4874424734001663</v>
      </c>
      <c r="CR309" s="18">
        <f t="shared" si="316"/>
        <v>0.6157447410525172</v>
      </c>
      <c r="CS309" s="18">
        <f t="shared" si="316"/>
        <v>1.2885312355900156</v>
      </c>
      <c r="CT309" s="18">
        <f t="shared" si="316"/>
        <v>2.7914066994903046</v>
      </c>
      <c r="CU309" s="56">
        <f t="shared" ref="CU309:CU340" si="330">MATCH(MIN(CP309:CT309),CP309:CT309,0)</f>
        <v>3</v>
      </c>
      <c r="CW309" s="18">
        <f t="shared" si="317"/>
        <v>5.3357585274744697</v>
      </c>
      <c r="CX309" s="18">
        <f t="shared" si="317"/>
        <v>2.4874424734001663</v>
      </c>
      <c r="CY309" s="18">
        <f t="shared" si="317"/>
        <v>0.6157447410525172</v>
      </c>
      <c r="CZ309" s="18">
        <f t="shared" si="317"/>
        <v>1.2885312355900156</v>
      </c>
      <c r="DA309" s="18">
        <f t="shared" si="317"/>
        <v>2.7914066994903046</v>
      </c>
      <c r="DB309" s="56">
        <f t="shared" ref="DB309:DB340" si="331">MATCH(MIN(CW309:DA309),CW309:DA309,0)</f>
        <v>3</v>
      </c>
    </row>
    <row r="310" spans="1:106" x14ac:dyDescent="0.25">
      <c r="A310" s="36" t="str">
        <f>KMeans_Data!A38</f>
        <v>Shangla</v>
      </c>
      <c r="B310" s="18">
        <f>KMeans_Data!H38</f>
        <v>0.48474983033217361</v>
      </c>
      <c r="C310" s="18">
        <f>KMeans_Data!I38</f>
        <v>-0.14698313392952958</v>
      </c>
      <c r="D310" s="18">
        <f>KMeans_Data!J38</f>
        <v>0.55201703639881239</v>
      </c>
      <c r="E310" s="56">
        <f t="shared" si="318"/>
        <v>3</v>
      </c>
      <c r="F310" s="38">
        <f t="shared" si="319"/>
        <v>0.64890908770842615</v>
      </c>
      <c r="G310" s="18">
        <f>IF(COUNTIF(Distance_Matrix!$E$11:$DQ$11,$E310)&lt;=1,0,SUMIF(Distance_Matrix!$E$11:$DQ$11,$E310,Distance_Matrix!$E$47:$DQ$47)/(COUNTIF(Distance_Matrix!$E$11:$DQ$11,$E310)-1))</f>
        <v>1.0446407692328048</v>
      </c>
      <c r="H310" s="18">
        <f>MIN(IF(1=$E310,1E+99,IF(COUNTIF(Distance_Matrix!$E$11:$DQ$11,1)=0,1E+99,SUMIF(Distance_Matrix!$E$11:$DQ$11,1,Distance_Matrix!$E$47:$DQ$47)/COUNTIF(Distance_Matrix!$E$11:$DQ$11,1))),IF(2=$E310,1E+99,IF(COUNTIF(Distance_Matrix!$E$11:$DQ$11,2)=0,1E+99,SUMIF(Distance_Matrix!$E$11:$DQ$11,2,Distance_Matrix!$E$47:$DQ$47)/COUNTIF(Distance_Matrix!$E$11:$DQ$11,2))),IF(3=$E310,1E+99,IF(COUNTIF(Distance_Matrix!$E$11:$DQ$11,3)=0,1E+99,SUMIF(Distance_Matrix!$E$11:$DQ$11,3,Distance_Matrix!$E$47:$DQ$47)/COUNTIF(Distance_Matrix!$E$11:$DQ$11,3))),IF(4=$E310,1E+99,IF(COUNTIF(Distance_Matrix!$E$11:$DQ$11,4)=0,1E+99,SUMIF(Distance_Matrix!$E$11:$DQ$11,4,Distance_Matrix!$E$47:$DQ$47)/COUNTIF(Distance_Matrix!$E$11:$DQ$11,4))),IF(5=$E310,1E+99,IF(COUNTIF(Distance_Matrix!$E$11:$DQ$11,5)=0,1E+99,SUMIF(Distance_Matrix!$E$11:$DQ$11,5,Distance_Matrix!$E$47:$DQ$47)/COUNTIF(Distance_Matrix!$E$11:$DQ$11,5))))</f>
        <v>1.3476479400995489</v>
      </c>
      <c r="I310" s="18">
        <f>IF(COUNTIF(Distance_Matrix!$E$11:$DQ$11,$E310)&lt;=1,0,(H310-G310)/MAX(G310,H310))</f>
        <v>0.22484149001434409</v>
      </c>
      <c r="X310" s="18">
        <f t="shared" si="306"/>
        <v>5.7093441936674045</v>
      </c>
      <c r="Y310" s="18">
        <f t="shared" si="306"/>
        <v>3.1200925235572523</v>
      </c>
      <c r="Z310" s="18">
        <f t="shared" si="306"/>
        <v>1.193781578262858</v>
      </c>
      <c r="AA310" s="18">
        <f t="shared" si="306"/>
        <v>1.7052711441023685</v>
      </c>
      <c r="AB310" s="18">
        <f t="shared" si="306"/>
        <v>3.5785889331999092</v>
      </c>
      <c r="AC310" s="56">
        <f t="shared" si="320"/>
        <v>3</v>
      </c>
      <c r="AE310" s="18">
        <f t="shared" si="307"/>
        <v>5.6181177967369971</v>
      </c>
      <c r="AF310" s="18">
        <f t="shared" si="307"/>
        <v>2.3338935287434199</v>
      </c>
      <c r="AG310" s="18">
        <f t="shared" si="307"/>
        <v>0.71355436906807945</v>
      </c>
      <c r="AH310" s="18">
        <f t="shared" si="307"/>
        <v>1.2460420012316891</v>
      </c>
      <c r="AI310" s="18">
        <f t="shared" si="307"/>
        <v>3.36545834553496</v>
      </c>
      <c r="AJ310" s="56">
        <f t="shared" si="321"/>
        <v>3</v>
      </c>
      <c r="AL310" s="18">
        <f t="shared" si="308"/>
        <v>5.6181177967369971</v>
      </c>
      <c r="AM310" s="18">
        <f t="shared" si="308"/>
        <v>2.3599557158692162</v>
      </c>
      <c r="AN310" s="18">
        <f t="shared" si="308"/>
        <v>0.78600492100648034</v>
      </c>
      <c r="AO310" s="18">
        <f t="shared" si="308"/>
        <v>1.1641950245951485</v>
      </c>
      <c r="AP310" s="18">
        <f t="shared" si="308"/>
        <v>3.1059476772128725</v>
      </c>
      <c r="AQ310" s="56">
        <f t="shared" si="322"/>
        <v>3</v>
      </c>
      <c r="AS310" s="18">
        <f t="shared" si="309"/>
        <v>5.6181177967369971</v>
      </c>
      <c r="AT310" s="18">
        <f t="shared" si="309"/>
        <v>2.4505990796944812</v>
      </c>
      <c r="AU310" s="18">
        <f t="shared" si="309"/>
        <v>0.80554893563856578</v>
      </c>
      <c r="AV310" s="18">
        <f t="shared" si="309"/>
        <v>1.1688443245619073</v>
      </c>
      <c r="AW310" s="18">
        <f t="shared" si="309"/>
        <v>3.1059476772128725</v>
      </c>
      <c r="AX310" s="56">
        <f t="shared" si="323"/>
        <v>3</v>
      </c>
      <c r="AZ310" s="18">
        <f t="shared" si="310"/>
        <v>5.6181177967369971</v>
      </c>
      <c r="BA310" s="18">
        <f t="shared" si="310"/>
        <v>2.4505990796944812</v>
      </c>
      <c r="BB310" s="18">
        <f t="shared" si="310"/>
        <v>0.80554893563856578</v>
      </c>
      <c r="BC310" s="18">
        <f t="shared" si="310"/>
        <v>1.1688443245619073</v>
      </c>
      <c r="BD310" s="18">
        <f t="shared" si="310"/>
        <v>3.1059476772128725</v>
      </c>
      <c r="BE310" s="56">
        <f t="shared" si="324"/>
        <v>3</v>
      </c>
      <c r="BG310" s="18">
        <f t="shared" si="311"/>
        <v>5.6181177967369971</v>
      </c>
      <c r="BH310" s="18">
        <f t="shared" si="311"/>
        <v>2.4505990796944812</v>
      </c>
      <c r="BI310" s="18">
        <f t="shared" si="311"/>
        <v>0.80554893563856578</v>
      </c>
      <c r="BJ310" s="18">
        <f t="shared" si="311"/>
        <v>1.1688443245619073</v>
      </c>
      <c r="BK310" s="18">
        <f t="shared" si="311"/>
        <v>3.1059476772128725</v>
      </c>
      <c r="BL310" s="56">
        <f t="shared" si="325"/>
        <v>3</v>
      </c>
      <c r="BN310" s="18">
        <f t="shared" si="312"/>
        <v>5.6181177967369971</v>
      </c>
      <c r="BO310" s="18">
        <f t="shared" si="312"/>
        <v>2.4505990796944812</v>
      </c>
      <c r="BP310" s="18">
        <f t="shared" si="312"/>
        <v>0.80554893563856578</v>
      </c>
      <c r="BQ310" s="18">
        <f t="shared" si="312"/>
        <v>1.1688443245619073</v>
      </c>
      <c r="BR310" s="18">
        <f t="shared" si="312"/>
        <v>3.1059476772128725</v>
      </c>
      <c r="BS310" s="56">
        <f t="shared" si="326"/>
        <v>3</v>
      </c>
      <c r="BU310" s="18">
        <f t="shared" si="313"/>
        <v>5.6181177967369971</v>
      </c>
      <c r="BV310" s="18">
        <f t="shared" si="313"/>
        <v>2.4505990796944812</v>
      </c>
      <c r="BW310" s="18">
        <f t="shared" si="313"/>
        <v>0.80554893563856578</v>
      </c>
      <c r="BX310" s="18">
        <f t="shared" si="313"/>
        <v>1.1688443245619073</v>
      </c>
      <c r="BY310" s="18">
        <f t="shared" si="313"/>
        <v>3.1059476772128725</v>
      </c>
      <c r="BZ310" s="56">
        <f t="shared" si="327"/>
        <v>3</v>
      </c>
      <c r="CB310" s="18">
        <f t="shared" si="314"/>
        <v>5.6181177967369971</v>
      </c>
      <c r="CC310" s="18">
        <f t="shared" si="314"/>
        <v>2.4505990796944812</v>
      </c>
      <c r="CD310" s="18">
        <f t="shared" si="314"/>
        <v>0.80554893563856578</v>
      </c>
      <c r="CE310" s="18">
        <f t="shared" si="314"/>
        <v>1.1688443245619073</v>
      </c>
      <c r="CF310" s="18">
        <f t="shared" si="314"/>
        <v>3.1059476772128725</v>
      </c>
      <c r="CG310" s="56">
        <f t="shared" si="328"/>
        <v>3</v>
      </c>
      <c r="CI310" s="18">
        <f t="shared" si="315"/>
        <v>5.6181177967369971</v>
      </c>
      <c r="CJ310" s="18">
        <f t="shared" si="315"/>
        <v>2.4505990796944812</v>
      </c>
      <c r="CK310" s="18">
        <f t="shared" si="315"/>
        <v>0.80554893563856578</v>
      </c>
      <c r="CL310" s="18">
        <f t="shared" si="315"/>
        <v>1.1688443245619073</v>
      </c>
      <c r="CM310" s="18">
        <f t="shared" si="315"/>
        <v>3.1059476772128725</v>
      </c>
      <c r="CN310" s="56">
        <f t="shared" si="329"/>
        <v>3</v>
      </c>
      <c r="CP310" s="18">
        <f t="shared" si="316"/>
        <v>5.6181177967369971</v>
      </c>
      <c r="CQ310" s="18">
        <f t="shared" si="316"/>
        <v>2.4505990796944812</v>
      </c>
      <c r="CR310" s="18">
        <f t="shared" si="316"/>
        <v>0.80554893563856578</v>
      </c>
      <c r="CS310" s="18">
        <f t="shared" si="316"/>
        <v>1.1688443245619073</v>
      </c>
      <c r="CT310" s="18">
        <f t="shared" si="316"/>
        <v>3.1059476772128725</v>
      </c>
      <c r="CU310" s="56">
        <f t="shared" si="330"/>
        <v>3</v>
      </c>
      <c r="CW310" s="18">
        <f t="shared" si="317"/>
        <v>5.6181177967369971</v>
      </c>
      <c r="CX310" s="18">
        <f t="shared" si="317"/>
        <v>2.4505990796944812</v>
      </c>
      <c r="CY310" s="18">
        <f t="shared" si="317"/>
        <v>0.80554893563856578</v>
      </c>
      <c r="CZ310" s="18">
        <f t="shared" si="317"/>
        <v>1.1688443245619073</v>
      </c>
      <c r="DA310" s="18">
        <f t="shared" si="317"/>
        <v>3.1059476772128725</v>
      </c>
      <c r="DB310" s="56">
        <f t="shared" si="331"/>
        <v>3</v>
      </c>
    </row>
    <row r="311" spans="1:106" x14ac:dyDescent="0.25">
      <c r="A311" s="36" t="str">
        <f>KMeans_Data!A39</f>
        <v>Mansehra</v>
      </c>
      <c r="B311" s="18">
        <f>KMeans_Data!H39</f>
        <v>0.48474983033217361</v>
      </c>
      <c r="C311" s="18">
        <f>KMeans_Data!I39</f>
        <v>1.3810745208577742</v>
      </c>
      <c r="D311" s="18">
        <f>KMeans_Data!J39</f>
        <v>0.30731539115103124</v>
      </c>
      <c r="E311" s="56">
        <f t="shared" si="318"/>
        <v>3</v>
      </c>
      <c r="F311" s="38">
        <f t="shared" si="319"/>
        <v>0.95678235231675179</v>
      </c>
      <c r="G311" s="18">
        <f>IF(COUNTIF(Distance_Matrix!$E$11:$DQ$11,$E311)&lt;=1,0,SUMIF(Distance_Matrix!$E$11:$DQ$11,$E311,Distance_Matrix!$E$48:$DQ$48)/(COUNTIF(Distance_Matrix!$E$11:$DQ$11,$E311)-1))</f>
        <v>1.1826276662312689</v>
      </c>
      <c r="H311" s="18">
        <f>MIN(IF(1=$E311,1E+99,IF(COUNTIF(Distance_Matrix!$E$11:$DQ$11,1)=0,1E+99,SUMIF(Distance_Matrix!$E$11:$DQ$11,1,Distance_Matrix!$E$48:$DQ$48)/COUNTIF(Distance_Matrix!$E$11:$DQ$11,1))),IF(2=$E311,1E+99,IF(COUNTIF(Distance_Matrix!$E$11:$DQ$11,2)=0,1E+99,SUMIF(Distance_Matrix!$E$11:$DQ$11,2,Distance_Matrix!$E$48:$DQ$48)/COUNTIF(Distance_Matrix!$E$11:$DQ$11,2))),IF(3=$E311,1E+99,IF(COUNTIF(Distance_Matrix!$E$11:$DQ$11,3)=0,1E+99,SUMIF(Distance_Matrix!$E$11:$DQ$11,3,Distance_Matrix!$E$48:$DQ$48)/COUNTIF(Distance_Matrix!$E$11:$DQ$11,3))),IF(4=$E311,1E+99,IF(COUNTIF(Distance_Matrix!$E$11:$DQ$11,4)=0,1E+99,SUMIF(Distance_Matrix!$E$11:$DQ$11,4,Distance_Matrix!$E$48:$DQ$48)/COUNTIF(Distance_Matrix!$E$11:$DQ$11,4))),IF(5=$E311,1E+99,IF(COUNTIF(Distance_Matrix!$E$11:$DQ$11,5)=0,1E+99,SUMIF(Distance_Matrix!$E$11:$DQ$11,5,Distance_Matrix!$E$48:$DQ$48)/COUNTIF(Distance_Matrix!$E$11:$DQ$11,5))))</f>
        <v>2.2155624448144402</v>
      </c>
      <c r="I311" s="18">
        <f>IF(COUNTIF(Distance_Matrix!$E$11:$DQ$11,$E311)&lt;=1,0,(H311-G311)/MAX(G311,H311))</f>
        <v>0.46621785858519665</v>
      </c>
      <c r="X311" s="18">
        <f t="shared" si="306"/>
        <v>4.8498232359863591</v>
      </c>
      <c r="Y311" s="18">
        <f t="shared" si="306"/>
        <v>3.592419201138521</v>
      </c>
      <c r="Z311" s="18">
        <f t="shared" si="306"/>
        <v>1.6318441222640736</v>
      </c>
      <c r="AA311" s="18">
        <f t="shared" si="306"/>
        <v>2.1146980427842497</v>
      </c>
      <c r="AB311" s="18">
        <f t="shared" si="306"/>
        <v>2.9379689416866364</v>
      </c>
      <c r="AC311" s="56">
        <f t="shared" si="320"/>
        <v>3</v>
      </c>
      <c r="AE311" s="18">
        <f t="shared" si="307"/>
        <v>4.7081959648159346</v>
      </c>
      <c r="AF311" s="18">
        <f t="shared" si="307"/>
        <v>2.9433255972208618</v>
      </c>
      <c r="AG311" s="18">
        <f t="shared" si="307"/>
        <v>1.0345584407691335</v>
      </c>
      <c r="AH311" s="18">
        <f t="shared" si="307"/>
        <v>2.1145800549535774</v>
      </c>
      <c r="AI311" s="18">
        <f t="shared" si="307"/>
        <v>2.47386466289979</v>
      </c>
      <c r="AJ311" s="56">
        <f t="shared" si="321"/>
        <v>3</v>
      </c>
      <c r="AL311" s="18">
        <f t="shared" si="308"/>
        <v>4.7081959648159346</v>
      </c>
      <c r="AM311" s="18">
        <f t="shared" si="308"/>
        <v>2.9598713728989519</v>
      </c>
      <c r="AN311" s="18">
        <f t="shared" si="308"/>
        <v>0.97616020543735615</v>
      </c>
      <c r="AO311" s="18">
        <f t="shared" si="308"/>
        <v>2.0978250527270617</v>
      </c>
      <c r="AP311" s="18">
        <f t="shared" si="308"/>
        <v>2.2023277969464723</v>
      </c>
      <c r="AQ311" s="56">
        <f t="shared" si="322"/>
        <v>3</v>
      </c>
      <c r="AS311" s="18">
        <f t="shared" si="309"/>
        <v>4.7081959648159346</v>
      </c>
      <c r="AT311" s="18">
        <f t="shared" si="309"/>
        <v>3.0243662839983627</v>
      </c>
      <c r="AU311" s="18">
        <f t="shared" si="309"/>
        <v>0.97815251996646813</v>
      </c>
      <c r="AV311" s="18">
        <f t="shared" si="309"/>
        <v>2.1002108807096267</v>
      </c>
      <c r="AW311" s="18">
        <f t="shared" si="309"/>
        <v>2.2023277969464723</v>
      </c>
      <c r="AX311" s="56">
        <f t="shared" si="323"/>
        <v>3</v>
      </c>
      <c r="AZ311" s="18">
        <f t="shared" si="310"/>
        <v>4.7081959648159346</v>
      </c>
      <c r="BA311" s="18">
        <f t="shared" si="310"/>
        <v>3.0243662839983627</v>
      </c>
      <c r="BB311" s="18">
        <f t="shared" si="310"/>
        <v>0.97815251996646813</v>
      </c>
      <c r="BC311" s="18">
        <f t="shared" si="310"/>
        <v>2.1002108807096267</v>
      </c>
      <c r="BD311" s="18">
        <f t="shared" si="310"/>
        <v>2.2023277969464723</v>
      </c>
      <c r="BE311" s="56">
        <f t="shared" si="324"/>
        <v>3</v>
      </c>
      <c r="BG311" s="18">
        <f t="shared" si="311"/>
        <v>4.7081959648159346</v>
      </c>
      <c r="BH311" s="18">
        <f t="shared" si="311"/>
        <v>3.0243662839983627</v>
      </c>
      <c r="BI311" s="18">
        <f t="shared" si="311"/>
        <v>0.97815251996646813</v>
      </c>
      <c r="BJ311" s="18">
        <f t="shared" si="311"/>
        <v>2.1002108807096267</v>
      </c>
      <c r="BK311" s="18">
        <f t="shared" si="311"/>
        <v>2.2023277969464723</v>
      </c>
      <c r="BL311" s="56">
        <f t="shared" si="325"/>
        <v>3</v>
      </c>
      <c r="BN311" s="18">
        <f t="shared" si="312"/>
        <v>4.7081959648159346</v>
      </c>
      <c r="BO311" s="18">
        <f t="shared" si="312"/>
        <v>3.0243662839983627</v>
      </c>
      <c r="BP311" s="18">
        <f t="shared" si="312"/>
        <v>0.97815251996646813</v>
      </c>
      <c r="BQ311" s="18">
        <f t="shared" si="312"/>
        <v>2.1002108807096267</v>
      </c>
      <c r="BR311" s="18">
        <f t="shared" si="312"/>
        <v>2.2023277969464723</v>
      </c>
      <c r="BS311" s="56">
        <f t="shared" si="326"/>
        <v>3</v>
      </c>
      <c r="BU311" s="18">
        <f t="shared" si="313"/>
        <v>4.7081959648159346</v>
      </c>
      <c r="BV311" s="18">
        <f t="shared" si="313"/>
        <v>3.0243662839983627</v>
      </c>
      <c r="BW311" s="18">
        <f t="shared" si="313"/>
        <v>0.97815251996646813</v>
      </c>
      <c r="BX311" s="18">
        <f t="shared" si="313"/>
        <v>2.1002108807096267</v>
      </c>
      <c r="BY311" s="18">
        <f t="shared" si="313"/>
        <v>2.2023277969464723</v>
      </c>
      <c r="BZ311" s="56">
        <f t="shared" si="327"/>
        <v>3</v>
      </c>
      <c r="CB311" s="18">
        <f t="shared" si="314"/>
        <v>4.7081959648159346</v>
      </c>
      <c r="CC311" s="18">
        <f t="shared" si="314"/>
        <v>3.0243662839983627</v>
      </c>
      <c r="CD311" s="18">
        <f t="shared" si="314"/>
        <v>0.97815251996646813</v>
      </c>
      <c r="CE311" s="18">
        <f t="shared" si="314"/>
        <v>2.1002108807096267</v>
      </c>
      <c r="CF311" s="18">
        <f t="shared" si="314"/>
        <v>2.2023277969464723</v>
      </c>
      <c r="CG311" s="56">
        <f t="shared" si="328"/>
        <v>3</v>
      </c>
      <c r="CI311" s="18">
        <f t="shared" si="315"/>
        <v>4.7081959648159346</v>
      </c>
      <c r="CJ311" s="18">
        <f t="shared" si="315"/>
        <v>3.0243662839983627</v>
      </c>
      <c r="CK311" s="18">
        <f t="shared" si="315"/>
        <v>0.97815251996646813</v>
      </c>
      <c r="CL311" s="18">
        <f t="shared" si="315"/>
        <v>2.1002108807096267</v>
      </c>
      <c r="CM311" s="18">
        <f t="shared" si="315"/>
        <v>2.2023277969464723</v>
      </c>
      <c r="CN311" s="56">
        <f t="shared" si="329"/>
        <v>3</v>
      </c>
      <c r="CP311" s="18">
        <f t="shared" si="316"/>
        <v>4.7081959648159346</v>
      </c>
      <c r="CQ311" s="18">
        <f t="shared" si="316"/>
        <v>3.0243662839983627</v>
      </c>
      <c r="CR311" s="18">
        <f t="shared" si="316"/>
        <v>0.97815251996646813</v>
      </c>
      <c r="CS311" s="18">
        <f t="shared" si="316"/>
        <v>2.1002108807096267</v>
      </c>
      <c r="CT311" s="18">
        <f t="shared" si="316"/>
        <v>2.2023277969464723</v>
      </c>
      <c r="CU311" s="56">
        <f t="shared" si="330"/>
        <v>3</v>
      </c>
      <c r="CW311" s="18">
        <f t="shared" si="317"/>
        <v>4.7081959648159346</v>
      </c>
      <c r="CX311" s="18">
        <f t="shared" si="317"/>
        <v>3.0243662839983627</v>
      </c>
      <c r="CY311" s="18">
        <f t="shared" si="317"/>
        <v>0.97815251996646813</v>
      </c>
      <c r="CZ311" s="18">
        <f t="shared" si="317"/>
        <v>2.1002108807096267</v>
      </c>
      <c r="DA311" s="18">
        <f t="shared" si="317"/>
        <v>2.2023277969464723</v>
      </c>
      <c r="DB311" s="56">
        <f t="shared" si="331"/>
        <v>3</v>
      </c>
    </row>
    <row r="312" spans="1:106" x14ac:dyDescent="0.25">
      <c r="A312" s="36" t="str">
        <f>KMeans_Data!A40</f>
        <v>Swabi</v>
      </c>
      <c r="B312" s="18">
        <f>KMeans_Data!H40</f>
        <v>0.45366775919714841</v>
      </c>
      <c r="C312" s="18">
        <f>KMeans_Data!I40</f>
        <v>1.1458599186993335</v>
      </c>
      <c r="D312" s="18">
        <f>KMeans_Data!J40</f>
        <v>0.71966725318196356</v>
      </c>
      <c r="E312" s="56">
        <f t="shared" si="318"/>
        <v>3</v>
      </c>
      <c r="F312" s="38">
        <f t="shared" si="319"/>
        <v>0.36087990496277844</v>
      </c>
      <c r="G312" s="18">
        <f>IF(COUNTIF(Distance_Matrix!$E$11:$DQ$11,$E312)&lt;=1,0,SUMIF(Distance_Matrix!$E$11:$DQ$11,$E312,Distance_Matrix!$E$49:$DQ$49)/(COUNTIF(Distance_Matrix!$E$11:$DQ$11,$E312)-1))</f>
        <v>0.91418583494404138</v>
      </c>
      <c r="H312" s="18">
        <f>MIN(IF(1=$E312,1E+99,IF(COUNTIF(Distance_Matrix!$E$11:$DQ$11,1)=0,1E+99,SUMIF(Distance_Matrix!$E$11:$DQ$11,1,Distance_Matrix!$E$49:$DQ$49)/COUNTIF(Distance_Matrix!$E$11:$DQ$11,1))),IF(2=$E312,1E+99,IF(COUNTIF(Distance_Matrix!$E$11:$DQ$11,2)=0,1E+99,SUMIF(Distance_Matrix!$E$11:$DQ$11,2,Distance_Matrix!$E$49:$DQ$49)/COUNTIF(Distance_Matrix!$E$11:$DQ$11,2))),IF(3=$E312,1E+99,IF(COUNTIF(Distance_Matrix!$E$11:$DQ$11,3)=0,1E+99,SUMIF(Distance_Matrix!$E$11:$DQ$11,3,Distance_Matrix!$E$49:$DQ$49)/COUNTIF(Distance_Matrix!$E$11:$DQ$11,3))),IF(4=$E312,1E+99,IF(COUNTIF(Distance_Matrix!$E$11:$DQ$11,4)=0,1E+99,SUMIF(Distance_Matrix!$E$11:$DQ$11,4,Distance_Matrix!$E$49:$DQ$49)/COUNTIF(Distance_Matrix!$E$11:$DQ$11,4))),IF(5=$E312,1E+99,IF(COUNTIF(Distance_Matrix!$E$11:$DQ$11,5)=0,1E+99,SUMIF(Distance_Matrix!$E$11:$DQ$11,5,Distance_Matrix!$E$49:$DQ$49)/COUNTIF(Distance_Matrix!$E$11:$DQ$11,5))))</f>
        <v>2.1692933824577305</v>
      </c>
      <c r="I312" s="18">
        <f>IF(COUNTIF(Distance_Matrix!$E$11:$DQ$11,$E312)&lt;=1,0,(H312-G312)/MAX(G312,H312))</f>
        <v>0.57857897768152411</v>
      </c>
      <c r="X312" s="18">
        <f t="shared" si="306"/>
        <v>4.7688298155952484</v>
      </c>
      <c r="Y312" s="18">
        <f t="shared" si="306"/>
        <v>3.6338012413689014</v>
      </c>
      <c r="Z312" s="18">
        <f t="shared" si="306"/>
        <v>1.2218161570781203</v>
      </c>
      <c r="AA312" s="18">
        <f t="shared" si="306"/>
        <v>2.277651355890935</v>
      </c>
      <c r="AB312" s="18">
        <f t="shared" si="306"/>
        <v>2.7751268965196854</v>
      </c>
      <c r="AC312" s="56">
        <f t="shared" si="320"/>
        <v>3</v>
      </c>
      <c r="AE312" s="18">
        <f t="shared" si="307"/>
        <v>4.6530647193981176</v>
      </c>
      <c r="AF312" s="18">
        <f t="shared" si="307"/>
        <v>2.9748332161227964</v>
      </c>
      <c r="AG312" s="18">
        <f t="shared" si="307"/>
        <v>0.66471492795485299</v>
      </c>
      <c r="AH312" s="18">
        <f t="shared" si="307"/>
        <v>2.1121748751429772</v>
      </c>
      <c r="AI312" s="18">
        <f t="shared" si="307"/>
        <v>2.4019774356085817</v>
      </c>
      <c r="AJ312" s="56">
        <f t="shared" si="321"/>
        <v>3</v>
      </c>
      <c r="AL312" s="18">
        <f t="shared" si="308"/>
        <v>4.6530647193981176</v>
      </c>
      <c r="AM312" s="18">
        <f t="shared" si="308"/>
        <v>2.998233169684672</v>
      </c>
      <c r="AN312" s="18">
        <f t="shared" si="308"/>
        <v>0.60303384225278212</v>
      </c>
      <c r="AO312" s="18">
        <f t="shared" si="308"/>
        <v>2.0695067855428828</v>
      </c>
      <c r="AP312" s="18">
        <f t="shared" si="308"/>
        <v>2.1255025631838222</v>
      </c>
      <c r="AQ312" s="56">
        <f t="shared" si="322"/>
        <v>3</v>
      </c>
      <c r="AS312" s="18">
        <f t="shared" si="309"/>
        <v>4.6530647193981176</v>
      </c>
      <c r="AT312" s="18">
        <f t="shared" si="309"/>
        <v>3.0734968368674669</v>
      </c>
      <c r="AU312" s="18">
        <f t="shared" si="309"/>
        <v>0.60073280663101669</v>
      </c>
      <c r="AV312" s="18">
        <f t="shared" si="309"/>
        <v>2.0671558017975613</v>
      </c>
      <c r="AW312" s="18">
        <f t="shared" si="309"/>
        <v>2.1255025631838222</v>
      </c>
      <c r="AX312" s="56">
        <f t="shared" si="323"/>
        <v>3</v>
      </c>
      <c r="AZ312" s="18">
        <f t="shared" si="310"/>
        <v>4.6530647193981176</v>
      </c>
      <c r="BA312" s="18">
        <f t="shared" si="310"/>
        <v>3.0734968368674669</v>
      </c>
      <c r="BB312" s="18">
        <f t="shared" si="310"/>
        <v>0.60073280663101669</v>
      </c>
      <c r="BC312" s="18">
        <f t="shared" si="310"/>
        <v>2.0671558017975613</v>
      </c>
      <c r="BD312" s="18">
        <f t="shared" si="310"/>
        <v>2.1255025631838222</v>
      </c>
      <c r="BE312" s="56">
        <f t="shared" si="324"/>
        <v>3</v>
      </c>
      <c r="BG312" s="18">
        <f t="shared" si="311"/>
        <v>4.6530647193981176</v>
      </c>
      <c r="BH312" s="18">
        <f t="shared" si="311"/>
        <v>3.0734968368674669</v>
      </c>
      <c r="BI312" s="18">
        <f t="shared" si="311"/>
        <v>0.60073280663101669</v>
      </c>
      <c r="BJ312" s="18">
        <f t="shared" si="311"/>
        <v>2.0671558017975613</v>
      </c>
      <c r="BK312" s="18">
        <f t="shared" si="311"/>
        <v>2.1255025631838222</v>
      </c>
      <c r="BL312" s="56">
        <f t="shared" si="325"/>
        <v>3</v>
      </c>
      <c r="BN312" s="18">
        <f t="shared" si="312"/>
        <v>4.6530647193981176</v>
      </c>
      <c r="BO312" s="18">
        <f t="shared" si="312"/>
        <v>3.0734968368674669</v>
      </c>
      <c r="BP312" s="18">
        <f t="shared" si="312"/>
        <v>0.60073280663101669</v>
      </c>
      <c r="BQ312" s="18">
        <f t="shared" si="312"/>
        <v>2.0671558017975613</v>
      </c>
      <c r="BR312" s="18">
        <f t="shared" si="312"/>
        <v>2.1255025631838222</v>
      </c>
      <c r="BS312" s="56">
        <f t="shared" si="326"/>
        <v>3</v>
      </c>
      <c r="BU312" s="18">
        <f t="shared" si="313"/>
        <v>4.6530647193981176</v>
      </c>
      <c r="BV312" s="18">
        <f t="shared" si="313"/>
        <v>3.0734968368674669</v>
      </c>
      <c r="BW312" s="18">
        <f t="shared" si="313"/>
        <v>0.60073280663101669</v>
      </c>
      <c r="BX312" s="18">
        <f t="shared" si="313"/>
        <v>2.0671558017975613</v>
      </c>
      <c r="BY312" s="18">
        <f t="shared" si="313"/>
        <v>2.1255025631838222</v>
      </c>
      <c r="BZ312" s="56">
        <f t="shared" si="327"/>
        <v>3</v>
      </c>
      <c r="CB312" s="18">
        <f t="shared" si="314"/>
        <v>4.6530647193981176</v>
      </c>
      <c r="CC312" s="18">
        <f t="shared" si="314"/>
        <v>3.0734968368674669</v>
      </c>
      <c r="CD312" s="18">
        <f t="shared" si="314"/>
        <v>0.60073280663101669</v>
      </c>
      <c r="CE312" s="18">
        <f t="shared" si="314"/>
        <v>2.0671558017975613</v>
      </c>
      <c r="CF312" s="18">
        <f t="shared" si="314"/>
        <v>2.1255025631838222</v>
      </c>
      <c r="CG312" s="56">
        <f t="shared" si="328"/>
        <v>3</v>
      </c>
      <c r="CI312" s="18">
        <f t="shared" si="315"/>
        <v>4.6530647193981176</v>
      </c>
      <c r="CJ312" s="18">
        <f t="shared" si="315"/>
        <v>3.0734968368674669</v>
      </c>
      <c r="CK312" s="18">
        <f t="shared" si="315"/>
        <v>0.60073280663101669</v>
      </c>
      <c r="CL312" s="18">
        <f t="shared" si="315"/>
        <v>2.0671558017975613</v>
      </c>
      <c r="CM312" s="18">
        <f t="shared" si="315"/>
        <v>2.1255025631838222</v>
      </c>
      <c r="CN312" s="56">
        <f t="shared" si="329"/>
        <v>3</v>
      </c>
      <c r="CP312" s="18">
        <f t="shared" si="316"/>
        <v>4.6530647193981176</v>
      </c>
      <c r="CQ312" s="18">
        <f t="shared" si="316"/>
        <v>3.0734968368674669</v>
      </c>
      <c r="CR312" s="18">
        <f t="shared" si="316"/>
        <v>0.60073280663101669</v>
      </c>
      <c r="CS312" s="18">
        <f t="shared" si="316"/>
        <v>2.0671558017975613</v>
      </c>
      <c r="CT312" s="18">
        <f t="shared" si="316"/>
        <v>2.1255025631838222</v>
      </c>
      <c r="CU312" s="56">
        <f t="shared" si="330"/>
        <v>3</v>
      </c>
      <c r="CW312" s="18">
        <f t="shared" si="317"/>
        <v>4.6530647193981176</v>
      </c>
      <c r="CX312" s="18">
        <f t="shared" si="317"/>
        <v>3.0734968368674669</v>
      </c>
      <c r="CY312" s="18">
        <f t="shared" si="317"/>
        <v>0.60073280663101669</v>
      </c>
      <c r="CZ312" s="18">
        <f t="shared" si="317"/>
        <v>2.0671558017975613</v>
      </c>
      <c r="DA312" s="18">
        <f t="shared" si="317"/>
        <v>2.1255025631838222</v>
      </c>
      <c r="DB312" s="56">
        <f t="shared" si="331"/>
        <v>3</v>
      </c>
    </row>
    <row r="313" spans="1:106" x14ac:dyDescent="0.25">
      <c r="A313" s="36" t="str">
        <f>KMeans_Data!A41</f>
        <v>Haripur</v>
      </c>
      <c r="B313" s="18">
        <f>KMeans_Data!H41</f>
        <v>0.43325455393275542</v>
      </c>
      <c r="C313" s="18">
        <f>KMeans_Data!I41</f>
        <v>0.37868427752921691</v>
      </c>
      <c r="D313" s="18">
        <f>KMeans_Data!J41</f>
        <v>0.53998023220398461</v>
      </c>
      <c r="E313" s="56">
        <f t="shared" si="318"/>
        <v>3</v>
      </c>
      <c r="F313" s="38">
        <f t="shared" si="319"/>
        <v>0.17927060293793781</v>
      </c>
      <c r="G313" s="18">
        <f>IF(COUNTIF(Distance_Matrix!$E$11:$DQ$11,$E313)&lt;=1,0,SUMIF(Distance_Matrix!$E$11:$DQ$11,$E313,Distance_Matrix!$E$50:$DQ$50)/(COUNTIF(Distance_Matrix!$E$11:$DQ$11,$E313)-1))</f>
        <v>0.82960970449938432</v>
      </c>
      <c r="H313" s="18">
        <f>MIN(IF(1=$E313,1E+99,IF(COUNTIF(Distance_Matrix!$E$11:$DQ$11,1)=0,1E+99,SUMIF(Distance_Matrix!$E$11:$DQ$11,1,Distance_Matrix!$E$50:$DQ$50)/COUNTIF(Distance_Matrix!$E$11:$DQ$11,1))),IF(2=$E313,1E+99,IF(COUNTIF(Distance_Matrix!$E$11:$DQ$11,2)=0,1E+99,SUMIF(Distance_Matrix!$E$11:$DQ$11,2,Distance_Matrix!$E$50:$DQ$50)/COUNTIF(Distance_Matrix!$E$11:$DQ$11,2))),IF(3=$E313,1E+99,IF(COUNTIF(Distance_Matrix!$E$11:$DQ$11,3)=0,1E+99,SUMIF(Distance_Matrix!$E$11:$DQ$11,3,Distance_Matrix!$E$50:$DQ$50)/COUNTIF(Distance_Matrix!$E$11:$DQ$11,3))),IF(4=$E313,1E+99,IF(COUNTIF(Distance_Matrix!$E$11:$DQ$11,4)=0,1E+99,SUMIF(Distance_Matrix!$E$11:$DQ$11,4,Distance_Matrix!$E$50:$DQ$50)/COUNTIF(Distance_Matrix!$E$11:$DQ$11,4))),IF(5=$E313,1E+99,IF(COUNTIF(Distance_Matrix!$E$11:$DQ$11,5)=0,1E+99,SUMIF(Distance_Matrix!$E$11:$DQ$11,5,Distance_Matrix!$E$50:$DQ$50)/COUNTIF(Distance_Matrix!$E$11:$DQ$11,5))))</f>
        <v>1.5458601506208396</v>
      </c>
      <c r="I313" s="18">
        <f>IF(COUNTIF(Distance_Matrix!$E$11:$DQ$11,$E313)&lt;=1,0,(H313-G313)/MAX(G313,H313))</f>
        <v>0.46333456867608552</v>
      </c>
      <c r="X313" s="18">
        <f t="shared" si="306"/>
        <v>5.3691092076194247</v>
      </c>
      <c r="Y313" s="18">
        <f t="shared" si="306"/>
        <v>3.2033991070309726</v>
      </c>
      <c r="Z313" s="18">
        <f t="shared" si="306"/>
        <v>1.1093263837568521</v>
      </c>
      <c r="AA313" s="18">
        <f t="shared" si="306"/>
        <v>1.778419886584109</v>
      </c>
      <c r="AB313" s="18">
        <f t="shared" si="306"/>
        <v>3.2796958727069581</v>
      </c>
      <c r="AC313" s="56">
        <f t="shared" si="320"/>
        <v>3</v>
      </c>
      <c r="AE313" s="18">
        <f t="shared" si="307"/>
        <v>5.2653409757746061</v>
      </c>
      <c r="AF313" s="18">
        <f t="shared" si="307"/>
        <v>2.4587713579688302</v>
      </c>
      <c r="AG313" s="18">
        <f t="shared" si="307"/>
        <v>0.34864982065222211</v>
      </c>
      <c r="AH313" s="18">
        <f t="shared" si="307"/>
        <v>1.4524021466428487</v>
      </c>
      <c r="AI313" s="18">
        <f t="shared" si="307"/>
        <v>2.9963179573317893</v>
      </c>
      <c r="AJ313" s="56">
        <f t="shared" si="321"/>
        <v>3</v>
      </c>
      <c r="AL313" s="18">
        <f t="shared" si="308"/>
        <v>5.2653409757746061</v>
      </c>
      <c r="AM313" s="18">
        <f t="shared" si="308"/>
        <v>2.4834603638097041</v>
      </c>
      <c r="AN313" s="18">
        <f t="shared" si="308"/>
        <v>0.39730924021499742</v>
      </c>
      <c r="AO313" s="18">
        <f t="shared" si="308"/>
        <v>1.3917804956866111</v>
      </c>
      <c r="AP313" s="18">
        <f t="shared" si="308"/>
        <v>2.7271700901447384</v>
      </c>
      <c r="AQ313" s="56">
        <f t="shared" si="322"/>
        <v>3</v>
      </c>
      <c r="AS313" s="18">
        <f t="shared" si="309"/>
        <v>5.2653409757746061</v>
      </c>
      <c r="AT313" s="18">
        <f t="shared" si="309"/>
        <v>2.5679601868475079</v>
      </c>
      <c r="AU313" s="18">
        <f t="shared" si="309"/>
        <v>0.42340359344003897</v>
      </c>
      <c r="AV313" s="18">
        <f t="shared" si="309"/>
        <v>1.3926463272073935</v>
      </c>
      <c r="AW313" s="18">
        <f t="shared" si="309"/>
        <v>2.7271700901447384</v>
      </c>
      <c r="AX313" s="56">
        <f t="shared" si="323"/>
        <v>3</v>
      </c>
      <c r="AZ313" s="18">
        <f t="shared" si="310"/>
        <v>5.2653409757746061</v>
      </c>
      <c r="BA313" s="18">
        <f t="shared" si="310"/>
        <v>2.5679601868475079</v>
      </c>
      <c r="BB313" s="18">
        <f t="shared" si="310"/>
        <v>0.42340359344003897</v>
      </c>
      <c r="BC313" s="18">
        <f t="shared" si="310"/>
        <v>1.3926463272073935</v>
      </c>
      <c r="BD313" s="18">
        <f t="shared" si="310"/>
        <v>2.7271700901447384</v>
      </c>
      <c r="BE313" s="56">
        <f t="shared" si="324"/>
        <v>3</v>
      </c>
      <c r="BG313" s="18">
        <f t="shared" si="311"/>
        <v>5.2653409757746061</v>
      </c>
      <c r="BH313" s="18">
        <f t="shared" si="311"/>
        <v>2.5679601868475079</v>
      </c>
      <c r="BI313" s="18">
        <f t="shared" si="311"/>
        <v>0.42340359344003897</v>
      </c>
      <c r="BJ313" s="18">
        <f t="shared" si="311"/>
        <v>1.3926463272073935</v>
      </c>
      <c r="BK313" s="18">
        <f t="shared" si="311"/>
        <v>2.7271700901447384</v>
      </c>
      <c r="BL313" s="56">
        <f t="shared" si="325"/>
        <v>3</v>
      </c>
      <c r="BN313" s="18">
        <f t="shared" si="312"/>
        <v>5.2653409757746061</v>
      </c>
      <c r="BO313" s="18">
        <f t="shared" si="312"/>
        <v>2.5679601868475079</v>
      </c>
      <c r="BP313" s="18">
        <f t="shared" si="312"/>
        <v>0.42340359344003897</v>
      </c>
      <c r="BQ313" s="18">
        <f t="shared" si="312"/>
        <v>1.3926463272073935</v>
      </c>
      <c r="BR313" s="18">
        <f t="shared" si="312"/>
        <v>2.7271700901447384</v>
      </c>
      <c r="BS313" s="56">
        <f t="shared" si="326"/>
        <v>3</v>
      </c>
      <c r="BU313" s="18">
        <f t="shared" si="313"/>
        <v>5.2653409757746061</v>
      </c>
      <c r="BV313" s="18">
        <f t="shared" si="313"/>
        <v>2.5679601868475079</v>
      </c>
      <c r="BW313" s="18">
        <f t="shared" si="313"/>
        <v>0.42340359344003897</v>
      </c>
      <c r="BX313" s="18">
        <f t="shared" si="313"/>
        <v>1.3926463272073935</v>
      </c>
      <c r="BY313" s="18">
        <f t="shared" si="313"/>
        <v>2.7271700901447384</v>
      </c>
      <c r="BZ313" s="56">
        <f t="shared" si="327"/>
        <v>3</v>
      </c>
      <c r="CB313" s="18">
        <f t="shared" si="314"/>
        <v>5.2653409757746061</v>
      </c>
      <c r="CC313" s="18">
        <f t="shared" si="314"/>
        <v>2.5679601868475079</v>
      </c>
      <c r="CD313" s="18">
        <f t="shared" si="314"/>
        <v>0.42340359344003897</v>
      </c>
      <c r="CE313" s="18">
        <f t="shared" si="314"/>
        <v>1.3926463272073935</v>
      </c>
      <c r="CF313" s="18">
        <f t="shared" si="314"/>
        <v>2.7271700901447384</v>
      </c>
      <c r="CG313" s="56">
        <f t="shared" si="328"/>
        <v>3</v>
      </c>
      <c r="CI313" s="18">
        <f t="shared" si="315"/>
        <v>5.2653409757746061</v>
      </c>
      <c r="CJ313" s="18">
        <f t="shared" si="315"/>
        <v>2.5679601868475079</v>
      </c>
      <c r="CK313" s="18">
        <f t="shared" si="315"/>
        <v>0.42340359344003897</v>
      </c>
      <c r="CL313" s="18">
        <f t="shared" si="315"/>
        <v>1.3926463272073935</v>
      </c>
      <c r="CM313" s="18">
        <f t="shared" si="315"/>
        <v>2.7271700901447384</v>
      </c>
      <c r="CN313" s="56">
        <f t="shared" si="329"/>
        <v>3</v>
      </c>
      <c r="CP313" s="18">
        <f t="shared" si="316"/>
        <v>5.2653409757746061</v>
      </c>
      <c r="CQ313" s="18">
        <f t="shared" si="316"/>
        <v>2.5679601868475079</v>
      </c>
      <c r="CR313" s="18">
        <f t="shared" si="316"/>
        <v>0.42340359344003897</v>
      </c>
      <c r="CS313" s="18">
        <f t="shared" si="316"/>
        <v>1.3926463272073935</v>
      </c>
      <c r="CT313" s="18">
        <f t="shared" si="316"/>
        <v>2.7271700901447384</v>
      </c>
      <c r="CU313" s="56">
        <f t="shared" si="330"/>
        <v>3</v>
      </c>
      <c r="CW313" s="18">
        <f t="shared" si="317"/>
        <v>5.2653409757746061</v>
      </c>
      <c r="CX313" s="18">
        <f t="shared" si="317"/>
        <v>2.5679601868475079</v>
      </c>
      <c r="CY313" s="18">
        <f t="shared" si="317"/>
        <v>0.42340359344003897</v>
      </c>
      <c r="CZ313" s="18">
        <f t="shared" si="317"/>
        <v>1.3926463272073935</v>
      </c>
      <c r="DA313" s="18">
        <f t="shared" si="317"/>
        <v>2.7271700901447384</v>
      </c>
      <c r="DB313" s="56">
        <f t="shared" si="331"/>
        <v>3</v>
      </c>
    </row>
    <row r="314" spans="1:106" x14ac:dyDescent="0.25">
      <c r="A314" s="36" t="str">
        <f>KMeans_Data!A42</f>
        <v>Battagram</v>
      </c>
      <c r="B314" s="18">
        <f>KMeans_Data!H42</f>
        <v>0.42907404938827359</v>
      </c>
      <c r="C314" s="18">
        <f>KMeans_Data!I42</f>
        <v>0.37868427752921691</v>
      </c>
      <c r="D314" s="18">
        <f>KMeans_Data!J42</f>
        <v>0.46034638584038468</v>
      </c>
      <c r="E314" s="56">
        <f t="shared" si="318"/>
        <v>3</v>
      </c>
      <c r="F314" s="38">
        <f t="shared" si="319"/>
        <v>0.23819896405273094</v>
      </c>
      <c r="G314" s="18">
        <f>IF(COUNTIF(Distance_Matrix!$E$11:$DQ$11,$E314)&lt;=1,0,SUMIF(Distance_Matrix!$E$11:$DQ$11,$E314,Distance_Matrix!$E$51:$DQ$51)/(COUNTIF(Distance_Matrix!$E$11:$DQ$11,$E314)-1))</f>
        <v>0.85907726875425983</v>
      </c>
      <c r="H314" s="18">
        <f>MIN(IF(1=$E314,1E+99,IF(COUNTIF(Distance_Matrix!$E$11:$DQ$11,1)=0,1E+99,SUMIF(Distance_Matrix!$E$11:$DQ$11,1,Distance_Matrix!$E$51:$DQ$51)/COUNTIF(Distance_Matrix!$E$11:$DQ$11,1))),IF(2=$E314,1E+99,IF(COUNTIF(Distance_Matrix!$E$11:$DQ$11,2)=0,1E+99,SUMIF(Distance_Matrix!$E$11:$DQ$11,2,Distance_Matrix!$E$51:$DQ$51)/COUNTIF(Distance_Matrix!$E$11:$DQ$11,2))),IF(3=$E314,1E+99,IF(COUNTIF(Distance_Matrix!$E$11:$DQ$11,3)=0,1E+99,SUMIF(Distance_Matrix!$E$11:$DQ$11,3,Distance_Matrix!$E$51:$DQ$51)/COUNTIF(Distance_Matrix!$E$11:$DQ$11,3))),IF(4=$E314,1E+99,IF(COUNTIF(Distance_Matrix!$E$11:$DQ$11,4)=0,1E+99,SUMIF(Distance_Matrix!$E$11:$DQ$11,4,Distance_Matrix!$E$51:$DQ$51)/COUNTIF(Distance_Matrix!$E$11:$DQ$11,4))),IF(5=$E314,1E+99,IF(COUNTIF(Distance_Matrix!$E$11:$DQ$11,5)=0,1E+99,SUMIF(Distance_Matrix!$E$11:$DQ$11,5,Distance_Matrix!$E$51:$DQ$51)/COUNTIF(Distance_Matrix!$E$11:$DQ$11,5))))</f>
        <v>1.5014166231504789</v>
      </c>
      <c r="I314" s="18">
        <f>IF(COUNTIF(Distance_Matrix!$E$11:$DQ$11,$E314)&lt;=1,0,(H314-G314)/MAX(G314,H314))</f>
        <v>0.42782219438091357</v>
      </c>
      <c r="X314" s="18">
        <f t="shared" si="306"/>
        <v>5.4119772224383986</v>
      </c>
      <c r="Y314" s="18">
        <f t="shared" si="306"/>
        <v>3.158899841844244</v>
      </c>
      <c r="Z314" s="18">
        <f t="shared" si="306"/>
        <v>1.1790679955950032</v>
      </c>
      <c r="AA314" s="18">
        <f t="shared" si="306"/>
        <v>1.7036569054111126</v>
      </c>
      <c r="AB314" s="18">
        <f t="shared" si="306"/>
        <v>3.3272736080545511</v>
      </c>
      <c r="AC314" s="56">
        <f t="shared" si="320"/>
        <v>3</v>
      </c>
      <c r="AE314" s="18">
        <f t="shared" si="307"/>
        <v>5.3047442813209793</v>
      </c>
      <c r="AF314" s="18">
        <f t="shared" si="307"/>
        <v>2.4089345454122633</v>
      </c>
      <c r="AG314" s="18">
        <f t="shared" si="307"/>
        <v>0.42144858909018246</v>
      </c>
      <c r="AH314" s="18">
        <f t="shared" si="307"/>
        <v>1.3942122020285859</v>
      </c>
      <c r="AI314" s="18">
        <f t="shared" si="307"/>
        <v>3.0326459434108317</v>
      </c>
      <c r="AJ314" s="56">
        <f t="shared" si="321"/>
        <v>3</v>
      </c>
      <c r="AL314" s="18">
        <f t="shared" si="308"/>
        <v>5.3047442813209793</v>
      </c>
      <c r="AM314" s="18">
        <f t="shared" si="308"/>
        <v>2.432495146723832</v>
      </c>
      <c r="AN314" s="18">
        <f t="shared" si="308"/>
        <v>0.46266518012972396</v>
      </c>
      <c r="AO314" s="18">
        <f t="shared" si="308"/>
        <v>1.3378253825727076</v>
      </c>
      <c r="AP314" s="18">
        <f t="shared" si="308"/>
        <v>2.7631636826002866</v>
      </c>
      <c r="AQ314" s="56">
        <f t="shared" si="322"/>
        <v>3</v>
      </c>
      <c r="AS314" s="18">
        <f t="shared" si="309"/>
        <v>5.3047442813209793</v>
      </c>
      <c r="AT314" s="18">
        <f t="shared" si="309"/>
        <v>2.5158365827200915</v>
      </c>
      <c r="AU314" s="18">
        <f t="shared" si="309"/>
        <v>0.48805631237873665</v>
      </c>
      <c r="AV314" s="18">
        <f t="shared" si="309"/>
        <v>1.3399199550449192</v>
      </c>
      <c r="AW314" s="18">
        <f t="shared" si="309"/>
        <v>2.7631636826002866</v>
      </c>
      <c r="AX314" s="56">
        <f t="shared" si="323"/>
        <v>3</v>
      </c>
      <c r="AZ314" s="18">
        <f t="shared" si="310"/>
        <v>5.3047442813209793</v>
      </c>
      <c r="BA314" s="18">
        <f t="shared" si="310"/>
        <v>2.5158365827200915</v>
      </c>
      <c r="BB314" s="18">
        <f t="shared" si="310"/>
        <v>0.48805631237873665</v>
      </c>
      <c r="BC314" s="18">
        <f t="shared" si="310"/>
        <v>1.3399199550449192</v>
      </c>
      <c r="BD314" s="18">
        <f t="shared" si="310"/>
        <v>2.7631636826002866</v>
      </c>
      <c r="BE314" s="56">
        <f t="shared" si="324"/>
        <v>3</v>
      </c>
      <c r="BG314" s="18">
        <f t="shared" si="311"/>
        <v>5.3047442813209793</v>
      </c>
      <c r="BH314" s="18">
        <f t="shared" si="311"/>
        <v>2.5158365827200915</v>
      </c>
      <c r="BI314" s="18">
        <f t="shared" si="311"/>
        <v>0.48805631237873665</v>
      </c>
      <c r="BJ314" s="18">
        <f t="shared" si="311"/>
        <v>1.3399199550449192</v>
      </c>
      <c r="BK314" s="18">
        <f t="shared" si="311"/>
        <v>2.7631636826002866</v>
      </c>
      <c r="BL314" s="56">
        <f t="shared" si="325"/>
        <v>3</v>
      </c>
      <c r="BN314" s="18">
        <f t="shared" si="312"/>
        <v>5.3047442813209793</v>
      </c>
      <c r="BO314" s="18">
        <f t="shared" si="312"/>
        <v>2.5158365827200915</v>
      </c>
      <c r="BP314" s="18">
        <f t="shared" si="312"/>
        <v>0.48805631237873665</v>
      </c>
      <c r="BQ314" s="18">
        <f t="shared" si="312"/>
        <v>1.3399199550449192</v>
      </c>
      <c r="BR314" s="18">
        <f t="shared" si="312"/>
        <v>2.7631636826002866</v>
      </c>
      <c r="BS314" s="56">
        <f t="shared" si="326"/>
        <v>3</v>
      </c>
      <c r="BU314" s="18">
        <f t="shared" si="313"/>
        <v>5.3047442813209793</v>
      </c>
      <c r="BV314" s="18">
        <f t="shared" si="313"/>
        <v>2.5158365827200915</v>
      </c>
      <c r="BW314" s="18">
        <f t="shared" si="313"/>
        <v>0.48805631237873665</v>
      </c>
      <c r="BX314" s="18">
        <f t="shared" si="313"/>
        <v>1.3399199550449192</v>
      </c>
      <c r="BY314" s="18">
        <f t="shared" si="313"/>
        <v>2.7631636826002866</v>
      </c>
      <c r="BZ314" s="56">
        <f t="shared" si="327"/>
        <v>3</v>
      </c>
      <c r="CB314" s="18">
        <f t="shared" si="314"/>
        <v>5.3047442813209793</v>
      </c>
      <c r="CC314" s="18">
        <f t="shared" si="314"/>
        <v>2.5158365827200915</v>
      </c>
      <c r="CD314" s="18">
        <f t="shared" si="314"/>
        <v>0.48805631237873665</v>
      </c>
      <c r="CE314" s="18">
        <f t="shared" si="314"/>
        <v>1.3399199550449192</v>
      </c>
      <c r="CF314" s="18">
        <f t="shared" si="314"/>
        <v>2.7631636826002866</v>
      </c>
      <c r="CG314" s="56">
        <f t="shared" si="328"/>
        <v>3</v>
      </c>
      <c r="CI314" s="18">
        <f t="shared" si="315"/>
        <v>5.3047442813209793</v>
      </c>
      <c r="CJ314" s="18">
        <f t="shared" si="315"/>
        <v>2.5158365827200915</v>
      </c>
      <c r="CK314" s="18">
        <f t="shared" si="315"/>
        <v>0.48805631237873665</v>
      </c>
      <c r="CL314" s="18">
        <f t="shared" si="315"/>
        <v>1.3399199550449192</v>
      </c>
      <c r="CM314" s="18">
        <f t="shared" si="315"/>
        <v>2.7631636826002866</v>
      </c>
      <c r="CN314" s="56">
        <f t="shared" si="329"/>
        <v>3</v>
      </c>
      <c r="CP314" s="18">
        <f t="shared" si="316"/>
        <v>5.3047442813209793</v>
      </c>
      <c r="CQ314" s="18">
        <f t="shared" si="316"/>
        <v>2.5158365827200915</v>
      </c>
      <c r="CR314" s="18">
        <f t="shared" si="316"/>
        <v>0.48805631237873665</v>
      </c>
      <c r="CS314" s="18">
        <f t="shared" si="316"/>
        <v>1.3399199550449192</v>
      </c>
      <c r="CT314" s="18">
        <f t="shared" si="316"/>
        <v>2.7631636826002866</v>
      </c>
      <c r="CU314" s="56">
        <f t="shared" si="330"/>
        <v>3</v>
      </c>
      <c r="CW314" s="18">
        <f t="shared" si="317"/>
        <v>5.3047442813209793</v>
      </c>
      <c r="CX314" s="18">
        <f t="shared" si="317"/>
        <v>2.5158365827200915</v>
      </c>
      <c r="CY314" s="18">
        <f t="shared" si="317"/>
        <v>0.48805631237873665</v>
      </c>
      <c r="CZ314" s="18">
        <f t="shared" si="317"/>
        <v>1.3399199550449192</v>
      </c>
      <c r="DA314" s="18">
        <f t="shared" si="317"/>
        <v>2.7631636826002866</v>
      </c>
      <c r="DB314" s="56">
        <f t="shared" si="331"/>
        <v>3</v>
      </c>
    </row>
    <row r="315" spans="1:106" x14ac:dyDescent="0.25">
      <c r="A315" s="36" t="str">
        <f>KMeans_Data!A43</f>
        <v>Kohat</v>
      </c>
      <c r="B315" s="18">
        <f>KMeans_Data!H43</f>
        <v>0.40765250667401376</v>
      </c>
      <c r="C315" s="18">
        <f>KMeans_Data!I43</f>
        <v>1.2725500225060853</v>
      </c>
      <c r="D315" s="18">
        <f>KMeans_Data!J43</f>
        <v>0.62851349158581915</v>
      </c>
      <c r="E315" s="56">
        <f t="shared" si="318"/>
        <v>3</v>
      </c>
      <c r="F315" s="38">
        <f t="shared" si="319"/>
        <v>0.57012386421748307</v>
      </c>
      <c r="G315" s="18">
        <f>IF(COUNTIF(Distance_Matrix!$E$11:$DQ$11,$E315)&lt;=1,0,SUMIF(Distance_Matrix!$E$11:$DQ$11,$E315,Distance_Matrix!$E$52:$DQ$52)/(COUNTIF(Distance_Matrix!$E$11:$DQ$11,$E315)-1))</f>
        <v>1.0088755472235373</v>
      </c>
      <c r="H315" s="18">
        <f>MIN(IF(1=$E315,1E+99,IF(COUNTIF(Distance_Matrix!$E$11:$DQ$11,1)=0,1E+99,SUMIF(Distance_Matrix!$E$11:$DQ$11,1,Distance_Matrix!$E$52:$DQ$52)/COUNTIF(Distance_Matrix!$E$11:$DQ$11,1))),IF(2=$E315,1E+99,IF(COUNTIF(Distance_Matrix!$E$11:$DQ$11,2)=0,1E+99,SUMIF(Distance_Matrix!$E$11:$DQ$11,2,Distance_Matrix!$E$52:$DQ$52)/COUNTIF(Distance_Matrix!$E$11:$DQ$11,2))),IF(3=$E315,1E+99,IF(COUNTIF(Distance_Matrix!$E$11:$DQ$11,3)=0,1E+99,SUMIF(Distance_Matrix!$E$11:$DQ$11,3,Distance_Matrix!$E$52:$DQ$52)/COUNTIF(Distance_Matrix!$E$11:$DQ$11,3))),IF(4=$E315,1E+99,IF(COUNTIF(Distance_Matrix!$E$11:$DQ$11,4)=0,1E+99,SUMIF(Distance_Matrix!$E$11:$DQ$11,4,Distance_Matrix!$E$52:$DQ$52)/COUNTIF(Distance_Matrix!$E$11:$DQ$11,4))),IF(5=$E315,1E+99,IF(COUNTIF(Distance_Matrix!$E$11:$DQ$11,5)=0,1E+99,SUMIF(Distance_Matrix!$E$11:$DQ$11,5,Distance_Matrix!$E$52:$DQ$52)/COUNTIF(Distance_Matrix!$E$11:$DQ$11,5))))</f>
        <v>2.1750967156172321</v>
      </c>
      <c r="I315" s="18">
        <f>IF(COUNTIF(Distance_Matrix!$E$11:$DQ$11,$E315)&lt;=1,0,(H315-G315)/MAX(G315,H315))</f>
        <v>0.53616979880490212</v>
      </c>
      <c r="X315" s="18">
        <f t="shared" si="306"/>
        <v>4.7703842622670001</v>
      </c>
      <c r="Y315" s="18">
        <f t="shared" si="306"/>
        <v>3.6219541561486244</v>
      </c>
      <c r="Z315" s="18">
        <f t="shared" si="306"/>
        <v>1.3799561862055567</v>
      </c>
      <c r="AA315" s="18">
        <f t="shared" si="306"/>
        <v>2.2845926076918595</v>
      </c>
      <c r="AB315" s="18">
        <f t="shared" si="306"/>
        <v>2.8131849853969211</v>
      </c>
      <c r="AC315" s="56">
        <f t="shared" si="320"/>
        <v>3</v>
      </c>
      <c r="AE315" s="18">
        <f t="shared" si="307"/>
        <v>4.6473241361613065</v>
      </c>
      <c r="AF315" s="18">
        <f t="shared" si="307"/>
        <v>2.9790043531762609</v>
      </c>
      <c r="AG315" s="18">
        <f t="shared" si="307"/>
        <v>0.81464957605865185</v>
      </c>
      <c r="AH315" s="18">
        <f t="shared" si="307"/>
        <v>2.1516633619438754</v>
      </c>
      <c r="AI315" s="18">
        <f t="shared" si="307"/>
        <v>2.4060132127550151</v>
      </c>
      <c r="AJ315" s="56">
        <f t="shared" si="321"/>
        <v>3</v>
      </c>
      <c r="AL315" s="18">
        <f t="shared" si="308"/>
        <v>4.6473241361613065</v>
      </c>
      <c r="AM315" s="18">
        <f t="shared" si="308"/>
        <v>3.0009756277780992</v>
      </c>
      <c r="AN315" s="18">
        <f t="shared" si="308"/>
        <v>0.75570434385960605</v>
      </c>
      <c r="AO315" s="18">
        <f t="shared" si="308"/>
        <v>2.1157694683461234</v>
      </c>
      <c r="AP315" s="18">
        <f t="shared" si="308"/>
        <v>2.12972467763757</v>
      </c>
      <c r="AQ315" s="56">
        <f t="shared" si="322"/>
        <v>3</v>
      </c>
      <c r="AS315" s="18">
        <f t="shared" si="309"/>
        <v>4.6473241361613065</v>
      </c>
      <c r="AT315" s="18">
        <f t="shared" si="309"/>
        <v>3.0727778226219877</v>
      </c>
      <c r="AU315" s="18">
        <f t="shared" si="309"/>
        <v>0.75506547015307424</v>
      </c>
      <c r="AV315" s="18">
        <f t="shared" si="309"/>
        <v>2.113176061263947</v>
      </c>
      <c r="AW315" s="18">
        <f t="shared" si="309"/>
        <v>2.12972467763757</v>
      </c>
      <c r="AX315" s="56">
        <f t="shared" si="323"/>
        <v>3</v>
      </c>
      <c r="AZ315" s="18">
        <f t="shared" si="310"/>
        <v>4.6473241361613065</v>
      </c>
      <c r="BA315" s="18">
        <f t="shared" si="310"/>
        <v>3.0727778226219877</v>
      </c>
      <c r="BB315" s="18">
        <f t="shared" si="310"/>
        <v>0.75506547015307424</v>
      </c>
      <c r="BC315" s="18">
        <f t="shared" si="310"/>
        <v>2.113176061263947</v>
      </c>
      <c r="BD315" s="18">
        <f t="shared" si="310"/>
        <v>2.12972467763757</v>
      </c>
      <c r="BE315" s="56">
        <f t="shared" si="324"/>
        <v>3</v>
      </c>
      <c r="BG315" s="18">
        <f t="shared" si="311"/>
        <v>4.6473241361613065</v>
      </c>
      <c r="BH315" s="18">
        <f t="shared" si="311"/>
        <v>3.0727778226219877</v>
      </c>
      <c r="BI315" s="18">
        <f t="shared" si="311"/>
        <v>0.75506547015307424</v>
      </c>
      <c r="BJ315" s="18">
        <f t="shared" si="311"/>
        <v>2.113176061263947</v>
      </c>
      <c r="BK315" s="18">
        <f t="shared" si="311"/>
        <v>2.12972467763757</v>
      </c>
      <c r="BL315" s="56">
        <f t="shared" si="325"/>
        <v>3</v>
      </c>
      <c r="BN315" s="18">
        <f t="shared" si="312"/>
        <v>4.6473241361613065</v>
      </c>
      <c r="BO315" s="18">
        <f t="shared" si="312"/>
        <v>3.0727778226219877</v>
      </c>
      <c r="BP315" s="18">
        <f t="shared" si="312"/>
        <v>0.75506547015307424</v>
      </c>
      <c r="BQ315" s="18">
        <f t="shared" si="312"/>
        <v>2.113176061263947</v>
      </c>
      <c r="BR315" s="18">
        <f t="shared" si="312"/>
        <v>2.12972467763757</v>
      </c>
      <c r="BS315" s="56">
        <f t="shared" si="326"/>
        <v>3</v>
      </c>
      <c r="BU315" s="18">
        <f t="shared" si="313"/>
        <v>4.6473241361613065</v>
      </c>
      <c r="BV315" s="18">
        <f t="shared" si="313"/>
        <v>3.0727778226219877</v>
      </c>
      <c r="BW315" s="18">
        <f t="shared" si="313"/>
        <v>0.75506547015307424</v>
      </c>
      <c r="BX315" s="18">
        <f t="shared" si="313"/>
        <v>2.113176061263947</v>
      </c>
      <c r="BY315" s="18">
        <f t="shared" si="313"/>
        <v>2.12972467763757</v>
      </c>
      <c r="BZ315" s="56">
        <f t="shared" si="327"/>
        <v>3</v>
      </c>
      <c r="CB315" s="18">
        <f t="shared" si="314"/>
        <v>4.6473241361613065</v>
      </c>
      <c r="CC315" s="18">
        <f t="shared" si="314"/>
        <v>3.0727778226219877</v>
      </c>
      <c r="CD315" s="18">
        <f t="shared" si="314"/>
        <v>0.75506547015307424</v>
      </c>
      <c r="CE315" s="18">
        <f t="shared" si="314"/>
        <v>2.113176061263947</v>
      </c>
      <c r="CF315" s="18">
        <f t="shared" si="314"/>
        <v>2.12972467763757</v>
      </c>
      <c r="CG315" s="56">
        <f t="shared" si="328"/>
        <v>3</v>
      </c>
      <c r="CI315" s="18">
        <f t="shared" si="315"/>
        <v>4.6473241361613065</v>
      </c>
      <c r="CJ315" s="18">
        <f t="shared" si="315"/>
        <v>3.0727778226219877</v>
      </c>
      <c r="CK315" s="18">
        <f t="shared" si="315"/>
        <v>0.75506547015307424</v>
      </c>
      <c r="CL315" s="18">
        <f t="shared" si="315"/>
        <v>2.113176061263947</v>
      </c>
      <c r="CM315" s="18">
        <f t="shared" si="315"/>
        <v>2.12972467763757</v>
      </c>
      <c r="CN315" s="56">
        <f t="shared" si="329"/>
        <v>3</v>
      </c>
      <c r="CP315" s="18">
        <f t="shared" si="316"/>
        <v>4.6473241361613065</v>
      </c>
      <c r="CQ315" s="18">
        <f t="shared" si="316"/>
        <v>3.0727778226219877</v>
      </c>
      <c r="CR315" s="18">
        <f t="shared" si="316"/>
        <v>0.75506547015307424</v>
      </c>
      <c r="CS315" s="18">
        <f t="shared" si="316"/>
        <v>2.113176061263947</v>
      </c>
      <c r="CT315" s="18">
        <f t="shared" si="316"/>
        <v>2.12972467763757</v>
      </c>
      <c r="CU315" s="56">
        <f t="shared" si="330"/>
        <v>3</v>
      </c>
      <c r="CW315" s="18">
        <f t="shared" si="317"/>
        <v>4.6473241361613065</v>
      </c>
      <c r="CX315" s="18">
        <f t="shared" si="317"/>
        <v>3.0727778226219877</v>
      </c>
      <c r="CY315" s="18">
        <f t="shared" si="317"/>
        <v>0.75506547015307424</v>
      </c>
      <c r="CZ315" s="18">
        <f t="shared" si="317"/>
        <v>2.113176061263947</v>
      </c>
      <c r="DA315" s="18">
        <f t="shared" si="317"/>
        <v>2.12972467763757</v>
      </c>
      <c r="DB315" s="56">
        <f t="shared" si="331"/>
        <v>3</v>
      </c>
    </row>
    <row r="316" spans="1:106" x14ac:dyDescent="0.25">
      <c r="A316" s="36" t="str">
        <f>KMeans_Data!A44</f>
        <v>Kurram</v>
      </c>
      <c r="B316" s="18">
        <f>KMeans_Data!H44</f>
        <v>0.38985692646238834</v>
      </c>
      <c r="C316" s="18">
        <f>KMeans_Data!I44</f>
        <v>0.16051258962499582</v>
      </c>
      <c r="D316" s="18">
        <f>KMeans_Data!J44</f>
        <v>-7.8647122474779993E-2</v>
      </c>
      <c r="E316" s="56">
        <f t="shared" si="318"/>
        <v>4</v>
      </c>
      <c r="F316" s="38">
        <f t="shared" si="319"/>
        <v>0.80377776425489522</v>
      </c>
      <c r="G316" s="18">
        <f>IF(COUNTIF(Distance_Matrix!$E$11:$DQ$11,$E316)&lt;=1,0,SUMIF(Distance_Matrix!$E$11:$DQ$11,$E316,Distance_Matrix!$E$53:$DQ$53)/(COUNTIF(Distance_Matrix!$E$11:$DQ$11,$E316)-1))</f>
        <v>1.1735208035300377</v>
      </c>
      <c r="H316" s="18">
        <f>MIN(IF(1=$E316,1E+99,IF(COUNTIF(Distance_Matrix!$E$11:$DQ$11,1)=0,1E+99,SUMIF(Distance_Matrix!$E$11:$DQ$11,1,Distance_Matrix!$E$53:$DQ$53)/COUNTIF(Distance_Matrix!$E$11:$DQ$11,1))),IF(2=$E316,1E+99,IF(COUNTIF(Distance_Matrix!$E$11:$DQ$11,2)=0,1E+99,SUMIF(Distance_Matrix!$E$11:$DQ$11,2,Distance_Matrix!$E$53:$DQ$53)/COUNTIF(Distance_Matrix!$E$11:$DQ$11,2))),IF(3=$E316,1E+99,IF(COUNTIF(Distance_Matrix!$E$11:$DQ$11,3)=0,1E+99,SUMIF(Distance_Matrix!$E$11:$DQ$11,3,Distance_Matrix!$E$53:$DQ$53)/COUNTIF(Distance_Matrix!$E$11:$DQ$11,3))),IF(4=$E316,1E+99,IF(COUNTIF(Distance_Matrix!$E$11:$DQ$11,4)=0,1E+99,SUMIF(Distance_Matrix!$E$11:$DQ$11,4,Distance_Matrix!$E$53:$DQ$53)/COUNTIF(Distance_Matrix!$E$11:$DQ$11,4))),IF(5=$E316,1E+99,IF(COUNTIF(Distance_Matrix!$E$11:$DQ$11,5)=0,1E+99,SUMIF(Distance_Matrix!$E$11:$DQ$11,5,Distance_Matrix!$E$53:$DQ$53)/COUNTIF(Distance_Matrix!$E$11:$DQ$11,5))))</f>
        <v>1.2382108259152456</v>
      </c>
      <c r="I316" s="18">
        <f>IF(COUNTIF(Distance_Matrix!$E$11:$DQ$11,$E316)&lt;=1,0,(H316-G316)/MAX(G316,H316))</f>
        <v>5.2244755926270509E-2</v>
      </c>
      <c r="X316" s="18">
        <f t="shared" si="306"/>
        <v>5.8702245972691269</v>
      </c>
      <c r="Y316" s="18">
        <f t="shared" si="306"/>
        <v>2.8162994168555233</v>
      </c>
      <c r="Z316" s="18">
        <f t="shared" si="306"/>
        <v>1.6930417975150076</v>
      </c>
      <c r="AA316" s="18">
        <f t="shared" si="306"/>
        <v>1.1395078316512035</v>
      </c>
      <c r="AB316" s="18">
        <f t="shared" si="306"/>
        <v>3.8025155512720685</v>
      </c>
      <c r="AC316" s="56">
        <f t="shared" si="320"/>
        <v>4</v>
      </c>
      <c r="AE316" s="18">
        <f t="shared" si="307"/>
        <v>5.7468890471924636</v>
      </c>
      <c r="AF316" s="18">
        <f t="shared" si="307"/>
        <v>2.014118465043151</v>
      </c>
      <c r="AG316" s="18">
        <f t="shared" si="307"/>
        <v>0.99766678761361405</v>
      </c>
      <c r="AH316" s="18">
        <f t="shared" si="307"/>
        <v>0.9033095759403742</v>
      </c>
      <c r="AI316" s="18">
        <f t="shared" si="307"/>
        <v>3.4699676322254489</v>
      </c>
      <c r="AJ316" s="56">
        <f t="shared" si="321"/>
        <v>4</v>
      </c>
      <c r="AL316" s="18">
        <f t="shared" si="308"/>
        <v>5.7468890471924636</v>
      </c>
      <c r="AM316" s="18">
        <f t="shared" si="308"/>
        <v>2.0290663194418475</v>
      </c>
      <c r="AN316" s="18">
        <f t="shared" si="308"/>
        <v>1.0324698303702593</v>
      </c>
      <c r="AO316" s="18">
        <f t="shared" si="308"/>
        <v>0.88083274065610573</v>
      </c>
      <c r="AP316" s="18">
        <f t="shared" si="308"/>
        <v>3.2035215174169158</v>
      </c>
      <c r="AQ316" s="56">
        <f t="shared" si="322"/>
        <v>4</v>
      </c>
      <c r="AS316" s="18">
        <f t="shared" si="309"/>
        <v>5.7468890471924636</v>
      </c>
      <c r="AT316" s="18">
        <f t="shared" si="309"/>
        <v>2.1051697046394104</v>
      </c>
      <c r="AU316" s="18">
        <f t="shared" si="309"/>
        <v>1.0554631338907439</v>
      </c>
      <c r="AV316" s="18">
        <f t="shared" si="309"/>
        <v>0.89653653815943013</v>
      </c>
      <c r="AW316" s="18">
        <f t="shared" si="309"/>
        <v>3.2035215174169158</v>
      </c>
      <c r="AX316" s="56">
        <f t="shared" si="323"/>
        <v>4</v>
      </c>
      <c r="AZ316" s="18">
        <f t="shared" si="310"/>
        <v>5.7468890471924636</v>
      </c>
      <c r="BA316" s="18">
        <f t="shared" si="310"/>
        <v>2.1051697046394104</v>
      </c>
      <c r="BB316" s="18">
        <f t="shared" si="310"/>
        <v>1.0554631338907439</v>
      </c>
      <c r="BC316" s="18">
        <f t="shared" si="310"/>
        <v>0.89653653815943013</v>
      </c>
      <c r="BD316" s="18">
        <f t="shared" si="310"/>
        <v>3.2035215174169158</v>
      </c>
      <c r="BE316" s="56">
        <f t="shared" si="324"/>
        <v>4</v>
      </c>
      <c r="BG316" s="18">
        <f t="shared" si="311"/>
        <v>5.7468890471924636</v>
      </c>
      <c r="BH316" s="18">
        <f t="shared" si="311"/>
        <v>2.1051697046394104</v>
      </c>
      <c r="BI316" s="18">
        <f t="shared" si="311"/>
        <v>1.0554631338907439</v>
      </c>
      <c r="BJ316" s="18">
        <f t="shared" si="311"/>
        <v>0.89653653815943013</v>
      </c>
      <c r="BK316" s="18">
        <f t="shared" si="311"/>
        <v>3.2035215174169158</v>
      </c>
      <c r="BL316" s="56">
        <f t="shared" si="325"/>
        <v>4</v>
      </c>
      <c r="BN316" s="18">
        <f t="shared" si="312"/>
        <v>5.7468890471924636</v>
      </c>
      <c r="BO316" s="18">
        <f t="shared" si="312"/>
        <v>2.1051697046394104</v>
      </c>
      <c r="BP316" s="18">
        <f t="shared" si="312"/>
        <v>1.0554631338907439</v>
      </c>
      <c r="BQ316" s="18">
        <f t="shared" si="312"/>
        <v>0.89653653815943013</v>
      </c>
      <c r="BR316" s="18">
        <f t="shared" si="312"/>
        <v>3.2035215174169158</v>
      </c>
      <c r="BS316" s="56">
        <f t="shared" si="326"/>
        <v>4</v>
      </c>
      <c r="BU316" s="18">
        <f t="shared" si="313"/>
        <v>5.7468890471924636</v>
      </c>
      <c r="BV316" s="18">
        <f t="shared" si="313"/>
        <v>2.1051697046394104</v>
      </c>
      <c r="BW316" s="18">
        <f t="shared" si="313"/>
        <v>1.0554631338907439</v>
      </c>
      <c r="BX316" s="18">
        <f t="shared" si="313"/>
        <v>0.89653653815943013</v>
      </c>
      <c r="BY316" s="18">
        <f t="shared" si="313"/>
        <v>3.2035215174169158</v>
      </c>
      <c r="BZ316" s="56">
        <f t="shared" si="327"/>
        <v>4</v>
      </c>
      <c r="CB316" s="18">
        <f t="shared" si="314"/>
        <v>5.7468890471924636</v>
      </c>
      <c r="CC316" s="18">
        <f t="shared" si="314"/>
        <v>2.1051697046394104</v>
      </c>
      <c r="CD316" s="18">
        <f t="shared" si="314"/>
        <v>1.0554631338907439</v>
      </c>
      <c r="CE316" s="18">
        <f t="shared" si="314"/>
        <v>0.89653653815943013</v>
      </c>
      <c r="CF316" s="18">
        <f t="shared" si="314"/>
        <v>3.2035215174169158</v>
      </c>
      <c r="CG316" s="56">
        <f t="shared" si="328"/>
        <v>4</v>
      </c>
      <c r="CI316" s="18">
        <f t="shared" si="315"/>
        <v>5.7468890471924636</v>
      </c>
      <c r="CJ316" s="18">
        <f t="shared" si="315"/>
        <v>2.1051697046394104</v>
      </c>
      <c r="CK316" s="18">
        <f t="shared" si="315"/>
        <v>1.0554631338907439</v>
      </c>
      <c r="CL316" s="18">
        <f t="shared" si="315"/>
        <v>0.89653653815943013</v>
      </c>
      <c r="CM316" s="18">
        <f t="shared" si="315"/>
        <v>3.2035215174169158</v>
      </c>
      <c r="CN316" s="56">
        <f t="shared" si="329"/>
        <v>4</v>
      </c>
      <c r="CP316" s="18">
        <f t="shared" si="316"/>
        <v>5.7468890471924636</v>
      </c>
      <c r="CQ316" s="18">
        <f t="shared" si="316"/>
        <v>2.1051697046394104</v>
      </c>
      <c r="CR316" s="18">
        <f t="shared" si="316"/>
        <v>1.0554631338907439</v>
      </c>
      <c r="CS316" s="18">
        <f t="shared" si="316"/>
        <v>0.89653653815943013</v>
      </c>
      <c r="CT316" s="18">
        <f t="shared" si="316"/>
        <v>3.2035215174169158</v>
      </c>
      <c r="CU316" s="56">
        <f t="shared" si="330"/>
        <v>4</v>
      </c>
      <c r="CW316" s="18">
        <f t="shared" si="317"/>
        <v>5.7468890471924636</v>
      </c>
      <c r="CX316" s="18">
        <f t="shared" si="317"/>
        <v>2.1051697046394104</v>
      </c>
      <c r="CY316" s="18">
        <f t="shared" si="317"/>
        <v>1.0554631338907439</v>
      </c>
      <c r="CZ316" s="18">
        <f t="shared" si="317"/>
        <v>0.89653653815943013</v>
      </c>
      <c r="DA316" s="18">
        <f t="shared" si="317"/>
        <v>3.2035215174169158</v>
      </c>
      <c r="DB316" s="56">
        <f t="shared" si="331"/>
        <v>4</v>
      </c>
    </row>
    <row r="317" spans="1:106" x14ac:dyDescent="0.25">
      <c r="A317" s="36" t="str">
        <f>KMeans_Data!A45</f>
        <v>Kambar Shahdadkot</v>
      </c>
      <c r="B317" s="18">
        <f>KMeans_Data!H45</f>
        <v>0.31711502585735735</v>
      </c>
      <c r="C317" s="18">
        <f>KMeans_Data!I45</f>
        <v>-0.67265054538827607</v>
      </c>
      <c r="D317" s="18">
        <f>KMeans_Data!J45</f>
        <v>1.0109587897935928</v>
      </c>
      <c r="E317" s="56">
        <f t="shared" si="318"/>
        <v>3</v>
      </c>
      <c r="F317" s="38">
        <f t="shared" si="319"/>
        <v>1.6952729114033627</v>
      </c>
      <c r="G317" s="18">
        <f>IF(COUNTIF(Distance_Matrix!$E$11:$DQ$11,$E317)&lt;=1,0,SUMIF(Distance_Matrix!$E$11:$DQ$11,$E317,Distance_Matrix!$E$54:$DQ$54)/(COUNTIF(Distance_Matrix!$E$11:$DQ$11,$E317)-1))</f>
        <v>1.4427490159131029</v>
      </c>
      <c r="H317" s="18">
        <f>MIN(IF(1=$E317,1E+99,IF(COUNTIF(Distance_Matrix!$E$11:$DQ$11,1)=0,1E+99,SUMIF(Distance_Matrix!$E$11:$DQ$11,1,Distance_Matrix!$E$54:$DQ$54)/COUNTIF(Distance_Matrix!$E$11:$DQ$11,1))),IF(2=$E317,1E+99,IF(COUNTIF(Distance_Matrix!$E$11:$DQ$11,2)=0,1E+99,SUMIF(Distance_Matrix!$E$11:$DQ$11,2,Distance_Matrix!$E$54:$DQ$54)/COUNTIF(Distance_Matrix!$E$11:$DQ$11,2))),IF(3=$E317,1E+99,IF(COUNTIF(Distance_Matrix!$E$11:$DQ$11,3)=0,1E+99,SUMIF(Distance_Matrix!$E$11:$DQ$11,3,Distance_Matrix!$E$54:$DQ$54)/COUNTIF(Distance_Matrix!$E$11:$DQ$11,3))),IF(4=$E317,1E+99,IF(COUNTIF(Distance_Matrix!$E$11:$DQ$11,4)=0,1E+99,SUMIF(Distance_Matrix!$E$11:$DQ$11,4,Distance_Matrix!$E$54:$DQ$54)/COUNTIF(Distance_Matrix!$E$11:$DQ$11,4))),IF(5=$E317,1E+99,IF(COUNTIF(Distance_Matrix!$E$11:$DQ$11,5)=0,1E+99,SUMIF(Distance_Matrix!$E$11:$DQ$11,5,Distance_Matrix!$E$54:$DQ$54)/COUNTIF(Distance_Matrix!$E$11:$DQ$11,5))))</f>
        <v>1.5913430741731949</v>
      </c>
      <c r="I317" s="18">
        <f>IF(COUNTIF(Distance_Matrix!$E$11:$DQ$11,$E317)&lt;=1,0,(H317-G317)/MAX(G317,H317))</f>
        <v>9.3376507348860743E-2</v>
      </c>
      <c r="X317" s="18">
        <f t="shared" ref="X317:AB326" si="332">SQRT(($B317-X$270)^2+($C317-X$271)^2+($D317-X$272)^2)</f>
        <v>5.997391976545833</v>
      </c>
      <c r="Y317" s="18">
        <f t="shared" si="332"/>
        <v>3.2242581216534347</v>
      </c>
      <c r="Z317" s="18">
        <f t="shared" si="332"/>
        <v>1.3546641306834701</v>
      </c>
      <c r="AA317" s="18">
        <f t="shared" si="332"/>
        <v>2.2439279629919282</v>
      </c>
      <c r="AB317" s="18">
        <f t="shared" si="332"/>
        <v>3.8532022467443805</v>
      </c>
      <c r="AC317" s="56">
        <f t="shared" si="320"/>
        <v>3</v>
      </c>
      <c r="AE317" s="18">
        <f t="shared" ref="AE317:AI326" si="333">SQRT(($B317-AE$270)^2+($C317-AE$271)^2+($D317-AE$272)^2)</f>
        <v>5.9376701584307998</v>
      </c>
      <c r="AF317" s="18">
        <f t="shared" si="333"/>
        <v>2.4931331253768962</v>
      </c>
      <c r="AG317" s="18">
        <f t="shared" si="333"/>
        <v>1.2065743011216525</v>
      </c>
      <c r="AH317" s="18">
        <f t="shared" si="333"/>
        <v>1.58208956320257</v>
      </c>
      <c r="AI317" s="18">
        <f t="shared" si="333"/>
        <v>3.750894903213239</v>
      </c>
      <c r="AJ317" s="56">
        <f t="shared" si="321"/>
        <v>3</v>
      </c>
      <c r="AL317" s="18">
        <f t="shared" ref="AL317:AP326" si="334">SQRT(($B317-AL$270)^2+($C317-AL$271)^2+($D317-AL$272)^2)</f>
        <v>5.9376701584307998</v>
      </c>
      <c r="AM317" s="18">
        <f t="shared" si="334"/>
        <v>2.527295431553692</v>
      </c>
      <c r="AN317" s="18">
        <f t="shared" si="334"/>
        <v>1.2885559987635808</v>
      </c>
      <c r="AO317" s="18">
        <f t="shared" si="334"/>
        <v>1.4726255316936325</v>
      </c>
      <c r="AP317" s="18">
        <f t="shared" si="334"/>
        <v>3.5038823982748908</v>
      </c>
      <c r="AQ317" s="56">
        <f t="shared" si="322"/>
        <v>3</v>
      </c>
      <c r="AS317" s="18">
        <f t="shared" ref="AS317:AW326" si="335">SQRT(($B317-AS$270)^2+($C317-AS$271)^2+($D317-AS$272)^2)</f>
        <v>5.9376701584307998</v>
      </c>
      <c r="AT317" s="18">
        <f t="shared" si="335"/>
        <v>2.625137799840787</v>
      </c>
      <c r="AU317" s="18">
        <f t="shared" si="335"/>
        <v>1.3020264634036294</v>
      </c>
      <c r="AV317" s="18">
        <f t="shared" si="335"/>
        <v>1.4652340259569621</v>
      </c>
      <c r="AW317" s="18">
        <f t="shared" si="335"/>
        <v>3.5038823982748908</v>
      </c>
      <c r="AX317" s="56">
        <f t="shared" si="323"/>
        <v>3</v>
      </c>
      <c r="AZ317" s="18">
        <f t="shared" ref="AZ317:BD326" si="336">SQRT(($B317-AZ$270)^2+($C317-AZ$271)^2+($D317-AZ$272)^2)</f>
        <v>5.9376701584307998</v>
      </c>
      <c r="BA317" s="18">
        <f t="shared" si="336"/>
        <v>2.625137799840787</v>
      </c>
      <c r="BB317" s="18">
        <f t="shared" si="336"/>
        <v>1.3020264634036294</v>
      </c>
      <c r="BC317" s="18">
        <f t="shared" si="336"/>
        <v>1.4652340259569621</v>
      </c>
      <c r="BD317" s="18">
        <f t="shared" si="336"/>
        <v>3.5038823982748908</v>
      </c>
      <c r="BE317" s="56">
        <f t="shared" si="324"/>
        <v>3</v>
      </c>
      <c r="BG317" s="18">
        <f t="shared" ref="BG317:BK326" si="337">SQRT(($B317-BG$270)^2+($C317-BG$271)^2+($D317-BG$272)^2)</f>
        <v>5.9376701584307998</v>
      </c>
      <c r="BH317" s="18">
        <f t="shared" si="337"/>
        <v>2.625137799840787</v>
      </c>
      <c r="BI317" s="18">
        <f t="shared" si="337"/>
        <v>1.3020264634036294</v>
      </c>
      <c r="BJ317" s="18">
        <f t="shared" si="337"/>
        <v>1.4652340259569621</v>
      </c>
      <c r="BK317" s="18">
        <f t="shared" si="337"/>
        <v>3.5038823982748908</v>
      </c>
      <c r="BL317" s="56">
        <f t="shared" si="325"/>
        <v>3</v>
      </c>
      <c r="BN317" s="18">
        <f t="shared" ref="BN317:BR326" si="338">SQRT(($B317-BN$270)^2+($C317-BN$271)^2+($D317-BN$272)^2)</f>
        <v>5.9376701584307998</v>
      </c>
      <c r="BO317" s="18">
        <f t="shared" si="338"/>
        <v>2.625137799840787</v>
      </c>
      <c r="BP317" s="18">
        <f t="shared" si="338"/>
        <v>1.3020264634036294</v>
      </c>
      <c r="BQ317" s="18">
        <f t="shared" si="338"/>
        <v>1.4652340259569621</v>
      </c>
      <c r="BR317" s="18">
        <f t="shared" si="338"/>
        <v>3.5038823982748908</v>
      </c>
      <c r="BS317" s="56">
        <f t="shared" si="326"/>
        <v>3</v>
      </c>
      <c r="BU317" s="18">
        <f t="shared" ref="BU317:BY326" si="339">SQRT(($B317-BU$270)^2+($C317-BU$271)^2+($D317-BU$272)^2)</f>
        <v>5.9376701584307998</v>
      </c>
      <c r="BV317" s="18">
        <f t="shared" si="339"/>
        <v>2.625137799840787</v>
      </c>
      <c r="BW317" s="18">
        <f t="shared" si="339"/>
        <v>1.3020264634036294</v>
      </c>
      <c r="BX317" s="18">
        <f t="shared" si="339"/>
        <v>1.4652340259569621</v>
      </c>
      <c r="BY317" s="18">
        <f t="shared" si="339"/>
        <v>3.5038823982748908</v>
      </c>
      <c r="BZ317" s="56">
        <f t="shared" si="327"/>
        <v>3</v>
      </c>
      <c r="CB317" s="18">
        <f t="shared" ref="CB317:CF326" si="340">SQRT(($B317-CB$270)^2+($C317-CB$271)^2+($D317-CB$272)^2)</f>
        <v>5.9376701584307998</v>
      </c>
      <c r="CC317" s="18">
        <f t="shared" si="340"/>
        <v>2.625137799840787</v>
      </c>
      <c r="CD317" s="18">
        <f t="shared" si="340"/>
        <v>1.3020264634036294</v>
      </c>
      <c r="CE317" s="18">
        <f t="shared" si="340"/>
        <v>1.4652340259569621</v>
      </c>
      <c r="CF317" s="18">
        <f t="shared" si="340"/>
        <v>3.5038823982748908</v>
      </c>
      <c r="CG317" s="56">
        <f t="shared" si="328"/>
        <v>3</v>
      </c>
      <c r="CI317" s="18">
        <f t="shared" ref="CI317:CM326" si="341">SQRT(($B317-CI$270)^2+($C317-CI$271)^2+($D317-CI$272)^2)</f>
        <v>5.9376701584307998</v>
      </c>
      <c r="CJ317" s="18">
        <f t="shared" si="341"/>
        <v>2.625137799840787</v>
      </c>
      <c r="CK317" s="18">
        <f t="shared" si="341"/>
        <v>1.3020264634036294</v>
      </c>
      <c r="CL317" s="18">
        <f t="shared" si="341"/>
        <v>1.4652340259569621</v>
      </c>
      <c r="CM317" s="18">
        <f t="shared" si="341"/>
        <v>3.5038823982748908</v>
      </c>
      <c r="CN317" s="56">
        <f t="shared" si="329"/>
        <v>3</v>
      </c>
      <c r="CP317" s="18">
        <f t="shared" ref="CP317:CT326" si="342">SQRT(($B317-CP$270)^2+($C317-CP$271)^2+($D317-CP$272)^2)</f>
        <v>5.9376701584307998</v>
      </c>
      <c r="CQ317" s="18">
        <f t="shared" si="342"/>
        <v>2.625137799840787</v>
      </c>
      <c r="CR317" s="18">
        <f t="shared" si="342"/>
        <v>1.3020264634036294</v>
      </c>
      <c r="CS317" s="18">
        <f t="shared" si="342"/>
        <v>1.4652340259569621</v>
      </c>
      <c r="CT317" s="18">
        <f t="shared" si="342"/>
        <v>3.5038823982748908</v>
      </c>
      <c r="CU317" s="56">
        <f t="shared" si="330"/>
        <v>3</v>
      </c>
      <c r="CW317" s="18">
        <f t="shared" ref="CW317:DA326" si="343">SQRT(($B317-CW$270)^2+($C317-CW$271)^2+($D317-CW$272)^2)</f>
        <v>5.9376701584307998</v>
      </c>
      <c r="CX317" s="18">
        <f t="shared" si="343"/>
        <v>2.625137799840787</v>
      </c>
      <c r="CY317" s="18">
        <f t="shared" si="343"/>
        <v>1.3020264634036294</v>
      </c>
      <c r="CZ317" s="18">
        <f t="shared" si="343"/>
        <v>1.4652340259569621</v>
      </c>
      <c r="DA317" s="18">
        <f t="shared" si="343"/>
        <v>3.5038823982748908</v>
      </c>
      <c r="DB317" s="56">
        <f t="shared" si="331"/>
        <v>3</v>
      </c>
    </row>
    <row r="318" spans="1:106" x14ac:dyDescent="0.25">
      <c r="A318" s="36" t="str">
        <f>KMeans_Data!A46</f>
        <v>Nagar</v>
      </c>
      <c r="B318" s="18">
        <f>KMeans_Data!H46</f>
        <v>0.27371739838699027</v>
      </c>
      <c r="C318" s="18">
        <f>KMeans_Data!I46</f>
        <v>-0.14698313392952958</v>
      </c>
      <c r="D318" s="18">
        <f>KMeans_Data!J46</f>
        <v>0.77424684086161255</v>
      </c>
      <c r="E318" s="56">
        <f t="shared" si="318"/>
        <v>3</v>
      </c>
      <c r="F318" s="38">
        <f t="shared" si="319"/>
        <v>0.66179021922733405</v>
      </c>
      <c r="G318" s="18">
        <f>IF(COUNTIF(Distance_Matrix!$E$11:$DQ$11,$E318)&lt;=1,0,SUMIF(Distance_Matrix!$E$11:$DQ$11,$E318,Distance_Matrix!$E$55:$DQ$55)/(COUNTIF(Distance_Matrix!$E$11:$DQ$11,$E318)-1))</f>
        <v>1.0416671790214347</v>
      </c>
      <c r="H318" s="18">
        <f>MIN(IF(1=$E318,1E+99,IF(COUNTIF(Distance_Matrix!$E$11:$DQ$11,1)=0,1E+99,SUMIF(Distance_Matrix!$E$11:$DQ$11,1,Distance_Matrix!$E$55:$DQ$55)/COUNTIF(Distance_Matrix!$E$11:$DQ$11,1))),IF(2=$E318,1E+99,IF(COUNTIF(Distance_Matrix!$E$11:$DQ$11,2)=0,1E+99,SUMIF(Distance_Matrix!$E$11:$DQ$11,2,Distance_Matrix!$E$55:$DQ$55)/COUNTIF(Distance_Matrix!$E$11:$DQ$11,2))),IF(3=$E318,1E+99,IF(COUNTIF(Distance_Matrix!$E$11:$DQ$11,3)=0,1E+99,SUMIF(Distance_Matrix!$E$11:$DQ$11,3,Distance_Matrix!$E$55:$DQ$55)/COUNTIF(Distance_Matrix!$E$11:$DQ$11,3))),IF(4=$E318,1E+99,IF(COUNTIF(Distance_Matrix!$E$11:$DQ$11,4)=0,1E+99,SUMIF(Distance_Matrix!$E$11:$DQ$11,4,Distance_Matrix!$E$55:$DQ$55)/COUNTIF(Distance_Matrix!$E$11:$DQ$11,4))),IF(5=$E318,1E+99,IF(COUNTIF(Distance_Matrix!$E$11:$DQ$11,5)=0,1E+99,SUMIF(Distance_Matrix!$E$11:$DQ$11,5,Distance_Matrix!$E$55:$DQ$55)/COUNTIF(Distance_Matrix!$E$11:$DQ$11,5))))</f>
        <v>1.4174762202338664</v>
      </c>
      <c r="I318" s="18">
        <f>IF(COUNTIF(Distance_Matrix!$E$11:$DQ$11,$E318)&lt;=1,0,(H318-G318)/MAX(G318,H318))</f>
        <v>0.26512546443313723</v>
      </c>
      <c r="X318" s="18">
        <f t="shared" si="332"/>
        <v>5.7155539104585298</v>
      </c>
      <c r="Y318" s="18">
        <f t="shared" si="332"/>
        <v>3.0823789094685083</v>
      </c>
      <c r="Z318" s="18">
        <f t="shared" si="332"/>
        <v>1.1593431801629535</v>
      </c>
      <c r="AA318" s="18">
        <f t="shared" si="332"/>
        <v>1.9555900134537492</v>
      </c>
      <c r="AB318" s="18">
        <f t="shared" si="332"/>
        <v>3.5895044983065381</v>
      </c>
      <c r="AC318" s="56">
        <f t="shared" si="320"/>
        <v>3</v>
      </c>
      <c r="AE318" s="18">
        <f t="shared" si="333"/>
        <v>5.6352688359927674</v>
      </c>
      <c r="AF318" s="18">
        <f t="shared" si="333"/>
        <v>2.3395753403826047</v>
      </c>
      <c r="AG318" s="18">
        <f t="shared" si="333"/>
        <v>0.70643853224827335</v>
      </c>
      <c r="AH318" s="18">
        <f t="shared" si="333"/>
        <v>1.3745756717913296</v>
      </c>
      <c r="AI318" s="18">
        <f t="shared" si="333"/>
        <v>3.3985180829277222</v>
      </c>
      <c r="AJ318" s="56">
        <f t="shared" si="321"/>
        <v>3</v>
      </c>
      <c r="AL318" s="18">
        <f t="shared" si="334"/>
        <v>5.6352688359927674</v>
      </c>
      <c r="AM318" s="18">
        <f t="shared" si="334"/>
        <v>2.3710813168135552</v>
      </c>
      <c r="AN318" s="18">
        <f t="shared" si="334"/>
        <v>0.79351618313979955</v>
      </c>
      <c r="AO318" s="18">
        <f t="shared" si="334"/>
        <v>1.2776947745291687</v>
      </c>
      <c r="AP318" s="18">
        <f t="shared" si="334"/>
        <v>3.1375379382975326</v>
      </c>
      <c r="AQ318" s="56">
        <f t="shared" si="322"/>
        <v>3</v>
      </c>
      <c r="AS318" s="18">
        <f t="shared" si="335"/>
        <v>5.6352688359927674</v>
      </c>
      <c r="AT318" s="18">
        <f t="shared" si="335"/>
        <v>2.4653643547561859</v>
      </c>
      <c r="AU318" s="18">
        <f t="shared" si="335"/>
        <v>0.81350489809670723</v>
      </c>
      <c r="AV318" s="18">
        <f t="shared" si="335"/>
        <v>1.2701437630312236</v>
      </c>
      <c r="AW318" s="18">
        <f t="shared" si="335"/>
        <v>3.1375379382975326</v>
      </c>
      <c r="AX318" s="56">
        <f t="shared" si="323"/>
        <v>3</v>
      </c>
      <c r="AZ318" s="18">
        <f t="shared" si="336"/>
        <v>5.6352688359927674</v>
      </c>
      <c r="BA318" s="18">
        <f t="shared" si="336"/>
        <v>2.4653643547561859</v>
      </c>
      <c r="BB318" s="18">
        <f t="shared" si="336"/>
        <v>0.81350489809670723</v>
      </c>
      <c r="BC318" s="18">
        <f t="shared" si="336"/>
        <v>1.2701437630312236</v>
      </c>
      <c r="BD318" s="18">
        <f t="shared" si="336"/>
        <v>3.1375379382975326</v>
      </c>
      <c r="BE318" s="56">
        <f t="shared" si="324"/>
        <v>3</v>
      </c>
      <c r="BG318" s="18">
        <f t="shared" si="337"/>
        <v>5.6352688359927674</v>
      </c>
      <c r="BH318" s="18">
        <f t="shared" si="337"/>
        <v>2.4653643547561859</v>
      </c>
      <c r="BI318" s="18">
        <f t="shared" si="337"/>
        <v>0.81350489809670723</v>
      </c>
      <c r="BJ318" s="18">
        <f t="shared" si="337"/>
        <v>1.2701437630312236</v>
      </c>
      <c r="BK318" s="18">
        <f t="shared" si="337"/>
        <v>3.1375379382975326</v>
      </c>
      <c r="BL318" s="56">
        <f t="shared" si="325"/>
        <v>3</v>
      </c>
      <c r="BN318" s="18">
        <f t="shared" si="338"/>
        <v>5.6352688359927674</v>
      </c>
      <c r="BO318" s="18">
        <f t="shared" si="338"/>
        <v>2.4653643547561859</v>
      </c>
      <c r="BP318" s="18">
        <f t="shared" si="338"/>
        <v>0.81350489809670723</v>
      </c>
      <c r="BQ318" s="18">
        <f t="shared" si="338"/>
        <v>1.2701437630312236</v>
      </c>
      <c r="BR318" s="18">
        <f t="shared" si="338"/>
        <v>3.1375379382975326</v>
      </c>
      <c r="BS318" s="56">
        <f t="shared" si="326"/>
        <v>3</v>
      </c>
      <c r="BU318" s="18">
        <f t="shared" si="339"/>
        <v>5.6352688359927674</v>
      </c>
      <c r="BV318" s="18">
        <f t="shared" si="339"/>
        <v>2.4653643547561859</v>
      </c>
      <c r="BW318" s="18">
        <f t="shared" si="339"/>
        <v>0.81350489809670723</v>
      </c>
      <c r="BX318" s="18">
        <f t="shared" si="339"/>
        <v>1.2701437630312236</v>
      </c>
      <c r="BY318" s="18">
        <f t="shared" si="339"/>
        <v>3.1375379382975326</v>
      </c>
      <c r="BZ318" s="56">
        <f t="shared" si="327"/>
        <v>3</v>
      </c>
      <c r="CB318" s="18">
        <f t="shared" si="340"/>
        <v>5.6352688359927674</v>
      </c>
      <c r="CC318" s="18">
        <f t="shared" si="340"/>
        <v>2.4653643547561859</v>
      </c>
      <c r="CD318" s="18">
        <f t="shared" si="340"/>
        <v>0.81350489809670723</v>
      </c>
      <c r="CE318" s="18">
        <f t="shared" si="340"/>
        <v>1.2701437630312236</v>
      </c>
      <c r="CF318" s="18">
        <f t="shared" si="340"/>
        <v>3.1375379382975326</v>
      </c>
      <c r="CG318" s="56">
        <f t="shared" si="328"/>
        <v>3</v>
      </c>
      <c r="CI318" s="18">
        <f t="shared" si="341"/>
        <v>5.6352688359927674</v>
      </c>
      <c r="CJ318" s="18">
        <f t="shared" si="341"/>
        <v>2.4653643547561859</v>
      </c>
      <c r="CK318" s="18">
        <f t="shared" si="341"/>
        <v>0.81350489809670723</v>
      </c>
      <c r="CL318" s="18">
        <f t="shared" si="341"/>
        <v>1.2701437630312236</v>
      </c>
      <c r="CM318" s="18">
        <f t="shared" si="341"/>
        <v>3.1375379382975326</v>
      </c>
      <c r="CN318" s="56">
        <f t="shared" si="329"/>
        <v>3</v>
      </c>
      <c r="CP318" s="18">
        <f t="shared" si="342"/>
        <v>5.6352688359927674</v>
      </c>
      <c r="CQ318" s="18">
        <f t="shared" si="342"/>
        <v>2.4653643547561859</v>
      </c>
      <c r="CR318" s="18">
        <f t="shared" si="342"/>
        <v>0.81350489809670723</v>
      </c>
      <c r="CS318" s="18">
        <f t="shared" si="342"/>
        <v>1.2701437630312236</v>
      </c>
      <c r="CT318" s="18">
        <f t="shared" si="342"/>
        <v>3.1375379382975326</v>
      </c>
      <c r="CU318" s="56">
        <f t="shared" si="330"/>
        <v>3</v>
      </c>
      <c r="CW318" s="18">
        <f t="shared" si="343"/>
        <v>5.6352688359927674</v>
      </c>
      <c r="CX318" s="18">
        <f t="shared" si="343"/>
        <v>2.4653643547561859</v>
      </c>
      <c r="CY318" s="18">
        <f t="shared" si="343"/>
        <v>0.81350489809670723</v>
      </c>
      <c r="CZ318" s="18">
        <f t="shared" si="343"/>
        <v>1.2701437630312236</v>
      </c>
      <c r="DA318" s="18">
        <f t="shared" si="343"/>
        <v>3.1375379382975326</v>
      </c>
      <c r="DB318" s="56">
        <f t="shared" si="331"/>
        <v>3</v>
      </c>
    </row>
    <row r="319" spans="1:106" x14ac:dyDescent="0.25">
      <c r="A319" s="36" t="str">
        <f>KMeans_Data!A47</f>
        <v>Rahim Yar Khan</v>
      </c>
      <c r="B319" s="18">
        <f>KMeans_Data!H47</f>
        <v>0.26227803642067726</v>
      </c>
      <c r="C319" s="18">
        <f>KMeans_Data!I47</f>
        <v>-0.14698313392952958</v>
      </c>
      <c r="D319" s="18">
        <f>KMeans_Data!J47</f>
        <v>-0.63655717184154814</v>
      </c>
      <c r="E319" s="56">
        <f t="shared" si="318"/>
        <v>4</v>
      </c>
      <c r="F319" s="38">
        <f t="shared" si="319"/>
        <v>0.35161769550744931</v>
      </c>
      <c r="G319" s="18">
        <f>IF(COUNTIF(Distance_Matrix!$E$11:$DQ$11,$E319)&lt;=1,0,SUMIF(Distance_Matrix!$E$11:$DQ$11,$E319,Distance_Matrix!$E$56:$DQ$56)/(COUNTIF(Distance_Matrix!$E$11:$DQ$11,$E319)-1))</f>
        <v>0.9617964078625979</v>
      </c>
      <c r="H319" s="18">
        <f>MIN(IF(1=$E319,1E+99,IF(COUNTIF(Distance_Matrix!$E$11:$DQ$11,1)=0,1E+99,SUMIF(Distance_Matrix!$E$11:$DQ$11,1,Distance_Matrix!$E$56:$DQ$56)/COUNTIF(Distance_Matrix!$E$11:$DQ$11,1))),IF(2=$E319,1E+99,IF(COUNTIF(Distance_Matrix!$E$11:$DQ$11,2)=0,1E+99,SUMIF(Distance_Matrix!$E$11:$DQ$11,2,Distance_Matrix!$E$56:$DQ$56)/COUNTIF(Distance_Matrix!$E$11:$DQ$11,2))),IF(3=$E319,1E+99,IF(COUNTIF(Distance_Matrix!$E$11:$DQ$11,3)=0,1E+99,SUMIF(Distance_Matrix!$E$11:$DQ$11,3,Distance_Matrix!$E$56:$DQ$56)/COUNTIF(Distance_Matrix!$E$11:$DQ$11,3))),IF(4=$E319,1E+99,IF(COUNTIF(Distance_Matrix!$E$11:$DQ$11,4)=0,1E+99,SUMIF(Distance_Matrix!$E$11:$DQ$11,4,Distance_Matrix!$E$56:$DQ$56)/COUNTIF(Distance_Matrix!$E$11:$DQ$11,4))),IF(5=$E319,1E+99,IF(COUNTIF(Distance_Matrix!$E$11:$DQ$11,5)=0,1E+99,SUMIF(Distance_Matrix!$E$11:$DQ$11,5,Distance_Matrix!$E$56:$DQ$56)/COUNTIF(Distance_Matrix!$E$11:$DQ$11,5))))</f>
        <v>1.6968294020744308</v>
      </c>
      <c r="I319" s="18">
        <f>IF(COUNTIF(Distance_Matrix!$E$11:$DQ$11,$E319)&lt;=1,0,(H319-G319)/MAX(G319,H319))</f>
        <v>0.43318025566579083</v>
      </c>
      <c r="X319" s="18">
        <f t="shared" si="332"/>
        <v>6.4590993672190296</v>
      </c>
      <c r="Y319" s="18">
        <f t="shared" si="332"/>
        <v>2.4536778056908317</v>
      </c>
      <c r="Z319" s="18">
        <f t="shared" si="332"/>
        <v>2.3057169172843408</v>
      </c>
      <c r="AA319" s="18">
        <f t="shared" si="332"/>
        <v>0.63730782210871562</v>
      </c>
      <c r="AB319" s="18">
        <f t="shared" si="332"/>
        <v>4.4081870354271695</v>
      </c>
      <c r="AC319" s="56">
        <f t="shared" si="320"/>
        <v>4</v>
      </c>
      <c r="AE319" s="18">
        <f t="shared" si="333"/>
        <v>6.3246442303409616</v>
      </c>
      <c r="AF319" s="18">
        <f t="shared" si="333"/>
        <v>1.6143161777932691</v>
      </c>
      <c r="AG319" s="18">
        <f t="shared" si="333"/>
        <v>1.6426762058592794</v>
      </c>
      <c r="AH319" s="18">
        <f t="shared" si="333"/>
        <v>0.48726222662842261</v>
      </c>
      <c r="AI319" s="18">
        <f t="shared" si="333"/>
        <v>4.0549523868618715</v>
      </c>
      <c r="AJ319" s="56">
        <f t="shared" si="321"/>
        <v>4</v>
      </c>
      <c r="AL319" s="18">
        <f t="shared" si="334"/>
        <v>6.3246442303409616</v>
      </c>
      <c r="AM319" s="18">
        <f t="shared" si="334"/>
        <v>1.6163110158514102</v>
      </c>
      <c r="AN319" s="18">
        <f t="shared" si="334"/>
        <v>1.6808414718347533</v>
      </c>
      <c r="AO319" s="18">
        <f t="shared" si="334"/>
        <v>0.55520410587071323</v>
      </c>
      <c r="AP319" s="18">
        <f t="shared" si="334"/>
        <v>3.7923461126196534</v>
      </c>
      <c r="AQ319" s="56">
        <f t="shared" si="322"/>
        <v>4</v>
      </c>
      <c r="AS319" s="18">
        <f t="shared" si="335"/>
        <v>6.3246442303409616</v>
      </c>
      <c r="AT319" s="18">
        <f t="shared" si="335"/>
        <v>1.6787807162640549</v>
      </c>
      <c r="AU319" s="18">
        <f t="shared" si="335"/>
        <v>1.7038733067677971</v>
      </c>
      <c r="AV319" s="18">
        <f t="shared" si="335"/>
        <v>0.59297360439352553</v>
      </c>
      <c r="AW319" s="18">
        <f t="shared" si="335"/>
        <v>3.7923461126196534</v>
      </c>
      <c r="AX319" s="56">
        <f t="shared" si="323"/>
        <v>4</v>
      </c>
      <c r="AZ319" s="18">
        <f t="shared" si="336"/>
        <v>6.3246442303409616</v>
      </c>
      <c r="BA319" s="18">
        <f t="shared" si="336"/>
        <v>1.6787807162640549</v>
      </c>
      <c r="BB319" s="18">
        <f t="shared" si="336"/>
        <v>1.7038733067677971</v>
      </c>
      <c r="BC319" s="18">
        <f t="shared" si="336"/>
        <v>0.59297360439352553</v>
      </c>
      <c r="BD319" s="18">
        <f t="shared" si="336"/>
        <v>3.7923461126196534</v>
      </c>
      <c r="BE319" s="56">
        <f t="shared" si="324"/>
        <v>4</v>
      </c>
      <c r="BG319" s="18">
        <f t="shared" si="337"/>
        <v>6.3246442303409616</v>
      </c>
      <c r="BH319" s="18">
        <f t="shared" si="337"/>
        <v>1.6787807162640549</v>
      </c>
      <c r="BI319" s="18">
        <f t="shared" si="337"/>
        <v>1.7038733067677971</v>
      </c>
      <c r="BJ319" s="18">
        <f t="shared" si="337"/>
        <v>0.59297360439352553</v>
      </c>
      <c r="BK319" s="18">
        <f t="shared" si="337"/>
        <v>3.7923461126196534</v>
      </c>
      <c r="BL319" s="56">
        <f t="shared" si="325"/>
        <v>4</v>
      </c>
      <c r="BN319" s="18">
        <f t="shared" si="338"/>
        <v>6.3246442303409616</v>
      </c>
      <c r="BO319" s="18">
        <f t="shared" si="338"/>
        <v>1.6787807162640549</v>
      </c>
      <c r="BP319" s="18">
        <f t="shared" si="338"/>
        <v>1.7038733067677971</v>
      </c>
      <c r="BQ319" s="18">
        <f t="shared" si="338"/>
        <v>0.59297360439352553</v>
      </c>
      <c r="BR319" s="18">
        <f t="shared" si="338"/>
        <v>3.7923461126196534</v>
      </c>
      <c r="BS319" s="56">
        <f t="shared" si="326"/>
        <v>4</v>
      </c>
      <c r="BU319" s="18">
        <f t="shared" si="339"/>
        <v>6.3246442303409616</v>
      </c>
      <c r="BV319" s="18">
        <f t="shared" si="339"/>
        <v>1.6787807162640549</v>
      </c>
      <c r="BW319" s="18">
        <f t="shared" si="339"/>
        <v>1.7038733067677971</v>
      </c>
      <c r="BX319" s="18">
        <f t="shared" si="339"/>
        <v>0.59297360439352553</v>
      </c>
      <c r="BY319" s="18">
        <f t="shared" si="339"/>
        <v>3.7923461126196534</v>
      </c>
      <c r="BZ319" s="56">
        <f t="shared" si="327"/>
        <v>4</v>
      </c>
      <c r="CB319" s="18">
        <f t="shared" si="340"/>
        <v>6.3246442303409616</v>
      </c>
      <c r="CC319" s="18">
        <f t="shared" si="340"/>
        <v>1.6787807162640549</v>
      </c>
      <c r="CD319" s="18">
        <f t="shared" si="340"/>
        <v>1.7038733067677971</v>
      </c>
      <c r="CE319" s="18">
        <f t="shared" si="340"/>
        <v>0.59297360439352553</v>
      </c>
      <c r="CF319" s="18">
        <f t="shared" si="340"/>
        <v>3.7923461126196534</v>
      </c>
      <c r="CG319" s="56">
        <f t="shared" si="328"/>
        <v>4</v>
      </c>
      <c r="CI319" s="18">
        <f t="shared" si="341"/>
        <v>6.3246442303409616</v>
      </c>
      <c r="CJ319" s="18">
        <f t="shared" si="341"/>
        <v>1.6787807162640549</v>
      </c>
      <c r="CK319" s="18">
        <f t="shared" si="341"/>
        <v>1.7038733067677971</v>
      </c>
      <c r="CL319" s="18">
        <f t="shared" si="341"/>
        <v>0.59297360439352553</v>
      </c>
      <c r="CM319" s="18">
        <f t="shared" si="341"/>
        <v>3.7923461126196534</v>
      </c>
      <c r="CN319" s="56">
        <f t="shared" si="329"/>
        <v>4</v>
      </c>
      <c r="CP319" s="18">
        <f t="shared" si="342"/>
        <v>6.3246442303409616</v>
      </c>
      <c r="CQ319" s="18">
        <f t="shared" si="342"/>
        <v>1.6787807162640549</v>
      </c>
      <c r="CR319" s="18">
        <f t="shared" si="342"/>
        <v>1.7038733067677971</v>
      </c>
      <c r="CS319" s="18">
        <f t="shared" si="342"/>
        <v>0.59297360439352553</v>
      </c>
      <c r="CT319" s="18">
        <f t="shared" si="342"/>
        <v>3.7923461126196534</v>
      </c>
      <c r="CU319" s="56">
        <f t="shared" si="330"/>
        <v>4</v>
      </c>
      <c r="CW319" s="18">
        <f t="shared" si="343"/>
        <v>6.3246442303409616</v>
      </c>
      <c r="CX319" s="18">
        <f t="shared" si="343"/>
        <v>1.6787807162640549</v>
      </c>
      <c r="CY319" s="18">
        <f t="shared" si="343"/>
        <v>1.7038733067677971</v>
      </c>
      <c r="CZ319" s="18">
        <f t="shared" si="343"/>
        <v>0.59297360439352553</v>
      </c>
      <c r="DA319" s="18">
        <f t="shared" si="343"/>
        <v>3.7923461126196534</v>
      </c>
      <c r="DB319" s="56">
        <f t="shared" si="331"/>
        <v>4</v>
      </c>
    </row>
    <row r="320" spans="1:106" x14ac:dyDescent="0.25">
      <c r="A320" s="36" t="str">
        <f>KMeans_Data!A48</f>
        <v>Jamshoro</v>
      </c>
      <c r="B320" s="18">
        <f>KMeans_Data!H48</f>
        <v>0.25646266846194293</v>
      </c>
      <c r="C320" s="18">
        <f>KMeans_Data!I48</f>
        <v>-0.67265054538827607</v>
      </c>
      <c r="D320" s="18">
        <f>KMeans_Data!J48</f>
        <v>0.514925973520034</v>
      </c>
      <c r="E320" s="56">
        <f t="shared" si="318"/>
        <v>4</v>
      </c>
      <c r="F320" s="38">
        <f t="shared" si="319"/>
        <v>0.96752270456125133</v>
      </c>
      <c r="G320" s="18">
        <f>IF(COUNTIF(Distance_Matrix!$E$11:$DQ$11,$E320)&lt;=1,0,SUMIF(Distance_Matrix!$E$11:$DQ$11,$E320,Distance_Matrix!$E$57:$DQ$57)/(COUNTIF(Distance_Matrix!$E$11:$DQ$11,$E320)-1))</f>
        <v>1.2031173421365116</v>
      </c>
      <c r="H320" s="18">
        <f>MIN(IF(1=$E320,1E+99,IF(COUNTIF(Distance_Matrix!$E$11:$DQ$11,1)=0,1E+99,SUMIF(Distance_Matrix!$E$11:$DQ$11,1,Distance_Matrix!$E$57:$DQ$57)/COUNTIF(Distance_Matrix!$E$11:$DQ$11,1))),IF(2=$E320,1E+99,IF(COUNTIF(Distance_Matrix!$E$11:$DQ$11,2)=0,1E+99,SUMIF(Distance_Matrix!$E$11:$DQ$11,2,Distance_Matrix!$E$57:$DQ$57)/COUNTIF(Distance_Matrix!$E$11:$DQ$11,2))),IF(3=$E320,1E+99,IF(COUNTIF(Distance_Matrix!$E$11:$DQ$11,3)=0,1E+99,SUMIF(Distance_Matrix!$E$11:$DQ$11,3,Distance_Matrix!$E$57:$DQ$57)/COUNTIF(Distance_Matrix!$E$11:$DQ$11,3))),IF(4=$E320,1E+99,IF(COUNTIF(Distance_Matrix!$E$11:$DQ$11,4)=0,1E+99,SUMIF(Distance_Matrix!$E$11:$DQ$11,4,Distance_Matrix!$E$57:$DQ$57)/COUNTIF(Distance_Matrix!$E$11:$DQ$11,4))),IF(5=$E320,1E+99,IF(COUNTIF(Distance_Matrix!$E$11:$DQ$11,5)=0,1E+99,SUMIF(Distance_Matrix!$E$11:$DQ$11,5,Distance_Matrix!$E$57:$DQ$57)/COUNTIF(Distance_Matrix!$E$11:$DQ$11,5))))</f>
        <v>1.455592848375713</v>
      </c>
      <c r="I320" s="18">
        <f>IF(COUNTIF(Distance_Matrix!$E$11:$DQ$11,$E320)&lt;=1,0,(H320-G320)/MAX(G320,H320))</f>
        <v>0.17345201065046267</v>
      </c>
      <c r="X320" s="18">
        <f t="shared" si="332"/>
        <v>6.2290550244489014</v>
      </c>
      <c r="Y320" s="18">
        <f t="shared" si="332"/>
        <v>2.8662390866109257</v>
      </c>
      <c r="Z320" s="18">
        <f t="shared" si="332"/>
        <v>1.6211134796330222</v>
      </c>
      <c r="AA320" s="18">
        <f t="shared" si="332"/>
        <v>1.7847419921699987</v>
      </c>
      <c r="AB320" s="18">
        <f t="shared" si="332"/>
        <v>4.0860556890237891</v>
      </c>
      <c r="AC320" s="56">
        <f t="shared" si="320"/>
        <v>3</v>
      </c>
      <c r="AE320" s="18">
        <f t="shared" si="333"/>
        <v>6.1484183110296211</v>
      </c>
      <c r="AF320" s="18">
        <f t="shared" si="333"/>
        <v>2.0846335143031816</v>
      </c>
      <c r="AG320" s="18">
        <f t="shared" si="333"/>
        <v>1.2529680622502528</v>
      </c>
      <c r="AH320" s="18">
        <f t="shared" si="333"/>
        <v>1.0926503044649591</v>
      </c>
      <c r="AI320" s="18">
        <f t="shared" si="333"/>
        <v>3.9122086242870422</v>
      </c>
      <c r="AJ320" s="56">
        <f t="shared" si="321"/>
        <v>4</v>
      </c>
      <c r="AL320" s="18">
        <f t="shared" si="334"/>
        <v>6.1484183110296211</v>
      </c>
      <c r="AM320" s="18">
        <f t="shared" si="334"/>
        <v>2.1138306485769074</v>
      </c>
      <c r="AN320" s="18">
        <f t="shared" si="334"/>
        <v>1.3337338428043661</v>
      </c>
      <c r="AO320" s="18">
        <f t="shared" si="334"/>
        <v>0.98620865434081817</v>
      </c>
      <c r="AP320" s="18">
        <f t="shared" si="334"/>
        <v>3.6560433187244969</v>
      </c>
      <c r="AQ320" s="56">
        <f t="shared" si="322"/>
        <v>4</v>
      </c>
      <c r="AS320" s="18">
        <f t="shared" si="335"/>
        <v>6.1484183110296211</v>
      </c>
      <c r="AT320" s="18">
        <f t="shared" si="335"/>
        <v>2.2089087466477841</v>
      </c>
      <c r="AU320" s="18">
        <f t="shared" si="335"/>
        <v>1.3535320154829455</v>
      </c>
      <c r="AV320" s="18">
        <f t="shared" si="335"/>
        <v>0.98362731995469266</v>
      </c>
      <c r="AW320" s="18">
        <f t="shared" si="335"/>
        <v>3.6560433187244969</v>
      </c>
      <c r="AX320" s="56">
        <f t="shared" si="323"/>
        <v>4</v>
      </c>
      <c r="AZ320" s="18">
        <f t="shared" si="336"/>
        <v>6.1484183110296211</v>
      </c>
      <c r="BA320" s="18">
        <f t="shared" si="336"/>
        <v>2.2089087466477841</v>
      </c>
      <c r="BB320" s="18">
        <f t="shared" si="336"/>
        <v>1.3535320154829455</v>
      </c>
      <c r="BC320" s="18">
        <f t="shared" si="336"/>
        <v>0.98362731995469266</v>
      </c>
      <c r="BD320" s="18">
        <f t="shared" si="336"/>
        <v>3.6560433187244969</v>
      </c>
      <c r="BE320" s="56">
        <f t="shared" si="324"/>
        <v>4</v>
      </c>
      <c r="BG320" s="18">
        <f t="shared" si="337"/>
        <v>6.1484183110296211</v>
      </c>
      <c r="BH320" s="18">
        <f t="shared" si="337"/>
        <v>2.2089087466477841</v>
      </c>
      <c r="BI320" s="18">
        <f t="shared" si="337"/>
        <v>1.3535320154829455</v>
      </c>
      <c r="BJ320" s="18">
        <f t="shared" si="337"/>
        <v>0.98362731995469266</v>
      </c>
      <c r="BK320" s="18">
        <f t="shared" si="337"/>
        <v>3.6560433187244969</v>
      </c>
      <c r="BL320" s="56">
        <f t="shared" si="325"/>
        <v>4</v>
      </c>
      <c r="BN320" s="18">
        <f t="shared" si="338"/>
        <v>6.1484183110296211</v>
      </c>
      <c r="BO320" s="18">
        <f t="shared" si="338"/>
        <v>2.2089087466477841</v>
      </c>
      <c r="BP320" s="18">
        <f t="shared" si="338"/>
        <v>1.3535320154829455</v>
      </c>
      <c r="BQ320" s="18">
        <f t="shared" si="338"/>
        <v>0.98362731995469266</v>
      </c>
      <c r="BR320" s="18">
        <f t="shared" si="338"/>
        <v>3.6560433187244969</v>
      </c>
      <c r="BS320" s="56">
        <f t="shared" si="326"/>
        <v>4</v>
      </c>
      <c r="BU320" s="18">
        <f t="shared" si="339"/>
        <v>6.1484183110296211</v>
      </c>
      <c r="BV320" s="18">
        <f t="shared" si="339"/>
        <v>2.2089087466477841</v>
      </c>
      <c r="BW320" s="18">
        <f t="shared" si="339"/>
        <v>1.3535320154829455</v>
      </c>
      <c r="BX320" s="18">
        <f t="shared" si="339"/>
        <v>0.98362731995469266</v>
      </c>
      <c r="BY320" s="18">
        <f t="shared" si="339"/>
        <v>3.6560433187244969</v>
      </c>
      <c r="BZ320" s="56">
        <f t="shared" si="327"/>
        <v>4</v>
      </c>
      <c r="CB320" s="18">
        <f t="shared" si="340"/>
        <v>6.1484183110296211</v>
      </c>
      <c r="CC320" s="18">
        <f t="shared" si="340"/>
        <v>2.2089087466477841</v>
      </c>
      <c r="CD320" s="18">
        <f t="shared" si="340"/>
        <v>1.3535320154829455</v>
      </c>
      <c r="CE320" s="18">
        <f t="shared" si="340"/>
        <v>0.98362731995469266</v>
      </c>
      <c r="CF320" s="18">
        <f t="shared" si="340"/>
        <v>3.6560433187244969</v>
      </c>
      <c r="CG320" s="56">
        <f t="shared" si="328"/>
        <v>4</v>
      </c>
      <c r="CI320" s="18">
        <f t="shared" si="341"/>
        <v>6.1484183110296211</v>
      </c>
      <c r="CJ320" s="18">
        <f t="shared" si="341"/>
        <v>2.2089087466477841</v>
      </c>
      <c r="CK320" s="18">
        <f t="shared" si="341"/>
        <v>1.3535320154829455</v>
      </c>
      <c r="CL320" s="18">
        <f t="shared" si="341"/>
        <v>0.98362731995469266</v>
      </c>
      <c r="CM320" s="18">
        <f t="shared" si="341"/>
        <v>3.6560433187244969</v>
      </c>
      <c r="CN320" s="56">
        <f t="shared" si="329"/>
        <v>4</v>
      </c>
      <c r="CP320" s="18">
        <f t="shared" si="342"/>
        <v>6.1484183110296211</v>
      </c>
      <c r="CQ320" s="18">
        <f t="shared" si="342"/>
        <v>2.2089087466477841</v>
      </c>
      <c r="CR320" s="18">
        <f t="shared" si="342"/>
        <v>1.3535320154829455</v>
      </c>
      <c r="CS320" s="18">
        <f t="shared" si="342"/>
        <v>0.98362731995469266</v>
      </c>
      <c r="CT320" s="18">
        <f t="shared" si="342"/>
        <v>3.6560433187244969</v>
      </c>
      <c r="CU320" s="56">
        <f t="shared" si="330"/>
        <v>4</v>
      </c>
      <c r="CW320" s="18">
        <f t="shared" si="343"/>
        <v>6.1484183110296211</v>
      </c>
      <c r="CX320" s="18">
        <f t="shared" si="343"/>
        <v>2.2089087466477841</v>
      </c>
      <c r="CY320" s="18">
        <f t="shared" si="343"/>
        <v>1.3535320154829455</v>
      </c>
      <c r="CZ320" s="18">
        <f t="shared" si="343"/>
        <v>0.98362731995469266</v>
      </c>
      <c r="DA320" s="18">
        <f t="shared" si="343"/>
        <v>3.6560433187244969</v>
      </c>
      <c r="DB320" s="56">
        <f t="shared" si="331"/>
        <v>4</v>
      </c>
    </row>
    <row r="321" spans="1:106" x14ac:dyDescent="0.25">
      <c r="A321" s="36" t="str">
        <f>KMeans_Data!A49</f>
        <v>Gujranwala</v>
      </c>
      <c r="B321" s="18">
        <f>KMeans_Data!H49</f>
        <v>0.23861623378571303</v>
      </c>
      <c r="C321" s="18">
        <f>KMeans_Data!I49</f>
        <v>-0.67265054538827607</v>
      </c>
      <c r="D321" s="18">
        <f>KMeans_Data!J49</f>
        <v>-0.82444601589876665</v>
      </c>
      <c r="E321" s="56">
        <f t="shared" si="318"/>
        <v>4</v>
      </c>
      <c r="F321" s="38">
        <f t="shared" si="319"/>
        <v>0.36392287257938938</v>
      </c>
      <c r="G321" s="18">
        <f>IF(COUNTIF(Distance_Matrix!$E$11:$DQ$11,$E321)&lt;=1,0,SUMIF(Distance_Matrix!$E$11:$DQ$11,$E321,Distance_Matrix!$E$58:$DQ$58)/(COUNTIF(Distance_Matrix!$E$11:$DQ$11,$E321)-1))</f>
        <v>0.92118836873869736</v>
      </c>
      <c r="H321" s="18">
        <f>MIN(IF(1=$E321,1E+99,IF(COUNTIF(Distance_Matrix!$E$11:$DQ$11,1)=0,1E+99,SUMIF(Distance_Matrix!$E$11:$DQ$11,1,Distance_Matrix!$E$58:$DQ$58)/COUNTIF(Distance_Matrix!$E$11:$DQ$11,1))),IF(2=$E321,1E+99,IF(COUNTIF(Distance_Matrix!$E$11:$DQ$11,2)=0,1E+99,SUMIF(Distance_Matrix!$E$11:$DQ$11,2,Distance_Matrix!$E$58:$DQ$58)/COUNTIF(Distance_Matrix!$E$11:$DQ$11,2))),IF(3=$E321,1E+99,IF(COUNTIF(Distance_Matrix!$E$11:$DQ$11,3)=0,1E+99,SUMIF(Distance_Matrix!$E$11:$DQ$11,3,Distance_Matrix!$E$58:$DQ$58)/COUNTIF(Distance_Matrix!$E$11:$DQ$11,3))),IF(4=$E321,1E+99,IF(COUNTIF(Distance_Matrix!$E$11:$DQ$11,4)=0,1E+99,SUMIF(Distance_Matrix!$E$11:$DQ$11,4,Distance_Matrix!$E$58:$DQ$58)/COUNTIF(Distance_Matrix!$E$11:$DQ$11,4))),IF(5=$E321,1E+99,IF(COUNTIF(Distance_Matrix!$E$11:$DQ$11,5)=0,1E+99,SUMIF(Distance_Matrix!$E$11:$DQ$11,5,Distance_Matrix!$E$58:$DQ$58)/COUNTIF(Distance_Matrix!$E$11:$DQ$11,5))))</f>
        <v>1.5531066172977119</v>
      </c>
      <c r="I321" s="18">
        <f>IF(COUNTIF(Distance_Matrix!$E$11:$DQ$11,$E321)&lt;=1,0,(H321-G321)/MAX(G321,H321))</f>
        <v>0.40687370816725033</v>
      </c>
      <c r="X321" s="18">
        <f t="shared" si="332"/>
        <v>6.9308663269636464</v>
      </c>
      <c r="Y321" s="18">
        <f t="shared" si="332"/>
        <v>2.3404987692076227</v>
      </c>
      <c r="Z321" s="18">
        <f t="shared" si="332"/>
        <v>2.6475647490986587</v>
      </c>
      <c r="AA321" s="18">
        <f t="shared" si="332"/>
        <v>0.73836962685343654</v>
      </c>
      <c r="AB321" s="18">
        <f t="shared" si="332"/>
        <v>4.8518973911591621</v>
      </c>
      <c r="AC321" s="56">
        <f t="shared" si="320"/>
        <v>4</v>
      </c>
      <c r="AE321" s="18">
        <f t="shared" si="333"/>
        <v>6.80235323612877</v>
      </c>
      <c r="AF321" s="18">
        <f t="shared" si="333"/>
        <v>1.4838864657377837</v>
      </c>
      <c r="AG321" s="18">
        <f t="shared" si="333"/>
        <v>2.0643457202384035</v>
      </c>
      <c r="AH321" s="18">
        <f t="shared" si="333"/>
        <v>0.46967306229872102</v>
      </c>
      <c r="AI321" s="18">
        <f t="shared" si="333"/>
        <v>4.5360314145838485</v>
      </c>
      <c r="AJ321" s="56">
        <f t="shared" si="321"/>
        <v>4</v>
      </c>
      <c r="AL321" s="18">
        <f t="shared" si="334"/>
        <v>6.80235323612877</v>
      </c>
      <c r="AM321" s="18">
        <f t="shared" si="334"/>
        <v>1.4798118746046058</v>
      </c>
      <c r="AN321" s="18">
        <f t="shared" si="334"/>
        <v>2.1136610761244761</v>
      </c>
      <c r="AO321" s="18">
        <f t="shared" si="334"/>
        <v>0.55698877941214042</v>
      </c>
      <c r="AP321" s="18">
        <f t="shared" si="334"/>
        <v>4.2775179606047535</v>
      </c>
      <c r="AQ321" s="56">
        <f t="shared" si="322"/>
        <v>4</v>
      </c>
      <c r="AS321" s="18">
        <f t="shared" si="335"/>
        <v>6.80235323612877</v>
      </c>
      <c r="AT321" s="18">
        <f t="shared" si="335"/>
        <v>1.537113123220412</v>
      </c>
      <c r="AU321" s="18">
        <f t="shared" si="335"/>
        <v>2.1364806818858075</v>
      </c>
      <c r="AV321" s="18">
        <f t="shared" si="335"/>
        <v>0.60326020304623884</v>
      </c>
      <c r="AW321" s="18">
        <f t="shared" si="335"/>
        <v>4.2775179606047535</v>
      </c>
      <c r="AX321" s="56">
        <f t="shared" si="323"/>
        <v>4</v>
      </c>
      <c r="AZ321" s="18">
        <f t="shared" si="336"/>
        <v>6.80235323612877</v>
      </c>
      <c r="BA321" s="18">
        <f t="shared" si="336"/>
        <v>1.537113123220412</v>
      </c>
      <c r="BB321" s="18">
        <f t="shared" si="336"/>
        <v>2.1364806818858075</v>
      </c>
      <c r="BC321" s="18">
        <f t="shared" si="336"/>
        <v>0.60326020304623884</v>
      </c>
      <c r="BD321" s="18">
        <f t="shared" si="336"/>
        <v>4.2775179606047535</v>
      </c>
      <c r="BE321" s="56">
        <f t="shared" si="324"/>
        <v>4</v>
      </c>
      <c r="BG321" s="18">
        <f t="shared" si="337"/>
        <v>6.80235323612877</v>
      </c>
      <c r="BH321" s="18">
        <f t="shared" si="337"/>
        <v>1.537113123220412</v>
      </c>
      <c r="BI321" s="18">
        <f t="shared" si="337"/>
        <v>2.1364806818858075</v>
      </c>
      <c r="BJ321" s="18">
        <f t="shared" si="337"/>
        <v>0.60326020304623884</v>
      </c>
      <c r="BK321" s="18">
        <f t="shared" si="337"/>
        <v>4.2775179606047535</v>
      </c>
      <c r="BL321" s="56">
        <f t="shared" si="325"/>
        <v>4</v>
      </c>
      <c r="BN321" s="18">
        <f t="shared" si="338"/>
        <v>6.80235323612877</v>
      </c>
      <c r="BO321" s="18">
        <f t="shared" si="338"/>
        <v>1.537113123220412</v>
      </c>
      <c r="BP321" s="18">
        <f t="shared" si="338"/>
        <v>2.1364806818858075</v>
      </c>
      <c r="BQ321" s="18">
        <f t="shared" si="338"/>
        <v>0.60326020304623884</v>
      </c>
      <c r="BR321" s="18">
        <f t="shared" si="338"/>
        <v>4.2775179606047535</v>
      </c>
      <c r="BS321" s="56">
        <f t="shared" si="326"/>
        <v>4</v>
      </c>
      <c r="BU321" s="18">
        <f t="shared" si="339"/>
        <v>6.80235323612877</v>
      </c>
      <c r="BV321" s="18">
        <f t="shared" si="339"/>
        <v>1.537113123220412</v>
      </c>
      <c r="BW321" s="18">
        <f t="shared" si="339"/>
        <v>2.1364806818858075</v>
      </c>
      <c r="BX321" s="18">
        <f t="shared" si="339"/>
        <v>0.60326020304623884</v>
      </c>
      <c r="BY321" s="18">
        <f t="shared" si="339"/>
        <v>4.2775179606047535</v>
      </c>
      <c r="BZ321" s="56">
        <f t="shared" si="327"/>
        <v>4</v>
      </c>
      <c r="CB321" s="18">
        <f t="shared" si="340"/>
        <v>6.80235323612877</v>
      </c>
      <c r="CC321" s="18">
        <f t="shared" si="340"/>
        <v>1.537113123220412</v>
      </c>
      <c r="CD321" s="18">
        <f t="shared" si="340"/>
        <v>2.1364806818858075</v>
      </c>
      <c r="CE321" s="18">
        <f t="shared" si="340"/>
        <v>0.60326020304623884</v>
      </c>
      <c r="CF321" s="18">
        <f t="shared" si="340"/>
        <v>4.2775179606047535</v>
      </c>
      <c r="CG321" s="56">
        <f t="shared" si="328"/>
        <v>4</v>
      </c>
      <c r="CI321" s="18">
        <f t="shared" si="341"/>
        <v>6.80235323612877</v>
      </c>
      <c r="CJ321" s="18">
        <f t="shared" si="341"/>
        <v>1.537113123220412</v>
      </c>
      <c r="CK321" s="18">
        <f t="shared" si="341"/>
        <v>2.1364806818858075</v>
      </c>
      <c r="CL321" s="18">
        <f t="shared" si="341"/>
        <v>0.60326020304623884</v>
      </c>
      <c r="CM321" s="18">
        <f t="shared" si="341"/>
        <v>4.2775179606047535</v>
      </c>
      <c r="CN321" s="56">
        <f t="shared" si="329"/>
        <v>4</v>
      </c>
      <c r="CP321" s="18">
        <f t="shared" si="342"/>
        <v>6.80235323612877</v>
      </c>
      <c r="CQ321" s="18">
        <f t="shared" si="342"/>
        <v>1.537113123220412</v>
      </c>
      <c r="CR321" s="18">
        <f t="shared" si="342"/>
        <v>2.1364806818858075</v>
      </c>
      <c r="CS321" s="18">
        <f t="shared" si="342"/>
        <v>0.60326020304623884</v>
      </c>
      <c r="CT321" s="18">
        <f t="shared" si="342"/>
        <v>4.2775179606047535</v>
      </c>
      <c r="CU321" s="56">
        <f t="shared" si="330"/>
        <v>4</v>
      </c>
      <c r="CW321" s="18">
        <f t="shared" si="343"/>
        <v>6.80235323612877</v>
      </c>
      <c r="CX321" s="18">
        <f t="shared" si="343"/>
        <v>1.537113123220412</v>
      </c>
      <c r="CY321" s="18">
        <f t="shared" si="343"/>
        <v>2.1364806818858075</v>
      </c>
      <c r="CZ321" s="18">
        <f t="shared" si="343"/>
        <v>0.60326020304623884</v>
      </c>
      <c r="DA321" s="18">
        <f t="shared" si="343"/>
        <v>4.2775179606047535</v>
      </c>
      <c r="DB321" s="56">
        <f t="shared" si="331"/>
        <v>4</v>
      </c>
    </row>
    <row r="322" spans="1:106" x14ac:dyDescent="0.25">
      <c r="A322" s="36" t="str">
        <f>KMeans_Data!A50</f>
        <v>Bannu</v>
      </c>
      <c r="B322" s="18">
        <f>KMeans_Data!H50</f>
        <v>0.23252879576454735</v>
      </c>
      <c r="C322" s="18">
        <f>KMeans_Data!I50</f>
        <v>0.16051258962499582</v>
      </c>
      <c r="D322" s="18">
        <f>KMeans_Data!J50</f>
        <v>0.38161671714246476</v>
      </c>
      <c r="E322" s="56">
        <f t="shared" si="318"/>
        <v>3</v>
      </c>
      <c r="F322" s="38">
        <f t="shared" si="319"/>
        <v>0.55781653208886761</v>
      </c>
      <c r="G322" s="18">
        <f>IF(COUNTIF(Distance_Matrix!$E$11:$DQ$11,$E322)&lt;=1,0,SUMIF(Distance_Matrix!$E$11:$DQ$11,$E322,Distance_Matrix!$E$59:$DQ$59)/(COUNTIF(Distance_Matrix!$E$11:$DQ$11,$E322)-1))</f>
        <v>1.006524290854329</v>
      </c>
      <c r="H322" s="18">
        <f>MIN(IF(1=$E322,1E+99,IF(COUNTIF(Distance_Matrix!$E$11:$DQ$11,1)=0,1E+99,SUMIF(Distance_Matrix!$E$11:$DQ$11,1,Distance_Matrix!$E$59:$DQ$59)/COUNTIF(Distance_Matrix!$E$11:$DQ$11,1))),IF(2=$E322,1E+99,IF(COUNTIF(Distance_Matrix!$E$11:$DQ$11,2)=0,1E+99,SUMIF(Distance_Matrix!$E$11:$DQ$11,2,Distance_Matrix!$E$59:$DQ$59)/COUNTIF(Distance_Matrix!$E$11:$DQ$11,2))),IF(3=$E322,1E+99,IF(COUNTIF(Distance_Matrix!$E$11:$DQ$11,3)=0,1E+99,SUMIF(Distance_Matrix!$E$11:$DQ$11,3,Distance_Matrix!$E$59:$DQ$59)/COUNTIF(Distance_Matrix!$E$11:$DQ$11,3))),IF(4=$E322,1E+99,IF(COUNTIF(Distance_Matrix!$E$11:$DQ$11,4)=0,1E+99,SUMIF(Distance_Matrix!$E$11:$DQ$11,4,Distance_Matrix!$E$59:$DQ$59)/COUNTIF(Distance_Matrix!$E$11:$DQ$11,4))),IF(5=$E322,1E+99,IF(COUNTIF(Distance_Matrix!$E$11:$DQ$11,5)=0,1E+99,SUMIF(Distance_Matrix!$E$11:$DQ$11,5,Distance_Matrix!$E$59:$DQ$59)/COUNTIF(Distance_Matrix!$E$11:$DQ$11,5))))</f>
        <v>1.2648599211129017</v>
      </c>
      <c r="I322" s="18">
        <f>IF(COUNTIF(Distance_Matrix!$E$11:$DQ$11,$E322)&lt;=1,0,(H322-G322)/MAX(G322,H322))</f>
        <v>0.20424050596154003</v>
      </c>
      <c r="X322" s="18">
        <f t="shared" si="332"/>
        <v>5.7041330215925905</v>
      </c>
      <c r="Y322" s="18">
        <f t="shared" si="332"/>
        <v>2.8936592946750208</v>
      </c>
      <c r="Z322" s="18">
        <f t="shared" si="332"/>
        <v>1.3714131638754321</v>
      </c>
      <c r="AA322" s="18">
        <f t="shared" si="332"/>
        <v>1.6117591183014166</v>
      </c>
      <c r="AB322" s="18">
        <f t="shared" si="332"/>
        <v>3.6139794536730636</v>
      </c>
      <c r="AC322" s="56">
        <f t="shared" si="320"/>
        <v>3</v>
      </c>
      <c r="AE322" s="18">
        <f t="shared" si="333"/>
        <v>5.6003475554281614</v>
      </c>
      <c r="AF322" s="18">
        <f t="shared" si="333"/>
        <v>2.1374289770298502</v>
      </c>
      <c r="AG322" s="18">
        <f t="shared" si="333"/>
        <v>0.65610064940357815</v>
      </c>
      <c r="AH322" s="18">
        <f t="shared" si="333"/>
        <v>1.1450025326574282</v>
      </c>
      <c r="AI322" s="18">
        <f t="shared" si="333"/>
        <v>3.3309201889469655</v>
      </c>
      <c r="AJ322" s="56">
        <f t="shared" si="321"/>
        <v>3</v>
      </c>
      <c r="AL322" s="18">
        <f t="shared" si="334"/>
        <v>5.6003475554281614</v>
      </c>
      <c r="AM322" s="18">
        <f t="shared" si="334"/>
        <v>2.162907799527777</v>
      </c>
      <c r="AN322" s="18">
        <f t="shared" si="334"/>
        <v>0.72008887215670203</v>
      </c>
      <c r="AO322" s="18">
        <f t="shared" si="334"/>
        <v>1.0760575309488947</v>
      </c>
      <c r="AP322" s="18">
        <f t="shared" si="334"/>
        <v>3.0611162682411042</v>
      </c>
      <c r="AQ322" s="56">
        <f t="shared" si="322"/>
        <v>3</v>
      </c>
      <c r="AS322" s="18">
        <f t="shared" si="335"/>
        <v>5.6003475554281614</v>
      </c>
      <c r="AT322" s="18">
        <f t="shared" si="335"/>
        <v>2.2493750040938454</v>
      </c>
      <c r="AU322" s="18">
        <f t="shared" si="335"/>
        <v>0.746871161639588</v>
      </c>
      <c r="AV322" s="18">
        <f t="shared" si="335"/>
        <v>1.0724189618454718</v>
      </c>
      <c r="AW322" s="18">
        <f t="shared" si="335"/>
        <v>3.0611162682411042</v>
      </c>
      <c r="AX322" s="56">
        <f t="shared" si="323"/>
        <v>3</v>
      </c>
      <c r="AZ322" s="18">
        <f t="shared" si="336"/>
        <v>5.6003475554281614</v>
      </c>
      <c r="BA322" s="18">
        <f t="shared" si="336"/>
        <v>2.2493750040938454</v>
      </c>
      <c r="BB322" s="18">
        <f t="shared" si="336"/>
        <v>0.746871161639588</v>
      </c>
      <c r="BC322" s="18">
        <f t="shared" si="336"/>
        <v>1.0724189618454718</v>
      </c>
      <c r="BD322" s="18">
        <f t="shared" si="336"/>
        <v>3.0611162682411042</v>
      </c>
      <c r="BE322" s="56">
        <f t="shared" si="324"/>
        <v>3</v>
      </c>
      <c r="BG322" s="18">
        <f t="shared" si="337"/>
        <v>5.6003475554281614</v>
      </c>
      <c r="BH322" s="18">
        <f t="shared" si="337"/>
        <v>2.2493750040938454</v>
      </c>
      <c r="BI322" s="18">
        <f t="shared" si="337"/>
        <v>0.746871161639588</v>
      </c>
      <c r="BJ322" s="18">
        <f t="shared" si="337"/>
        <v>1.0724189618454718</v>
      </c>
      <c r="BK322" s="18">
        <f t="shared" si="337"/>
        <v>3.0611162682411042</v>
      </c>
      <c r="BL322" s="56">
        <f t="shared" si="325"/>
        <v>3</v>
      </c>
      <c r="BN322" s="18">
        <f t="shared" si="338"/>
        <v>5.6003475554281614</v>
      </c>
      <c r="BO322" s="18">
        <f t="shared" si="338"/>
        <v>2.2493750040938454</v>
      </c>
      <c r="BP322" s="18">
        <f t="shared" si="338"/>
        <v>0.746871161639588</v>
      </c>
      <c r="BQ322" s="18">
        <f t="shared" si="338"/>
        <v>1.0724189618454718</v>
      </c>
      <c r="BR322" s="18">
        <f t="shared" si="338"/>
        <v>3.0611162682411042</v>
      </c>
      <c r="BS322" s="56">
        <f t="shared" si="326"/>
        <v>3</v>
      </c>
      <c r="BU322" s="18">
        <f t="shared" si="339"/>
        <v>5.6003475554281614</v>
      </c>
      <c r="BV322" s="18">
        <f t="shared" si="339"/>
        <v>2.2493750040938454</v>
      </c>
      <c r="BW322" s="18">
        <f t="shared" si="339"/>
        <v>0.746871161639588</v>
      </c>
      <c r="BX322" s="18">
        <f t="shared" si="339"/>
        <v>1.0724189618454718</v>
      </c>
      <c r="BY322" s="18">
        <f t="shared" si="339"/>
        <v>3.0611162682411042</v>
      </c>
      <c r="BZ322" s="56">
        <f t="shared" si="327"/>
        <v>3</v>
      </c>
      <c r="CB322" s="18">
        <f t="shared" si="340"/>
        <v>5.6003475554281614</v>
      </c>
      <c r="CC322" s="18">
        <f t="shared" si="340"/>
        <v>2.2493750040938454</v>
      </c>
      <c r="CD322" s="18">
        <f t="shared" si="340"/>
        <v>0.746871161639588</v>
      </c>
      <c r="CE322" s="18">
        <f t="shared" si="340"/>
        <v>1.0724189618454718</v>
      </c>
      <c r="CF322" s="18">
        <f t="shared" si="340"/>
        <v>3.0611162682411042</v>
      </c>
      <c r="CG322" s="56">
        <f t="shared" si="328"/>
        <v>3</v>
      </c>
      <c r="CI322" s="18">
        <f t="shared" si="341"/>
        <v>5.6003475554281614</v>
      </c>
      <c r="CJ322" s="18">
        <f t="shared" si="341"/>
        <v>2.2493750040938454</v>
      </c>
      <c r="CK322" s="18">
        <f t="shared" si="341"/>
        <v>0.746871161639588</v>
      </c>
      <c r="CL322" s="18">
        <f t="shared" si="341"/>
        <v>1.0724189618454718</v>
      </c>
      <c r="CM322" s="18">
        <f t="shared" si="341"/>
        <v>3.0611162682411042</v>
      </c>
      <c r="CN322" s="56">
        <f t="shared" si="329"/>
        <v>3</v>
      </c>
      <c r="CP322" s="18">
        <f t="shared" si="342"/>
        <v>5.6003475554281614</v>
      </c>
      <c r="CQ322" s="18">
        <f t="shared" si="342"/>
        <v>2.2493750040938454</v>
      </c>
      <c r="CR322" s="18">
        <f t="shared" si="342"/>
        <v>0.746871161639588</v>
      </c>
      <c r="CS322" s="18">
        <f t="shared" si="342"/>
        <v>1.0724189618454718</v>
      </c>
      <c r="CT322" s="18">
        <f t="shared" si="342"/>
        <v>3.0611162682411042</v>
      </c>
      <c r="CU322" s="56">
        <f t="shared" si="330"/>
        <v>3</v>
      </c>
      <c r="CW322" s="18">
        <f t="shared" si="343"/>
        <v>5.6003475554281614</v>
      </c>
      <c r="CX322" s="18">
        <f t="shared" si="343"/>
        <v>2.2493750040938454</v>
      </c>
      <c r="CY322" s="18">
        <f t="shared" si="343"/>
        <v>0.746871161639588</v>
      </c>
      <c r="CZ322" s="18">
        <f t="shared" si="343"/>
        <v>1.0724189618454718</v>
      </c>
      <c r="DA322" s="18">
        <f t="shared" si="343"/>
        <v>3.0611162682411042</v>
      </c>
      <c r="DB322" s="56">
        <f t="shared" si="331"/>
        <v>3</v>
      </c>
    </row>
    <row r="323" spans="1:106" x14ac:dyDescent="0.25">
      <c r="A323" s="36" t="str">
        <f>KMeans_Data!A51</f>
        <v>Lodhran</v>
      </c>
      <c r="B323" s="18">
        <f>KMeans_Data!H51</f>
        <v>0.20097549778195881</v>
      </c>
      <c r="C323" s="18">
        <f>KMeans_Data!I51</f>
        <v>-0.67265054538827607</v>
      </c>
      <c r="D323" s="18">
        <f>KMeans_Data!J51</f>
        <v>-1.1456441163335547</v>
      </c>
      <c r="E323" s="56">
        <f t="shared" si="318"/>
        <v>4</v>
      </c>
      <c r="F323" s="38">
        <f t="shared" si="319"/>
        <v>0.72953040368865574</v>
      </c>
      <c r="G323" s="18">
        <f>IF(COUNTIF(Distance_Matrix!$E$11:$DQ$11,$E323)&lt;=1,0,SUMIF(Distance_Matrix!$E$11:$DQ$11,$E323,Distance_Matrix!$E$60:$DQ$60)/(COUNTIF(Distance_Matrix!$E$11:$DQ$11,$E323)-1))</f>
        <v>1.0548211411196626</v>
      </c>
      <c r="H323" s="18">
        <f>MIN(IF(1=$E323,1E+99,IF(COUNTIF(Distance_Matrix!$E$11:$DQ$11,1)=0,1E+99,SUMIF(Distance_Matrix!$E$11:$DQ$11,1,Distance_Matrix!$E$60:$DQ$60)/COUNTIF(Distance_Matrix!$E$11:$DQ$11,1))),IF(2=$E323,1E+99,IF(COUNTIF(Distance_Matrix!$E$11:$DQ$11,2)=0,1E+99,SUMIF(Distance_Matrix!$E$11:$DQ$11,2,Distance_Matrix!$E$60:$DQ$60)/COUNTIF(Distance_Matrix!$E$11:$DQ$11,2))),IF(3=$E323,1E+99,IF(COUNTIF(Distance_Matrix!$E$11:$DQ$11,3)=0,1E+99,SUMIF(Distance_Matrix!$E$11:$DQ$11,3,Distance_Matrix!$E$60:$DQ$60)/COUNTIF(Distance_Matrix!$E$11:$DQ$11,3))),IF(4=$E323,1E+99,IF(COUNTIF(Distance_Matrix!$E$11:$DQ$11,4)=0,1E+99,SUMIF(Distance_Matrix!$E$11:$DQ$11,4,Distance_Matrix!$E$60:$DQ$60)/COUNTIF(Distance_Matrix!$E$11:$DQ$11,4))),IF(5=$E323,1E+99,IF(COUNTIF(Distance_Matrix!$E$11:$DQ$11,5)=0,1E+99,SUMIF(Distance_Matrix!$E$11:$DQ$11,5,Distance_Matrix!$E$60:$DQ$60)/COUNTIF(Distance_Matrix!$E$11:$DQ$11,5))))</f>
        <v>1.497885037049119</v>
      </c>
      <c r="I323" s="18">
        <f>IF(COUNTIF(Distance_Matrix!$E$11:$DQ$11,$E323)&lt;=1,0,(H323-G323)/MAX(G323,H323))</f>
        <v>0.29579299143164306</v>
      </c>
      <c r="X323" s="18">
        <f t="shared" si="332"/>
        <v>7.1406705471015224</v>
      </c>
      <c r="Y323" s="18">
        <f t="shared" si="332"/>
        <v>2.2807134795852875</v>
      </c>
      <c r="Z323" s="18">
        <f t="shared" si="332"/>
        <v>2.9408359957094516</v>
      </c>
      <c r="AA323" s="18">
        <f t="shared" si="332"/>
        <v>0.68853623587289314</v>
      </c>
      <c r="AB323" s="18">
        <f t="shared" si="332"/>
        <v>5.0851891402756753</v>
      </c>
      <c r="AC323" s="56">
        <f t="shared" si="320"/>
        <v>4</v>
      </c>
      <c r="AE323" s="18">
        <f t="shared" si="333"/>
        <v>7.0028264670033069</v>
      </c>
      <c r="AF323" s="18">
        <f t="shared" si="333"/>
        <v>1.4573798613520987</v>
      </c>
      <c r="AG323" s="18">
        <f t="shared" si="333"/>
        <v>2.337199678856245</v>
      </c>
      <c r="AH323" s="18">
        <f t="shared" si="333"/>
        <v>0.70850241729074293</v>
      </c>
      <c r="AI323" s="18">
        <f t="shared" si="333"/>
        <v>4.7432139921289549</v>
      </c>
      <c r="AJ323" s="56">
        <f t="shared" si="321"/>
        <v>4</v>
      </c>
      <c r="AL323" s="18">
        <f t="shared" si="334"/>
        <v>7.0028264670033069</v>
      </c>
      <c r="AM323" s="18">
        <f t="shared" si="334"/>
        <v>1.4422795209395496</v>
      </c>
      <c r="AN323" s="18">
        <f t="shared" si="334"/>
        <v>2.3814287071529514</v>
      </c>
      <c r="AO323" s="18">
        <f t="shared" si="334"/>
        <v>0.81542629344405315</v>
      </c>
      <c r="AP323" s="18">
        <f t="shared" si="334"/>
        <v>4.4861224362229963</v>
      </c>
      <c r="AQ323" s="56">
        <f t="shared" si="322"/>
        <v>4</v>
      </c>
      <c r="AS323" s="18">
        <f t="shared" si="335"/>
        <v>7.0028264670033069</v>
      </c>
      <c r="AT323" s="18">
        <f t="shared" si="335"/>
        <v>1.4808407385446647</v>
      </c>
      <c r="AU323" s="18">
        <f t="shared" si="335"/>
        <v>2.4041589318215277</v>
      </c>
      <c r="AV323" s="18">
        <f t="shared" si="335"/>
        <v>0.85412551986734109</v>
      </c>
      <c r="AW323" s="18">
        <f t="shared" si="335"/>
        <v>4.4861224362229963</v>
      </c>
      <c r="AX323" s="56">
        <f t="shared" si="323"/>
        <v>4</v>
      </c>
      <c r="AZ323" s="18">
        <f t="shared" si="336"/>
        <v>7.0028264670033069</v>
      </c>
      <c r="BA323" s="18">
        <f t="shared" si="336"/>
        <v>1.4808407385446647</v>
      </c>
      <c r="BB323" s="18">
        <f t="shared" si="336"/>
        <v>2.4041589318215277</v>
      </c>
      <c r="BC323" s="18">
        <f t="shared" si="336"/>
        <v>0.85412551986734109</v>
      </c>
      <c r="BD323" s="18">
        <f t="shared" si="336"/>
        <v>4.4861224362229963</v>
      </c>
      <c r="BE323" s="56">
        <f t="shared" si="324"/>
        <v>4</v>
      </c>
      <c r="BG323" s="18">
        <f t="shared" si="337"/>
        <v>7.0028264670033069</v>
      </c>
      <c r="BH323" s="18">
        <f t="shared" si="337"/>
        <v>1.4808407385446647</v>
      </c>
      <c r="BI323" s="18">
        <f t="shared" si="337"/>
        <v>2.4041589318215277</v>
      </c>
      <c r="BJ323" s="18">
        <f t="shared" si="337"/>
        <v>0.85412551986734109</v>
      </c>
      <c r="BK323" s="18">
        <f t="shared" si="337"/>
        <v>4.4861224362229963</v>
      </c>
      <c r="BL323" s="56">
        <f t="shared" si="325"/>
        <v>4</v>
      </c>
      <c r="BN323" s="18">
        <f t="shared" si="338"/>
        <v>7.0028264670033069</v>
      </c>
      <c r="BO323" s="18">
        <f t="shared" si="338"/>
        <v>1.4808407385446647</v>
      </c>
      <c r="BP323" s="18">
        <f t="shared" si="338"/>
        <v>2.4041589318215277</v>
      </c>
      <c r="BQ323" s="18">
        <f t="shared" si="338"/>
        <v>0.85412551986734109</v>
      </c>
      <c r="BR323" s="18">
        <f t="shared" si="338"/>
        <v>4.4861224362229963</v>
      </c>
      <c r="BS323" s="56">
        <f t="shared" si="326"/>
        <v>4</v>
      </c>
      <c r="BU323" s="18">
        <f t="shared" si="339"/>
        <v>7.0028264670033069</v>
      </c>
      <c r="BV323" s="18">
        <f t="shared" si="339"/>
        <v>1.4808407385446647</v>
      </c>
      <c r="BW323" s="18">
        <f t="shared" si="339"/>
        <v>2.4041589318215277</v>
      </c>
      <c r="BX323" s="18">
        <f t="shared" si="339"/>
        <v>0.85412551986734109</v>
      </c>
      <c r="BY323" s="18">
        <f t="shared" si="339"/>
        <v>4.4861224362229963</v>
      </c>
      <c r="BZ323" s="56">
        <f t="shared" si="327"/>
        <v>4</v>
      </c>
      <c r="CB323" s="18">
        <f t="shared" si="340"/>
        <v>7.0028264670033069</v>
      </c>
      <c r="CC323" s="18">
        <f t="shared" si="340"/>
        <v>1.4808407385446647</v>
      </c>
      <c r="CD323" s="18">
        <f t="shared" si="340"/>
        <v>2.4041589318215277</v>
      </c>
      <c r="CE323" s="18">
        <f t="shared" si="340"/>
        <v>0.85412551986734109</v>
      </c>
      <c r="CF323" s="18">
        <f t="shared" si="340"/>
        <v>4.4861224362229963</v>
      </c>
      <c r="CG323" s="56">
        <f t="shared" si="328"/>
        <v>4</v>
      </c>
      <c r="CI323" s="18">
        <f t="shared" si="341"/>
        <v>7.0028264670033069</v>
      </c>
      <c r="CJ323" s="18">
        <f t="shared" si="341"/>
        <v>1.4808407385446647</v>
      </c>
      <c r="CK323" s="18">
        <f t="shared" si="341"/>
        <v>2.4041589318215277</v>
      </c>
      <c r="CL323" s="18">
        <f t="shared" si="341"/>
        <v>0.85412551986734109</v>
      </c>
      <c r="CM323" s="18">
        <f t="shared" si="341"/>
        <v>4.4861224362229963</v>
      </c>
      <c r="CN323" s="56">
        <f t="shared" si="329"/>
        <v>4</v>
      </c>
      <c r="CP323" s="18">
        <f t="shared" si="342"/>
        <v>7.0028264670033069</v>
      </c>
      <c r="CQ323" s="18">
        <f t="shared" si="342"/>
        <v>1.4808407385446647</v>
      </c>
      <c r="CR323" s="18">
        <f t="shared" si="342"/>
        <v>2.4041589318215277</v>
      </c>
      <c r="CS323" s="18">
        <f t="shared" si="342"/>
        <v>0.85412551986734109</v>
      </c>
      <c r="CT323" s="18">
        <f t="shared" si="342"/>
        <v>4.4861224362229963</v>
      </c>
      <c r="CU323" s="56">
        <f t="shared" si="330"/>
        <v>4</v>
      </c>
      <c r="CW323" s="18">
        <f t="shared" si="343"/>
        <v>7.0028264670033069</v>
      </c>
      <c r="CX323" s="18">
        <f t="shared" si="343"/>
        <v>1.4808407385446647</v>
      </c>
      <c r="CY323" s="18">
        <f t="shared" si="343"/>
        <v>2.4041589318215277</v>
      </c>
      <c r="CZ323" s="18">
        <f t="shared" si="343"/>
        <v>0.85412551986734109</v>
      </c>
      <c r="DA323" s="18">
        <f t="shared" si="343"/>
        <v>4.4861224362229963</v>
      </c>
      <c r="DB323" s="56">
        <f t="shared" si="331"/>
        <v>4</v>
      </c>
    </row>
    <row r="324" spans="1:106" x14ac:dyDescent="0.25">
      <c r="A324" s="36" t="str">
        <f>KMeans_Data!A52</f>
        <v>Jacobabad</v>
      </c>
      <c r="B324" s="18">
        <f>KMeans_Data!H52</f>
        <v>0.20097549778195881</v>
      </c>
      <c r="C324" s="18">
        <f>KMeans_Data!I52</f>
        <v>-0.67265054538827607</v>
      </c>
      <c r="D324" s="18">
        <f>KMeans_Data!J52</f>
        <v>1.0325157420155633</v>
      </c>
      <c r="E324" s="56">
        <f t="shared" si="318"/>
        <v>3</v>
      </c>
      <c r="F324" s="38">
        <f t="shared" si="319"/>
        <v>1.7854832707568833</v>
      </c>
      <c r="G324" s="18">
        <f>IF(COUNTIF(Distance_Matrix!$E$11:$DQ$11,$E324)&lt;=1,0,SUMIF(Distance_Matrix!$E$11:$DQ$11,$E324,Distance_Matrix!$E$61:$DQ$61)/(COUNTIF(Distance_Matrix!$E$11:$DQ$11,$E324)-1))</f>
        <v>1.4731942251455263</v>
      </c>
      <c r="H324" s="18">
        <f>MIN(IF(1=$E324,1E+99,IF(COUNTIF(Distance_Matrix!$E$11:$DQ$11,1)=0,1E+99,SUMIF(Distance_Matrix!$E$11:$DQ$11,1,Distance_Matrix!$E$61:$DQ$61)/COUNTIF(Distance_Matrix!$E$11:$DQ$11,1))),IF(2=$E324,1E+99,IF(COUNTIF(Distance_Matrix!$E$11:$DQ$11,2)=0,1E+99,SUMIF(Distance_Matrix!$E$11:$DQ$11,2,Distance_Matrix!$E$61:$DQ$61)/COUNTIF(Distance_Matrix!$E$11:$DQ$11,2))),IF(3=$E324,1E+99,IF(COUNTIF(Distance_Matrix!$E$11:$DQ$11,3)=0,1E+99,SUMIF(Distance_Matrix!$E$11:$DQ$11,3,Distance_Matrix!$E$61:$DQ$61)/COUNTIF(Distance_Matrix!$E$11:$DQ$11,3))),IF(4=$E324,1E+99,IF(COUNTIF(Distance_Matrix!$E$11:$DQ$11,4)=0,1E+99,SUMIF(Distance_Matrix!$E$11:$DQ$11,4,Distance_Matrix!$E$61:$DQ$61)/COUNTIF(Distance_Matrix!$E$11:$DQ$11,4))),IF(5=$E324,1E+99,IF(COUNTIF(Distance_Matrix!$E$11:$DQ$11,5)=0,1E+99,SUMIF(Distance_Matrix!$E$11:$DQ$11,5,Distance_Matrix!$E$61:$DQ$61)/COUNTIF(Distance_Matrix!$E$11:$DQ$11,5))))</f>
        <v>1.5767747650364312</v>
      </c>
      <c r="I324" s="18">
        <f>IF(COUNTIF(Distance_Matrix!$E$11:$DQ$11,$E324)&lt;=1,0,(H324-G324)/MAX(G324,H324))</f>
        <v>6.5691398789294836E-2</v>
      </c>
      <c r="X324" s="18">
        <f t="shared" si="332"/>
        <v>6.0475538042601258</v>
      </c>
      <c r="Y324" s="18">
        <f t="shared" si="332"/>
        <v>3.1537333978136894</v>
      </c>
      <c r="Z324" s="18">
        <f t="shared" si="332"/>
        <v>1.4129939650691847</v>
      </c>
      <c r="AA324" s="18">
        <f t="shared" si="332"/>
        <v>2.2843954378858013</v>
      </c>
      <c r="AB324" s="18">
        <f t="shared" si="332"/>
        <v>3.9087079166722605</v>
      </c>
      <c r="AC324" s="56">
        <f t="shared" si="320"/>
        <v>3</v>
      </c>
      <c r="AE324" s="18">
        <f t="shared" si="333"/>
        <v>5.9891278718744863</v>
      </c>
      <c r="AF324" s="18">
        <f t="shared" si="333"/>
        <v>2.4396010247081366</v>
      </c>
      <c r="AG324" s="18">
        <f t="shared" si="333"/>
        <v>1.2371305060463278</v>
      </c>
      <c r="AH324" s="18">
        <f t="shared" si="333"/>
        <v>1.5794259340880592</v>
      </c>
      <c r="AI324" s="18">
        <f t="shared" si="333"/>
        <v>3.8029352094464244</v>
      </c>
      <c r="AJ324" s="56">
        <f t="shared" si="321"/>
        <v>3</v>
      </c>
      <c r="AL324" s="18">
        <f t="shared" si="334"/>
        <v>5.9891278718744863</v>
      </c>
      <c r="AM324" s="18">
        <f t="shared" si="334"/>
        <v>2.4753513328201531</v>
      </c>
      <c r="AN324" s="18">
        <f t="shared" si="334"/>
        <v>1.3216602796391479</v>
      </c>
      <c r="AO324" s="18">
        <f t="shared" si="334"/>
        <v>1.4665592961032792</v>
      </c>
      <c r="AP324" s="18">
        <f t="shared" si="334"/>
        <v>3.5539758209883927</v>
      </c>
      <c r="AQ324" s="56">
        <f t="shared" si="322"/>
        <v>3</v>
      </c>
      <c r="AS324" s="18">
        <f t="shared" si="335"/>
        <v>5.9891278718744863</v>
      </c>
      <c r="AT324" s="18">
        <f t="shared" si="335"/>
        <v>2.5738456019820566</v>
      </c>
      <c r="AU324" s="18">
        <f t="shared" si="335"/>
        <v>1.336219768884177</v>
      </c>
      <c r="AV324" s="18">
        <f t="shared" si="335"/>
        <v>1.4550160774037602</v>
      </c>
      <c r="AW324" s="18">
        <f t="shared" si="335"/>
        <v>3.5539758209883927</v>
      </c>
      <c r="AX324" s="56">
        <f t="shared" si="323"/>
        <v>3</v>
      </c>
      <c r="AZ324" s="18">
        <f t="shared" si="336"/>
        <v>5.9891278718744863</v>
      </c>
      <c r="BA324" s="18">
        <f t="shared" si="336"/>
        <v>2.5738456019820566</v>
      </c>
      <c r="BB324" s="18">
        <f t="shared" si="336"/>
        <v>1.336219768884177</v>
      </c>
      <c r="BC324" s="18">
        <f t="shared" si="336"/>
        <v>1.4550160774037602</v>
      </c>
      <c r="BD324" s="18">
        <f t="shared" si="336"/>
        <v>3.5539758209883927</v>
      </c>
      <c r="BE324" s="56">
        <f t="shared" si="324"/>
        <v>3</v>
      </c>
      <c r="BG324" s="18">
        <f t="shared" si="337"/>
        <v>5.9891278718744863</v>
      </c>
      <c r="BH324" s="18">
        <f t="shared" si="337"/>
        <v>2.5738456019820566</v>
      </c>
      <c r="BI324" s="18">
        <f t="shared" si="337"/>
        <v>1.336219768884177</v>
      </c>
      <c r="BJ324" s="18">
        <f t="shared" si="337"/>
        <v>1.4550160774037602</v>
      </c>
      <c r="BK324" s="18">
        <f t="shared" si="337"/>
        <v>3.5539758209883927</v>
      </c>
      <c r="BL324" s="56">
        <f t="shared" si="325"/>
        <v>3</v>
      </c>
      <c r="BN324" s="18">
        <f t="shared" si="338"/>
        <v>5.9891278718744863</v>
      </c>
      <c r="BO324" s="18">
        <f t="shared" si="338"/>
        <v>2.5738456019820566</v>
      </c>
      <c r="BP324" s="18">
        <f t="shared" si="338"/>
        <v>1.336219768884177</v>
      </c>
      <c r="BQ324" s="18">
        <f t="shared" si="338"/>
        <v>1.4550160774037602</v>
      </c>
      <c r="BR324" s="18">
        <f t="shared" si="338"/>
        <v>3.5539758209883927</v>
      </c>
      <c r="BS324" s="56">
        <f t="shared" si="326"/>
        <v>3</v>
      </c>
      <c r="BU324" s="18">
        <f t="shared" si="339"/>
        <v>5.9891278718744863</v>
      </c>
      <c r="BV324" s="18">
        <f t="shared" si="339"/>
        <v>2.5738456019820566</v>
      </c>
      <c r="BW324" s="18">
        <f t="shared" si="339"/>
        <v>1.336219768884177</v>
      </c>
      <c r="BX324" s="18">
        <f t="shared" si="339"/>
        <v>1.4550160774037602</v>
      </c>
      <c r="BY324" s="18">
        <f t="shared" si="339"/>
        <v>3.5539758209883927</v>
      </c>
      <c r="BZ324" s="56">
        <f t="shared" si="327"/>
        <v>3</v>
      </c>
      <c r="CB324" s="18">
        <f t="shared" si="340"/>
        <v>5.9891278718744863</v>
      </c>
      <c r="CC324" s="18">
        <f t="shared" si="340"/>
        <v>2.5738456019820566</v>
      </c>
      <c r="CD324" s="18">
        <f t="shared" si="340"/>
        <v>1.336219768884177</v>
      </c>
      <c r="CE324" s="18">
        <f t="shared" si="340"/>
        <v>1.4550160774037602</v>
      </c>
      <c r="CF324" s="18">
        <f t="shared" si="340"/>
        <v>3.5539758209883927</v>
      </c>
      <c r="CG324" s="56">
        <f t="shared" si="328"/>
        <v>3</v>
      </c>
      <c r="CI324" s="18">
        <f t="shared" si="341"/>
        <v>5.9891278718744863</v>
      </c>
      <c r="CJ324" s="18">
        <f t="shared" si="341"/>
        <v>2.5738456019820566</v>
      </c>
      <c r="CK324" s="18">
        <f t="shared" si="341"/>
        <v>1.336219768884177</v>
      </c>
      <c r="CL324" s="18">
        <f t="shared" si="341"/>
        <v>1.4550160774037602</v>
      </c>
      <c r="CM324" s="18">
        <f t="shared" si="341"/>
        <v>3.5539758209883927</v>
      </c>
      <c r="CN324" s="56">
        <f t="shared" si="329"/>
        <v>3</v>
      </c>
      <c r="CP324" s="18">
        <f t="shared" si="342"/>
        <v>5.9891278718744863</v>
      </c>
      <c r="CQ324" s="18">
        <f t="shared" si="342"/>
        <v>2.5738456019820566</v>
      </c>
      <c r="CR324" s="18">
        <f t="shared" si="342"/>
        <v>1.336219768884177</v>
      </c>
      <c r="CS324" s="18">
        <f t="shared" si="342"/>
        <v>1.4550160774037602</v>
      </c>
      <c r="CT324" s="18">
        <f t="shared" si="342"/>
        <v>3.5539758209883927</v>
      </c>
      <c r="CU324" s="56">
        <f t="shared" si="330"/>
        <v>3</v>
      </c>
      <c r="CW324" s="18">
        <f t="shared" si="343"/>
        <v>5.9891278718744863</v>
      </c>
      <c r="CX324" s="18">
        <f t="shared" si="343"/>
        <v>2.5738456019820566</v>
      </c>
      <c r="CY324" s="18">
        <f t="shared" si="343"/>
        <v>1.336219768884177</v>
      </c>
      <c r="CZ324" s="18">
        <f t="shared" si="343"/>
        <v>1.4550160774037602</v>
      </c>
      <c r="DA324" s="18">
        <f t="shared" si="343"/>
        <v>3.5539758209883927</v>
      </c>
      <c r="DB324" s="56">
        <f t="shared" si="331"/>
        <v>3</v>
      </c>
    </row>
    <row r="325" spans="1:106" x14ac:dyDescent="0.25">
      <c r="A325" s="36" t="str">
        <f>KMeans_Data!A53</f>
        <v>Skardu</v>
      </c>
      <c r="B325" s="18">
        <f>KMeans_Data!H53</f>
        <v>0.19442861878561798</v>
      </c>
      <c r="C325" s="18">
        <f>KMeans_Data!I53</f>
        <v>-0.14698313392952958</v>
      </c>
      <c r="D325" s="18">
        <f>KMeans_Data!J53</f>
        <v>0.79580379308358284</v>
      </c>
      <c r="E325" s="56">
        <f t="shared" si="318"/>
        <v>3</v>
      </c>
      <c r="F325" s="38">
        <f t="shared" si="319"/>
        <v>0.7193389165838121</v>
      </c>
      <c r="G325" s="18">
        <f>IF(COUNTIF(Distance_Matrix!$E$11:$DQ$11,$E325)&lt;=1,0,SUMIF(Distance_Matrix!$E$11:$DQ$11,$E325,Distance_Matrix!$E$62:$DQ$62)/(COUNTIF(Distance_Matrix!$E$11:$DQ$11,$E325)-1))</f>
        <v>1.0685503593928904</v>
      </c>
      <c r="H325" s="18">
        <f>MIN(IF(1=$E325,1E+99,IF(COUNTIF(Distance_Matrix!$E$11:$DQ$11,1)=0,1E+99,SUMIF(Distance_Matrix!$E$11:$DQ$11,1,Distance_Matrix!$E$62:$DQ$62)/COUNTIF(Distance_Matrix!$E$11:$DQ$11,1))),IF(2=$E325,1E+99,IF(COUNTIF(Distance_Matrix!$E$11:$DQ$11,2)=0,1E+99,SUMIF(Distance_Matrix!$E$11:$DQ$11,2,Distance_Matrix!$E$62:$DQ$62)/COUNTIF(Distance_Matrix!$E$11:$DQ$11,2))),IF(3=$E325,1E+99,IF(COUNTIF(Distance_Matrix!$E$11:$DQ$11,3)=0,1E+99,SUMIF(Distance_Matrix!$E$11:$DQ$11,3,Distance_Matrix!$E$62:$DQ$62)/COUNTIF(Distance_Matrix!$E$11:$DQ$11,3))),IF(4=$E325,1E+99,IF(COUNTIF(Distance_Matrix!$E$11:$DQ$11,4)=0,1E+99,SUMIF(Distance_Matrix!$E$11:$DQ$11,4,Distance_Matrix!$E$62:$DQ$62)/COUNTIF(Distance_Matrix!$E$11:$DQ$11,4))),IF(5=$E325,1E+99,IF(COUNTIF(Distance_Matrix!$E$11:$DQ$11,5)=0,1E+99,SUMIF(Distance_Matrix!$E$11:$DQ$11,5,Distance_Matrix!$E$62:$DQ$62)/COUNTIF(Distance_Matrix!$E$11:$DQ$11,5))))</f>
        <v>1.4102230981678965</v>
      </c>
      <c r="I325" s="18">
        <f>IF(COUNTIF(Distance_Matrix!$E$11:$DQ$11,$E325)&lt;=1,0,(H325-G325)/MAX(G325,H325))</f>
        <v>0.24228275598300236</v>
      </c>
      <c r="X325" s="18">
        <f t="shared" si="332"/>
        <v>5.748328281005314</v>
      </c>
      <c r="Y325" s="18">
        <f t="shared" si="332"/>
        <v>3.0360138240271897</v>
      </c>
      <c r="Z325" s="18">
        <f t="shared" si="332"/>
        <v>1.2007942594917329</v>
      </c>
      <c r="AA325" s="18">
        <f t="shared" si="332"/>
        <v>1.993198818353793</v>
      </c>
      <c r="AB325" s="18">
        <f t="shared" si="332"/>
        <v>3.62683739800657</v>
      </c>
      <c r="AC325" s="56">
        <f t="shared" si="320"/>
        <v>3</v>
      </c>
      <c r="AE325" s="18">
        <f t="shared" si="333"/>
        <v>5.6694264131947181</v>
      </c>
      <c r="AF325" s="18">
        <f t="shared" si="333"/>
        <v>2.3051819866910095</v>
      </c>
      <c r="AG325" s="18">
        <f t="shared" si="333"/>
        <v>0.73904743345335744</v>
      </c>
      <c r="AH325" s="18">
        <f t="shared" si="333"/>
        <v>1.3778504991974885</v>
      </c>
      <c r="AI325" s="18">
        <f t="shared" si="333"/>
        <v>3.4353412297118644</v>
      </c>
      <c r="AJ325" s="56">
        <f t="shared" si="321"/>
        <v>3</v>
      </c>
      <c r="AL325" s="18">
        <f t="shared" si="334"/>
        <v>5.6694264131947181</v>
      </c>
      <c r="AM325" s="18">
        <f t="shared" si="334"/>
        <v>2.3379126540123658</v>
      </c>
      <c r="AN325" s="18">
        <f t="shared" si="334"/>
        <v>0.82755164656103031</v>
      </c>
      <c r="AO325" s="18">
        <f t="shared" si="334"/>
        <v>1.2780856981656403</v>
      </c>
      <c r="AP325" s="18">
        <f t="shared" si="334"/>
        <v>3.1734029428833073</v>
      </c>
      <c r="AQ325" s="56">
        <f t="shared" si="322"/>
        <v>3</v>
      </c>
      <c r="AS325" s="18">
        <f t="shared" si="335"/>
        <v>5.6694264131947181</v>
      </c>
      <c r="AT325" s="18">
        <f t="shared" si="335"/>
        <v>2.432774006686246</v>
      </c>
      <c r="AU325" s="18">
        <f t="shared" si="335"/>
        <v>0.84813850082625775</v>
      </c>
      <c r="AV325" s="18">
        <f t="shared" si="335"/>
        <v>1.2671845955607459</v>
      </c>
      <c r="AW325" s="18">
        <f t="shared" si="335"/>
        <v>3.1734029428833073</v>
      </c>
      <c r="AX325" s="56">
        <f t="shared" si="323"/>
        <v>3</v>
      </c>
      <c r="AZ325" s="18">
        <f t="shared" si="336"/>
        <v>5.6694264131947181</v>
      </c>
      <c r="BA325" s="18">
        <f t="shared" si="336"/>
        <v>2.432774006686246</v>
      </c>
      <c r="BB325" s="18">
        <f t="shared" si="336"/>
        <v>0.84813850082625775</v>
      </c>
      <c r="BC325" s="18">
        <f t="shared" si="336"/>
        <v>1.2671845955607459</v>
      </c>
      <c r="BD325" s="18">
        <f t="shared" si="336"/>
        <v>3.1734029428833073</v>
      </c>
      <c r="BE325" s="56">
        <f t="shared" si="324"/>
        <v>3</v>
      </c>
      <c r="BG325" s="18">
        <f t="shared" si="337"/>
        <v>5.6694264131947181</v>
      </c>
      <c r="BH325" s="18">
        <f t="shared" si="337"/>
        <v>2.432774006686246</v>
      </c>
      <c r="BI325" s="18">
        <f t="shared" si="337"/>
        <v>0.84813850082625775</v>
      </c>
      <c r="BJ325" s="18">
        <f t="shared" si="337"/>
        <v>1.2671845955607459</v>
      </c>
      <c r="BK325" s="18">
        <f t="shared" si="337"/>
        <v>3.1734029428833073</v>
      </c>
      <c r="BL325" s="56">
        <f t="shared" si="325"/>
        <v>3</v>
      </c>
      <c r="BN325" s="18">
        <f t="shared" si="338"/>
        <v>5.6694264131947181</v>
      </c>
      <c r="BO325" s="18">
        <f t="shared" si="338"/>
        <v>2.432774006686246</v>
      </c>
      <c r="BP325" s="18">
        <f t="shared" si="338"/>
        <v>0.84813850082625775</v>
      </c>
      <c r="BQ325" s="18">
        <f t="shared" si="338"/>
        <v>1.2671845955607459</v>
      </c>
      <c r="BR325" s="18">
        <f t="shared" si="338"/>
        <v>3.1734029428833073</v>
      </c>
      <c r="BS325" s="56">
        <f t="shared" si="326"/>
        <v>3</v>
      </c>
      <c r="BU325" s="18">
        <f t="shared" si="339"/>
        <v>5.6694264131947181</v>
      </c>
      <c r="BV325" s="18">
        <f t="shared" si="339"/>
        <v>2.432774006686246</v>
      </c>
      <c r="BW325" s="18">
        <f t="shared" si="339"/>
        <v>0.84813850082625775</v>
      </c>
      <c r="BX325" s="18">
        <f t="shared" si="339"/>
        <v>1.2671845955607459</v>
      </c>
      <c r="BY325" s="18">
        <f t="shared" si="339"/>
        <v>3.1734029428833073</v>
      </c>
      <c r="BZ325" s="56">
        <f t="shared" si="327"/>
        <v>3</v>
      </c>
      <c r="CB325" s="18">
        <f t="shared" si="340"/>
        <v>5.6694264131947181</v>
      </c>
      <c r="CC325" s="18">
        <f t="shared" si="340"/>
        <v>2.432774006686246</v>
      </c>
      <c r="CD325" s="18">
        <f t="shared" si="340"/>
        <v>0.84813850082625775</v>
      </c>
      <c r="CE325" s="18">
        <f t="shared" si="340"/>
        <v>1.2671845955607459</v>
      </c>
      <c r="CF325" s="18">
        <f t="shared" si="340"/>
        <v>3.1734029428833073</v>
      </c>
      <c r="CG325" s="56">
        <f t="shared" si="328"/>
        <v>3</v>
      </c>
      <c r="CI325" s="18">
        <f t="shared" si="341"/>
        <v>5.6694264131947181</v>
      </c>
      <c r="CJ325" s="18">
        <f t="shared" si="341"/>
        <v>2.432774006686246</v>
      </c>
      <c r="CK325" s="18">
        <f t="shared" si="341"/>
        <v>0.84813850082625775</v>
      </c>
      <c r="CL325" s="18">
        <f t="shared" si="341"/>
        <v>1.2671845955607459</v>
      </c>
      <c r="CM325" s="18">
        <f t="shared" si="341"/>
        <v>3.1734029428833073</v>
      </c>
      <c r="CN325" s="56">
        <f t="shared" si="329"/>
        <v>3</v>
      </c>
      <c r="CP325" s="18">
        <f t="shared" si="342"/>
        <v>5.6694264131947181</v>
      </c>
      <c r="CQ325" s="18">
        <f t="shared" si="342"/>
        <v>2.432774006686246</v>
      </c>
      <c r="CR325" s="18">
        <f t="shared" si="342"/>
        <v>0.84813850082625775</v>
      </c>
      <c r="CS325" s="18">
        <f t="shared" si="342"/>
        <v>1.2671845955607459</v>
      </c>
      <c r="CT325" s="18">
        <f t="shared" si="342"/>
        <v>3.1734029428833073</v>
      </c>
      <c r="CU325" s="56">
        <f t="shared" si="330"/>
        <v>3</v>
      </c>
      <c r="CW325" s="18">
        <f t="shared" si="343"/>
        <v>5.6694264131947181</v>
      </c>
      <c r="CX325" s="18">
        <f t="shared" si="343"/>
        <v>2.432774006686246</v>
      </c>
      <c r="CY325" s="18">
        <f t="shared" si="343"/>
        <v>0.84813850082625775</v>
      </c>
      <c r="CZ325" s="18">
        <f t="shared" si="343"/>
        <v>1.2671845955607459</v>
      </c>
      <c r="DA325" s="18">
        <f t="shared" si="343"/>
        <v>3.1734029428833073</v>
      </c>
      <c r="DB325" s="56">
        <f t="shared" si="331"/>
        <v>3</v>
      </c>
    </row>
    <row r="326" spans="1:106" x14ac:dyDescent="0.25">
      <c r="A326" s="36" t="str">
        <f>KMeans_Data!A54</f>
        <v>Sialkot</v>
      </c>
      <c r="B326" s="18">
        <f>KMeans_Data!H54</f>
        <v>0.19442861878561798</v>
      </c>
      <c r="C326" s="18">
        <f>KMeans_Data!I54</f>
        <v>-0.67265054538827607</v>
      </c>
      <c r="D326" s="18">
        <f>KMeans_Data!J54</f>
        <v>-1.1456441163335547</v>
      </c>
      <c r="E326" s="56">
        <f t="shared" si="318"/>
        <v>4</v>
      </c>
      <c r="F326" s="38">
        <f t="shared" si="319"/>
        <v>0.72525680207873644</v>
      </c>
      <c r="G326" s="18">
        <f>IF(COUNTIF(Distance_Matrix!$E$11:$DQ$11,$E326)&lt;=1,0,SUMIF(Distance_Matrix!$E$11:$DQ$11,$E326,Distance_Matrix!$E$63:$DQ$63)/(COUNTIF(Distance_Matrix!$E$11:$DQ$11,$E326)-1))</f>
        <v>1.0523771243619398</v>
      </c>
      <c r="H326" s="18">
        <f>MIN(IF(1=$E326,1E+99,IF(COUNTIF(Distance_Matrix!$E$11:$DQ$11,1)=0,1E+99,SUMIF(Distance_Matrix!$E$11:$DQ$11,1,Distance_Matrix!$E$63:$DQ$63)/COUNTIF(Distance_Matrix!$E$11:$DQ$11,1))),IF(2=$E326,1E+99,IF(COUNTIF(Distance_Matrix!$E$11:$DQ$11,2)=0,1E+99,SUMIF(Distance_Matrix!$E$11:$DQ$11,2,Distance_Matrix!$E$63:$DQ$63)/COUNTIF(Distance_Matrix!$E$11:$DQ$11,2))),IF(3=$E326,1E+99,IF(COUNTIF(Distance_Matrix!$E$11:$DQ$11,3)=0,1E+99,SUMIF(Distance_Matrix!$E$11:$DQ$11,3,Distance_Matrix!$E$63:$DQ$63)/COUNTIF(Distance_Matrix!$E$11:$DQ$11,3))),IF(4=$E326,1E+99,IF(COUNTIF(Distance_Matrix!$E$11:$DQ$11,4)=0,1E+99,SUMIF(Distance_Matrix!$E$11:$DQ$11,4,Distance_Matrix!$E$63:$DQ$63)/COUNTIF(Distance_Matrix!$E$11:$DQ$11,4))),IF(5=$E326,1E+99,IF(COUNTIF(Distance_Matrix!$E$11:$DQ$11,5)=0,1E+99,SUMIF(Distance_Matrix!$E$11:$DQ$11,5,Distance_Matrix!$E$63:$DQ$63)/COUNTIF(Distance_Matrix!$E$11:$DQ$11,5))))</f>
        <v>1.4914347506435428</v>
      </c>
      <c r="I326" s="18">
        <f>IF(COUNTIF(Distance_Matrix!$E$11:$DQ$11,$E326)&lt;=1,0,(H326-G326)/MAX(G326,H326))</f>
        <v>0.29438607762904345</v>
      </c>
      <c r="X326" s="18">
        <f t="shared" si="332"/>
        <v>7.1434907577509605</v>
      </c>
      <c r="Y326" s="18">
        <f t="shared" si="332"/>
        <v>2.2741666005889467</v>
      </c>
      <c r="Z326" s="18">
        <f t="shared" si="332"/>
        <v>2.9427045941981942</v>
      </c>
      <c r="AA326" s="18">
        <f t="shared" si="332"/>
        <v>0.69278262967291682</v>
      </c>
      <c r="AB326" s="18">
        <f t="shared" si="332"/>
        <v>5.0879780402530388</v>
      </c>
      <c r="AC326" s="56">
        <f t="shared" si="320"/>
        <v>4</v>
      </c>
      <c r="AE326" s="18">
        <f t="shared" si="333"/>
        <v>7.0056908806580074</v>
      </c>
      <c r="AF326" s="18">
        <f t="shared" si="333"/>
        <v>1.4509024441185268</v>
      </c>
      <c r="AG326" s="18">
        <f t="shared" si="333"/>
        <v>2.338180437584982</v>
      </c>
      <c r="AH326" s="18">
        <f t="shared" si="333"/>
        <v>0.70609620532216322</v>
      </c>
      <c r="AI326" s="18">
        <f t="shared" si="333"/>
        <v>4.7458301904197411</v>
      </c>
      <c r="AJ326" s="56">
        <f t="shared" si="321"/>
        <v>4</v>
      </c>
      <c r="AL326" s="18">
        <f t="shared" si="334"/>
        <v>7.0056908806580074</v>
      </c>
      <c r="AM326" s="18">
        <f t="shared" si="334"/>
        <v>1.4357738166527343</v>
      </c>
      <c r="AN326" s="18">
        <f t="shared" si="334"/>
        <v>2.382529245756758</v>
      </c>
      <c r="AO326" s="18">
        <f t="shared" si="334"/>
        <v>0.81318420120472656</v>
      </c>
      <c r="AP326" s="18">
        <f t="shared" si="334"/>
        <v>4.4886064934170928</v>
      </c>
      <c r="AQ326" s="56">
        <f t="shared" si="322"/>
        <v>4</v>
      </c>
      <c r="AS326" s="18">
        <f t="shared" si="335"/>
        <v>7.0056908806580074</v>
      </c>
      <c r="AT326" s="18">
        <f t="shared" si="335"/>
        <v>1.4743022478022896</v>
      </c>
      <c r="AU326" s="18">
        <f t="shared" si="335"/>
        <v>2.4053017385170401</v>
      </c>
      <c r="AV326" s="18">
        <f t="shared" si="335"/>
        <v>0.85162010431807944</v>
      </c>
      <c r="AW326" s="18">
        <f t="shared" si="335"/>
        <v>4.4886064934170928</v>
      </c>
      <c r="AX326" s="56">
        <f t="shared" si="323"/>
        <v>4</v>
      </c>
      <c r="AZ326" s="18">
        <f t="shared" si="336"/>
        <v>7.0056908806580074</v>
      </c>
      <c r="BA326" s="18">
        <f t="shared" si="336"/>
        <v>1.4743022478022896</v>
      </c>
      <c r="BB326" s="18">
        <f t="shared" si="336"/>
        <v>2.4053017385170401</v>
      </c>
      <c r="BC326" s="18">
        <f t="shared" si="336"/>
        <v>0.85162010431807944</v>
      </c>
      <c r="BD326" s="18">
        <f t="shared" si="336"/>
        <v>4.4886064934170928</v>
      </c>
      <c r="BE326" s="56">
        <f t="shared" si="324"/>
        <v>4</v>
      </c>
      <c r="BG326" s="18">
        <f t="shared" si="337"/>
        <v>7.0056908806580074</v>
      </c>
      <c r="BH326" s="18">
        <f t="shared" si="337"/>
        <v>1.4743022478022896</v>
      </c>
      <c r="BI326" s="18">
        <f t="shared" si="337"/>
        <v>2.4053017385170401</v>
      </c>
      <c r="BJ326" s="18">
        <f t="shared" si="337"/>
        <v>0.85162010431807944</v>
      </c>
      <c r="BK326" s="18">
        <f t="shared" si="337"/>
        <v>4.4886064934170928</v>
      </c>
      <c r="BL326" s="56">
        <f t="shared" si="325"/>
        <v>4</v>
      </c>
      <c r="BN326" s="18">
        <f t="shared" si="338"/>
        <v>7.0056908806580074</v>
      </c>
      <c r="BO326" s="18">
        <f t="shared" si="338"/>
        <v>1.4743022478022896</v>
      </c>
      <c r="BP326" s="18">
        <f t="shared" si="338"/>
        <v>2.4053017385170401</v>
      </c>
      <c r="BQ326" s="18">
        <f t="shared" si="338"/>
        <v>0.85162010431807944</v>
      </c>
      <c r="BR326" s="18">
        <f t="shared" si="338"/>
        <v>4.4886064934170928</v>
      </c>
      <c r="BS326" s="56">
        <f t="shared" si="326"/>
        <v>4</v>
      </c>
      <c r="BU326" s="18">
        <f t="shared" si="339"/>
        <v>7.0056908806580074</v>
      </c>
      <c r="BV326" s="18">
        <f t="shared" si="339"/>
        <v>1.4743022478022896</v>
      </c>
      <c r="BW326" s="18">
        <f t="shared" si="339"/>
        <v>2.4053017385170401</v>
      </c>
      <c r="BX326" s="18">
        <f t="shared" si="339"/>
        <v>0.85162010431807944</v>
      </c>
      <c r="BY326" s="18">
        <f t="shared" si="339"/>
        <v>4.4886064934170928</v>
      </c>
      <c r="BZ326" s="56">
        <f t="shared" si="327"/>
        <v>4</v>
      </c>
      <c r="CB326" s="18">
        <f t="shared" si="340"/>
        <v>7.0056908806580074</v>
      </c>
      <c r="CC326" s="18">
        <f t="shared" si="340"/>
        <v>1.4743022478022896</v>
      </c>
      <c r="CD326" s="18">
        <f t="shared" si="340"/>
        <v>2.4053017385170401</v>
      </c>
      <c r="CE326" s="18">
        <f t="shared" si="340"/>
        <v>0.85162010431807944</v>
      </c>
      <c r="CF326" s="18">
        <f t="shared" si="340"/>
        <v>4.4886064934170928</v>
      </c>
      <c r="CG326" s="56">
        <f t="shared" si="328"/>
        <v>4</v>
      </c>
      <c r="CI326" s="18">
        <f t="shared" si="341"/>
        <v>7.0056908806580074</v>
      </c>
      <c r="CJ326" s="18">
        <f t="shared" si="341"/>
        <v>1.4743022478022896</v>
      </c>
      <c r="CK326" s="18">
        <f t="shared" si="341"/>
        <v>2.4053017385170401</v>
      </c>
      <c r="CL326" s="18">
        <f t="shared" si="341"/>
        <v>0.85162010431807944</v>
      </c>
      <c r="CM326" s="18">
        <f t="shared" si="341"/>
        <v>4.4886064934170928</v>
      </c>
      <c r="CN326" s="56">
        <f t="shared" si="329"/>
        <v>4</v>
      </c>
      <c r="CP326" s="18">
        <f t="shared" si="342"/>
        <v>7.0056908806580074</v>
      </c>
      <c r="CQ326" s="18">
        <f t="shared" si="342"/>
        <v>1.4743022478022896</v>
      </c>
      <c r="CR326" s="18">
        <f t="shared" si="342"/>
        <v>2.4053017385170401</v>
      </c>
      <c r="CS326" s="18">
        <f t="shared" si="342"/>
        <v>0.85162010431807944</v>
      </c>
      <c r="CT326" s="18">
        <f t="shared" si="342"/>
        <v>4.4886064934170928</v>
      </c>
      <c r="CU326" s="56">
        <f t="shared" si="330"/>
        <v>4</v>
      </c>
      <c r="CW326" s="18">
        <f t="shared" si="343"/>
        <v>7.0056908806580074</v>
      </c>
      <c r="CX326" s="18">
        <f t="shared" si="343"/>
        <v>1.4743022478022896</v>
      </c>
      <c r="CY326" s="18">
        <f t="shared" si="343"/>
        <v>2.4053017385170401</v>
      </c>
      <c r="CZ326" s="18">
        <f t="shared" si="343"/>
        <v>0.85162010431807944</v>
      </c>
      <c r="DA326" s="18">
        <f t="shared" si="343"/>
        <v>4.4886064934170928</v>
      </c>
      <c r="DB326" s="56">
        <f t="shared" si="331"/>
        <v>4</v>
      </c>
    </row>
    <row r="327" spans="1:106" x14ac:dyDescent="0.25">
      <c r="A327" s="36" t="str">
        <f>KMeans_Data!A55</f>
        <v>Faisalabad</v>
      </c>
      <c r="B327" s="18">
        <f>KMeans_Data!H55</f>
        <v>0.18779833781528543</v>
      </c>
      <c r="C327" s="18">
        <f>KMeans_Data!I55</f>
        <v>-0.67265054538827607</v>
      </c>
      <c r="D327" s="18">
        <f>KMeans_Data!J55</f>
        <v>-1.1456441163335547</v>
      </c>
      <c r="E327" s="56">
        <f t="shared" si="318"/>
        <v>4</v>
      </c>
      <c r="F327" s="38">
        <f t="shared" si="319"/>
        <v>0.72101612649372959</v>
      </c>
      <c r="G327" s="18">
        <f>IF(COUNTIF(Distance_Matrix!$E$11:$DQ$11,$E327)&lt;=1,0,SUMIF(Distance_Matrix!$E$11:$DQ$11,$E327,Distance_Matrix!$E$64:$DQ$64)/(COUNTIF(Distance_Matrix!$E$11:$DQ$11,$E327)-1))</f>
        <v>1.0502035620898347</v>
      </c>
      <c r="H327" s="18">
        <f>MIN(IF(1=$E327,1E+99,IF(COUNTIF(Distance_Matrix!$E$11:$DQ$11,1)=0,1E+99,SUMIF(Distance_Matrix!$E$11:$DQ$11,1,Distance_Matrix!$E$64:$DQ$64)/COUNTIF(Distance_Matrix!$E$11:$DQ$11,1))),IF(2=$E327,1E+99,IF(COUNTIF(Distance_Matrix!$E$11:$DQ$11,2)=0,1E+99,SUMIF(Distance_Matrix!$E$11:$DQ$11,2,Distance_Matrix!$E$64:$DQ$64)/COUNTIF(Distance_Matrix!$E$11:$DQ$11,2))),IF(3=$E327,1E+99,IF(COUNTIF(Distance_Matrix!$E$11:$DQ$11,3)=0,1E+99,SUMIF(Distance_Matrix!$E$11:$DQ$11,3,Distance_Matrix!$E$64:$DQ$64)/COUNTIF(Distance_Matrix!$E$11:$DQ$11,3))),IF(4=$E327,1E+99,IF(COUNTIF(Distance_Matrix!$E$11:$DQ$11,4)=0,1E+99,SUMIF(Distance_Matrix!$E$11:$DQ$11,4,Distance_Matrix!$E$64:$DQ$64)/COUNTIF(Distance_Matrix!$E$11:$DQ$11,4))),IF(5=$E327,1E+99,IF(COUNTIF(Distance_Matrix!$E$11:$DQ$11,5)=0,1E+99,SUMIF(Distance_Matrix!$E$11:$DQ$11,5,Distance_Matrix!$E$64:$DQ$64)/COUNTIF(Distance_Matrix!$E$11:$DQ$11,5))))</f>
        <v>1.4849032455918569</v>
      </c>
      <c r="I327" s="18">
        <f>IF(COUNTIF(Distance_Matrix!$E$11:$DQ$11,$E327)&lt;=1,0,(H327-G327)/MAX(G327,H327))</f>
        <v>0.29274613332046318</v>
      </c>
      <c r="X327" s="18">
        <f t="shared" ref="X327:AB336" si="344">SQRT(($B327-X$270)^2+($C327-X$271)^2+($D327-X$272)^2)</f>
        <v>7.1463518740909944</v>
      </c>
      <c r="Y327" s="18">
        <f t="shared" si="344"/>
        <v>2.267536319618614</v>
      </c>
      <c r="Z327" s="18">
        <f t="shared" si="344"/>
        <v>2.9446106239101808</v>
      </c>
      <c r="AA327" s="18">
        <f t="shared" si="344"/>
        <v>0.69711942122382753</v>
      </c>
      <c r="AB327" s="18">
        <f t="shared" si="344"/>
        <v>5.0908094923954756</v>
      </c>
      <c r="AC327" s="56">
        <f t="shared" si="320"/>
        <v>4</v>
      </c>
      <c r="AE327" s="18">
        <f t="shared" ref="AE327:AI336" si="345">SQRT(($B327-AE$270)^2+($C327-AE$271)^2+($D327-AE$272)^2)</f>
        <v>7.0085968244260144</v>
      </c>
      <c r="AF327" s="18">
        <f t="shared" si="345"/>
        <v>1.4443431481862434</v>
      </c>
      <c r="AG327" s="18">
        <f t="shared" si="345"/>
        <v>2.3391919462496547</v>
      </c>
      <c r="AH327" s="18">
        <f t="shared" si="345"/>
        <v>0.70371303336261781</v>
      </c>
      <c r="AI327" s="18">
        <f t="shared" si="345"/>
        <v>4.7484874475036261</v>
      </c>
      <c r="AJ327" s="56">
        <f t="shared" si="321"/>
        <v>4</v>
      </c>
      <c r="AL327" s="18">
        <f t="shared" ref="AL327:AP336" si="346">SQRT(($B327-AL$270)^2+($C327-AL$271)^2+($D327-AL$272)^2)</f>
        <v>7.0085968244260144</v>
      </c>
      <c r="AM327" s="18">
        <f t="shared" si="346"/>
        <v>1.4291856181846794</v>
      </c>
      <c r="AN327" s="18">
        <f t="shared" si="346"/>
        <v>2.3836616130175803</v>
      </c>
      <c r="AO327" s="18">
        <f t="shared" si="346"/>
        <v>0.8109610972799719</v>
      </c>
      <c r="AP327" s="18">
        <f t="shared" si="346"/>
        <v>4.4911305219624005</v>
      </c>
      <c r="AQ327" s="56">
        <f t="shared" si="322"/>
        <v>4</v>
      </c>
      <c r="AS327" s="18">
        <f t="shared" ref="AS327:AW336" si="347">SQRT(($B327-AS$270)^2+($C327-AS$271)^2+($D327-AS$272)^2)</f>
        <v>7.0085968244260144</v>
      </c>
      <c r="AT327" s="18">
        <f t="shared" si="347"/>
        <v>1.4676805381676792</v>
      </c>
      <c r="AU327" s="18">
        <f t="shared" si="347"/>
        <v>2.406476703331788</v>
      </c>
      <c r="AV327" s="18">
        <f t="shared" si="347"/>
        <v>0.84912668459643259</v>
      </c>
      <c r="AW327" s="18">
        <f t="shared" si="347"/>
        <v>4.4911305219624005</v>
      </c>
      <c r="AX327" s="56">
        <f t="shared" si="323"/>
        <v>4</v>
      </c>
      <c r="AZ327" s="18">
        <f t="shared" ref="AZ327:BD336" si="348">SQRT(($B327-AZ$270)^2+($C327-AZ$271)^2+($D327-AZ$272)^2)</f>
        <v>7.0085968244260144</v>
      </c>
      <c r="BA327" s="18">
        <f t="shared" si="348"/>
        <v>1.4676805381676792</v>
      </c>
      <c r="BB327" s="18">
        <f t="shared" si="348"/>
        <v>2.406476703331788</v>
      </c>
      <c r="BC327" s="18">
        <f t="shared" si="348"/>
        <v>0.84912668459643259</v>
      </c>
      <c r="BD327" s="18">
        <f t="shared" si="348"/>
        <v>4.4911305219624005</v>
      </c>
      <c r="BE327" s="56">
        <f t="shared" si="324"/>
        <v>4</v>
      </c>
      <c r="BG327" s="18">
        <f t="shared" ref="BG327:BK336" si="349">SQRT(($B327-BG$270)^2+($C327-BG$271)^2+($D327-BG$272)^2)</f>
        <v>7.0085968244260144</v>
      </c>
      <c r="BH327" s="18">
        <f t="shared" si="349"/>
        <v>1.4676805381676792</v>
      </c>
      <c r="BI327" s="18">
        <f t="shared" si="349"/>
        <v>2.406476703331788</v>
      </c>
      <c r="BJ327" s="18">
        <f t="shared" si="349"/>
        <v>0.84912668459643259</v>
      </c>
      <c r="BK327" s="18">
        <f t="shared" si="349"/>
        <v>4.4911305219624005</v>
      </c>
      <c r="BL327" s="56">
        <f t="shared" si="325"/>
        <v>4</v>
      </c>
      <c r="BN327" s="18">
        <f t="shared" ref="BN327:BR336" si="350">SQRT(($B327-BN$270)^2+($C327-BN$271)^2+($D327-BN$272)^2)</f>
        <v>7.0085968244260144</v>
      </c>
      <c r="BO327" s="18">
        <f t="shared" si="350"/>
        <v>1.4676805381676792</v>
      </c>
      <c r="BP327" s="18">
        <f t="shared" si="350"/>
        <v>2.406476703331788</v>
      </c>
      <c r="BQ327" s="18">
        <f t="shared" si="350"/>
        <v>0.84912668459643259</v>
      </c>
      <c r="BR327" s="18">
        <f t="shared" si="350"/>
        <v>4.4911305219624005</v>
      </c>
      <c r="BS327" s="56">
        <f t="shared" si="326"/>
        <v>4</v>
      </c>
      <c r="BU327" s="18">
        <f t="shared" ref="BU327:BY336" si="351">SQRT(($B327-BU$270)^2+($C327-BU$271)^2+($D327-BU$272)^2)</f>
        <v>7.0085968244260144</v>
      </c>
      <c r="BV327" s="18">
        <f t="shared" si="351"/>
        <v>1.4676805381676792</v>
      </c>
      <c r="BW327" s="18">
        <f t="shared" si="351"/>
        <v>2.406476703331788</v>
      </c>
      <c r="BX327" s="18">
        <f t="shared" si="351"/>
        <v>0.84912668459643259</v>
      </c>
      <c r="BY327" s="18">
        <f t="shared" si="351"/>
        <v>4.4911305219624005</v>
      </c>
      <c r="BZ327" s="56">
        <f t="shared" si="327"/>
        <v>4</v>
      </c>
      <c r="CB327" s="18">
        <f t="shared" ref="CB327:CF336" si="352">SQRT(($B327-CB$270)^2+($C327-CB$271)^2+($D327-CB$272)^2)</f>
        <v>7.0085968244260144</v>
      </c>
      <c r="CC327" s="18">
        <f t="shared" si="352"/>
        <v>1.4676805381676792</v>
      </c>
      <c r="CD327" s="18">
        <f t="shared" si="352"/>
        <v>2.406476703331788</v>
      </c>
      <c r="CE327" s="18">
        <f t="shared" si="352"/>
        <v>0.84912668459643259</v>
      </c>
      <c r="CF327" s="18">
        <f t="shared" si="352"/>
        <v>4.4911305219624005</v>
      </c>
      <c r="CG327" s="56">
        <f t="shared" si="328"/>
        <v>4</v>
      </c>
      <c r="CI327" s="18">
        <f t="shared" ref="CI327:CM336" si="353">SQRT(($B327-CI$270)^2+($C327-CI$271)^2+($D327-CI$272)^2)</f>
        <v>7.0085968244260144</v>
      </c>
      <c r="CJ327" s="18">
        <f t="shared" si="353"/>
        <v>1.4676805381676792</v>
      </c>
      <c r="CK327" s="18">
        <f t="shared" si="353"/>
        <v>2.406476703331788</v>
      </c>
      <c r="CL327" s="18">
        <f t="shared" si="353"/>
        <v>0.84912668459643259</v>
      </c>
      <c r="CM327" s="18">
        <f t="shared" si="353"/>
        <v>4.4911305219624005</v>
      </c>
      <c r="CN327" s="56">
        <f t="shared" si="329"/>
        <v>4</v>
      </c>
      <c r="CP327" s="18">
        <f t="shared" ref="CP327:CT336" si="354">SQRT(($B327-CP$270)^2+($C327-CP$271)^2+($D327-CP$272)^2)</f>
        <v>7.0085968244260144</v>
      </c>
      <c r="CQ327" s="18">
        <f t="shared" si="354"/>
        <v>1.4676805381676792</v>
      </c>
      <c r="CR327" s="18">
        <f t="shared" si="354"/>
        <v>2.406476703331788</v>
      </c>
      <c r="CS327" s="18">
        <f t="shared" si="354"/>
        <v>0.84912668459643259</v>
      </c>
      <c r="CT327" s="18">
        <f t="shared" si="354"/>
        <v>4.4911305219624005</v>
      </c>
      <c r="CU327" s="56">
        <f t="shared" si="330"/>
        <v>4</v>
      </c>
      <c r="CW327" s="18">
        <f t="shared" ref="CW327:DA336" si="355">SQRT(($B327-CW$270)^2+($C327-CW$271)^2+($D327-CW$272)^2)</f>
        <v>7.0085968244260144</v>
      </c>
      <c r="CX327" s="18">
        <f t="shared" si="355"/>
        <v>1.4676805381676792</v>
      </c>
      <c r="CY327" s="18">
        <f t="shared" si="355"/>
        <v>2.406476703331788</v>
      </c>
      <c r="CZ327" s="18">
        <f t="shared" si="355"/>
        <v>0.84912668459643259</v>
      </c>
      <c r="DA327" s="18">
        <f t="shared" si="355"/>
        <v>4.4911305219624005</v>
      </c>
      <c r="DB327" s="56">
        <f t="shared" si="331"/>
        <v>4</v>
      </c>
    </row>
    <row r="328" spans="1:106" x14ac:dyDescent="0.25">
      <c r="A328" s="36" t="str">
        <f>KMeans_Data!A56</f>
        <v>Jhelum</v>
      </c>
      <c r="B328" s="18">
        <f>KMeans_Data!H56</f>
        <v>0.16738513255089196</v>
      </c>
      <c r="C328" s="18">
        <f>KMeans_Data!I56</f>
        <v>-0.67265054538827607</v>
      </c>
      <c r="D328" s="18">
        <f>KMeans_Data!J56</f>
        <v>-0.50324791546397885</v>
      </c>
      <c r="E328" s="56">
        <f t="shared" si="318"/>
        <v>4</v>
      </c>
      <c r="F328" s="38">
        <f t="shared" si="319"/>
        <v>0.13116547997147321</v>
      </c>
      <c r="G328" s="18">
        <f>IF(COUNTIF(Distance_Matrix!$E$11:$DQ$11,$E328)&lt;=1,0,SUMIF(Distance_Matrix!$E$11:$DQ$11,$E328,Distance_Matrix!$E$65:$DQ$65)/(COUNTIF(Distance_Matrix!$E$11:$DQ$11,$E328)-1))</f>
        <v>0.82403722637607613</v>
      </c>
      <c r="H328" s="18">
        <f>MIN(IF(1=$E328,1E+99,IF(COUNTIF(Distance_Matrix!$E$11:$DQ$11,1)=0,1E+99,SUMIF(Distance_Matrix!$E$11:$DQ$11,1,Distance_Matrix!$E$65:$DQ$65)/COUNTIF(Distance_Matrix!$E$11:$DQ$11,1))),IF(2=$E328,1E+99,IF(COUNTIF(Distance_Matrix!$E$11:$DQ$11,2)=0,1E+99,SUMIF(Distance_Matrix!$E$11:$DQ$11,2,Distance_Matrix!$E$65:$DQ$65)/COUNTIF(Distance_Matrix!$E$11:$DQ$11,2))),IF(3=$E328,1E+99,IF(COUNTIF(Distance_Matrix!$E$11:$DQ$11,3)=0,1E+99,SUMIF(Distance_Matrix!$E$11:$DQ$11,3,Distance_Matrix!$E$65:$DQ$65)/COUNTIF(Distance_Matrix!$E$11:$DQ$11,3))),IF(4=$E328,1E+99,IF(COUNTIF(Distance_Matrix!$E$11:$DQ$11,4)=0,1E+99,SUMIF(Distance_Matrix!$E$11:$DQ$11,4,Distance_Matrix!$E$65:$DQ$65)/COUNTIF(Distance_Matrix!$E$11:$DQ$11,4))),IF(5=$E328,1E+99,IF(COUNTIF(Distance_Matrix!$E$11:$DQ$11,5)=0,1E+99,SUMIF(Distance_Matrix!$E$11:$DQ$11,5,Distance_Matrix!$E$65:$DQ$65)/COUNTIF(Distance_Matrix!$E$11:$DQ$11,5))))</f>
        <v>1.5728947855272417</v>
      </c>
      <c r="I328" s="18">
        <f>IF(COUNTIF(Distance_Matrix!$E$11:$DQ$11,$E328)&lt;=1,0,(H328-G328)/MAX(G328,H328))</f>
        <v>0.47610149518052158</v>
      </c>
      <c r="X328" s="18">
        <f t="shared" si="344"/>
        <v>6.7792676747337426</v>
      </c>
      <c r="Y328" s="18">
        <f t="shared" si="344"/>
        <v>2.3371425223885418</v>
      </c>
      <c r="Z328" s="18">
        <f t="shared" si="344"/>
        <v>2.3994635543365552</v>
      </c>
      <c r="AA328" s="18">
        <f t="shared" si="344"/>
        <v>0.95799710156750895</v>
      </c>
      <c r="AB328" s="18">
        <f t="shared" si="344"/>
        <v>4.6795726110399798</v>
      </c>
      <c r="AC328" s="56">
        <f t="shared" si="320"/>
        <v>4</v>
      </c>
      <c r="AE328" s="18">
        <f t="shared" si="345"/>
        <v>6.6615043718416107</v>
      </c>
      <c r="AF328" s="18">
        <f t="shared" si="345"/>
        <v>1.4732717787957168</v>
      </c>
      <c r="AG328" s="18">
        <f t="shared" si="345"/>
        <v>1.8277625930751913</v>
      </c>
      <c r="AH328" s="18">
        <f t="shared" si="345"/>
        <v>0.29414973523233801</v>
      </c>
      <c r="AI328" s="18">
        <f t="shared" si="345"/>
        <v>4.3897419405914313</v>
      </c>
      <c r="AJ328" s="56">
        <f t="shared" si="321"/>
        <v>4</v>
      </c>
      <c r="AL328" s="18">
        <f t="shared" si="346"/>
        <v>6.6615043718416107</v>
      </c>
      <c r="AM328" s="18">
        <f t="shared" si="346"/>
        <v>1.4805627929278631</v>
      </c>
      <c r="AN328" s="18">
        <f t="shared" si="346"/>
        <v>1.885478580194877</v>
      </c>
      <c r="AO328" s="18">
        <f t="shared" si="346"/>
        <v>0.31424269390564391</v>
      </c>
      <c r="AP328" s="18">
        <f t="shared" si="346"/>
        <v>4.1283990990006263</v>
      </c>
      <c r="AQ328" s="56">
        <f t="shared" si="322"/>
        <v>4</v>
      </c>
      <c r="AS328" s="18">
        <f t="shared" si="347"/>
        <v>6.6615043718416107</v>
      </c>
      <c r="AT328" s="18">
        <f t="shared" si="347"/>
        <v>1.5540730103349469</v>
      </c>
      <c r="AU328" s="18">
        <f t="shared" si="347"/>
        <v>1.9090412392197544</v>
      </c>
      <c r="AV328" s="18">
        <f t="shared" si="347"/>
        <v>0.36216775114782546</v>
      </c>
      <c r="AW328" s="18">
        <f t="shared" si="347"/>
        <v>4.1283990990006263</v>
      </c>
      <c r="AX328" s="56">
        <f t="shared" si="323"/>
        <v>4</v>
      </c>
      <c r="AZ328" s="18">
        <f t="shared" si="348"/>
        <v>6.6615043718416107</v>
      </c>
      <c r="BA328" s="18">
        <f t="shared" si="348"/>
        <v>1.5540730103349469</v>
      </c>
      <c r="BB328" s="18">
        <f t="shared" si="348"/>
        <v>1.9090412392197544</v>
      </c>
      <c r="BC328" s="18">
        <f t="shared" si="348"/>
        <v>0.36216775114782546</v>
      </c>
      <c r="BD328" s="18">
        <f t="shared" si="348"/>
        <v>4.1283990990006263</v>
      </c>
      <c r="BE328" s="56">
        <f t="shared" si="324"/>
        <v>4</v>
      </c>
      <c r="BG328" s="18">
        <f t="shared" si="349"/>
        <v>6.6615043718416107</v>
      </c>
      <c r="BH328" s="18">
        <f t="shared" si="349"/>
        <v>1.5540730103349469</v>
      </c>
      <c r="BI328" s="18">
        <f t="shared" si="349"/>
        <v>1.9090412392197544</v>
      </c>
      <c r="BJ328" s="18">
        <f t="shared" si="349"/>
        <v>0.36216775114782546</v>
      </c>
      <c r="BK328" s="18">
        <f t="shared" si="349"/>
        <v>4.1283990990006263</v>
      </c>
      <c r="BL328" s="56">
        <f t="shared" si="325"/>
        <v>4</v>
      </c>
      <c r="BN328" s="18">
        <f t="shared" si="350"/>
        <v>6.6615043718416107</v>
      </c>
      <c r="BO328" s="18">
        <f t="shared" si="350"/>
        <v>1.5540730103349469</v>
      </c>
      <c r="BP328" s="18">
        <f t="shared" si="350"/>
        <v>1.9090412392197544</v>
      </c>
      <c r="BQ328" s="18">
        <f t="shared" si="350"/>
        <v>0.36216775114782546</v>
      </c>
      <c r="BR328" s="18">
        <f t="shared" si="350"/>
        <v>4.1283990990006263</v>
      </c>
      <c r="BS328" s="56">
        <f t="shared" si="326"/>
        <v>4</v>
      </c>
      <c r="BU328" s="18">
        <f t="shared" si="351"/>
        <v>6.6615043718416107</v>
      </c>
      <c r="BV328" s="18">
        <f t="shared" si="351"/>
        <v>1.5540730103349469</v>
      </c>
      <c r="BW328" s="18">
        <f t="shared" si="351"/>
        <v>1.9090412392197544</v>
      </c>
      <c r="BX328" s="18">
        <f t="shared" si="351"/>
        <v>0.36216775114782546</v>
      </c>
      <c r="BY328" s="18">
        <f t="shared" si="351"/>
        <v>4.1283990990006263</v>
      </c>
      <c r="BZ328" s="56">
        <f t="shared" si="327"/>
        <v>4</v>
      </c>
      <c r="CB328" s="18">
        <f t="shared" si="352"/>
        <v>6.6615043718416107</v>
      </c>
      <c r="CC328" s="18">
        <f t="shared" si="352"/>
        <v>1.5540730103349469</v>
      </c>
      <c r="CD328" s="18">
        <f t="shared" si="352"/>
        <v>1.9090412392197544</v>
      </c>
      <c r="CE328" s="18">
        <f t="shared" si="352"/>
        <v>0.36216775114782546</v>
      </c>
      <c r="CF328" s="18">
        <f t="shared" si="352"/>
        <v>4.1283990990006263</v>
      </c>
      <c r="CG328" s="56">
        <f t="shared" si="328"/>
        <v>4</v>
      </c>
      <c r="CI328" s="18">
        <f t="shared" si="353"/>
        <v>6.6615043718416107</v>
      </c>
      <c r="CJ328" s="18">
        <f t="shared" si="353"/>
        <v>1.5540730103349469</v>
      </c>
      <c r="CK328" s="18">
        <f t="shared" si="353"/>
        <v>1.9090412392197544</v>
      </c>
      <c r="CL328" s="18">
        <f t="shared" si="353"/>
        <v>0.36216775114782546</v>
      </c>
      <c r="CM328" s="18">
        <f t="shared" si="353"/>
        <v>4.1283990990006263</v>
      </c>
      <c r="CN328" s="56">
        <f t="shared" si="329"/>
        <v>4</v>
      </c>
      <c r="CP328" s="18">
        <f t="shared" si="354"/>
        <v>6.6615043718416107</v>
      </c>
      <c r="CQ328" s="18">
        <f t="shared" si="354"/>
        <v>1.5540730103349469</v>
      </c>
      <c r="CR328" s="18">
        <f t="shared" si="354"/>
        <v>1.9090412392197544</v>
      </c>
      <c r="CS328" s="18">
        <f t="shared" si="354"/>
        <v>0.36216775114782546</v>
      </c>
      <c r="CT328" s="18">
        <f t="shared" si="354"/>
        <v>4.1283990990006263</v>
      </c>
      <c r="CU328" s="56">
        <f t="shared" si="330"/>
        <v>4</v>
      </c>
      <c r="CW328" s="18">
        <f t="shared" si="355"/>
        <v>6.6615043718416107</v>
      </c>
      <c r="CX328" s="18">
        <f t="shared" si="355"/>
        <v>1.5540730103349469</v>
      </c>
      <c r="CY328" s="18">
        <f t="shared" si="355"/>
        <v>1.9090412392197544</v>
      </c>
      <c r="CZ328" s="18">
        <f t="shared" si="355"/>
        <v>0.36216775114782546</v>
      </c>
      <c r="DA328" s="18">
        <f t="shared" si="355"/>
        <v>4.1283990990006263</v>
      </c>
      <c r="DB328" s="56">
        <f t="shared" si="331"/>
        <v>4</v>
      </c>
    </row>
    <row r="329" spans="1:106" x14ac:dyDescent="0.25">
      <c r="A329" s="36" t="str">
        <f>KMeans_Data!A57</f>
        <v>Vehari</v>
      </c>
      <c r="B329" s="18">
        <f>KMeans_Data!H57</f>
        <v>0.15331751895798426</v>
      </c>
      <c r="C329" s="18">
        <f>KMeans_Data!I57</f>
        <v>-0.67265054538827607</v>
      </c>
      <c r="D329" s="18">
        <f>KMeans_Data!J57</f>
        <v>-0.24392704812240026</v>
      </c>
      <c r="E329" s="56">
        <f t="shared" si="318"/>
        <v>4</v>
      </c>
      <c r="F329" s="38">
        <f t="shared" si="319"/>
        <v>0.1238057017324235</v>
      </c>
      <c r="G329" s="18">
        <f>IF(COUNTIF(Distance_Matrix!$E$11:$DQ$11,$E329)&lt;=1,0,SUMIF(Distance_Matrix!$E$11:$DQ$11,$E329,Distance_Matrix!$E$66:$DQ$66)/(COUNTIF(Distance_Matrix!$E$11:$DQ$11,$E329)-1))</f>
        <v>0.82688273260201095</v>
      </c>
      <c r="H329" s="18">
        <f>MIN(IF(1=$E329,1E+99,IF(COUNTIF(Distance_Matrix!$E$11:$DQ$11,1)=0,1E+99,SUMIF(Distance_Matrix!$E$11:$DQ$11,1,Distance_Matrix!$E$66:$DQ$66)/COUNTIF(Distance_Matrix!$E$11:$DQ$11,1))),IF(2=$E329,1E+99,IF(COUNTIF(Distance_Matrix!$E$11:$DQ$11,2)=0,1E+99,SUMIF(Distance_Matrix!$E$11:$DQ$11,2,Distance_Matrix!$E$66:$DQ$66)/COUNTIF(Distance_Matrix!$E$11:$DQ$11,2))),IF(3=$E329,1E+99,IF(COUNTIF(Distance_Matrix!$E$11:$DQ$11,3)=0,1E+99,SUMIF(Distance_Matrix!$E$11:$DQ$11,3,Distance_Matrix!$E$66:$DQ$66)/COUNTIF(Distance_Matrix!$E$11:$DQ$11,3))),IF(4=$E329,1E+99,IF(COUNTIF(Distance_Matrix!$E$11:$DQ$11,4)=0,1E+99,SUMIF(Distance_Matrix!$E$11:$DQ$11,4,Distance_Matrix!$E$66:$DQ$66)/COUNTIF(Distance_Matrix!$E$11:$DQ$11,4))),IF(5=$E329,1E+99,IF(COUNTIF(Distance_Matrix!$E$11:$DQ$11,5)=0,1E+99,SUMIF(Distance_Matrix!$E$11:$DQ$11,5,Distance_Matrix!$E$66:$DQ$66)/COUNTIF(Distance_Matrix!$E$11:$DQ$11,5))))</f>
        <v>1.675588638914467</v>
      </c>
      <c r="I329" s="18">
        <f>IF(COUNTIF(Distance_Matrix!$E$11:$DQ$11,$E329)&lt;=1,0,(H329-G329)/MAX(G329,H329))</f>
        <v>0.50651209169232114</v>
      </c>
      <c r="X329" s="18">
        <f t="shared" si="344"/>
        <v>6.645700219429111</v>
      </c>
      <c r="Y329" s="18">
        <f t="shared" si="344"/>
        <v>2.4082422097006102</v>
      </c>
      <c r="Z329" s="18">
        <f t="shared" si="344"/>
        <v>2.1967540288821787</v>
      </c>
      <c r="AA329" s="18">
        <f t="shared" si="344"/>
        <v>1.1540510716760239</v>
      </c>
      <c r="AB329" s="18">
        <f t="shared" si="344"/>
        <v>4.5316944157217627</v>
      </c>
      <c r="AC329" s="56">
        <f t="shared" si="320"/>
        <v>4</v>
      </c>
      <c r="AE329" s="18">
        <f t="shared" si="345"/>
        <v>6.5368605041182528</v>
      </c>
      <c r="AF329" s="18">
        <f t="shared" si="345"/>
        <v>1.5564019850468496</v>
      </c>
      <c r="AG329" s="18">
        <f t="shared" si="345"/>
        <v>1.6489611264437143</v>
      </c>
      <c r="AH329" s="18">
        <f t="shared" si="345"/>
        <v>0.39124129755807074</v>
      </c>
      <c r="AI329" s="18">
        <f t="shared" si="345"/>
        <v>4.266510164395096</v>
      </c>
      <c r="AJ329" s="56">
        <f t="shared" si="321"/>
        <v>4</v>
      </c>
      <c r="AL329" s="18">
        <f t="shared" si="346"/>
        <v>6.5368605041182528</v>
      </c>
      <c r="AM329" s="18">
        <f t="shared" si="346"/>
        <v>1.5717193138295831</v>
      </c>
      <c r="AN329" s="18">
        <f t="shared" si="346"/>
        <v>1.7133893435725194</v>
      </c>
      <c r="AO329" s="18">
        <f t="shared" si="346"/>
        <v>0.32316047126095659</v>
      </c>
      <c r="AP329" s="18">
        <f t="shared" si="346"/>
        <v>4.0044910198380403</v>
      </c>
      <c r="AQ329" s="56">
        <f t="shared" si="322"/>
        <v>4</v>
      </c>
      <c r="AS329" s="18">
        <f t="shared" si="347"/>
        <v>6.5368605041182528</v>
      </c>
      <c r="AT329" s="18">
        <f t="shared" si="347"/>
        <v>1.654654287705595</v>
      </c>
      <c r="AU329" s="18">
        <f t="shared" si="347"/>
        <v>1.7370414639508345</v>
      </c>
      <c r="AV329" s="18">
        <f t="shared" si="347"/>
        <v>0.35186034407478134</v>
      </c>
      <c r="AW329" s="18">
        <f t="shared" si="347"/>
        <v>4.0044910198380403</v>
      </c>
      <c r="AX329" s="56">
        <f t="shared" si="323"/>
        <v>4</v>
      </c>
      <c r="AZ329" s="18">
        <f t="shared" si="348"/>
        <v>6.5368605041182528</v>
      </c>
      <c r="BA329" s="18">
        <f t="shared" si="348"/>
        <v>1.654654287705595</v>
      </c>
      <c r="BB329" s="18">
        <f t="shared" si="348"/>
        <v>1.7370414639508345</v>
      </c>
      <c r="BC329" s="18">
        <f t="shared" si="348"/>
        <v>0.35186034407478134</v>
      </c>
      <c r="BD329" s="18">
        <f t="shared" si="348"/>
        <v>4.0044910198380403</v>
      </c>
      <c r="BE329" s="56">
        <f t="shared" si="324"/>
        <v>4</v>
      </c>
      <c r="BG329" s="18">
        <f t="shared" si="349"/>
        <v>6.5368605041182528</v>
      </c>
      <c r="BH329" s="18">
        <f t="shared" si="349"/>
        <v>1.654654287705595</v>
      </c>
      <c r="BI329" s="18">
        <f t="shared" si="349"/>
        <v>1.7370414639508345</v>
      </c>
      <c r="BJ329" s="18">
        <f t="shared" si="349"/>
        <v>0.35186034407478134</v>
      </c>
      <c r="BK329" s="18">
        <f t="shared" si="349"/>
        <v>4.0044910198380403</v>
      </c>
      <c r="BL329" s="56">
        <f t="shared" si="325"/>
        <v>4</v>
      </c>
      <c r="BN329" s="18">
        <f t="shared" si="350"/>
        <v>6.5368605041182528</v>
      </c>
      <c r="BO329" s="18">
        <f t="shared" si="350"/>
        <v>1.654654287705595</v>
      </c>
      <c r="BP329" s="18">
        <f t="shared" si="350"/>
        <v>1.7370414639508345</v>
      </c>
      <c r="BQ329" s="18">
        <f t="shared" si="350"/>
        <v>0.35186034407478134</v>
      </c>
      <c r="BR329" s="18">
        <f t="shared" si="350"/>
        <v>4.0044910198380403</v>
      </c>
      <c r="BS329" s="56">
        <f t="shared" si="326"/>
        <v>4</v>
      </c>
      <c r="BU329" s="18">
        <f t="shared" si="351"/>
        <v>6.5368605041182528</v>
      </c>
      <c r="BV329" s="18">
        <f t="shared" si="351"/>
        <v>1.654654287705595</v>
      </c>
      <c r="BW329" s="18">
        <f t="shared" si="351"/>
        <v>1.7370414639508345</v>
      </c>
      <c r="BX329" s="18">
        <f t="shared" si="351"/>
        <v>0.35186034407478134</v>
      </c>
      <c r="BY329" s="18">
        <f t="shared" si="351"/>
        <v>4.0044910198380403</v>
      </c>
      <c r="BZ329" s="56">
        <f t="shared" si="327"/>
        <v>4</v>
      </c>
      <c r="CB329" s="18">
        <f t="shared" si="352"/>
        <v>6.5368605041182528</v>
      </c>
      <c r="CC329" s="18">
        <f t="shared" si="352"/>
        <v>1.654654287705595</v>
      </c>
      <c r="CD329" s="18">
        <f t="shared" si="352"/>
        <v>1.7370414639508345</v>
      </c>
      <c r="CE329" s="18">
        <f t="shared" si="352"/>
        <v>0.35186034407478134</v>
      </c>
      <c r="CF329" s="18">
        <f t="shared" si="352"/>
        <v>4.0044910198380403</v>
      </c>
      <c r="CG329" s="56">
        <f t="shared" si="328"/>
        <v>4</v>
      </c>
      <c r="CI329" s="18">
        <f t="shared" si="353"/>
        <v>6.5368605041182528</v>
      </c>
      <c r="CJ329" s="18">
        <f t="shared" si="353"/>
        <v>1.654654287705595</v>
      </c>
      <c r="CK329" s="18">
        <f t="shared" si="353"/>
        <v>1.7370414639508345</v>
      </c>
      <c r="CL329" s="18">
        <f t="shared" si="353"/>
        <v>0.35186034407478134</v>
      </c>
      <c r="CM329" s="18">
        <f t="shared" si="353"/>
        <v>4.0044910198380403</v>
      </c>
      <c r="CN329" s="56">
        <f t="shared" si="329"/>
        <v>4</v>
      </c>
      <c r="CP329" s="18">
        <f t="shared" si="354"/>
        <v>6.5368605041182528</v>
      </c>
      <c r="CQ329" s="18">
        <f t="shared" si="354"/>
        <v>1.654654287705595</v>
      </c>
      <c r="CR329" s="18">
        <f t="shared" si="354"/>
        <v>1.7370414639508345</v>
      </c>
      <c r="CS329" s="18">
        <f t="shared" si="354"/>
        <v>0.35186034407478134</v>
      </c>
      <c r="CT329" s="18">
        <f t="shared" si="354"/>
        <v>4.0044910198380403</v>
      </c>
      <c r="CU329" s="56">
        <f t="shared" si="330"/>
        <v>4</v>
      </c>
      <c r="CW329" s="18">
        <f t="shared" si="355"/>
        <v>6.5368605041182528</v>
      </c>
      <c r="CX329" s="18">
        <f t="shared" si="355"/>
        <v>1.654654287705595</v>
      </c>
      <c r="CY329" s="18">
        <f t="shared" si="355"/>
        <v>1.7370414639508345</v>
      </c>
      <c r="CZ329" s="18">
        <f t="shared" si="355"/>
        <v>0.35186034407478134</v>
      </c>
      <c r="DA329" s="18">
        <f t="shared" si="355"/>
        <v>4.0044910198380403</v>
      </c>
      <c r="DB329" s="56">
        <f t="shared" si="331"/>
        <v>4</v>
      </c>
    </row>
    <row r="330" spans="1:106" x14ac:dyDescent="0.25">
      <c r="A330" s="36" t="str">
        <f>KMeans_Data!A58</f>
        <v>Astore</v>
      </c>
      <c r="B330" s="18">
        <f>KMeans_Data!H58</f>
        <v>0.13147641151517545</v>
      </c>
      <c r="C330" s="18">
        <f>KMeans_Data!I58</f>
        <v>1.3810745208577742</v>
      </c>
      <c r="D330" s="18">
        <f>KMeans_Data!J58</f>
        <v>0.77424684086161255</v>
      </c>
      <c r="E330" s="56">
        <f t="shared" si="318"/>
        <v>3</v>
      </c>
      <c r="F330" s="38">
        <f t="shared" si="319"/>
        <v>0.87689401791904031</v>
      </c>
      <c r="G330" s="18">
        <f>IF(COUNTIF(Distance_Matrix!$E$11:$DQ$11,$E330)&lt;=1,0,SUMIF(Distance_Matrix!$E$11:$DQ$11,$E330,Distance_Matrix!$E$67:$DQ$67)/(COUNTIF(Distance_Matrix!$E$11:$DQ$11,$E330)-1))</f>
        <v>1.1658753949785001</v>
      </c>
      <c r="H330" s="18">
        <f>MIN(IF(1=$E330,1E+99,IF(COUNTIF(Distance_Matrix!$E$11:$DQ$11,1)=0,1E+99,SUMIF(Distance_Matrix!$E$11:$DQ$11,1,Distance_Matrix!$E$67:$DQ$67)/COUNTIF(Distance_Matrix!$E$11:$DQ$11,1))),IF(2=$E330,1E+99,IF(COUNTIF(Distance_Matrix!$E$11:$DQ$11,2)=0,1E+99,SUMIF(Distance_Matrix!$E$11:$DQ$11,2,Distance_Matrix!$E$67:$DQ$67)/COUNTIF(Distance_Matrix!$E$11:$DQ$11,2))),IF(3=$E330,1E+99,IF(COUNTIF(Distance_Matrix!$E$11:$DQ$11,3)=0,1E+99,SUMIF(Distance_Matrix!$E$11:$DQ$11,3,Distance_Matrix!$E$67:$DQ$67)/COUNTIF(Distance_Matrix!$E$11:$DQ$11,3))),IF(4=$E330,1E+99,IF(COUNTIF(Distance_Matrix!$E$11:$DQ$11,4)=0,1E+99,SUMIF(Distance_Matrix!$E$11:$DQ$11,4,Distance_Matrix!$E$67:$DQ$67)/COUNTIF(Distance_Matrix!$E$11:$DQ$11,4))),IF(5=$E330,1E+99,IF(COUNTIF(Distance_Matrix!$E$11:$DQ$11,5)=0,1E+99,SUMIF(Distance_Matrix!$E$11:$DQ$11,5,Distance_Matrix!$E$67:$DQ$67)/COUNTIF(Distance_Matrix!$E$11:$DQ$11,5))))</f>
        <v>2.2676014245081677</v>
      </c>
      <c r="I330" s="18">
        <f>IF(COUNTIF(Distance_Matrix!$E$11:$DQ$11,$E330)&lt;=1,0,(H330-G330)/MAX(G330,H330))</f>
        <v>0.48585523788362711</v>
      </c>
      <c r="X330" s="18">
        <f t="shared" si="344"/>
        <v>4.8045779357516958</v>
      </c>
      <c r="Y330" s="18">
        <f t="shared" si="344"/>
        <v>3.5767634851169623</v>
      </c>
      <c r="Z330" s="18">
        <f t="shared" si="344"/>
        <v>1.5198700784169752</v>
      </c>
      <c r="AA330" s="18">
        <f t="shared" si="344"/>
        <v>2.5070579721650965</v>
      </c>
      <c r="AB330" s="18">
        <f t="shared" si="344"/>
        <v>2.8938172487317573</v>
      </c>
      <c r="AC330" s="56">
        <f t="shared" si="320"/>
        <v>3</v>
      </c>
      <c r="AE330" s="18">
        <f t="shared" si="345"/>
        <v>4.6892362874732596</v>
      </c>
      <c r="AF330" s="18">
        <f t="shared" si="345"/>
        <v>2.9911566020042661</v>
      </c>
      <c r="AG330" s="18">
        <f t="shared" si="345"/>
        <v>0.97707076492031764</v>
      </c>
      <c r="AH330" s="18">
        <f t="shared" si="345"/>
        <v>2.2792015733643294</v>
      </c>
      <c r="AI330" s="18">
        <f t="shared" si="345"/>
        <v>2.4933499336046223</v>
      </c>
      <c r="AJ330" s="56">
        <f t="shared" si="321"/>
        <v>3</v>
      </c>
      <c r="AL330" s="18">
        <f t="shared" si="346"/>
        <v>4.6892362874732596</v>
      </c>
      <c r="AM330" s="18">
        <f t="shared" si="346"/>
        <v>3.0162753588146769</v>
      </c>
      <c r="AN330" s="18">
        <f t="shared" si="346"/>
        <v>0.93506779499964687</v>
      </c>
      <c r="AO330" s="18">
        <f t="shared" si="346"/>
        <v>2.2365571714700074</v>
      </c>
      <c r="AP330" s="18">
        <f t="shared" si="346"/>
        <v>2.2195617971951709</v>
      </c>
      <c r="AQ330" s="56">
        <f t="shared" si="322"/>
        <v>3</v>
      </c>
      <c r="AS330" s="18">
        <f t="shared" si="347"/>
        <v>4.6892362874732596</v>
      </c>
      <c r="AT330" s="18">
        <f t="shared" si="347"/>
        <v>3.0877217216901287</v>
      </c>
      <c r="AU330" s="18">
        <f t="shared" si="347"/>
        <v>0.93642619459252652</v>
      </c>
      <c r="AV330" s="18">
        <f t="shared" si="347"/>
        <v>2.2265566565187132</v>
      </c>
      <c r="AW330" s="18">
        <f t="shared" si="347"/>
        <v>2.2195617971951709</v>
      </c>
      <c r="AX330" s="56">
        <f t="shared" si="323"/>
        <v>3</v>
      </c>
      <c r="AZ330" s="18">
        <f t="shared" si="348"/>
        <v>4.6892362874732596</v>
      </c>
      <c r="BA330" s="18">
        <f t="shared" si="348"/>
        <v>3.0877217216901287</v>
      </c>
      <c r="BB330" s="18">
        <f t="shared" si="348"/>
        <v>0.93642619459252652</v>
      </c>
      <c r="BC330" s="18">
        <f t="shared" si="348"/>
        <v>2.2265566565187132</v>
      </c>
      <c r="BD330" s="18">
        <f t="shared" si="348"/>
        <v>2.2195617971951709</v>
      </c>
      <c r="BE330" s="56">
        <f t="shared" si="324"/>
        <v>3</v>
      </c>
      <c r="BG330" s="18">
        <f t="shared" si="349"/>
        <v>4.6892362874732596</v>
      </c>
      <c r="BH330" s="18">
        <f t="shared" si="349"/>
        <v>3.0877217216901287</v>
      </c>
      <c r="BI330" s="18">
        <f t="shared" si="349"/>
        <v>0.93642619459252652</v>
      </c>
      <c r="BJ330" s="18">
        <f t="shared" si="349"/>
        <v>2.2265566565187132</v>
      </c>
      <c r="BK330" s="18">
        <f t="shared" si="349"/>
        <v>2.2195617971951709</v>
      </c>
      <c r="BL330" s="56">
        <f t="shared" si="325"/>
        <v>3</v>
      </c>
      <c r="BN330" s="18">
        <f t="shared" si="350"/>
        <v>4.6892362874732596</v>
      </c>
      <c r="BO330" s="18">
        <f t="shared" si="350"/>
        <v>3.0877217216901287</v>
      </c>
      <c r="BP330" s="18">
        <f t="shared" si="350"/>
        <v>0.93642619459252652</v>
      </c>
      <c r="BQ330" s="18">
        <f t="shared" si="350"/>
        <v>2.2265566565187132</v>
      </c>
      <c r="BR330" s="18">
        <f t="shared" si="350"/>
        <v>2.2195617971951709</v>
      </c>
      <c r="BS330" s="56">
        <f t="shared" si="326"/>
        <v>3</v>
      </c>
      <c r="BU330" s="18">
        <f t="shared" si="351"/>
        <v>4.6892362874732596</v>
      </c>
      <c r="BV330" s="18">
        <f t="shared" si="351"/>
        <v>3.0877217216901287</v>
      </c>
      <c r="BW330" s="18">
        <f t="shared" si="351"/>
        <v>0.93642619459252652</v>
      </c>
      <c r="BX330" s="18">
        <f t="shared" si="351"/>
        <v>2.2265566565187132</v>
      </c>
      <c r="BY330" s="18">
        <f t="shared" si="351"/>
        <v>2.2195617971951709</v>
      </c>
      <c r="BZ330" s="56">
        <f t="shared" si="327"/>
        <v>3</v>
      </c>
      <c r="CB330" s="18">
        <f t="shared" si="352"/>
        <v>4.6892362874732596</v>
      </c>
      <c r="CC330" s="18">
        <f t="shared" si="352"/>
        <v>3.0877217216901287</v>
      </c>
      <c r="CD330" s="18">
        <f t="shared" si="352"/>
        <v>0.93642619459252652</v>
      </c>
      <c r="CE330" s="18">
        <f t="shared" si="352"/>
        <v>2.2265566565187132</v>
      </c>
      <c r="CF330" s="18">
        <f t="shared" si="352"/>
        <v>2.2195617971951709</v>
      </c>
      <c r="CG330" s="56">
        <f t="shared" si="328"/>
        <v>3</v>
      </c>
      <c r="CI330" s="18">
        <f t="shared" si="353"/>
        <v>4.6892362874732596</v>
      </c>
      <c r="CJ330" s="18">
        <f t="shared" si="353"/>
        <v>3.0877217216901287</v>
      </c>
      <c r="CK330" s="18">
        <f t="shared" si="353"/>
        <v>0.93642619459252652</v>
      </c>
      <c r="CL330" s="18">
        <f t="shared" si="353"/>
        <v>2.2265566565187132</v>
      </c>
      <c r="CM330" s="18">
        <f t="shared" si="353"/>
        <v>2.2195617971951709</v>
      </c>
      <c r="CN330" s="56">
        <f t="shared" si="329"/>
        <v>3</v>
      </c>
      <c r="CP330" s="18">
        <f t="shared" si="354"/>
        <v>4.6892362874732596</v>
      </c>
      <c r="CQ330" s="18">
        <f t="shared" si="354"/>
        <v>3.0877217216901287</v>
      </c>
      <c r="CR330" s="18">
        <f t="shared" si="354"/>
        <v>0.93642619459252652</v>
      </c>
      <c r="CS330" s="18">
        <f t="shared" si="354"/>
        <v>2.2265566565187132</v>
      </c>
      <c r="CT330" s="18">
        <f t="shared" si="354"/>
        <v>2.2195617971951709</v>
      </c>
      <c r="CU330" s="56">
        <f t="shared" si="330"/>
        <v>3</v>
      </c>
      <c r="CW330" s="18">
        <f t="shared" si="355"/>
        <v>4.6892362874732596</v>
      </c>
      <c r="CX330" s="18">
        <f t="shared" si="355"/>
        <v>3.0877217216901287</v>
      </c>
      <c r="CY330" s="18">
        <f t="shared" si="355"/>
        <v>0.93642619459252652</v>
      </c>
      <c r="CZ330" s="18">
        <f t="shared" si="355"/>
        <v>2.2265566565187132</v>
      </c>
      <c r="DA330" s="18">
        <f t="shared" si="355"/>
        <v>2.2195617971951709</v>
      </c>
      <c r="DB330" s="56">
        <f t="shared" si="331"/>
        <v>3</v>
      </c>
    </row>
    <row r="331" spans="1:106" x14ac:dyDescent="0.25">
      <c r="A331" s="36" t="str">
        <f>KMeans_Data!A59</f>
        <v>Sanghar</v>
      </c>
      <c r="B331" s="18">
        <f>KMeans_Data!H59</f>
        <v>0.10085169543381561</v>
      </c>
      <c r="C331" s="18">
        <f>KMeans_Data!I59</f>
        <v>-0.14698313392952958</v>
      </c>
      <c r="D331" s="18">
        <f>KMeans_Data!J59</f>
        <v>0.61832866607444492</v>
      </c>
      <c r="E331" s="56">
        <f t="shared" si="318"/>
        <v>3</v>
      </c>
      <c r="F331" s="38">
        <f t="shared" si="319"/>
        <v>0.86168692146034465</v>
      </c>
      <c r="G331" s="18">
        <f>IF(COUNTIF(Distance_Matrix!$E$11:$DQ$11,$E331)&lt;=1,0,SUMIF(Distance_Matrix!$E$11:$DQ$11,$E331,Distance_Matrix!$E$68:$DQ$68)/(COUNTIF(Distance_Matrix!$E$11:$DQ$11,$E331)-1))</f>
        <v>1.1278397826999256</v>
      </c>
      <c r="H331" s="18">
        <f>MIN(IF(1=$E331,1E+99,IF(COUNTIF(Distance_Matrix!$E$11:$DQ$11,1)=0,1E+99,SUMIF(Distance_Matrix!$E$11:$DQ$11,1,Distance_Matrix!$E$68:$DQ$68)/COUNTIF(Distance_Matrix!$E$11:$DQ$11,1))),IF(2=$E331,1E+99,IF(COUNTIF(Distance_Matrix!$E$11:$DQ$11,2)=0,1E+99,SUMIF(Distance_Matrix!$E$11:$DQ$11,2,Distance_Matrix!$E$68:$DQ$68)/COUNTIF(Distance_Matrix!$E$11:$DQ$11,2))),IF(3=$E331,1E+99,IF(COUNTIF(Distance_Matrix!$E$11:$DQ$11,3)=0,1E+99,SUMIF(Distance_Matrix!$E$11:$DQ$11,3,Distance_Matrix!$E$68:$DQ$68)/COUNTIF(Distance_Matrix!$E$11:$DQ$11,3))),IF(4=$E331,1E+99,IF(COUNTIF(Distance_Matrix!$E$11:$DQ$11,4)=0,1E+99,SUMIF(Distance_Matrix!$E$11:$DQ$11,4,Distance_Matrix!$E$68:$DQ$68)/COUNTIF(Distance_Matrix!$E$11:$DQ$11,4))),IF(5=$E331,1E+99,IF(COUNTIF(Distance_Matrix!$E$11:$DQ$11,5)=0,1E+99,SUMIF(Distance_Matrix!$E$11:$DQ$11,5,Distance_Matrix!$E$68:$DQ$68)/COUNTIF(Distance_Matrix!$E$11:$DQ$11,5))))</f>
        <v>1.249091372486729</v>
      </c>
      <c r="I331" s="18">
        <f>IF(COUNTIF(Distance_Matrix!$E$11:$DQ$11,$E331)&lt;=1,0,(H331-G331)/MAX(G331,H331))</f>
        <v>9.7071833540417513E-2</v>
      </c>
      <c r="X331" s="18">
        <f t="shared" si="344"/>
        <v>5.8763954941776619</v>
      </c>
      <c r="Y331" s="18">
        <f t="shared" si="344"/>
        <v>2.8535762728581746</v>
      </c>
      <c r="Z331" s="18">
        <f t="shared" si="344"/>
        <v>1.3708990403778827</v>
      </c>
      <c r="AA331" s="18">
        <f t="shared" si="344"/>
        <v>1.8461934608515069</v>
      </c>
      <c r="AB331" s="18">
        <f t="shared" si="344"/>
        <v>3.762970130701333</v>
      </c>
      <c r="AC331" s="56">
        <f t="shared" si="320"/>
        <v>3</v>
      </c>
      <c r="AE331" s="18">
        <f t="shared" si="345"/>
        <v>5.7902789223152666</v>
      </c>
      <c r="AF331" s="18">
        <f t="shared" si="345"/>
        <v>2.1144841938280154</v>
      </c>
      <c r="AG331" s="18">
        <f t="shared" si="345"/>
        <v>0.81879695030045752</v>
      </c>
      <c r="AH331" s="18">
        <f t="shared" si="345"/>
        <v>1.1940610036540655</v>
      </c>
      <c r="AI331" s="18">
        <f t="shared" si="345"/>
        <v>3.5425235020742156</v>
      </c>
      <c r="AJ331" s="56">
        <f t="shared" si="321"/>
        <v>3</v>
      </c>
      <c r="AL331" s="18">
        <f t="shared" si="346"/>
        <v>5.7902789223152666</v>
      </c>
      <c r="AM331" s="18">
        <f t="shared" si="346"/>
        <v>2.1463377166541684</v>
      </c>
      <c r="AN331" s="18">
        <f t="shared" si="346"/>
        <v>0.90435514130477268</v>
      </c>
      <c r="AO331" s="18">
        <f t="shared" si="346"/>
        <v>1.094788152547723</v>
      </c>
      <c r="AP331" s="18">
        <f t="shared" si="346"/>
        <v>3.2769053390443261</v>
      </c>
      <c r="AQ331" s="56">
        <f t="shared" si="322"/>
        <v>3</v>
      </c>
      <c r="AS331" s="18">
        <f t="shared" si="347"/>
        <v>5.7902789223152666</v>
      </c>
      <c r="AT331" s="18">
        <f t="shared" si="347"/>
        <v>2.2404082834261367</v>
      </c>
      <c r="AU331" s="18">
        <f t="shared" si="347"/>
        <v>0.92827093106503378</v>
      </c>
      <c r="AV331" s="18">
        <f t="shared" si="347"/>
        <v>1.0816353841756521</v>
      </c>
      <c r="AW331" s="18">
        <f t="shared" si="347"/>
        <v>3.2769053390443261</v>
      </c>
      <c r="AX331" s="56">
        <f t="shared" si="323"/>
        <v>3</v>
      </c>
      <c r="AZ331" s="18">
        <f t="shared" si="348"/>
        <v>5.7902789223152666</v>
      </c>
      <c r="BA331" s="18">
        <f t="shared" si="348"/>
        <v>2.2404082834261367</v>
      </c>
      <c r="BB331" s="18">
        <f t="shared" si="348"/>
        <v>0.92827093106503378</v>
      </c>
      <c r="BC331" s="18">
        <f t="shared" si="348"/>
        <v>1.0816353841756521</v>
      </c>
      <c r="BD331" s="18">
        <f t="shared" si="348"/>
        <v>3.2769053390443261</v>
      </c>
      <c r="BE331" s="56">
        <f t="shared" si="324"/>
        <v>3</v>
      </c>
      <c r="BG331" s="18">
        <f t="shared" si="349"/>
        <v>5.7902789223152666</v>
      </c>
      <c r="BH331" s="18">
        <f t="shared" si="349"/>
        <v>2.2404082834261367</v>
      </c>
      <c r="BI331" s="18">
        <f t="shared" si="349"/>
        <v>0.92827093106503378</v>
      </c>
      <c r="BJ331" s="18">
        <f t="shared" si="349"/>
        <v>1.0816353841756521</v>
      </c>
      <c r="BK331" s="18">
        <f t="shared" si="349"/>
        <v>3.2769053390443261</v>
      </c>
      <c r="BL331" s="56">
        <f t="shared" si="325"/>
        <v>3</v>
      </c>
      <c r="BN331" s="18">
        <f t="shared" si="350"/>
        <v>5.7902789223152666</v>
      </c>
      <c r="BO331" s="18">
        <f t="shared" si="350"/>
        <v>2.2404082834261367</v>
      </c>
      <c r="BP331" s="18">
        <f t="shared" si="350"/>
        <v>0.92827093106503378</v>
      </c>
      <c r="BQ331" s="18">
        <f t="shared" si="350"/>
        <v>1.0816353841756521</v>
      </c>
      <c r="BR331" s="18">
        <f t="shared" si="350"/>
        <v>3.2769053390443261</v>
      </c>
      <c r="BS331" s="56">
        <f t="shared" si="326"/>
        <v>3</v>
      </c>
      <c r="BU331" s="18">
        <f t="shared" si="351"/>
        <v>5.7902789223152666</v>
      </c>
      <c r="BV331" s="18">
        <f t="shared" si="351"/>
        <v>2.2404082834261367</v>
      </c>
      <c r="BW331" s="18">
        <f t="shared" si="351"/>
        <v>0.92827093106503378</v>
      </c>
      <c r="BX331" s="18">
        <f t="shared" si="351"/>
        <v>1.0816353841756521</v>
      </c>
      <c r="BY331" s="18">
        <f t="shared" si="351"/>
        <v>3.2769053390443261</v>
      </c>
      <c r="BZ331" s="56">
        <f t="shared" si="327"/>
        <v>3</v>
      </c>
      <c r="CB331" s="18">
        <f t="shared" si="352"/>
        <v>5.7902789223152666</v>
      </c>
      <c r="CC331" s="18">
        <f t="shared" si="352"/>
        <v>2.2404082834261367</v>
      </c>
      <c r="CD331" s="18">
        <f t="shared" si="352"/>
        <v>0.92827093106503378</v>
      </c>
      <c r="CE331" s="18">
        <f t="shared" si="352"/>
        <v>1.0816353841756521</v>
      </c>
      <c r="CF331" s="18">
        <f t="shared" si="352"/>
        <v>3.2769053390443261</v>
      </c>
      <c r="CG331" s="56">
        <f t="shared" si="328"/>
        <v>3</v>
      </c>
      <c r="CI331" s="18">
        <f t="shared" si="353"/>
        <v>5.7902789223152666</v>
      </c>
      <c r="CJ331" s="18">
        <f t="shared" si="353"/>
        <v>2.2404082834261367</v>
      </c>
      <c r="CK331" s="18">
        <f t="shared" si="353"/>
        <v>0.92827093106503378</v>
      </c>
      <c r="CL331" s="18">
        <f t="shared" si="353"/>
        <v>1.0816353841756521</v>
      </c>
      <c r="CM331" s="18">
        <f t="shared" si="353"/>
        <v>3.2769053390443261</v>
      </c>
      <c r="CN331" s="56">
        <f t="shared" si="329"/>
        <v>3</v>
      </c>
      <c r="CP331" s="18">
        <f t="shared" si="354"/>
        <v>5.7902789223152666</v>
      </c>
      <c r="CQ331" s="18">
        <f t="shared" si="354"/>
        <v>2.2404082834261367</v>
      </c>
      <c r="CR331" s="18">
        <f t="shared" si="354"/>
        <v>0.92827093106503378</v>
      </c>
      <c r="CS331" s="18">
        <f t="shared" si="354"/>
        <v>1.0816353841756521</v>
      </c>
      <c r="CT331" s="18">
        <f t="shared" si="354"/>
        <v>3.2769053390443261</v>
      </c>
      <c r="CU331" s="56">
        <f t="shared" si="330"/>
        <v>3</v>
      </c>
      <c r="CW331" s="18">
        <f t="shared" si="355"/>
        <v>5.7902789223152666</v>
      </c>
      <c r="CX331" s="18">
        <f t="shared" si="355"/>
        <v>2.2404082834261367</v>
      </c>
      <c r="CY331" s="18">
        <f t="shared" si="355"/>
        <v>0.92827093106503378</v>
      </c>
      <c r="CZ331" s="18">
        <f t="shared" si="355"/>
        <v>1.0816353841756521</v>
      </c>
      <c r="DA331" s="18">
        <f t="shared" si="355"/>
        <v>3.2769053390443261</v>
      </c>
      <c r="DB331" s="56">
        <f t="shared" si="331"/>
        <v>3</v>
      </c>
    </row>
    <row r="332" spans="1:106" x14ac:dyDescent="0.25">
      <c r="A332" s="36" t="str">
        <f>KMeans_Data!A60</f>
        <v>Bhakkar</v>
      </c>
      <c r="B332" s="18">
        <f>KMeans_Data!H60</f>
        <v>8.4835969706560738E-2</v>
      </c>
      <c r="C332" s="18">
        <f>KMeans_Data!I60</f>
        <v>-0.67265054538827607</v>
      </c>
      <c r="D332" s="18">
        <f>KMeans_Data!J60</f>
        <v>-1.1456441163335547</v>
      </c>
      <c r="E332" s="56">
        <f t="shared" si="318"/>
        <v>4</v>
      </c>
      <c r="F332" s="38">
        <f t="shared" si="319"/>
        <v>0.66644612396131664</v>
      </c>
      <c r="G332" s="18">
        <f>IF(COUNTIF(Distance_Matrix!$E$11:$DQ$11,$E332)&lt;=1,0,SUMIF(Distance_Matrix!$E$11:$DQ$11,$E332,Distance_Matrix!$E$69:$DQ$69)/(COUNTIF(Distance_Matrix!$E$11:$DQ$11,$E332)-1))</f>
        <v>1.0240579574687863</v>
      </c>
      <c r="H332" s="18">
        <f>MIN(IF(1=$E332,1E+99,IF(COUNTIF(Distance_Matrix!$E$11:$DQ$11,1)=0,1E+99,SUMIF(Distance_Matrix!$E$11:$DQ$11,1,Distance_Matrix!$E$69:$DQ$69)/COUNTIF(Distance_Matrix!$E$11:$DQ$11,1))),IF(2=$E332,1E+99,IF(COUNTIF(Distance_Matrix!$E$11:$DQ$11,2)=0,1E+99,SUMIF(Distance_Matrix!$E$11:$DQ$11,2,Distance_Matrix!$E$69:$DQ$69)/COUNTIF(Distance_Matrix!$E$11:$DQ$11,2))),IF(3=$E332,1E+99,IF(COUNTIF(Distance_Matrix!$E$11:$DQ$11,3)=0,1E+99,SUMIF(Distance_Matrix!$E$11:$DQ$11,3,Distance_Matrix!$E$69:$DQ$69)/COUNTIF(Distance_Matrix!$E$11:$DQ$11,3))),IF(4=$E332,1E+99,IF(COUNTIF(Distance_Matrix!$E$11:$DQ$11,4)=0,1E+99,SUMIF(Distance_Matrix!$E$11:$DQ$11,4,Distance_Matrix!$E$69:$DQ$69)/COUNTIF(Distance_Matrix!$E$11:$DQ$11,4))),IF(5=$E332,1E+99,IF(COUNTIF(Distance_Matrix!$E$11:$DQ$11,5)=0,1E+99,SUMIF(Distance_Matrix!$E$11:$DQ$11,5,Distance_Matrix!$E$69:$DQ$69)/COUNTIF(Distance_Matrix!$E$11:$DQ$11,5))))</f>
        <v>1.3836084710503151</v>
      </c>
      <c r="I332" s="18">
        <f>IF(COUNTIF(Distance_Matrix!$E$11:$DQ$11,$E332)&lt;=1,0,(H332-G332)/MAX(G332,H332))</f>
        <v>0.25986434826363086</v>
      </c>
      <c r="X332" s="18">
        <f t="shared" si="344"/>
        <v>7.1914209448379909</v>
      </c>
      <c r="Y332" s="18">
        <f t="shared" si="344"/>
        <v>2.1645739515098894</v>
      </c>
      <c r="Z332" s="18">
        <f t="shared" si="344"/>
        <v>2.975949255998326</v>
      </c>
      <c r="AA332" s="18">
        <f t="shared" si="344"/>
        <v>0.76867708942190494</v>
      </c>
      <c r="AB332" s="18">
        <f t="shared" si="344"/>
        <v>5.1356777375772937</v>
      </c>
      <c r="AC332" s="56">
        <f t="shared" si="320"/>
        <v>4</v>
      </c>
      <c r="AE332" s="18">
        <f t="shared" si="345"/>
        <v>7.0543697268867893</v>
      </c>
      <c r="AF332" s="18">
        <f t="shared" si="345"/>
        <v>1.3425726181927844</v>
      </c>
      <c r="AG332" s="18">
        <f t="shared" si="345"/>
        <v>2.3572386920153092</v>
      </c>
      <c r="AH332" s="18">
        <f t="shared" si="345"/>
        <v>0.67403335841699186</v>
      </c>
      <c r="AI332" s="18">
        <f t="shared" si="345"/>
        <v>4.7907409086757111</v>
      </c>
      <c r="AJ332" s="56">
        <f t="shared" si="321"/>
        <v>4</v>
      </c>
      <c r="AL332" s="18">
        <f t="shared" si="346"/>
        <v>7.0543697268867893</v>
      </c>
      <c r="AM332" s="18">
        <f t="shared" si="346"/>
        <v>1.3269305573221093</v>
      </c>
      <c r="AN332" s="18">
        <f t="shared" si="346"/>
        <v>2.4035262499311223</v>
      </c>
      <c r="AO332" s="18">
        <f t="shared" si="346"/>
        <v>0.78286124721324568</v>
      </c>
      <c r="AP332" s="18">
        <f t="shared" si="346"/>
        <v>4.5313912134280923</v>
      </c>
      <c r="AQ332" s="56">
        <f t="shared" si="322"/>
        <v>4</v>
      </c>
      <c r="AS332" s="18">
        <f t="shared" si="347"/>
        <v>7.0543697268867893</v>
      </c>
      <c r="AT332" s="18">
        <f t="shared" si="347"/>
        <v>1.3648619562019502</v>
      </c>
      <c r="AU332" s="18">
        <f t="shared" si="347"/>
        <v>2.4269755903452048</v>
      </c>
      <c r="AV332" s="18">
        <f t="shared" si="347"/>
        <v>0.81636151548276492</v>
      </c>
      <c r="AW332" s="18">
        <f t="shared" si="347"/>
        <v>4.5313912134280923</v>
      </c>
      <c r="AX332" s="56">
        <f t="shared" si="323"/>
        <v>4</v>
      </c>
      <c r="AZ332" s="18">
        <f t="shared" si="348"/>
        <v>7.0543697268867893</v>
      </c>
      <c r="BA332" s="18">
        <f t="shared" si="348"/>
        <v>1.3648619562019502</v>
      </c>
      <c r="BB332" s="18">
        <f t="shared" si="348"/>
        <v>2.4269755903452048</v>
      </c>
      <c r="BC332" s="18">
        <f t="shared" si="348"/>
        <v>0.81636151548276492</v>
      </c>
      <c r="BD332" s="18">
        <f t="shared" si="348"/>
        <v>4.5313912134280923</v>
      </c>
      <c r="BE332" s="56">
        <f t="shared" si="324"/>
        <v>4</v>
      </c>
      <c r="BG332" s="18">
        <f t="shared" si="349"/>
        <v>7.0543697268867893</v>
      </c>
      <c r="BH332" s="18">
        <f t="shared" si="349"/>
        <v>1.3648619562019502</v>
      </c>
      <c r="BI332" s="18">
        <f t="shared" si="349"/>
        <v>2.4269755903452048</v>
      </c>
      <c r="BJ332" s="18">
        <f t="shared" si="349"/>
        <v>0.81636151548276492</v>
      </c>
      <c r="BK332" s="18">
        <f t="shared" si="349"/>
        <v>4.5313912134280923</v>
      </c>
      <c r="BL332" s="56">
        <f t="shared" si="325"/>
        <v>4</v>
      </c>
      <c r="BN332" s="18">
        <f t="shared" si="350"/>
        <v>7.0543697268867893</v>
      </c>
      <c r="BO332" s="18">
        <f t="shared" si="350"/>
        <v>1.3648619562019502</v>
      </c>
      <c r="BP332" s="18">
        <f t="shared" si="350"/>
        <v>2.4269755903452048</v>
      </c>
      <c r="BQ332" s="18">
        <f t="shared" si="350"/>
        <v>0.81636151548276492</v>
      </c>
      <c r="BR332" s="18">
        <f t="shared" si="350"/>
        <v>4.5313912134280923</v>
      </c>
      <c r="BS332" s="56">
        <f t="shared" si="326"/>
        <v>4</v>
      </c>
      <c r="BU332" s="18">
        <f t="shared" si="351"/>
        <v>7.0543697268867893</v>
      </c>
      <c r="BV332" s="18">
        <f t="shared" si="351"/>
        <v>1.3648619562019502</v>
      </c>
      <c r="BW332" s="18">
        <f t="shared" si="351"/>
        <v>2.4269755903452048</v>
      </c>
      <c r="BX332" s="18">
        <f t="shared" si="351"/>
        <v>0.81636151548276492</v>
      </c>
      <c r="BY332" s="18">
        <f t="shared" si="351"/>
        <v>4.5313912134280923</v>
      </c>
      <c r="BZ332" s="56">
        <f t="shared" si="327"/>
        <v>4</v>
      </c>
      <c r="CB332" s="18">
        <f t="shared" si="352"/>
        <v>7.0543697268867893</v>
      </c>
      <c r="CC332" s="18">
        <f t="shared" si="352"/>
        <v>1.3648619562019502</v>
      </c>
      <c r="CD332" s="18">
        <f t="shared" si="352"/>
        <v>2.4269755903452048</v>
      </c>
      <c r="CE332" s="18">
        <f t="shared" si="352"/>
        <v>0.81636151548276492</v>
      </c>
      <c r="CF332" s="18">
        <f t="shared" si="352"/>
        <v>4.5313912134280923</v>
      </c>
      <c r="CG332" s="56">
        <f t="shared" si="328"/>
        <v>4</v>
      </c>
      <c r="CI332" s="18">
        <f t="shared" si="353"/>
        <v>7.0543697268867893</v>
      </c>
      <c r="CJ332" s="18">
        <f t="shared" si="353"/>
        <v>1.3648619562019502</v>
      </c>
      <c r="CK332" s="18">
        <f t="shared" si="353"/>
        <v>2.4269755903452048</v>
      </c>
      <c r="CL332" s="18">
        <f t="shared" si="353"/>
        <v>0.81636151548276492</v>
      </c>
      <c r="CM332" s="18">
        <f t="shared" si="353"/>
        <v>4.5313912134280923</v>
      </c>
      <c r="CN332" s="56">
        <f t="shared" si="329"/>
        <v>4</v>
      </c>
      <c r="CP332" s="18">
        <f t="shared" si="354"/>
        <v>7.0543697268867893</v>
      </c>
      <c r="CQ332" s="18">
        <f t="shared" si="354"/>
        <v>1.3648619562019502</v>
      </c>
      <c r="CR332" s="18">
        <f t="shared" si="354"/>
        <v>2.4269755903452048</v>
      </c>
      <c r="CS332" s="18">
        <f t="shared" si="354"/>
        <v>0.81636151548276492</v>
      </c>
      <c r="CT332" s="18">
        <f t="shared" si="354"/>
        <v>4.5313912134280923</v>
      </c>
      <c r="CU332" s="56">
        <f t="shared" si="330"/>
        <v>4</v>
      </c>
      <c r="CW332" s="18">
        <f t="shared" si="355"/>
        <v>7.0543697268867893</v>
      </c>
      <c r="CX332" s="18">
        <f t="shared" si="355"/>
        <v>1.3648619562019502</v>
      </c>
      <c r="CY332" s="18">
        <f t="shared" si="355"/>
        <v>2.4269755903452048</v>
      </c>
      <c r="CZ332" s="18">
        <f t="shared" si="355"/>
        <v>0.81636151548276492</v>
      </c>
      <c r="DA332" s="18">
        <f t="shared" si="355"/>
        <v>4.5313912134280923</v>
      </c>
      <c r="DB332" s="56">
        <f t="shared" si="331"/>
        <v>4</v>
      </c>
    </row>
    <row r="333" spans="1:106" x14ac:dyDescent="0.25">
      <c r="A333" s="36" t="str">
        <f>KMeans_Data!A61</f>
        <v>Muzaffargar</v>
      </c>
      <c r="B333" s="18">
        <f>KMeans_Data!H61</f>
        <v>6.8311724136625313E-2</v>
      </c>
      <c r="C333" s="18">
        <f>KMeans_Data!I61</f>
        <v>-0.67265054538827607</v>
      </c>
      <c r="D333" s="18">
        <f>KMeans_Data!J61</f>
        <v>-1.1456441163335547</v>
      </c>
      <c r="E333" s="56">
        <f t="shared" si="318"/>
        <v>4</v>
      </c>
      <c r="F333" s="38">
        <f t="shared" si="319"/>
        <v>0.6596627083920934</v>
      </c>
      <c r="G333" s="18">
        <f>IF(COUNTIF(Distance_Matrix!$E$11:$DQ$11,$E333)&lt;=1,0,SUMIF(Distance_Matrix!$E$11:$DQ$11,$E333,Distance_Matrix!$E$70:$DQ$70)/(COUNTIF(Distance_Matrix!$E$11:$DQ$11,$E333)-1))</f>
        <v>1.0211386977536481</v>
      </c>
      <c r="H333" s="18">
        <f>MIN(IF(1=$E333,1E+99,IF(COUNTIF(Distance_Matrix!$E$11:$DQ$11,1)=0,1E+99,SUMIF(Distance_Matrix!$E$11:$DQ$11,1,Distance_Matrix!$E$70:$DQ$70)/COUNTIF(Distance_Matrix!$E$11:$DQ$11,1))),IF(2=$E333,1E+99,IF(COUNTIF(Distance_Matrix!$E$11:$DQ$11,2)=0,1E+99,SUMIF(Distance_Matrix!$E$11:$DQ$11,2,Distance_Matrix!$E$70:$DQ$70)/COUNTIF(Distance_Matrix!$E$11:$DQ$11,2))),IF(3=$E333,1E+99,IF(COUNTIF(Distance_Matrix!$E$11:$DQ$11,3)=0,1E+99,SUMIF(Distance_Matrix!$E$11:$DQ$11,3,Distance_Matrix!$E$70:$DQ$70)/COUNTIF(Distance_Matrix!$E$11:$DQ$11,3))),IF(4=$E333,1E+99,IF(COUNTIF(Distance_Matrix!$E$11:$DQ$11,4)=0,1E+99,SUMIF(Distance_Matrix!$E$11:$DQ$11,4,Distance_Matrix!$E$70:$DQ$70)/COUNTIF(Distance_Matrix!$E$11:$DQ$11,4))),IF(5=$E333,1E+99,IF(COUNTIF(Distance_Matrix!$E$11:$DQ$11,5)=0,1E+99,SUMIF(Distance_Matrix!$E$11:$DQ$11,5,Distance_Matrix!$E$70:$DQ$70)/COUNTIF(Distance_Matrix!$E$11:$DQ$11,5))))</f>
        <v>1.3673774529881988</v>
      </c>
      <c r="I333" s="18">
        <f>IF(COUNTIF(Distance_Matrix!$E$11:$DQ$11,$E333)&lt;=1,0,(H333-G333)/MAX(G333,H333))</f>
        <v>0.25321373734655178</v>
      </c>
      <c r="X333" s="18">
        <f t="shared" si="344"/>
        <v>7.1987648607522274</v>
      </c>
      <c r="Y333" s="18">
        <f t="shared" si="344"/>
        <v>2.1480497059399539</v>
      </c>
      <c r="Z333" s="18">
        <f t="shared" si="344"/>
        <v>2.9812792124527978</v>
      </c>
      <c r="AA333" s="18">
        <f t="shared" si="344"/>
        <v>0.78081517535110789</v>
      </c>
      <c r="AB333" s="18">
        <f t="shared" si="344"/>
        <v>5.143034064256069</v>
      </c>
      <c r="AC333" s="56">
        <f t="shared" si="320"/>
        <v>4</v>
      </c>
      <c r="AE333" s="18">
        <f t="shared" si="345"/>
        <v>7.0618279061195723</v>
      </c>
      <c r="AF333" s="18">
        <f t="shared" si="345"/>
        <v>1.3262567816026967</v>
      </c>
      <c r="AG333" s="18">
        <f t="shared" si="345"/>
        <v>2.3605403833734018</v>
      </c>
      <c r="AH333" s="18">
        <f t="shared" si="345"/>
        <v>0.67062124988750738</v>
      </c>
      <c r="AI333" s="18">
        <f t="shared" si="345"/>
        <v>4.797693208707142</v>
      </c>
      <c r="AJ333" s="56">
        <f t="shared" si="321"/>
        <v>4</v>
      </c>
      <c r="AL333" s="18">
        <f t="shared" si="346"/>
        <v>7.0618279061195723</v>
      </c>
      <c r="AM333" s="18">
        <f t="shared" si="346"/>
        <v>1.3105301403115579</v>
      </c>
      <c r="AN333" s="18">
        <f t="shared" si="346"/>
        <v>2.4071091803670264</v>
      </c>
      <c r="AO333" s="18">
        <f t="shared" si="346"/>
        <v>0.77952453887477091</v>
      </c>
      <c r="AP333" s="18">
        <f t="shared" si="346"/>
        <v>4.5380368631334331</v>
      </c>
      <c r="AQ333" s="56">
        <f t="shared" si="322"/>
        <v>4</v>
      </c>
      <c r="AS333" s="18">
        <f t="shared" si="347"/>
        <v>7.0618279061195723</v>
      </c>
      <c r="AT333" s="18">
        <f t="shared" si="347"/>
        <v>1.3483628300882411</v>
      </c>
      <c r="AU333" s="18">
        <f t="shared" si="347"/>
        <v>2.4306555034693669</v>
      </c>
      <c r="AV333" s="18">
        <f t="shared" si="347"/>
        <v>0.8121962253003232</v>
      </c>
      <c r="AW333" s="18">
        <f t="shared" si="347"/>
        <v>4.5380368631334331</v>
      </c>
      <c r="AX333" s="56">
        <f t="shared" si="323"/>
        <v>4</v>
      </c>
      <c r="AZ333" s="18">
        <f t="shared" si="348"/>
        <v>7.0618279061195723</v>
      </c>
      <c r="BA333" s="18">
        <f t="shared" si="348"/>
        <v>1.3483628300882411</v>
      </c>
      <c r="BB333" s="18">
        <f t="shared" si="348"/>
        <v>2.4306555034693669</v>
      </c>
      <c r="BC333" s="18">
        <f t="shared" si="348"/>
        <v>0.8121962253003232</v>
      </c>
      <c r="BD333" s="18">
        <f t="shared" si="348"/>
        <v>4.5380368631334331</v>
      </c>
      <c r="BE333" s="56">
        <f t="shared" si="324"/>
        <v>4</v>
      </c>
      <c r="BG333" s="18">
        <f t="shared" si="349"/>
        <v>7.0618279061195723</v>
      </c>
      <c r="BH333" s="18">
        <f t="shared" si="349"/>
        <v>1.3483628300882411</v>
      </c>
      <c r="BI333" s="18">
        <f t="shared" si="349"/>
        <v>2.4306555034693669</v>
      </c>
      <c r="BJ333" s="18">
        <f t="shared" si="349"/>
        <v>0.8121962253003232</v>
      </c>
      <c r="BK333" s="18">
        <f t="shared" si="349"/>
        <v>4.5380368631334331</v>
      </c>
      <c r="BL333" s="56">
        <f t="shared" si="325"/>
        <v>4</v>
      </c>
      <c r="BN333" s="18">
        <f t="shared" si="350"/>
        <v>7.0618279061195723</v>
      </c>
      <c r="BO333" s="18">
        <f t="shared" si="350"/>
        <v>1.3483628300882411</v>
      </c>
      <c r="BP333" s="18">
        <f t="shared" si="350"/>
        <v>2.4306555034693669</v>
      </c>
      <c r="BQ333" s="18">
        <f t="shared" si="350"/>
        <v>0.8121962253003232</v>
      </c>
      <c r="BR333" s="18">
        <f t="shared" si="350"/>
        <v>4.5380368631334331</v>
      </c>
      <c r="BS333" s="56">
        <f t="shared" si="326"/>
        <v>4</v>
      </c>
      <c r="BU333" s="18">
        <f t="shared" si="351"/>
        <v>7.0618279061195723</v>
      </c>
      <c r="BV333" s="18">
        <f t="shared" si="351"/>
        <v>1.3483628300882411</v>
      </c>
      <c r="BW333" s="18">
        <f t="shared" si="351"/>
        <v>2.4306555034693669</v>
      </c>
      <c r="BX333" s="18">
        <f t="shared" si="351"/>
        <v>0.8121962253003232</v>
      </c>
      <c r="BY333" s="18">
        <f t="shared" si="351"/>
        <v>4.5380368631334331</v>
      </c>
      <c r="BZ333" s="56">
        <f t="shared" si="327"/>
        <v>4</v>
      </c>
      <c r="CB333" s="18">
        <f t="shared" si="352"/>
        <v>7.0618279061195723</v>
      </c>
      <c r="CC333" s="18">
        <f t="shared" si="352"/>
        <v>1.3483628300882411</v>
      </c>
      <c r="CD333" s="18">
        <f t="shared" si="352"/>
        <v>2.4306555034693669</v>
      </c>
      <c r="CE333" s="18">
        <f t="shared" si="352"/>
        <v>0.8121962253003232</v>
      </c>
      <c r="CF333" s="18">
        <f t="shared" si="352"/>
        <v>4.5380368631334331</v>
      </c>
      <c r="CG333" s="56">
        <f t="shared" si="328"/>
        <v>4</v>
      </c>
      <c r="CI333" s="18">
        <f t="shared" si="353"/>
        <v>7.0618279061195723</v>
      </c>
      <c r="CJ333" s="18">
        <f t="shared" si="353"/>
        <v>1.3483628300882411</v>
      </c>
      <c r="CK333" s="18">
        <f t="shared" si="353"/>
        <v>2.4306555034693669</v>
      </c>
      <c r="CL333" s="18">
        <f t="shared" si="353"/>
        <v>0.8121962253003232</v>
      </c>
      <c r="CM333" s="18">
        <f t="shared" si="353"/>
        <v>4.5380368631334331</v>
      </c>
      <c r="CN333" s="56">
        <f t="shared" si="329"/>
        <v>4</v>
      </c>
      <c r="CP333" s="18">
        <f t="shared" si="354"/>
        <v>7.0618279061195723</v>
      </c>
      <c r="CQ333" s="18">
        <f t="shared" si="354"/>
        <v>1.3483628300882411</v>
      </c>
      <c r="CR333" s="18">
        <f t="shared" si="354"/>
        <v>2.4306555034693669</v>
      </c>
      <c r="CS333" s="18">
        <f t="shared" si="354"/>
        <v>0.8121962253003232</v>
      </c>
      <c r="CT333" s="18">
        <f t="shared" si="354"/>
        <v>4.5380368631334331</v>
      </c>
      <c r="CU333" s="56">
        <f t="shared" si="330"/>
        <v>4</v>
      </c>
      <c r="CW333" s="18">
        <f t="shared" si="355"/>
        <v>7.0618279061195723</v>
      </c>
      <c r="CX333" s="18">
        <f t="shared" si="355"/>
        <v>1.3483628300882411</v>
      </c>
      <c r="CY333" s="18">
        <f t="shared" si="355"/>
        <v>2.4306555034693669</v>
      </c>
      <c r="CZ333" s="18">
        <f t="shared" si="355"/>
        <v>0.8121962253003232</v>
      </c>
      <c r="DA333" s="18">
        <f t="shared" si="355"/>
        <v>4.5380368631334331</v>
      </c>
      <c r="DB333" s="56">
        <f t="shared" si="331"/>
        <v>4</v>
      </c>
    </row>
    <row r="334" spans="1:106" x14ac:dyDescent="0.25">
      <c r="A334" s="36" t="str">
        <f>KMeans_Data!A62</f>
        <v>Badin</v>
      </c>
      <c r="B334" s="18">
        <f>KMeans_Data!H62</f>
        <v>2.4548982643863189E-2</v>
      </c>
      <c r="C334" s="18">
        <f>KMeans_Data!I62</f>
        <v>0.54791138584450239</v>
      </c>
      <c r="D334" s="18">
        <f>KMeans_Data!J62</f>
        <v>5.8390290280275915E-3</v>
      </c>
      <c r="E334" s="56">
        <f t="shared" si="318"/>
        <v>3</v>
      </c>
      <c r="F334" s="38">
        <f t="shared" si="319"/>
        <v>1.0831848930505432</v>
      </c>
      <c r="G334" s="18">
        <f>IF(COUNTIF(Distance_Matrix!$E$11:$DQ$11,$E334)&lt;=1,0,SUMIF(Distance_Matrix!$E$11:$DQ$11,$E334,Distance_Matrix!$E$71:$DQ$71)/(COUNTIF(Distance_Matrix!$E$11:$DQ$11,$E334)-1))</f>
        <v>1.2538168604116726</v>
      </c>
      <c r="H334" s="18">
        <f>MIN(IF(1=$E334,1E+99,IF(COUNTIF(Distance_Matrix!$E$11:$DQ$11,1)=0,1E+99,SUMIF(Distance_Matrix!$E$11:$DQ$11,1,Distance_Matrix!$E$71:$DQ$71)/COUNTIF(Distance_Matrix!$E$11:$DQ$11,1))),IF(2=$E334,1E+99,IF(COUNTIF(Distance_Matrix!$E$11:$DQ$11,2)=0,1E+99,SUMIF(Distance_Matrix!$E$11:$DQ$11,2,Distance_Matrix!$E$71:$DQ$71)/COUNTIF(Distance_Matrix!$E$11:$DQ$11,2))),IF(3=$E334,1E+99,IF(COUNTIF(Distance_Matrix!$E$11:$DQ$11,3)=0,1E+99,SUMIF(Distance_Matrix!$E$11:$DQ$11,3,Distance_Matrix!$E$71:$DQ$71)/COUNTIF(Distance_Matrix!$E$11:$DQ$11,3))),IF(4=$E334,1E+99,IF(COUNTIF(Distance_Matrix!$E$11:$DQ$11,4)=0,1E+99,SUMIF(Distance_Matrix!$E$11:$DQ$11,4,Distance_Matrix!$E$71:$DQ$71)/COUNTIF(Distance_Matrix!$E$11:$DQ$11,4))),IF(5=$E334,1E+99,IF(COUNTIF(Distance_Matrix!$E$11:$DQ$11,5)=0,1E+99,SUMIF(Distance_Matrix!$E$11:$DQ$11,5,Distance_Matrix!$E$71:$DQ$71)/COUNTIF(Distance_Matrix!$E$11:$DQ$11,5))))</f>
        <v>1.3391746620847089</v>
      </c>
      <c r="I334" s="18">
        <f>IF(COUNTIF(Distance_Matrix!$E$11:$DQ$11,$E334)&lt;=1,0,(H334-G334)/MAX(G334,H334))</f>
        <v>6.3739110431016377E-2</v>
      </c>
      <c r="X334" s="18">
        <f t="shared" si="344"/>
        <v>5.7697307870114276</v>
      </c>
      <c r="Y334" s="18">
        <f t="shared" si="344"/>
        <v>2.6914138460610011</v>
      </c>
      <c r="Z334" s="18">
        <f t="shared" si="344"/>
        <v>1.7886669762678886</v>
      </c>
      <c r="AA334" s="18">
        <f t="shared" si="344"/>
        <v>1.4814138332876035</v>
      </c>
      <c r="AB334" s="18">
        <f t="shared" si="344"/>
        <v>3.7583556978917345</v>
      </c>
      <c r="AC334" s="56">
        <f t="shared" si="320"/>
        <v>4</v>
      </c>
      <c r="AE334" s="18">
        <f t="shared" si="345"/>
        <v>5.6436512518338509</v>
      </c>
      <c r="AF334" s="18">
        <f t="shared" si="345"/>
        <v>1.9828072479629446</v>
      </c>
      <c r="AG334" s="18">
        <f t="shared" si="345"/>
        <v>0.99101553725295854</v>
      </c>
      <c r="AH334" s="18">
        <f t="shared" si="345"/>
        <v>1.163281662948048</v>
      </c>
      <c r="AI334" s="18">
        <f t="shared" si="345"/>
        <v>3.3791360922033524</v>
      </c>
      <c r="AJ334" s="56">
        <f t="shared" si="321"/>
        <v>3</v>
      </c>
      <c r="AL334" s="18">
        <f t="shared" si="346"/>
        <v>5.6436512518338509</v>
      </c>
      <c r="AM334" s="18">
        <f t="shared" si="346"/>
        <v>2.001713860905272</v>
      </c>
      <c r="AN334" s="18">
        <f t="shared" si="346"/>
        <v>1.016194901335741</v>
      </c>
      <c r="AO334" s="18">
        <f t="shared" si="346"/>
        <v>1.1390057886772129</v>
      </c>
      <c r="AP334" s="18">
        <f t="shared" si="346"/>
        <v>3.1047451572624927</v>
      </c>
      <c r="AQ334" s="56">
        <f t="shared" si="322"/>
        <v>3</v>
      </c>
      <c r="AS334" s="18">
        <f t="shared" si="347"/>
        <v>5.6436512518338509</v>
      </c>
      <c r="AT334" s="18">
        <f t="shared" si="347"/>
        <v>2.0739501768732467</v>
      </c>
      <c r="AU334" s="18">
        <f t="shared" si="347"/>
        <v>1.040761688884897</v>
      </c>
      <c r="AV334" s="18">
        <f t="shared" si="347"/>
        <v>1.1330080181538227</v>
      </c>
      <c r="AW334" s="18">
        <f t="shared" si="347"/>
        <v>3.1047451572624927</v>
      </c>
      <c r="AX334" s="56">
        <f t="shared" si="323"/>
        <v>3</v>
      </c>
      <c r="AZ334" s="18">
        <f t="shared" si="348"/>
        <v>5.6436512518338509</v>
      </c>
      <c r="BA334" s="18">
        <f t="shared" si="348"/>
        <v>2.0739501768732467</v>
      </c>
      <c r="BB334" s="18">
        <f t="shared" si="348"/>
        <v>1.040761688884897</v>
      </c>
      <c r="BC334" s="18">
        <f t="shared" si="348"/>
        <v>1.1330080181538227</v>
      </c>
      <c r="BD334" s="18">
        <f t="shared" si="348"/>
        <v>3.1047451572624927</v>
      </c>
      <c r="BE334" s="56">
        <f t="shared" si="324"/>
        <v>3</v>
      </c>
      <c r="BG334" s="18">
        <f t="shared" si="349"/>
        <v>5.6436512518338509</v>
      </c>
      <c r="BH334" s="18">
        <f t="shared" si="349"/>
        <v>2.0739501768732467</v>
      </c>
      <c r="BI334" s="18">
        <f t="shared" si="349"/>
        <v>1.040761688884897</v>
      </c>
      <c r="BJ334" s="18">
        <f t="shared" si="349"/>
        <v>1.1330080181538227</v>
      </c>
      <c r="BK334" s="18">
        <f t="shared" si="349"/>
        <v>3.1047451572624927</v>
      </c>
      <c r="BL334" s="56">
        <f t="shared" si="325"/>
        <v>3</v>
      </c>
      <c r="BN334" s="18">
        <f t="shared" si="350"/>
        <v>5.6436512518338509</v>
      </c>
      <c r="BO334" s="18">
        <f t="shared" si="350"/>
        <v>2.0739501768732467</v>
      </c>
      <c r="BP334" s="18">
        <f t="shared" si="350"/>
        <v>1.040761688884897</v>
      </c>
      <c r="BQ334" s="18">
        <f t="shared" si="350"/>
        <v>1.1330080181538227</v>
      </c>
      <c r="BR334" s="18">
        <f t="shared" si="350"/>
        <v>3.1047451572624927</v>
      </c>
      <c r="BS334" s="56">
        <f t="shared" si="326"/>
        <v>3</v>
      </c>
      <c r="BU334" s="18">
        <f t="shared" si="351"/>
        <v>5.6436512518338509</v>
      </c>
      <c r="BV334" s="18">
        <f t="shared" si="351"/>
        <v>2.0739501768732467</v>
      </c>
      <c r="BW334" s="18">
        <f t="shared" si="351"/>
        <v>1.040761688884897</v>
      </c>
      <c r="BX334" s="18">
        <f t="shared" si="351"/>
        <v>1.1330080181538227</v>
      </c>
      <c r="BY334" s="18">
        <f t="shared" si="351"/>
        <v>3.1047451572624927</v>
      </c>
      <c r="BZ334" s="56">
        <f t="shared" si="327"/>
        <v>3</v>
      </c>
      <c r="CB334" s="18">
        <f t="shared" si="352"/>
        <v>5.6436512518338509</v>
      </c>
      <c r="CC334" s="18">
        <f t="shared" si="352"/>
        <v>2.0739501768732467</v>
      </c>
      <c r="CD334" s="18">
        <f t="shared" si="352"/>
        <v>1.040761688884897</v>
      </c>
      <c r="CE334" s="18">
        <f t="shared" si="352"/>
        <v>1.1330080181538227</v>
      </c>
      <c r="CF334" s="18">
        <f t="shared" si="352"/>
        <v>3.1047451572624927</v>
      </c>
      <c r="CG334" s="56">
        <f t="shared" si="328"/>
        <v>3</v>
      </c>
      <c r="CI334" s="18">
        <f t="shared" si="353"/>
        <v>5.6436512518338509</v>
      </c>
      <c r="CJ334" s="18">
        <f t="shared" si="353"/>
        <v>2.0739501768732467</v>
      </c>
      <c r="CK334" s="18">
        <f t="shared" si="353"/>
        <v>1.040761688884897</v>
      </c>
      <c r="CL334" s="18">
        <f t="shared" si="353"/>
        <v>1.1330080181538227</v>
      </c>
      <c r="CM334" s="18">
        <f t="shared" si="353"/>
        <v>3.1047451572624927</v>
      </c>
      <c r="CN334" s="56">
        <f t="shared" si="329"/>
        <v>3</v>
      </c>
      <c r="CP334" s="18">
        <f t="shared" si="354"/>
        <v>5.6436512518338509</v>
      </c>
      <c r="CQ334" s="18">
        <f t="shared" si="354"/>
        <v>2.0739501768732467</v>
      </c>
      <c r="CR334" s="18">
        <f t="shared" si="354"/>
        <v>1.040761688884897</v>
      </c>
      <c r="CS334" s="18">
        <f t="shared" si="354"/>
        <v>1.1330080181538227</v>
      </c>
      <c r="CT334" s="18">
        <f t="shared" si="354"/>
        <v>3.1047451572624927</v>
      </c>
      <c r="CU334" s="56">
        <f t="shared" si="330"/>
        <v>3</v>
      </c>
      <c r="CW334" s="18">
        <f t="shared" si="355"/>
        <v>5.6436512518338509</v>
      </c>
      <c r="CX334" s="18">
        <f t="shared" si="355"/>
        <v>2.0739501768732467</v>
      </c>
      <c r="CY334" s="18">
        <f t="shared" si="355"/>
        <v>1.040761688884897</v>
      </c>
      <c r="CZ334" s="18">
        <f t="shared" si="355"/>
        <v>1.1330080181538227</v>
      </c>
      <c r="DA334" s="18">
        <f t="shared" si="355"/>
        <v>3.1047451572624927</v>
      </c>
      <c r="DB334" s="56">
        <f t="shared" si="331"/>
        <v>3</v>
      </c>
    </row>
    <row r="335" spans="1:106" x14ac:dyDescent="0.25">
      <c r="A335" s="36" t="str">
        <f>KMeans_Data!A63</f>
        <v>Bahawalpur</v>
      </c>
      <c r="B335" s="18">
        <f>KMeans_Data!H63</f>
        <v>5.9587915640307559E-3</v>
      </c>
      <c r="C335" s="18">
        <f>KMeans_Data!I63</f>
        <v>-0.67265054538827607</v>
      </c>
      <c r="D335" s="18">
        <f>KMeans_Data!J63</f>
        <v>-0.39984522290956798</v>
      </c>
      <c r="E335" s="56">
        <f t="shared" si="318"/>
        <v>4</v>
      </c>
      <c r="F335" s="38">
        <f t="shared" si="319"/>
        <v>4.5823258729922468E-2</v>
      </c>
      <c r="G335" s="18">
        <f>IF(COUNTIF(Distance_Matrix!$E$11:$DQ$11,$E335)&lt;=1,0,SUMIF(Distance_Matrix!$E$11:$DQ$11,$E335,Distance_Matrix!$E$72:$DQ$72)/(COUNTIF(Distance_Matrix!$E$11:$DQ$11,$E335)-1))</f>
        <v>0.77295443803731978</v>
      </c>
      <c r="H335" s="18">
        <f>MIN(IF(1=$E335,1E+99,IF(COUNTIF(Distance_Matrix!$E$11:$DQ$11,1)=0,1E+99,SUMIF(Distance_Matrix!$E$11:$DQ$11,1,Distance_Matrix!$E$72:$DQ$72)/COUNTIF(Distance_Matrix!$E$11:$DQ$11,1))),IF(2=$E335,1E+99,IF(COUNTIF(Distance_Matrix!$E$11:$DQ$11,2)=0,1E+99,SUMIF(Distance_Matrix!$E$11:$DQ$11,2,Distance_Matrix!$E$72:$DQ$72)/COUNTIF(Distance_Matrix!$E$11:$DQ$11,2))),IF(3=$E335,1E+99,IF(COUNTIF(Distance_Matrix!$E$11:$DQ$11,3)=0,1E+99,SUMIF(Distance_Matrix!$E$11:$DQ$11,3,Distance_Matrix!$E$72:$DQ$72)/COUNTIF(Distance_Matrix!$E$11:$DQ$11,3))),IF(4=$E335,1E+99,IF(COUNTIF(Distance_Matrix!$E$11:$DQ$11,4)=0,1E+99,SUMIF(Distance_Matrix!$E$11:$DQ$11,4,Distance_Matrix!$E$72:$DQ$72)/COUNTIF(Distance_Matrix!$E$11:$DQ$11,4))),IF(5=$E335,1E+99,IF(COUNTIF(Distance_Matrix!$E$11:$DQ$11,5)=0,1E+99,SUMIF(Distance_Matrix!$E$11:$DQ$11,5,Distance_Matrix!$E$72:$DQ$72)/COUNTIF(Distance_Matrix!$E$11:$DQ$11,5))))</f>
        <v>1.4736179100531677</v>
      </c>
      <c r="I335" s="18">
        <f>IF(COUNTIF(Distance_Matrix!$E$11:$DQ$11,$E335)&lt;=1,0,(H335-G335)/MAX(G335,H335))</f>
        <v>0.47547160443412917</v>
      </c>
      <c r="X335" s="18">
        <f t="shared" si="344"/>
        <v>6.798642989836301</v>
      </c>
      <c r="Y335" s="18">
        <f t="shared" si="344"/>
        <v>2.215027543816884</v>
      </c>
      <c r="Z335" s="18">
        <f t="shared" si="344"/>
        <v>2.3805209943410395</v>
      </c>
      <c r="AA335" s="18">
        <f t="shared" si="344"/>
        <v>1.1143502862264891</v>
      </c>
      <c r="AB335" s="18">
        <f t="shared" si="344"/>
        <v>4.695723037758774</v>
      </c>
      <c r="AC335" s="56">
        <f t="shared" si="320"/>
        <v>4</v>
      </c>
      <c r="AE335" s="18">
        <f t="shared" si="345"/>
        <v>6.685355949569888</v>
      </c>
      <c r="AF335" s="18">
        <f t="shared" si="345"/>
        <v>1.3571697240160794</v>
      </c>
      <c r="AG335" s="18">
        <f t="shared" si="345"/>
        <v>1.7947919860032508</v>
      </c>
      <c r="AH335" s="18">
        <f t="shared" si="345"/>
        <v>0.22660999493473047</v>
      </c>
      <c r="AI335" s="18">
        <f t="shared" si="345"/>
        <v>4.4107407217645527</v>
      </c>
      <c r="AJ335" s="56">
        <f t="shared" si="321"/>
        <v>4</v>
      </c>
      <c r="AL335" s="18">
        <f t="shared" si="346"/>
        <v>6.685355949569888</v>
      </c>
      <c r="AM335" s="18">
        <f t="shared" si="346"/>
        <v>1.3699221830908852</v>
      </c>
      <c r="AN335" s="18">
        <f t="shared" si="346"/>
        <v>1.8580000293662693</v>
      </c>
      <c r="AO335" s="18">
        <f t="shared" si="346"/>
        <v>0.18279421318491765</v>
      </c>
      <c r="AP335" s="18">
        <f t="shared" si="346"/>
        <v>4.1462938299243071</v>
      </c>
      <c r="AQ335" s="56">
        <f t="shared" si="322"/>
        <v>4</v>
      </c>
      <c r="AS335" s="18">
        <f t="shared" si="347"/>
        <v>6.685355949569888</v>
      </c>
      <c r="AT335" s="18">
        <f t="shared" si="347"/>
        <v>1.4502642277140807</v>
      </c>
      <c r="AU335" s="18">
        <f t="shared" si="347"/>
        <v>1.8826825031063801</v>
      </c>
      <c r="AV335" s="18">
        <f t="shared" si="347"/>
        <v>0.21406367914693625</v>
      </c>
      <c r="AW335" s="18">
        <f t="shared" si="347"/>
        <v>4.1462938299243071</v>
      </c>
      <c r="AX335" s="56">
        <f t="shared" si="323"/>
        <v>4</v>
      </c>
      <c r="AZ335" s="18">
        <f t="shared" si="348"/>
        <v>6.685355949569888</v>
      </c>
      <c r="BA335" s="18">
        <f t="shared" si="348"/>
        <v>1.4502642277140807</v>
      </c>
      <c r="BB335" s="18">
        <f t="shared" si="348"/>
        <v>1.8826825031063801</v>
      </c>
      <c r="BC335" s="18">
        <f t="shared" si="348"/>
        <v>0.21406367914693625</v>
      </c>
      <c r="BD335" s="18">
        <f t="shared" si="348"/>
        <v>4.1462938299243071</v>
      </c>
      <c r="BE335" s="56">
        <f t="shared" si="324"/>
        <v>4</v>
      </c>
      <c r="BG335" s="18">
        <f t="shared" si="349"/>
        <v>6.685355949569888</v>
      </c>
      <c r="BH335" s="18">
        <f t="shared" si="349"/>
        <v>1.4502642277140807</v>
      </c>
      <c r="BI335" s="18">
        <f t="shared" si="349"/>
        <v>1.8826825031063801</v>
      </c>
      <c r="BJ335" s="18">
        <f t="shared" si="349"/>
        <v>0.21406367914693625</v>
      </c>
      <c r="BK335" s="18">
        <f t="shared" si="349"/>
        <v>4.1462938299243071</v>
      </c>
      <c r="BL335" s="56">
        <f t="shared" si="325"/>
        <v>4</v>
      </c>
      <c r="BN335" s="18">
        <f t="shared" si="350"/>
        <v>6.685355949569888</v>
      </c>
      <c r="BO335" s="18">
        <f t="shared" si="350"/>
        <v>1.4502642277140807</v>
      </c>
      <c r="BP335" s="18">
        <f t="shared" si="350"/>
        <v>1.8826825031063801</v>
      </c>
      <c r="BQ335" s="18">
        <f t="shared" si="350"/>
        <v>0.21406367914693625</v>
      </c>
      <c r="BR335" s="18">
        <f t="shared" si="350"/>
        <v>4.1462938299243071</v>
      </c>
      <c r="BS335" s="56">
        <f t="shared" si="326"/>
        <v>4</v>
      </c>
      <c r="BU335" s="18">
        <f t="shared" si="351"/>
        <v>6.685355949569888</v>
      </c>
      <c r="BV335" s="18">
        <f t="shared" si="351"/>
        <v>1.4502642277140807</v>
      </c>
      <c r="BW335" s="18">
        <f t="shared" si="351"/>
        <v>1.8826825031063801</v>
      </c>
      <c r="BX335" s="18">
        <f t="shared" si="351"/>
        <v>0.21406367914693625</v>
      </c>
      <c r="BY335" s="18">
        <f t="shared" si="351"/>
        <v>4.1462938299243071</v>
      </c>
      <c r="BZ335" s="56">
        <f t="shared" si="327"/>
        <v>4</v>
      </c>
      <c r="CB335" s="18">
        <f t="shared" si="352"/>
        <v>6.685355949569888</v>
      </c>
      <c r="CC335" s="18">
        <f t="shared" si="352"/>
        <v>1.4502642277140807</v>
      </c>
      <c r="CD335" s="18">
        <f t="shared" si="352"/>
        <v>1.8826825031063801</v>
      </c>
      <c r="CE335" s="18">
        <f t="shared" si="352"/>
        <v>0.21406367914693625</v>
      </c>
      <c r="CF335" s="18">
        <f t="shared" si="352"/>
        <v>4.1462938299243071</v>
      </c>
      <c r="CG335" s="56">
        <f t="shared" si="328"/>
        <v>4</v>
      </c>
      <c r="CI335" s="18">
        <f t="shared" si="353"/>
        <v>6.685355949569888</v>
      </c>
      <c r="CJ335" s="18">
        <f t="shared" si="353"/>
        <v>1.4502642277140807</v>
      </c>
      <c r="CK335" s="18">
        <f t="shared" si="353"/>
        <v>1.8826825031063801</v>
      </c>
      <c r="CL335" s="18">
        <f t="shared" si="353"/>
        <v>0.21406367914693625</v>
      </c>
      <c r="CM335" s="18">
        <f t="shared" si="353"/>
        <v>4.1462938299243071</v>
      </c>
      <c r="CN335" s="56">
        <f t="shared" si="329"/>
        <v>4</v>
      </c>
      <c r="CP335" s="18">
        <f t="shared" si="354"/>
        <v>6.685355949569888</v>
      </c>
      <c r="CQ335" s="18">
        <f t="shared" si="354"/>
        <v>1.4502642277140807</v>
      </c>
      <c r="CR335" s="18">
        <f t="shared" si="354"/>
        <v>1.8826825031063801</v>
      </c>
      <c r="CS335" s="18">
        <f t="shared" si="354"/>
        <v>0.21406367914693625</v>
      </c>
      <c r="CT335" s="18">
        <f t="shared" si="354"/>
        <v>4.1462938299243071</v>
      </c>
      <c r="CU335" s="56">
        <f t="shared" si="330"/>
        <v>4</v>
      </c>
      <c r="CW335" s="18">
        <f t="shared" si="355"/>
        <v>6.685355949569888</v>
      </c>
      <c r="CX335" s="18">
        <f t="shared" si="355"/>
        <v>1.4502642277140807</v>
      </c>
      <c r="CY335" s="18">
        <f t="shared" si="355"/>
        <v>1.8826825031063801</v>
      </c>
      <c r="CZ335" s="18">
        <f t="shared" si="355"/>
        <v>0.21406367914693625</v>
      </c>
      <c r="DA335" s="18">
        <f t="shared" si="355"/>
        <v>4.1462938299243071</v>
      </c>
      <c r="DB335" s="56">
        <f t="shared" si="331"/>
        <v>4</v>
      </c>
    </row>
    <row r="336" spans="1:106" x14ac:dyDescent="0.25">
      <c r="A336" s="36" t="str">
        <f>KMeans_Data!A64</f>
        <v>Dadu</v>
      </c>
      <c r="B336" s="18">
        <f>KMeans_Data!H64</f>
        <v>-3.5913849611856918E-3</v>
      </c>
      <c r="C336" s="18">
        <f>KMeans_Data!I64</f>
        <v>-0.67265054538827607</v>
      </c>
      <c r="D336" s="18">
        <f>KMeans_Data!J64</f>
        <v>0.36412819234159388</v>
      </c>
      <c r="E336" s="56">
        <f t="shared" si="318"/>
        <v>4</v>
      </c>
      <c r="F336" s="38">
        <f t="shared" si="319"/>
        <v>0.5891528238218473</v>
      </c>
      <c r="G336" s="18">
        <f>IF(COUNTIF(Distance_Matrix!$E$11:$DQ$11,$E336)&lt;=1,0,SUMIF(Distance_Matrix!$E$11:$DQ$11,$E336,Distance_Matrix!$E$73:$DQ$73)/(COUNTIF(Distance_Matrix!$E$11:$DQ$11,$E336)-1))</f>
        <v>1.0212890976579831</v>
      </c>
      <c r="H336" s="18">
        <f>MIN(IF(1=$E336,1E+99,IF(COUNTIF(Distance_Matrix!$E$11:$DQ$11,1)=0,1E+99,SUMIF(Distance_Matrix!$E$11:$DQ$11,1,Distance_Matrix!$E$73:$DQ$73)/COUNTIF(Distance_Matrix!$E$11:$DQ$11,1))),IF(2=$E336,1E+99,IF(COUNTIF(Distance_Matrix!$E$11:$DQ$11,2)=0,1E+99,SUMIF(Distance_Matrix!$E$11:$DQ$11,2,Distance_Matrix!$E$73:$DQ$73)/COUNTIF(Distance_Matrix!$E$11:$DQ$11,2))),IF(3=$E336,1E+99,IF(COUNTIF(Distance_Matrix!$E$11:$DQ$11,3)=0,1E+99,SUMIF(Distance_Matrix!$E$11:$DQ$11,3,Distance_Matrix!$E$73:$DQ$73)/COUNTIF(Distance_Matrix!$E$11:$DQ$11,3))),IF(4=$E336,1E+99,IF(COUNTIF(Distance_Matrix!$E$11:$DQ$11,4)=0,1E+99,SUMIF(Distance_Matrix!$E$11:$DQ$11,4,Distance_Matrix!$E$73:$DQ$73)/COUNTIF(Distance_Matrix!$E$11:$DQ$11,4))),IF(5=$E336,1E+99,IF(COUNTIF(Distance_Matrix!$E$11:$DQ$11,5)=0,1E+99,SUMIF(Distance_Matrix!$E$11:$DQ$11,5,Distance_Matrix!$E$73:$DQ$73)/COUNTIF(Distance_Matrix!$E$11:$DQ$11,5))))</f>
        <v>1.5799957101366493</v>
      </c>
      <c r="I336" s="18">
        <f>IF(COUNTIF(Distance_Matrix!$E$11:$DQ$11,$E336)&lt;=1,0,(H336-G336)/MAX(G336,H336))</f>
        <v>0.35361274014493699</v>
      </c>
      <c r="X336" s="18">
        <f t="shared" si="344"/>
        <v>6.425480929982732</v>
      </c>
      <c r="Y336" s="18">
        <f t="shared" si="344"/>
        <v>2.5670600140280122</v>
      </c>
      <c r="Z336" s="18">
        <f t="shared" si="344"/>
        <v>1.8473451558485976</v>
      </c>
      <c r="AA336" s="18">
        <f t="shared" si="344"/>
        <v>1.7254805038734196</v>
      </c>
      <c r="AB336" s="18">
        <f t="shared" si="344"/>
        <v>4.2945122658508694</v>
      </c>
      <c r="AC336" s="56">
        <f t="shared" si="320"/>
        <v>4</v>
      </c>
      <c r="AE336" s="18">
        <f t="shared" si="345"/>
        <v>6.340043982635498</v>
      </c>
      <c r="AF336" s="18">
        <f t="shared" si="345"/>
        <v>1.7943968020460612</v>
      </c>
      <c r="AG336" s="18">
        <f t="shared" si="345"/>
        <v>1.3826559486706236</v>
      </c>
      <c r="AH336" s="18">
        <f t="shared" si="345"/>
        <v>0.8989849689503947</v>
      </c>
      <c r="AI336" s="18">
        <f t="shared" si="345"/>
        <v>4.0908748182084036</v>
      </c>
      <c r="AJ336" s="56">
        <f t="shared" si="321"/>
        <v>4</v>
      </c>
      <c r="AL336" s="18">
        <f t="shared" si="346"/>
        <v>6.340043982635498</v>
      </c>
      <c r="AM336" s="18">
        <f t="shared" si="346"/>
        <v>1.825319367487988</v>
      </c>
      <c r="AN336" s="18">
        <f t="shared" si="346"/>
        <v>1.465007114980033</v>
      </c>
      <c r="AO336" s="18">
        <f t="shared" si="346"/>
        <v>0.78239437809274215</v>
      </c>
      <c r="AP336" s="18">
        <f t="shared" si="346"/>
        <v>3.8286432392951557</v>
      </c>
      <c r="AQ336" s="56">
        <f t="shared" si="322"/>
        <v>4</v>
      </c>
      <c r="AS336" s="18">
        <f t="shared" si="347"/>
        <v>6.340043982635498</v>
      </c>
      <c r="AT336" s="18">
        <f t="shared" si="347"/>
        <v>1.9215598525730579</v>
      </c>
      <c r="AU336" s="18">
        <f t="shared" si="347"/>
        <v>1.4880741445482979</v>
      </c>
      <c r="AV336" s="18">
        <f t="shared" si="347"/>
        <v>0.7675629119634737</v>
      </c>
      <c r="AW336" s="18">
        <f t="shared" si="347"/>
        <v>3.8286432392951557</v>
      </c>
      <c r="AX336" s="56">
        <f t="shared" si="323"/>
        <v>4</v>
      </c>
      <c r="AZ336" s="18">
        <f t="shared" si="348"/>
        <v>6.340043982635498</v>
      </c>
      <c r="BA336" s="18">
        <f t="shared" si="348"/>
        <v>1.9215598525730579</v>
      </c>
      <c r="BB336" s="18">
        <f t="shared" si="348"/>
        <v>1.4880741445482979</v>
      </c>
      <c r="BC336" s="18">
        <f t="shared" si="348"/>
        <v>0.7675629119634737</v>
      </c>
      <c r="BD336" s="18">
        <f t="shared" si="348"/>
        <v>3.8286432392951557</v>
      </c>
      <c r="BE336" s="56">
        <f t="shared" si="324"/>
        <v>4</v>
      </c>
      <c r="BG336" s="18">
        <f t="shared" si="349"/>
        <v>6.340043982635498</v>
      </c>
      <c r="BH336" s="18">
        <f t="shared" si="349"/>
        <v>1.9215598525730579</v>
      </c>
      <c r="BI336" s="18">
        <f t="shared" si="349"/>
        <v>1.4880741445482979</v>
      </c>
      <c r="BJ336" s="18">
        <f t="shared" si="349"/>
        <v>0.7675629119634737</v>
      </c>
      <c r="BK336" s="18">
        <f t="shared" si="349"/>
        <v>3.8286432392951557</v>
      </c>
      <c r="BL336" s="56">
        <f t="shared" si="325"/>
        <v>4</v>
      </c>
      <c r="BN336" s="18">
        <f t="shared" si="350"/>
        <v>6.340043982635498</v>
      </c>
      <c r="BO336" s="18">
        <f t="shared" si="350"/>
        <v>1.9215598525730579</v>
      </c>
      <c r="BP336" s="18">
        <f t="shared" si="350"/>
        <v>1.4880741445482979</v>
      </c>
      <c r="BQ336" s="18">
        <f t="shared" si="350"/>
        <v>0.7675629119634737</v>
      </c>
      <c r="BR336" s="18">
        <f t="shared" si="350"/>
        <v>3.8286432392951557</v>
      </c>
      <c r="BS336" s="56">
        <f t="shared" si="326"/>
        <v>4</v>
      </c>
      <c r="BU336" s="18">
        <f t="shared" si="351"/>
        <v>6.340043982635498</v>
      </c>
      <c r="BV336" s="18">
        <f t="shared" si="351"/>
        <v>1.9215598525730579</v>
      </c>
      <c r="BW336" s="18">
        <f t="shared" si="351"/>
        <v>1.4880741445482979</v>
      </c>
      <c r="BX336" s="18">
        <f t="shared" si="351"/>
        <v>0.7675629119634737</v>
      </c>
      <c r="BY336" s="18">
        <f t="shared" si="351"/>
        <v>3.8286432392951557</v>
      </c>
      <c r="BZ336" s="56">
        <f t="shared" si="327"/>
        <v>4</v>
      </c>
      <c r="CB336" s="18">
        <f t="shared" si="352"/>
        <v>6.340043982635498</v>
      </c>
      <c r="CC336" s="18">
        <f t="shared" si="352"/>
        <v>1.9215598525730579</v>
      </c>
      <c r="CD336" s="18">
        <f t="shared" si="352"/>
        <v>1.4880741445482979</v>
      </c>
      <c r="CE336" s="18">
        <f t="shared" si="352"/>
        <v>0.7675629119634737</v>
      </c>
      <c r="CF336" s="18">
        <f t="shared" si="352"/>
        <v>3.8286432392951557</v>
      </c>
      <c r="CG336" s="56">
        <f t="shared" si="328"/>
        <v>4</v>
      </c>
      <c r="CI336" s="18">
        <f t="shared" si="353"/>
        <v>6.340043982635498</v>
      </c>
      <c r="CJ336" s="18">
        <f t="shared" si="353"/>
        <v>1.9215598525730579</v>
      </c>
      <c r="CK336" s="18">
        <f t="shared" si="353"/>
        <v>1.4880741445482979</v>
      </c>
      <c r="CL336" s="18">
        <f t="shared" si="353"/>
        <v>0.7675629119634737</v>
      </c>
      <c r="CM336" s="18">
        <f t="shared" si="353"/>
        <v>3.8286432392951557</v>
      </c>
      <c r="CN336" s="56">
        <f t="shared" si="329"/>
        <v>4</v>
      </c>
      <c r="CP336" s="18">
        <f t="shared" si="354"/>
        <v>6.340043982635498</v>
      </c>
      <c r="CQ336" s="18">
        <f t="shared" si="354"/>
        <v>1.9215598525730579</v>
      </c>
      <c r="CR336" s="18">
        <f t="shared" si="354"/>
        <v>1.4880741445482979</v>
      </c>
      <c r="CS336" s="18">
        <f t="shared" si="354"/>
        <v>0.7675629119634737</v>
      </c>
      <c r="CT336" s="18">
        <f t="shared" si="354"/>
        <v>3.8286432392951557</v>
      </c>
      <c r="CU336" s="56">
        <f t="shared" si="330"/>
        <v>4</v>
      </c>
      <c r="CW336" s="18">
        <f t="shared" si="355"/>
        <v>6.340043982635498</v>
      </c>
      <c r="CX336" s="18">
        <f t="shared" si="355"/>
        <v>1.9215598525730579</v>
      </c>
      <c r="CY336" s="18">
        <f t="shared" si="355"/>
        <v>1.4880741445482979</v>
      </c>
      <c r="CZ336" s="18">
        <f t="shared" si="355"/>
        <v>0.7675629119634737</v>
      </c>
      <c r="DA336" s="18">
        <f t="shared" si="355"/>
        <v>3.8286432392951557</v>
      </c>
      <c r="DB336" s="56">
        <f t="shared" si="331"/>
        <v>4</v>
      </c>
    </row>
    <row r="337" spans="1:106" x14ac:dyDescent="0.25">
      <c r="A337" s="36" t="str">
        <f>KMeans_Data!A65</f>
        <v>Other</v>
      </c>
      <c r="B337" s="18">
        <f>KMeans_Data!H65</f>
        <v>-3.3340625617315857E-2</v>
      </c>
      <c r="C337" s="18">
        <f>KMeans_Data!I65</f>
        <v>0.54791138584450239</v>
      </c>
      <c r="D337" s="18">
        <f>KMeans_Data!J65</f>
        <v>0.50187184530158635</v>
      </c>
      <c r="E337" s="56">
        <f t="shared" si="318"/>
        <v>3</v>
      </c>
      <c r="F337" s="38">
        <f t="shared" si="319"/>
        <v>0.55347253271425545</v>
      </c>
      <c r="G337" s="18">
        <f>IF(COUNTIF(Distance_Matrix!$E$11:$DQ$11,$E337)&lt;=1,0,SUMIF(Distance_Matrix!$E$11:$DQ$11,$E337,Distance_Matrix!$E$74:$DQ$74)/(COUNTIF(Distance_Matrix!$E$11:$DQ$11,$E337)-1))</f>
        <v>1.035210149960017</v>
      </c>
      <c r="H337" s="18">
        <f>MIN(IF(1=$E337,1E+99,IF(COUNTIF(Distance_Matrix!$E$11:$DQ$11,1)=0,1E+99,SUMIF(Distance_Matrix!$E$11:$DQ$11,1,Distance_Matrix!$E$74:$DQ$74)/COUNTIF(Distance_Matrix!$E$11:$DQ$11,1))),IF(2=$E337,1E+99,IF(COUNTIF(Distance_Matrix!$E$11:$DQ$11,2)=0,1E+99,SUMIF(Distance_Matrix!$E$11:$DQ$11,2,Distance_Matrix!$E$74:$DQ$74)/COUNTIF(Distance_Matrix!$E$11:$DQ$11,2))),IF(3=$E337,1E+99,IF(COUNTIF(Distance_Matrix!$E$11:$DQ$11,3)=0,1E+99,SUMIF(Distance_Matrix!$E$11:$DQ$11,3,Distance_Matrix!$E$74:$DQ$74)/COUNTIF(Distance_Matrix!$E$11:$DQ$11,3))),IF(4=$E337,1E+99,IF(COUNTIF(Distance_Matrix!$E$11:$DQ$11,4)=0,1E+99,SUMIF(Distance_Matrix!$E$11:$DQ$11,4,Distance_Matrix!$E$74:$DQ$74)/COUNTIF(Distance_Matrix!$E$11:$DQ$11,4))),IF(5=$E337,1E+99,IF(COUNTIF(Distance_Matrix!$E$11:$DQ$11,5)=0,1E+99,SUMIF(Distance_Matrix!$E$11:$DQ$11,5,Distance_Matrix!$E$74:$DQ$74)/COUNTIF(Distance_Matrix!$E$11:$DQ$11,5))))</f>
        <v>1.5246119079365912</v>
      </c>
      <c r="I337" s="18">
        <f>IF(COUNTIF(Distance_Matrix!$E$11:$DQ$11,$E337)&lt;=1,0,(H337-G337)/MAX(G337,H337))</f>
        <v>0.32100087597959942</v>
      </c>
      <c r="X337" s="18">
        <f t="shared" ref="X337:AB346" si="356">SQRT(($B337-X$270)^2+($C337-X$271)^2+($D337-X$272)^2)</f>
        <v>5.5402469095381823</v>
      </c>
      <c r="Y337" s="18">
        <f t="shared" si="356"/>
        <v>2.8968642376235647</v>
      </c>
      <c r="Z337" s="18">
        <f t="shared" si="356"/>
        <v>1.4536312781079959</v>
      </c>
      <c r="AA337" s="18">
        <f t="shared" si="356"/>
        <v>1.9126543913823548</v>
      </c>
      <c r="AB337" s="18">
        <f t="shared" si="356"/>
        <v>3.5068246288792948</v>
      </c>
      <c r="AC337" s="56">
        <f t="shared" si="320"/>
        <v>3</v>
      </c>
      <c r="AE337" s="18">
        <f t="shared" ref="AE337:AI346" si="357">SQRT(($B337-AE$270)^2+($C337-AE$271)^2+($D337-AE$272)^2)</f>
        <v>5.4348664576986163</v>
      </c>
      <c r="AF337" s="18">
        <f t="shared" si="357"/>
        <v>2.2288986518393576</v>
      </c>
      <c r="AG337" s="18">
        <f t="shared" si="357"/>
        <v>0.67718190691932634</v>
      </c>
      <c r="AH337" s="18">
        <f t="shared" si="357"/>
        <v>1.4519846901142246</v>
      </c>
      <c r="AI337" s="18">
        <f t="shared" si="357"/>
        <v>3.1842491569861471</v>
      </c>
      <c r="AJ337" s="56">
        <f t="shared" si="321"/>
        <v>3</v>
      </c>
      <c r="AL337" s="18">
        <f t="shared" ref="AL337:AP346" si="358">SQRT(($B337-AL$270)^2+($C337-AL$271)^2+($D337-AL$272)^2)</f>
        <v>5.4348664576986163</v>
      </c>
      <c r="AM337" s="18">
        <f t="shared" si="358"/>
        <v>2.257060164161913</v>
      </c>
      <c r="AN337" s="18">
        <f t="shared" si="358"/>
        <v>0.71878977945697986</v>
      </c>
      <c r="AO337" s="18">
        <f t="shared" si="358"/>
        <v>1.3909639687913278</v>
      </c>
      <c r="AP337" s="18">
        <f t="shared" si="358"/>
        <v>2.9088125928437032</v>
      </c>
      <c r="AQ337" s="56">
        <f t="shared" si="322"/>
        <v>3</v>
      </c>
      <c r="AS337" s="18">
        <f t="shared" ref="AS337:AW346" si="359">SQRT(($B337-AS$270)^2+($C337-AS$271)^2+($D337-AS$272)^2)</f>
        <v>5.4348664576986163</v>
      </c>
      <c r="AT337" s="18">
        <f t="shared" si="359"/>
        <v>2.3390221794907884</v>
      </c>
      <c r="AU337" s="18">
        <f t="shared" si="359"/>
        <v>0.74395734603151509</v>
      </c>
      <c r="AV337" s="18">
        <f t="shared" si="359"/>
        <v>1.3759575156052706</v>
      </c>
      <c r="AW337" s="18">
        <f t="shared" si="359"/>
        <v>2.9088125928437032</v>
      </c>
      <c r="AX337" s="56">
        <f t="shared" si="323"/>
        <v>3</v>
      </c>
      <c r="AZ337" s="18">
        <f t="shared" ref="AZ337:BD346" si="360">SQRT(($B337-AZ$270)^2+($C337-AZ$271)^2+($D337-AZ$272)^2)</f>
        <v>5.4348664576986163</v>
      </c>
      <c r="BA337" s="18">
        <f t="shared" si="360"/>
        <v>2.3390221794907884</v>
      </c>
      <c r="BB337" s="18">
        <f t="shared" si="360"/>
        <v>0.74395734603151509</v>
      </c>
      <c r="BC337" s="18">
        <f t="shared" si="360"/>
        <v>1.3759575156052706</v>
      </c>
      <c r="BD337" s="18">
        <f t="shared" si="360"/>
        <v>2.9088125928437032</v>
      </c>
      <c r="BE337" s="56">
        <f t="shared" si="324"/>
        <v>3</v>
      </c>
      <c r="BG337" s="18">
        <f t="shared" ref="BG337:BK346" si="361">SQRT(($B337-BG$270)^2+($C337-BG$271)^2+($D337-BG$272)^2)</f>
        <v>5.4348664576986163</v>
      </c>
      <c r="BH337" s="18">
        <f t="shared" si="361"/>
        <v>2.3390221794907884</v>
      </c>
      <c r="BI337" s="18">
        <f t="shared" si="361"/>
        <v>0.74395734603151509</v>
      </c>
      <c r="BJ337" s="18">
        <f t="shared" si="361"/>
        <v>1.3759575156052706</v>
      </c>
      <c r="BK337" s="18">
        <f t="shared" si="361"/>
        <v>2.9088125928437032</v>
      </c>
      <c r="BL337" s="56">
        <f t="shared" si="325"/>
        <v>3</v>
      </c>
      <c r="BN337" s="18">
        <f t="shared" ref="BN337:BR346" si="362">SQRT(($B337-BN$270)^2+($C337-BN$271)^2+($D337-BN$272)^2)</f>
        <v>5.4348664576986163</v>
      </c>
      <c r="BO337" s="18">
        <f t="shared" si="362"/>
        <v>2.3390221794907884</v>
      </c>
      <c r="BP337" s="18">
        <f t="shared" si="362"/>
        <v>0.74395734603151509</v>
      </c>
      <c r="BQ337" s="18">
        <f t="shared" si="362"/>
        <v>1.3759575156052706</v>
      </c>
      <c r="BR337" s="18">
        <f t="shared" si="362"/>
        <v>2.9088125928437032</v>
      </c>
      <c r="BS337" s="56">
        <f t="shared" si="326"/>
        <v>3</v>
      </c>
      <c r="BU337" s="18">
        <f t="shared" ref="BU337:BY346" si="363">SQRT(($B337-BU$270)^2+($C337-BU$271)^2+($D337-BU$272)^2)</f>
        <v>5.4348664576986163</v>
      </c>
      <c r="BV337" s="18">
        <f t="shared" si="363"/>
        <v>2.3390221794907884</v>
      </c>
      <c r="BW337" s="18">
        <f t="shared" si="363"/>
        <v>0.74395734603151509</v>
      </c>
      <c r="BX337" s="18">
        <f t="shared" si="363"/>
        <v>1.3759575156052706</v>
      </c>
      <c r="BY337" s="18">
        <f t="shared" si="363"/>
        <v>2.9088125928437032</v>
      </c>
      <c r="BZ337" s="56">
        <f t="shared" si="327"/>
        <v>3</v>
      </c>
      <c r="CB337" s="18">
        <f t="shared" ref="CB337:CF346" si="364">SQRT(($B337-CB$270)^2+($C337-CB$271)^2+($D337-CB$272)^2)</f>
        <v>5.4348664576986163</v>
      </c>
      <c r="CC337" s="18">
        <f t="shared" si="364"/>
        <v>2.3390221794907884</v>
      </c>
      <c r="CD337" s="18">
        <f t="shared" si="364"/>
        <v>0.74395734603151509</v>
      </c>
      <c r="CE337" s="18">
        <f t="shared" si="364"/>
        <v>1.3759575156052706</v>
      </c>
      <c r="CF337" s="18">
        <f t="shared" si="364"/>
        <v>2.9088125928437032</v>
      </c>
      <c r="CG337" s="56">
        <f t="shared" si="328"/>
        <v>3</v>
      </c>
      <c r="CI337" s="18">
        <f t="shared" ref="CI337:CM346" si="365">SQRT(($B337-CI$270)^2+($C337-CI$271)^2+($D337-CI$272)^2)</f>
        <v>5.4348664576986163</v>
      </c>
      <c r="CJ337" s="18">
        <f t="shared" si="365"/>
        <v>2.3390221794907884</v>
      </c>
      <c r="CK337" s="18">
        <f t="shared" si="365"/>
        <v>0.74395734603151509</v>
      </c>
      <c r="CL337" s="18">
        <f t="shared" si="365"/>
        <v>1.3759575156052706</v>
      </c>
      <c r="CM337" s="18">
        <f t="shared" si="365"/>
        <v>2.9088125928437032</v>
      </c>
      <c r="CN337" s="56">
        <f t="shared" si="329"/>
        <v>3</v>
      </c>
      <c r="CP337" s="18">
        <f t="shared" ref="CP337:CT346" si="366">SQRT(($B337-CP$270)^2+($C337-CP$271)^2+($D337-CP$272)^2)</f>
        <v>5.4348664576986163</v>
      </c>
      <c r="CQ337" s="18">
        <f t="shared" si="366"/>
        <v>2.3390221794907884</v>
      </c>
      <c r="CR337" s="18">
        <f t="shared" si="366"/>
        <v>0.74395734603151509</v>
      </c>
      <c r="CS337" s="18">
        <f t="shared" si="366"/>
        <v>1.3759575156052706</v>
      </c>
      <c r="CT337" s="18">
        <f t="shared" si="366"/>
        <v>2.9088125928437032</v>
      </c>
      <c r="CU337" s="56">
        <f t="shared" si="330"/>
        <v>3</v>
      </c>
      <c r="CW337" s="18">
        <f t="shared" ref="CW337:DA346" si="367">SQRT(($B337-CW$270)^2+($C337-CW$271)^2+($D337-CW$272)^2)</f>
        <v>5.4348664576986163</v>
      </c>
      <c r="CX337" s="18">
        <f t="shared" si="367"/>
        <v>2.3390221794907884</v>
      </c>
      <c r="CY337" s="18">
        <f t="shared" si="367"/>
        <v>0.74395734603151509</v>
      </c>
      <c r="CZ337" s="18">
        <f t="shared" si="367"/>
        <v>1.3759575156052706</v>
      </c>
      <c r="DA337" s="18">
        <f t="shared" si="367"/>
        <v>2.9088125928437032</v>
      </c>
      <c r="DB337" s="56">
        <f t="shared" si="331"/>
        <v>3</v>
      </c>
    </row>
    <row r="338" spans="1:106" x14ac:dyDescent="0.25">
      <c r="A338" s="36" t="str">
        <f>KMeans_Data!A66</f>
        <v>Thatta</v>
      </c>
      <c r="B338" s="18">
        <f>KMeans_Data!H66</f>
        <v>-4.3647299394291184E-2</v>
      </c>
      <c r="C338" s="18">
        <f>KMeans_Data!I66</f>
        <v>0.16051258962499582</v>
      </c>
      <c r="D338" s="18">
        <f>KMeans_Data!J66</f>
        <v>4.2930091906806002E-2</v>
      </c>
      <c r="E338" s="56">
        <f t="shared" si="318"/>
        <v>4</v>
      </c>
      <c r="F338" s="38">
        <f t="shared" si="319"/>
        <v>0.6289846641074256</v>
      </c>
      <c r="G338" s="18">
        <f>IF(COUNTIF(Distance_Matrix!$E$11:$DQ$11,$E338)&lt;=1,0,SUMIF(Distance_Matrix!$E$11:$DQ$11,$E338,Distance_Matrix!$E$75:$DQ$75)/(COUNTIF(Distance_Matrix!$E$11:$DQ$11,$E338)-1))</f>
        <v>1.0786665158932298</v>
      </c>
      <c r="H338" s="18">
        <f>MIN(IF(1=$E338,1E+99,IF(COUNTIF(Distance_Matrix!$E$11:$DQ$11,1)=0,1E+99,SUMIF(Distance_Matrix!$E$11:$DQ$11,1,Distance_Matrix!$E$75:$DQ$75)/COUNTIF(Distance_Matrix!$E$11:$DQ$11,1))),IF(2=$E338,1E+99,IF(COUNTIF(Distance_Matrix!$E$11:$DQ$11,2)=0,1E+99,SUMIF(Distance_Matrix!$E$11:$DQ$11,2,Distance_Matrix!$E$75:$DQ$75)/COUNTIF(Distance_Matrix!$E$11:$DQ$11,2))),IF(3=$E338,1E+99,IF(COUNTIF(Distance_Matrix!$E$11:$DQ$11,3)=0,1E+99,SUMIF(Distance_Matrix!$E$11:$DQ$11,3,Distance_Matrix!$E$75:$DQ$75)/COUNTIF(Distance_Matrix!$E$11:$DQ$11,3))),IF(4=$E338,1E+99,IF(COUNTIF(Distance_Matrix!$E$11:$DQ$11,4)=0,1E+99,SUMIF(Distance_Matrix!$E$11:$DQ$11,4,Distance_Matrix!$E$75:$DQ$75)/COUNTIF(Distance_Matrix!$E$11:$DQ$11,4))),IF(5=$E338,1E+99,IF(COUNTIF(Distance_Matrix!$E$11:$DQ$11,5)=0,1E+99,SUMIF(Distance_Matrix!$E$11:$DQ$11,5,Distance_Matrix!$E$75:$DQ$75)/COUNTIF(Distance_Matrix!$E$11:$DQ$11,5))))</f>
        <v>1.2905534546020232</v>
      </c>
      <c r="I338" s="18">
        <f>IF(COUNTIF(Distance_Matrix!$E$11:$DQ$11,$E338)&lt;=1,0,(H338-G338)/MAX(G338,H338))</f>
        <v>0.16418300067557792</v>
      </c>
      <c r="X338" s="18">
        <f t="shared" si="356"/>
        <v>6.0293492978854237</v>
      </c>
      <c r="Y338" s="18">
        <f t="shared" si="356"/>
        <v>2.5005068936182209</v>
      </c>
      <c r="Z338" s="18">
        <f t="shared" si="356"/>
        <v>1.8038318241503604</v>
      </c>
      <c r="AA338" s="18">
        <f t="shared" si="356"/>
        <v>1.4079860881806245</v>
      </c>
      <c r="AB338" s="18">
        <f t="shared" si="356"/>
        <v>3.9721428969555554</v>
      </c>
      <c r="AC338" s="56">
        <f t="shared" si="320"/>
        <v>4</v>
      </c>
      <c r="AE338" s="18">
        <f t="shared" si="357"/>
        <v>5.9143337751892124</v>
      </c>
      <c r="AF338" s="18">
        <f t="shared" si="357"/>
        <v>1.7474790521420629</v>
      </c>
      <c r="AG338" s="18">
        <f t="shared" si="357"/>
        <v>1.0536749662674543</v>
      </c>
      <c r="AH338" s="18">
        <f t="shared" si="357"/>
        <v>0.85588585034056364</v>
      </c>
      <c r="AI338" s="18">
        <f t="shared" si="357"/>
        <v>3.642347713017041</v>
      </c>
      <c r="AJ338" s="56">
        <f t="shared" si="321"/>
        <v>4</v>
      </c>
      <c r="AL338" s="18">
        <f t="shared" si="358"/>
        <v>5.9143337751892124</v>
      </c>
      <c r="AM338" s="18">
        <f t="shared" si="358"/>
        <v>1.770295501769432</v>
      </c>
      <c r="AN338" s="18">
        <f t="shared" si="358"/>
        <v>1.1067277575362282</v>
      </c>
      <c r="AO338" s="18">
        <f t="shared" si="358"/>
        <v>0.80483225510787015</v>
      </c>
      <c r="AP338" s="18">
        <f t="shared" si="358"/>
        <v>3.3691478344174928</v>
      </c>
      <c r="AQ338" s="56">
        <f t="shared" si="322"/>
        <v>4</v>
      </c>
      <c r="AS338" s="18">
        <f t="shared" si="359"/>
        <v>5.9143337751892124</v>
      </c>
      <c r="AT338" s="18">
        <f t="shared" si="359"/>
        <v>1.8521388681563755</v>
      </c>
      <c r="AU338" s="18">
        <f t="shared" si="359"/>
        <v>1.133895848275043</v>
      </c>
      <c r="AV338" s="18">
        <f t="shared" si="359"/>
        <v>0.79308553391637748</v>
      </c>
      <c r="AW338" s="18">
        <f t="shared" si="359"/>
        <v>3.3691478344174928</v>
      </c>
      <c r="AX338" s="56">
        <f t="shared" si="323"/>
        <v>4</v>
      </c>
      <c r="AZ338" s="18">
        <f t="shared" si="360"/>
        <v>5.9143337751892124</v>
      </c>
      <c r="BA338" s="18">
        <f t="shared" si="360"/>
        <v>1.8521388681563755</v>
      </c>
      <c r="BB338" s="18">
        <f t="shared" si="360"/>
        <v>1.133895848275043</v>
      </c>
      <c r="BC338" s="18">
        <f t="shared" si="360"/>
        <v>0.79308553391637748</v>
      </c>
      <c r="BD338" s="18">
        <f t="shared" si="360"/>
        <v>3.3691478344174928</v>
      </c>
      <c r="BE338" s="56">
        <f t="shared" si="324"/>
        <v>4</v>
      </c>
      <c r="BG338" s="18">
        <f t="shared" si="361"/>
        <v>5.9143337751892124</v>
      </c>
      <c r="BH338" s="18">
        <f t="shared" si="361"/>
        <v>1.8521388681563755</v>
      </c>
      <c r="BI338" s="18">
        <f t="shared" si="361"/>
        <v>1.133895848275043</v>
      </c>
      <c r="BJ338" s="18">
        <f t="shared" si="361"/>
        <v>0.79308553391637748</v>
      </c>
      <c r="BK338" s="18">
        <f t="shared" si="361"/>
        <v>3.3691478344174928</v>
      </c>
      <c r="BL338" s="56">
        <f t="shared" si="325"/>
        <v>4</v>
      </c>
      <c r="BN338" s="18">
        <f t="shared" si="362"/>
        <v>5.9143337751892124</v>
      </c>
      <c r="BO338" s="18">
        <f t="shared" si="362"/>
        <v>1.8521388681563755</v>
      </c>
      <c r="BP338" s="18">
        <f t="shared" si="362"/>
        <v>1.133895848275043</v>
      </c>
      <c r="BQ338" s="18">
        <f t="shared" si="362"/>
        <v>0.79308553391637748</v>
      </c>
      <c r="BR338" s="18">
        <f t="shared" si="362"/>
        <v>3.3691478344174928</v>
      </c>
      <c r="BS338" s="56">
        <f t="shared" si="326"/>
        <v>4</v>
      </c>
      <c r="BU338" s="18">
        <f t="shared" si="363"/>
        <v>5.9143337751892124</v>
      </c>
      <c r="BV338" s="18">
        <f t="shared" si="363"/>
        <v>1.8521388681563755</v>
      </c>
      <c r="BW338" s="18">
        <f t="shared" si="363"/>
        <v>1.133895848275043</v>
      </c>
      <c r="BX338" s="18">
        <f t="shared" si="363"/>
        <v>0.79308553391637748</v>
      </c>
      <c r="BY338" s="18">
        <f t="shared" si="363"/>
        <v>3.3691478344174928</v>
      </c>
      <c r="BZ338" s="56">
        <f t="shared" si="327"/>
        <v>4</v>
      </c>
      <c r="CB338" s="18">
        <f t="shared" si="364"/>
        <v>5.9143337751892124</v>
      </c>
      <c r="CC338" s="18">
        <f t="shared" si="364"/>
        <v>1.8521388681563755</v>
      </c>
      <c r="CD338" s="18">
        <f t="shared" si="364"/>
        <v>1.133895848275043</v>
      </c>
      <c r="CE338" s="18">
        <f t="shared" si="364"/>
        <v>0.79308553391637748</v>
      </c>
      <c r="CF338" s="18">
        <f t="shared" si="364"/>
        <v>3.3691478344174928</v>
      </c>
      <c r="CG338" s="56">
        <f t="shared" si="328"/>
        <v>4</v>
      </c>
      <c r="CI338" s="18">
        <f t="shared" si="365"/>
        <v>5.9143337751892124</v>
      </c>
      <c r="CJ338" s="18">
        <f t="shared" si="365"/>
        <v>1.8521388681563755</v>
      </c>
      <c r="CK338" s="18">
        <f t="shared" si="365"/>
        <v>1.133895848275043</v>
      </c>
      <c r="CL338" s="18">
        <f t="shared" si="365"/>
        <v>0.79308553391637748</v>
      </c>
      <c r="CM338" s="18">
        <f t="shared" si="365"/>
        <v>3.3691478344174928</v>
      </c>
      <c r="CN338" s="56">
        <f t="shared" si="329"/>
        <v>4</v>
      </c>
      <c r="CP338" s="18">
        <f t="shared" si="366"/>
        <v>5.9143337751892124</v>
      </c>
      <c r="CQ338" s="18">
        <f t="shared" si="366"/>
        <v>1.8521388681563755</v>
      </c>
      <c r="CR338" s="18">
        <f t="shared" si="366"/>
        <v>1.133895848275043</v>
      </c>
      <c r="CS338" s="18">
        <f t="shared" si="366"/>
        <v>0.79308553391637748</v>
      </c>
      <c r="CT338" s="18">
        <f t="shared" si="366"/>
        <v>3.3691478344174928</v>
      </c>
      <c r="CU338" s="56">
        <f t="shared" si="330"/>
        <v>4</v>
      </c>
      <c r="CW338" s="18">
        <f t="shared" si="367"/>
        <v>5.9143337751892124</v>
      </c>
      <c r="CX338" s="18">
        <f t="shared" si="367"/>
        <v>1.8521388681563755</v>
      </c>
      <c r="CY338" s="18">
        <f t="shared" si="367"/>
        <v>1.133895848275043</v>
      </c>
      <c r="CZ338" s="18">
        <f t="shared" si="367"/>
        <v>0.79308553391637748</v>
      </c>
      <c r="DA338" s="18">
        <f t="shared" si="367"/>
        <v>3.3691478344174928</v>
      </c>
      <c r="DB338" s="56">
        <f t="shared" si="331"/>
        <v>4</v>
      </c>
    </row>
    <row r="339" spans="1:106" x14ac:dyDescent="0.25">
      <c r="A339" s="36" t="str">
        <f>KMeans_Data!A67</f>
        <v>Hafizabad</v>
      </c>
      <c r="B339" s="18">
        <f>KMeans_Data!H67</f>
        <v>-6.4893923599903938E-2</v>
      </c>
      <c r="C339" s="18">
        <f>KMeans_Data!I67</f>
        <v>-0.67265054538827607</v>
      </c>
      <c r="D339" s="18">
        <f>KMeans_Data!J67</f>
        <v>-0.82444601589876665</v>
      </c>
      <c r="E339" s="56">
        <f t="shared" si="318"/>
        <v>4</v>
      </c>
      <c r="F339" s="38">
        <f t="shared" si="319"/>
        <v>0.23308343999434836</v>
      </c>
      <c r="G339" s="18">
        <f>IF(COUNTIF(Distance_Matrix!$E$11:$DQ$11,$E339)&lt;=1,0,SUMIF(Distance_Matrix!$E$11:$DQ$11,$E339,Distance_Matrix!$E$76:$DQ$76)/(COUNTIF(Distance_Matrix!$E$11:$DQ$11,$E339)-1))</f>
        <v>0.84715450734707076</v>
      </c>
      <c r="H339" s="18">
        <f>MIN(IF(1=$E339,1E+99,IF(COUNTIF(Distance_Matrix!$E$11:$DQ$11,1)=0,1E+99,SUMIF(Distance_Matrix!$E$11:$DQ$11,1,Distance_Matrix!$E$76:$DQ$76)/COUNTIF(Distance_Matrix!$E$11:$DQ$11,1))),IF(2=$E339,1E+99,IF(COUNTIF(Distance_Matrix!$E$11:$DQ$11,2)=0,1E+99,SUMIF(Distance_Matrix!$E$11:$DQ$11,2,Distance_Matrix!$E$76:$DQ$76)/COUNTIF(Distance_Matrix!$E$11:$DQ$11,2))),IF(3=$E339,1E+99,IF(COUNTIF(Distance_Matrix!$E$11:$DQ$11,3)=0,1E+99,SUMIF(Distance_Matrix!$E$11:$DQ$11,3,Distance_Matrix!$E$76:$DQ$76)/COUNTIF(Distance_Matrix!$E$11:$DQ$11,3))),IF(4=$E339,1E+99,IF(COUNTIF(Distance_Matrix!$E$11:$DQ$11,4)=0,1E+99,SUMIF(Distance_Matrix!$E$11:$DQ$11,4,Distance_Matrix!$E$76:$DQ$76)/COUNTIF(Distance_Matrix!$E$11:$DQ$11,4))),IF(5=$E339,1E+99,IF(COUNTIF(Distance_Matrix!$E$11:$DQ$11,5)=0,1E+99,SUMIF(Distance_Matrix!$E$11:$DQ$11,5,Distance_Matrix!$E$76:$DQ$76)/COUNTIF(Distance_Matrix!$E$11:$DQ$11,5))))</f>
        <v>1.2603308784323841</v>
      </c>
      <c r="I339" s="18">
        <f>IF(COUNTIF(Distance_Matrix!$E$11:$DQ$11,$E339)&lt;=1,0,(H339-G339)/MAX(G339,H339))</f>
        <v>0.32783166560135979</v>
      </c>
      <c r="X339" s="18">
        <f t="shared" si="356"/>
        <v>7.0690702006543615</v>
      </c>
      <c r="Y339" s="18">
        <f t="shared" si="356"/>
        <v>2.0402854698792918</v>
      </c>
      <c r="Z339" s="18">
        <f t="shared" si="356"/>
        <v>2.7543705577879942</v>
      </c>
      <c r="AA339" s="18">
        <f t="shared" si="356"/>
        <v>0.94042537367600576</v>
      </c>
      <c r="AB339" s="18">
        <f t="shared" si="356"/>
        <v>4.9923442103192253</v>
      </c>
      <c r="AC339" s="56">
        <f t="shared" si="320"/>
        <v>4</v>
      </c>
      <c r="AE339" s="18">
        <f t="shared" si="357"/>
        <v>6.9425876298228575</v>
      </c>
      <c r="AF339" s="18">
        <f t="shared" si="357"/>
        <v>1.1814710296522259</v>
      </c>
      <c r="AG339" s="18">
        <f t="shared" si="357"/>
        <v>2.1310522727088261</v>
      </c>
      <c r="AH339" s="18">
        <f t="shared" si="357"/>
        <v>0.36066025239919713</v>
      </c>
      <c r="AI339" s="18">
        <f t="shared" si="357"/>
        <v>4.6683775524344124</v>
      </c>
      <c r="AJ339" s="56">
        <f t="shared" si="321"/>
        <v>4</v>
      </c>
      <c r="AL339" s="18">
        <f t="shared" si="358"/>
        <v>6.9425876298228575</v>
      </c>
      <c r="AM339" s="18">
        <f t="shared" si="358"/>
        <v>1.1786013682287739</v>
      </c>
      <c r="AN339" s="18">
        <f t="shared" si="358"/>
        <v>2.1858419554003174</v>
      </c>
      <c r="AO339" s="18">
        <f t="shared" si="358"/>
        <v>0.45633061799375191</v>
      </c>
      <c r="AP339" s="18">
        <f t="shared" si="358"/>
        <v>4.4043126173742255</v>
      </c>
      <c r="AQ339" s="56">
        <f t="shared" si="322"/>
        <v>4</v>
      </c>
      <c r="AS339" s="18">
        <f t="shared" si="359"/>
        <v>6.9425876298228575</v>
      </c>
      <c r="AT339" s="18">
        <f t="shared" si="359"/>
        <v>1.2386414747982963</v>
      </c>
      <c r="AU339" s="18">
        <f t="shared" si="359"/>
        <v>2.210574010667989</v>
      </c>
      <c r="AV339" s="18">
        <f t="shared" si="359"/>
        <v>0.48278715806693567</v>
      </c>
      <c r="AW339" s="18">
        <f t="shared" si="359"/>
        <v>4.4043126173742255</v>
      </c>
      <c r="AX339" s="56">
        <f t="shared" si="323"/>
        <v>4</v>
      </c>
      <c r="AZ339" s="18">
        <f t="shared" si="360"/>
        <v>6.9425876298228575</v>
      </c>
      <c r="BA339" s="18">
        <f t="shared" si="360"/>
        <v>1.2386414747982963</v>
      </c>
      <c r="BB339" s="18">
        <f t="shared" si="360"/>
        <v>2.210574010667989</v>
      </c>
      <c r="BC339" s="18">
        <f t="shared" si="360"/>
        <v>0.48278715806693567</v>
      </c>
      <c r="BD339" s="18">
        <f t="shared" si="360"/>
        <v>4.4043126173742255</v>
      </c>
      <c r="BE339" s="56">
        <f t="shared" si="324"/>
        <v>4</v>
      </c>
      <c r="BG339" s="18">
        <f t="shared" si="361"/>
        <v>6.9425876298228575</v>
      </c>
      <c r="BH339" s="18">
        <f t="shared" si="361"/>
        <v>1.2386414747982963</v>
      </c>
      <c r="BI339" s="18">
        <f t="shared" si="361"/>
        <v>2.210574010667989</v>
      </c>
      <c r="BJ339" s="18">
        <f t="shared" si="361"/>
        <v>0.48278715806693567</v>
      </c>
      <c r="BK339" s="18">
        <f t="shared" si="361"/>
        <v>4.4043126173742255</v>
      </c>
      <c r="BL339" s="56">
        <f t="shared" si="325"/>
        <v>4</v>
      </c>
      <c r="BN339" s="18">
        <f t="shared" si="362"/>
        <v>6.9425876298228575</v>
      </c>
      <c r="BO339" s="18">
        <f t="shared" si="362"/>
        <v>1.2386414747982963</v>
      </c>
      <c r="BP339" s="18">
        <f t="shared" si="362"/>
        <v>2.210574010667989</v>
      </c>
      <c r="BQ339" s="18">
        <f t="shared" si="362"/>
        <v>0.48278715806693567</v>
      </c>
      <c r="BR339" s="18">
        <f t="shared" si="362"/>
        <v>4.4043126173742255</v>
      </c>
      <c r="BS339" s="56">
        <f t="shared" si="326"/>
        <v>4</v>
      </c>
      <c r="BU339" s="18">
        <f t="shared" si="363"/>
        <v>6.9425876298228575</v>
      </c>
      <c r="BV339" s="18">
        <f t="shared" si="363"/>
        <v>1.2386414747982963</v>
      </c>
      <c r="BW339" s="18">
        <f t="shared" si="363"/>
        <v>2.210574010667989</v>
      </c>
      <c r="BX339" s="18">
        <f t="shared" si="363"/>
        <v>0.48278715806693567</v>
      </c>
      <c r="BY339" s="18">
        <f t="shared" si="363"/>
        <v>4.4043126173742255</v>
      </c>
      <c r="BZ339" s="56">
        <f t="shared" si="327"/>
        <v>4</v>
      </c>
      <c r="CB339" s="18">
        <f t="shared" si="364"/>
        <v>6.9425876298228575</v>
      </c>
      <c r="CC339" s="18">
        <f t="shared" si="364"/>
        <v>1.2386414747982963</v>
      </c>
      <c r="CD339" s="18">
        <f t="shared" si="364"/>
        <v>2.210574010667989</v>
      </c>
      <c r="CE339" s="18">
        <f t="shared" si="364"/>
        <v>0.48278715806693567</v>
      </c>
      <c r="CF339" s="18">
        <f t="shared" si="364"/>
        <v>4.4043126173742255</v>
      </c>
      <c r="CG339" s="56">
        <f t="shared" si="328"/>
        <v>4</v>
      </c>
      <c r="CI339" s="18">
        <f t="shared" si="365"/>
        <v>6.9425876298228575</v>
      </c>
      <c r="CJ339" s="18">
        <f t="shared" si="365"/>
        <v>1.2386414747982963</v>
      </c>
      <c r="CK339" s="18">
        <f t="shared" si="365"/>
        <v>2.210574010667989</v>
      </c>
      <c r="CL339" s="18">
        <f t="shared" si="365"/>
        <v>0.48278715806693567</v>
      </c>
      <c r="CM339" s="18">
        <f t="shared" si="365"/>
        <v>4.4043126173742255</v>
      </c>
      <c r="CN339" s="56">
        <f t="shared" si="329"/>
        <v>4</v>
      </c>
      <c r="CP339" s="18">
        <f t="shared" si="366"/>
        <v>6.9425876298228575</v>
      </c>
      <c r="CQ339" s="18">
        <f t="shared" si="366"/>
        <v>1.2386414747982963</v>
      </c>
      <c r="CR339" s="18">
        <f t="shared" si="366"/>
        <v>2.210574010667989</v>
      </c>
      <c r="CS339" s="18">
        <f t="shared" si="366"/>
        <v>0.48278715806693567</v>
      </c>
      <c r="CT339" s="18">
        <f t="shared" si="366"/>
        <v>4.4043126173742255</v>
      </c>
      <c r="CU339" s="56">
        <f t="shared" si="330"/>
        <v>4</v>
      </c>
      <c r="CW339" s="18">
        <f t="shared" si="367"/>
        <v>6.9425876298228575</v>
      </c>
      <c r="CX339" s="18">
        <f t="shared" si="367"/>
        <v>1.2386414747982963</v>
      </c>
      <c r="CY339" s="18">
        <f t="shared" si="367"/>
        <v>2.210574010667989</v>
      </c>
      <c r="CZ339" s="18">
        <f t="shared" si="367"/>
        <v>0.48278715806693567</v>
      </c>
      <c r="DA339" s="18">
        <f t="shared" si="367"/>
        <v>4.4043126173742255</v>
      </c>
      <c r="DB339" s="56">
        <f t="shared" si="331"/>
        <v>4</v>
      </c>
    </row>
    <row r="340" spans="1:106" x14ac:dyDescent="0.25">
      <c r="A340" s="36" t="str">
        <f>KMeans_Data!A68</f>
        <v>Mirpurkhas</v>
      </c>
      <c r="B340" s="18">
        <f>KMeans_Data!H68</f>
        <v>-9.8484288830971004E-2</v>
      </c>
      <c r="C340" s="18">
        <f>KMeans_Data!I68</f>
        <v>0.16051258962499582</v>
      </c>
      <c r="D340" s="18">
        <f>KMeans_Data!J68</f>
        <v>0.26515989636960624</v>
      </c>
      <c r="E340" s="56">
        <f t="shared" si="318"/>
        <v>4</v>
      </c>
      <c r="F340" s="38">
        <f t="shared" si="319"/>
        <v>0.85783872426629681</v>
      </c>
      <c r="G340" s="18">
        <f>IF(COUNTIF(Distance_Matrix!$E$11:$DQ$11,$E340)&lt;=1,0,SUMIF(Distance_Matrix!$E$11:$DQ$11,$E340,Distance_Matrix!$E$77:$DQ$77)/(COUNTIF(Distance_Matrix!$E$11:$DQ$11,$E340)-1))</f>
        <v>1.1591618930790175</v>
      </c>
      <c r="H340" s="18">
        <f>MIN(IF(1=$E340,1E+99,IF(COUNTIF(Distance_Matrix!$E$11:$DQ$11,1)=0,1E+99,SUMIF(Distance_Matrix!$E$11:$DQ$11,1,Distance_Matrix!$E$77:$DQ$77)/COUNTIF(Distance_Matrix!$E$11:$DQ$11,1))),IF(2=$E340,1E+99,IF(COUNTIF(Distance_Matrix!$E$11:$DQ$11,2)=0,1E+99,SUMIF(Distance_Matrix!$E$11:$DQ$11,2,Distance_Matrix!$E$77:$DQ$77)/COUNTIF(Distance_Matrix!$E$11:$DQ$11,2))),IF(3=$E340,1E+99,IF(COUNTIF(Distance_Matrix!$E$11:$DQ$11,3)=0,1E+99,SUMIF(Distance_Matrix!$E$11:$DQ$11,3,Distance_Matrix!$E$77:$DQ$77)/COUNTIF(Distance_Matrix!$E$11:$DQ$11,3))),IF(4=$E340,1E+99,IF(COUNTIF(Distance_Matrix!$E$11:$DQ$11,4)=0,1E+99,SUMIF(Distance_Matrix!$E$11:$DQ$11,4,Distance_Matrix!$E$77:$DQ$77)/COUNTIF(Distance_Matrix!$E$11:$DQ$11,4))),IF(5=$E340,1E+99,IF(COUNTIF(Distance_Matrix!$E$11:$DQ$11,5)=0,1E+99,SUMIF(Distance_Matrix!$E$11:$DQ$11,5,Distance_Matrix!$E$77:$DQ$77)/COUNTIF(Distance_Matrix!$E$11:$DQ$11,5))))</f>
        <v>1.1978274119821626</v>
      </c>
      <c r="I340" s="18">
        <f>IF(COUNTIF(Distance_Matrix!$E$11:$DQ$11,$E340)&lt;=1,0,(H340-G340)/MAX(G340,H340))</f>
        <v>3.2279707841350397E-2</v>
      </c>
      <c r="X340" s="18">
        <f t="shared" si="356"/>
        <v>5.9449744144455829</v>
      </c>
      <c r="Y340" s="18">
        <f t="shared" si="356"/>
        <v>2.5709715999444818</v>
      </c>
      <c r="Z340" s="18">
        <f t="shared" si="356"/>
        <v>1.67042015284584</v>
      </c>
      <c r="AA340" s="18">
        <f t="shared" si="356"/>
        <v>1.6244050418755513</v>
      </c>
      <c r="AB340" s="18">
        <f t="shared" si="356"/>
        <v>3.8806045193527359</v>
      </c>
      <c r="AC340" s="56">
        <f t="shared" si="320"/>
        <v>4</v>
      </c>
      <c r="AE340" s="18">
        <f t="shared" si="357"/>
        <v>5.8390792942154999</v>
      </c>
      <c r="AF340" s="18">
        <f t="shared" si="357"/>
        <v>1.8464842095497078</v>
      </c>
      <c r="AG340" s="18">
        <f t="shared" si="357"/>
        <v>0.93303477662220291</v>
      </c>
      <c r="AH340" s="18">
        <f t="shared" si="357"/>
        <v>1.0150925979916767</v>
      </c>
      <c r="AI340" s="18">
        <f t="shared" si="357"/>
        <v>3.5746130356073929</v>
      </c>
      <c r="AJ340" s="56">
        <f t="shared" si="321"/>
        <v>3</v>
      </c>
      <c r="AL340" s="18">
        <f t="shared" si="358"/>
        <v>5.8390792942154999</v>
      </c>
      <c r="AM340" s="18">
        <f t="shared" si="358"/>
        <v>1.8743318037177463</v>
      </c>
      <c r="AN340" s="18">
        <f t="shared" si="358"/>
        <v>0.99571647270193497</v>
      </c>
      <c r="AO340" s="18">
        <f t="shared" si="358"/>
        <v>0.94437945545581892</v>
      </c>
      <c r="AP340" s="18">
        <f t="shared" si="358"/>
        <v>3.3009593693638628</v>
      </c>
      <c r="AQ340" s="56">
        <f t="shared" si="322"/>
        <v>4</v>
      </c>
      <c r="AS340" s="18">
        <f t="shared" si="359"/>
        <v>5.8390792942154999</v>
      </c>
      <c r="AT340" s="18">
        <f t="shared" si="359"/>
        <v>1.9605659256645747</v>
      </c>
      <c r="AU340" s="18">
        <f t="shared" si="359"/>
        <v>1.0233752636103219</v>
      </c>
      <c r="AV340" s="18">
        <f t="shared" si="359"/>
        <v>0.92619583472735223</v>
      </c>
      <c r="AW340" s="18">
        <f t="shared" si="359"/>
        <v>3.3009593693638628</v>
      </c>
      <c r="AX340" s="56">
        <f t="shared" si="323"/>
        <v>4</v>
      </c>
      <c r="AZ340" s="18">
        <f t="shared" si="360"/>
        <v>5.8390792942154999</v>
      </c>
      <c r="BA340" s="18">
        <f t="shared" si="360"/>
        <v>1.9605659256645747</v>
      </c>
      <c r="BB340" s="18">
        <f t="shared" si="360"/>
        <v>1.0233752636103219</v>
      </c>
      <c r="BC340" s="18">
        <f t="shared" si="360"/>
        <v>0.92619583472735223</v>
      </c>
      <c r="BD340" s="18">
        <f t="shared" si="360"/>
        <v>3.3009593693638628</v>
      </c>
      <c r="BE340" s="56">
        <f t="shared" si="324"/>
        <v>4</v>
      </c>
      <c r="BG340" s="18">
        <f t="shared" si="361"/>
        <v>5.8390792942154999</v>
      </c>
      <c r="BH340" s="18">
        <f t="shared" si="361"/>
        <v>1.9605659256645747</v>
      </c>
      <c r="BI340" s="18">
        <f t="shared" si="361"/>
        <v>1.0233752636103219</v>
      </c>
      <c r="BJ340" s="18">
        <f t="shared" si="361"/>
        <v>0.92619583472735223</v>
      </c>
      <c r="BK340" s="18">
        <f t="shared" si="361"/>
        <v>3.3009593693638628</v>
      </c>
      <c r="BL340" s="56">
        <f t="shared" si="325"/>
        <v>4</v>
      </c>
      <c r="BN340" s="18">
        <f t="shared" si="362"/>
        <v>5.8390792942154999</v>
      </c>
      <c r="BO340" s="18">
        <f t="shared" si="362"/>
        <v>1.9605659256645747</v>
      </c>
      <c r="BP340" s="18">
        <f t="shared" si="362"/>
        <v>1.0233752636103219</v>
      </c>
      <c r="BQ340" s="18">
        <f t="shared" si="362"/>
        <v>0.92619583472735223</v>
      </c>
      <c r="BR340" s="18">
        <f t="shared" si="362"/>
        <v>3.3009593693638628</v>
      </c>
      <c r="BS340" s="56">
        <f t="shared" si="326"/>
        <v>4</v>
      </c>
      <c r="BU340" s="18">
        <f t="shared" si="363"/>
        <v>5.8390792942154999</v>
      </c>
      <c r="BV340" s="18">
        <f t="shared" si="363"/>
        <v>1.9605659256645747</v>
      </c>
      <c r="BW340" s="18">
        <f t="shared" si="363"/>
        <v>1.0233752636103219</v>
      </c>
      <c r="BX340" s="18">
        <f t="shared" si="363"/>
        <v>0.92619583472735223</v>
      </c>
      <c r="BY340" s="18">
        <f t="shared" si="363"/>
        <v>3.3009593693638628</v>
      </c>
      <c r="BZ340" s="56">
        <f t="shared" si="327"/>
        <v>4</v>
      </c>
      <c r="CB340" s="18">
        <f t="shared" si="364"/>
        <v>5.8390792942154999</v>
      </c>
      <c r="CC340" s="18">
        <f t="shared" si="364"/>
        <v>1.9605659256645747</v>
      </c>
      <c r="CD340" s="18">
        <f t="shared" si="364"/>
        <v>1.0233752636103219</v>
      </c>
      <c r="CE340" s="18">
        <f t="shared" si="364"/>
        <v>0.92619583472735223</v>
      </c>
      <c r="CF340" s="18">
        <f t="shared" si="364"/>
        <v>3.3009593693638628</v>
      </c>
      <c r="CG340" s="56">
        <f t="shared" si="328"/>
        <v>4</v>
      </c>
      <c r="CI340" s="18">
        <f t="shared" si="365"/>
        <v>5.8390792942154999</v>
      </c>
      <c r="CJ340" s="18">
        <f t="shared" si="365"/>
        <v>1.9605659256645747</v>
      </c>
      <c r="CK340" s="18">
        <f t="shared" si="365"/>
        <v>1.0233752636103219</v>
      </c>
      <c r="CL340" s="18">
        <f t="shared" si="365"/>
        <v>0.92619583472735223</v>
      </c>
      <c r="CM340" s="18">
        <f t="shared" si="365"/>
        <v>3.3009593693638628</v>
      </c>
      <c r="CN340" s="56">
        <f t="shared" si="329"/>
        <v>4</v>
      </c>
      <c r="CP340" s="18">
        <f t="shared" si="366"/>
        <v>5.8390792942154999</v>
      </c>
      <c r="CQ340" s="18">
        <f t="shared" si="366"/>
        <v>1.9605659256645747</v>
      </c>
      <c r="CR340" s="18">
        <f t="shared" si="366"/>
        <v>1.0233752636103219</v>
      </c>
      <c r="CS340" s="18">
        <f t="shared" si="366"/>
        <v>0.92619583472735223</v>
      </c>
      <c r="CT340" s="18">
        <f t="shared" si="366"/>
        <v>3.3009593693638628</v>
      </c>
      <c r="CU340" s="56">
        <f t="shared" si="330"/>
        <v>4</v>
      </c>
      <c r="CW340" s="18">
        <f t="shared" si="367"/>
        <v>5.8390792942154999</v>
      </c>
      <c r="CX340" s="18">
        <f t="shared" si="367"/>
        <v>1.9605659256645747</v>
      </c>
      <c r="CY340" s="18">
        <f t="shared" si="367"/>
        <v>1.0233752636103219</v>
      </c>
      <c r="CZ340" s="18">
        <f t="shared" si="367"/>
        <v>0.92619583472735223</v>
      </c>
      <c r="DA340" s="18">
        <f t="shared" si="367"/>
        <v>3.3009593693638628</v>
      </c>
      <c r="DB340" s="56">
        <f t="shared" si="331"/>
        <v>4</v>
      </c>
    </row>
    <row r="341" spans="1:106" x14ac:dyDescent="0.25">
      <c r="A341" s="36" t="str">
        <f>KMeans_Data!A69</f>
        <v>Kashmore</v>
      </c>
      <c r="B341" s="18">
        <f>KMeans_Data!H69</f>
        <v>-0.11018073651136755</v>
      </c>
      <c r="C341" s="18">
        <f>KMeans_Data!I69</f>
        <v>-0.14698313392952958</v>
      </c>
      <c r="D341" s="18">
        <f>KMeans_Data!J69</f>
        <v>0.38161671714246476</v>
      </c>
      <c r="E341" s="56">
        <f t="shared" ref="E341:E372" si="368">DB341</f>
        <v>4</v>
      </c>
      <c r="F341" s="38">
        <f t="shared" ref="F341:F372" si="369">($B341-INDEX($L$270:$P$270,E341))^2+($C341-INDEX($L$271:$P$271,E341))^2+($D341-INDEX($L$272:$P$272,E341))^2</f>
        <v>0.70332224458232595</v>
      </c>
      <c r="G341" s="18">
        <f>IF(COUNTIF(Distance_Matrix!$E$11:$DQ$11,$E341)&lt;=1,0,SUMIF(Distance_Matrix!$E$11:$DQ$11,$E341,Distance_Matrix!$E$78:$DQ$78)/(COUNTIF(Distance_Matrix!$E$11:$DQ$11,$E341)-1))</f>
        <v>1.0696926911701519</v>
      </c>
      <c r="H341" s="18">
        <f>MIN(IF(1=$E341,1E+99,IF(COUNTIF(Distance_Matrix!$E$11:$DQ$11,1)=0,1E+99,SUMIF(Distance_Matrix!$E$11:$DQ$11,1,Distance_Matrix!$E$78:$DQ$78)/COUNTIF(Distance_Matrix!$E$11:$DQ$11,1))),IF(2=$E341,1E+99,IF(COUNTIF(Distance_Matrix!$E$11:$DQ$11,2)=0,1E+99,SUMIF(Distance_Matrix!$E$11:$DQ$11,2,Distance_Matrix!$E$78:$DQ$78)/COUNTIF(Distance_Matrix!$E$11:$DQ$11,2))),IF(3=$E341,1E+99,IF(COUNTIF(Distance_Matrix!$E$11:$DQ$11,3)=0,1E+99,SUMIF(Distance_Matrix!$E$11:$DQ$11,3,Distance_Matrix!$E$78:$DQ$78)/COUNTIF(Distance_Matrix!$E$11:$DQ$11,3))),IF(4=$E341,1E+99,IF(COUNTIF(Distance_Matrix!$E$11:$DQ$11,4)=0,1E+99,SUMIF(Distance_Matrix!$E$11:$DQ$11,4,Distance_Matrix!$E$78:$DQ$78)/COUNTIF(Distance_Matrix!$E$11:$DQ$11,4))),IF(5=$E341,1E+99,IF(COUNTIF(Distance_Matrix!$E$11:$DQ$11,5)=0,1E+99,SUMIF(Distance_Matrix!$E$11:$DQ$11,5,Distance_Matrix!$E$78:$DQ$78)/COUNTIF(Distance_Matrix!$E$11:$DQ$11,5))))</f>
        <v>1.2804395184527009</v>
      </c>
      <c r="I341" s="18">
        <f>IF(COUNTIF(Distance_Matrix!$E$11:$DQ$11,$E341)&lt;=1,0,(H341-G341)/MAX(G341,H341))</f>
        <v>0.16458944311342258</v>
      </c>
      <c r="X341" s="18">
        <f t="shared" si="356"/>
        <v>6.1007521178289013</v>
      </c>
      <c r="Y341" s="18">
        <f t="shared" si="356"/>
        <v>2.5471567724468125</v>
      </c>
      <c r="Z341" s="18">
        <f t="shared" si="356"/>
        <v>1.6669079250150307</v>
      </c>
      <c r="AA341" s="18">
        <f t="shared" si="356"/>
        <v>1.704065906333085</v>
      </c>
      <c r="AB341" s="18">
        <f t="shared" si="356"/>
        <v>4.0057870105100246</v>
      </c>
      <c r="AC341" s="56">
        <f t="shared" ref="AC341:AC372" si="370">MATCH(MIN(X341:AB341),X341:AB341,0)</f>
        <v>3</v>
      </c>
      <c r="AE341" s="18">
        <f t="shared" si="357"/>
        <v>6.0061583261200608</v>
      </c>
      <c r="AF341" s="18">
        <f t="shared" si="357"/>
        <v>1.8082509488051266</v>
      </c>
      <c r="AG341" s="18">
        <f t="shared" si="357"/>
        <v>1.033189756579783</v>
      </c>
      <c r="AH341" s="18">
        <f t="shared" si="357"/>
        <v>0.95992148422062729</v>
      </c>
      <c r="AI341" s="18">
        <f t="shared" si="357"/>
        <v>3.7476542350700321</v>
      </c>
      <c r="AJ341" s="56">
        <f t="shared" ref="AJ341:AJ372" si="371">MATCH(MIN(AE341:AI341),AE341:AI341,0)</f>
        <v>4</v>
      </c>
      <c r="AL341" s="18">
        <f t="shared" si="358"/>
        <v>6.0061583261200608</v>
      </c>
      <c r="AM341" s="18">
        <f t="shared" si="358"/>
        <v>1.8399258665602791</v>
      </c>
      <c r="AN341" s="18">
        <f t="shared" si="358"/>
        <v>1.1114312790282659</v>
      </c>
      <c r="AO341" s="18">
        <f t="shared" si="358"/>
        <v>0.86099634677982961</v>
      </c>
      <c r="AP341" s="18">
        <f t="shared" si="358"/>
        <v>3.4775180584458085</v>
      </c>
      <c r="AQ341" s="56">
        <f t="shared" ref="AQ341:AQ372" si="372">MATCH(MIN(AL341:AP341),AL341:AP341,0)</f>
        <v>4</v>
      </c>
      <c r="AS341" s="18">
        <f t="shared" si="359"/>
        <v>6.0061583261200608</v>
      </c>
      <c r="AT341" s="18">
        <f t="shared" si="359"/>
        <v>1.9331077082704258</v>
      </c>
      <c r="AU341" s="18">
        <f t="shared" si="359"/>
        <v>1.1379328241965825</v>
      </c>
      <c r="AV341" s="18">
        <f t="shared" si="359"/>
        <v>0.8386430972602863</v>
      </c>
      <c r="AW341" s="18">
        <f t="shared" si="359"/>
        <v>3.4775180584458085</v>
      </c>
      <c r="AX341" s="56">
        <f t="shared" ref="AX341:AX372" si="373">MATCH(MIN(AS341:AW341),AS341:AW341,0)</f>
        <v>4</v>
      </c>
      <c r="AZ341" s="18">
        <f t="shared" si="360"/>
        <v>6.0061583261200608</v>
      </c>
      <c r="BA341" s="18">
        <f t="shared" si="360"/>
        <v>1.9331077082704258</v>
      </c>
      <c r="BB341" s="18">
        <f t="shared" si="360"/>
        <v>1.1379328241965825</v>
      </c>
      <c r="BC341" s="18">
        <f t="shared" si="360"/>
        <v>0.8386430972602863</v>
      </c>
      <c r="BD341" s="18">
        <f t="shared" si="360"/>
        <v>3.4775180584458085</v>
      </c>
      <c r="BE341" s="56">
        <f t="shared" ref="BE341:BE372" si="374">MATCH(MIN(AZ341:BD341),AZ341:BD341,0)</f>
        <v>4</v>
      </c>
      <c r="BG341" s="18">
        <f t="shared" si="361"/>
        <v>6.0061583261200608</v>
      </c>
      <c r="BH341" s="18">
        <f t="shared" si="361"/>
        <v>1.9331077082704258</v>
      </c>
      <c r="BI341" s="18">
        <f t="shared" si="361"/>
        <v>1.1379328241965825</v>
      </c>
      <c r="BJ341" s="18">
        <f t="shared" si="361"/>
        <v>0.8386430972602863</v>
      </c>
      <c r="BK341" s="18">
        <f t="shared" si="361"/>
        <v>3.4775180584458085</v>
      </c>
      <c r="BL341" s="56">
        <f t="shared" ref="BL341:BL372" si="375">MATCH(MIN(BG341:BK341),BG341:BK341,0)</f>
        <v>4</v>
      </c>
      <c r="BN341" s="18">
        <f t="shared" si="362"/>
        <v>6.0061583261200608</v>
      </c>
      <c r="BO341" s="18">
        <f t="shared" si="362"/>
        <v>1.9331077082704258</v>
      </c>
      <c r="BP341" s="18">
        <f t="shared" si="362"/>
        <v>1.1379328241965825</v>
      </c>
      <c r="BQ341" s="18">
        <f t="shared" si="362"/>
        <v>0.8386430972602863</v>
      </c>
      <c r="BR341" s="18">
        <f t="shared" si="362"/>
        <v>3.4775180584458085</v>
      </c>
      <c r="BS341" s="56">
        <f t="shared" ref="BS341:BS372" si="376">MATCH(MIN(BN341:BR341),BN341:BR341,0)</f>
        <v>4</v>
      </c>
      <c r="BU341" s="18">
        <f t="shared" si="363"/>
        <v>6.0061583261200608</v>
      </c>
      <c r="BV341" s="18">
        <f t="shared" si="363"/>
        <v>1.9331077082704258</v>
      </c>
      <c r="BW341" s="18">
        <f t="shared" si="363"/>
        <v>1.1379328241965825</v>
      </c>
      <c r="BX341" s="18">
        <f t="shared" si="363"/>
        <v>0.8386430972602863</v>
      </c>
      <c r="BY341" s="18">
        <f t="shared" si="363"/>
        <v>3.4775180584458085</v>
      </c>
      <c r="BZ341" s="56">
        <f t="shared" ref="BZ341:BZ372" si="377">MATCH(MIN(BU341:BY341),BU341:BY341,0)</f>
        <v>4</v>
      </c>
      <c r="CB341" s="18">
        <f t="shared" si="364"/>
        <v>6.0061583261200608</v>
      </c>
      <c r="CC341" s="18">
        <f t="shared" si="364"/>
        <v>1.9331077082704258</v>
      </c>
      <c r="CD341" s="18">
        <f t="shared" si="364"/>
        <v>1.1379328241965825</v>
      </c>
      <c r="CE341" s="18">
        <f t="shared" si="364"/>
        <v>0.8386430972602863</v>
      </c>
      <c r="CF341" s="18">
        <f t="shared" si="364"/>
        <v>3.4775180584458085</v>
      </c>
      <c r="CG341" s="56">
        <f t="shared" ref="CG341:CG372" si="378">MATCH(MIN(CB341:CF341),CB341:CF341,0)</f>
        <v>4</v>
      </c>
      <c r="CI341" s="18">
        <f t="shared" si="365"/>
        <v>6.0061583261200608</v>
      </c>
      <c r="CJ341" s="18">
        <f t="shared" si="365"/>
        <v>1.9331077082704258</v>
      </c>
      <c r="CK341" s="18">
        <f t="shared" si="365"/>
        <v>1.1379328241965825</v>
      </c>
      <c r="CL341" s="18">
        <f t="shared" si="365"/>
        <v>0.8386430972602863</v>
      </c>
      <c r="CM341" s="18">
        <f t="shared" si="365"/>
        <v>3.4775180584458085</v>
      </c>
      <c r="CN341" s="56">
        <f t="shared" ref="CN341:CN372" si="379">MATCH(MIN(CI341:CM341),CI341:CM341,0)</f>
        <v>4</v>
      </c>
      <c r="CP341" s="18">
        <f t="shared" si="366"/>
        <v>6.0061583261200608</v>
      </c>
      <c r="CQ341" s="18">
        <f t="shared" si="366"/>
        <v>1.9331077082704258</v>
      </c>
      <c r="CR341" s="18">
        <f t="shared" si="366"/>
        <v>1.1379328241965825</v>
      </c>
      <c r="CS341" s="18">
        <f t="shared" si="366"/>
        <v>0.8386430972602863</v>
      </c>
      <c r="CT341" s="18">
        <f t="shared" si="366"/>
        <v>3.4775180584458085</v>
      </c>
      <c r="CU341" s="56">
        <f t="shared" ref="CU341:CU372" si="380">MATCH(MIN(CP341:CT341),CP341:CT341,0)</f>
        <v>4</v>
      </c>
      <c r="CW341" s="18">
        <f t="shared" si="367"/>
        <v>6.0061583261200608</v>
      </c>
      <c r="CX341" s="18">
        <f t="shared" si="367"/>
        <v>1.9331077082704258</v>
      </c>
      <c r="CY341" s="18">
        <f t="shared" si="367"/>
        <v>1.1379328241965825</v>
      </c>
      <c r="CZ341" s="18">
        <f t="shared" si="367"/>
        <v>0.8386430972602863</v>
      </c>
      <c r="DA341" s="18">
        <f t="shared" si="367"/>
        <v>3.4775180584458085</v>
      </c>
      <c r="DB341" s="56">
        <f t="shared" ref="DB341:DB372" si="381">MATCH(MIN(CW341:DA341),CW341:DA341,0)</f>
        <v>4</v>
      </c>
    </row>
    <row r="342" spans="1:106" x14ac:dyDescent="0.25">
      <c r="A342" s="36" t="str">
        <f>KMeans_Data!A70</f>
        <v>Naushero Feroz</v>
      </c>
      <c r="B342" s="18">
        <f>KMeans_Data!H70</f>
        <v>-0.13439300986668776</v>
      </c>
      <c r="C342" s="18">
        <f>KMeans_Data!I70</f>
        <v>-0.14698313392952958</v>
      </c>
      <c r="D342" s="18">
        <f>KMeans_Data!J70</f>
        <v>0.43043982201722641</v>
      </c>
      <c r="E342" s="56">
        <f t="shared" si="368"/>
        <v>4</v>
      </c>
      <c r="F342" s="38">
        <f t="shared" si="369"/>
        <v>0.77928445307270311</v>
      </c>
      <c r="G342" s="18">
        <f>IF(COUNTIF(Distance_Matrix!$E$11:$DQ$11,$E342)&lt;=1,0,SUMIF(Distance_Matrix!$E$11:$DQ$11,$E342,Distance_Matrix!$E$79:$DQ$79)/(COUNTIF(Distance_Matrix!$E$11:$DQ$11,$E342)-1))</f>
        <v>1.0994722560500712</v>
      </c>
      <c r="H342" s="18">
        <f>MIN(IF(1=$E342,1E+99,IF(COUNTIF(Distance_Matrix!$E$11:$DQ$11,1)=0,1E+99,SUMIF(Distance_Matrix!$E$11:$DQ$11,1,Distance_Matrix!$E$79:$DQ$79)/COUNTIF(Distance_Matrix!$E$11:$DQ$11,1))),IF(2=$E342,1E+99,IF(COUNTIF(Distance_Matrix!$E$11:$DQ$11,2)=0,1E+99,SUMIF(Distance_Matrix!$E$11:$DQ$11,2,Distance_Matrix!$E$79:$DQ$79)/COUNTIF(Distance_Matrix!$E$11:$DQ$11,2))),IF(3=$E342,1E+99,IF(COUNTIF(Distance_Matrix!$E$11:$DQ$11,3)=0,1E+99,SUMIF(Distance_Matrix!$E$11:$DQ$11,3,Distance_Matrix!$E$79:$DQ$79)/COUNTIF(Distance_Matrix!$E$11:$DQ$11,3))),IF(4=$E342,1E+99,IF(COUNTIF(Distance_Matrix!$E$11:$DQ$11,4)=0,1E+99,SUMIF(Distance_Matrix!$E$11:$DQ$11,4,Distance_Matrix!$E$79:$DQ$79)/COUNTIF(Distance_Matrix!$E$11:$DQ$11,4))),IF(5=$E342,1E+99,IF(COUNTIF(Distance_Matrix!$E$11:$DQ$11,5)=0,1E+99,SUMIF(Distance_Matrix!$E$11:$DQ$11,5,Distance_Matrix!$E$79:$DQ$79)/COUNTIF(Distance_Matrix!$E$11:$DQ$11,5))))</f>
        <v>1.2778464428533001</v>
      </c>
      <c r="I342" s="18">
        <f>IF(COUNTIF(Distance_Matrix!$E$11:$DQ$11,$E342)&lt;=1,0,(H342-G342)/MAX(G342,H342))</f>
        <v>0.13958968841744213</v>
      </c>
      <c r="X342" s="18">
        <f t="shared" si="356"/>
        <v>6.091443757222688</v>
      </c>
      <c r="Y342" s="18">
        <f t="shared" si="356"/>
        <v>2.5582677475268727</v>
      </c>
      <c r="Z342" s="18">
        <f t="shared" si="356"/>
        <v>1.6525144375726144</v>
      </c>
      <c r="AA342" s="18">
        <f t="shared" si="356"/>
        <v>1.7585629508139276</v>
      </c>
      <c r="AB342" s="18">
        <f t="shared" si="356"/>
        <v>3.9968422833915187</v>
      </c>
      <c r="AC342" s="56">
        <f t="shared" si="370"/>
        <v>3</v>
      </c>
      <c r="AE342" s="18">
        <f t="shared" si="357"/>
        <v>5.9989832602025492</v>
      </c>
      <c r="AF342" s="18">
        <f t="shared" si="357"/>
        <v>1.8293620236078871</v>
      </c>
      <c r="AG342" s="18">
        <f t="shared" si="357"/>
        <v>1.0280902832473955</v>
      </c>
      <c r="AH342" s="18">
        <f t="shared" si="357"/>
        <v>1.0070703479592997</v>
      </c>
      <c r="AI342" s="18">
        <f t="shared" si="357"/>
        <v>3.7439642861704709</v>
      </c>
      <c r="AJ342" s="56">
        <f t="shared" si="371"/>
        <v>4</v>
      </c>
      <c r="AL342" s="18">
        <f t="shared" si="358"/>
        <v>5.9989832602025492</v>
      </c>
      <c r="AM342" s="18">
        <f t="shared" si="358"/>
        <v>1.8621128226968398</v>
      </c>
      <c r="AN342" s="18">
        <f t="shared" si="358"/>
        <v>1.1078672675444818</v>
      </c>
      <c r="AO342" s="18">
        <f t="shared" si="358"/>
        <v>0.90652181863829218</v>
      </c>
      <c r="AP342" s="18">
        <f t="shared" si="358"/>
        <v>3.4739397214944518</v>
      </c>
      <c r="AQ342" s="56">
        <f t="shared" si="372"/>
        <v>4</v>
      </c>
      <c r="AS342" s="18">
        <f t="shared" si="359"/>
        <v>5.9989832602025492</v>
      </c>
      <c r="AT342" s="18">
        <f t="shared" si="359"/>
        <v>1.9558757584598427</v>
      </c>
      <c r="AU342" s="18">
        <f t="shared" si="359"/>
        <v>1.1341726885711954</v>
      </c>
      <c r="AV342" s="18">
        <f t="shared" si="359"/>
        <v>0.88277089500770423</v>
      </c>
      <c r="AW342" s="18">
        <f t="shared" si="359"/>
        <v>3.4739397214944518</v>
      </c>
      <c r="AX342" s="56">
        <f t="shared" si="373"/>
        <v>4</v>
      </c>
      <c r="AZ342" s="18">
        <f t="shared" si="360"/>
        <v>5.9989832602025492</v>
      </c>
      <c r="BA342" s="18">
        <f t="shared" si="360"/>
        <v>1.9558757584598427</v>
      </c>
      <c r="BB342" s="18">
        <f t="shared" si="360"/>
        <v>1.1341726885711954</v>
      </c>
      <c r="BC342" s="18">
        <f t="shared" si="360"/>
        <v>0.88277089500770423</v>
      </c>
      <c r="BD342" s="18">
        <f t="shared" si="360"/>
        <v>3.4739397214944518</v>
      </c>
      <c r="BE342" s="56">
        <f t="shared" si="374"/>
        <v>4</v>
      </c>
      <c r="BG342" s="18">
        <f t="shared" si="361"/>
        <v>5.9989832602025492</v>
      </c>
      <c r="BH342" s="18">
        <f t="shared" si="361"/>
        <v>1.9558757584598427</v>
      </c>
      <c r="BI342" s="18">
        <f t="shared" si="361"/>
        <v>1.1341726885711954</v>
      </c>
      <c r="BJ342" s="18">
        <f t="shared" si="361"/>
        <v>0.88277089500770423</v>
      </c>
      <c r="BK342" s="18">
        <f t="shared" si="361"/>
        <v>3.4739397214944518</v>
      </c>
      <c r="BL342" s="56">
        <f t="shared" si="375"/>
        <v>4</v>
      </c>
      <c r="BN342" s="18">
        <f t="shared" si="362"/>
        <v>5.9989832602025492</v>
      </c>
      <c r="BO342" s="18">
        <f t="shared" si="362"/>
        <v>1.9558757584598427</v>
      </c>
      <c r="BP342" s="18">
        <f t="shared" si="362"/>
        <v>1.1341726885711954</v>
      </c>
      <c r="BQ342" s="18">
        <f t="shared" si="362"/>
        <v>0.88277089500770423</v>
      </c>
      <c r="BR342" s="18">
        <f t="shared" si="362"/>
        <v>3.4739397214944518</v>
      </c>
      <c r="BS342" s="56">
        <f t="shared" si="376"/>
        <v>4</v>
      </c>
      <c r="BU342" s="18">
        <f t="shared" si="363"/>
        <v>5.9989832602025492</v>
      </c>
      <c r="BV342" s="18">
        <f t="shared" si="363"/>
        <v>1.9558757584598427</v>
      </c>
      <c r="BW342" s="18">
        <f t="shared" si="363"/>
        <v>1.1341726885711954</v>
      </c>
      <c r="BX342" s="18">
        <f t="shared" si="363"/>
        <v>0.88277089500770423</v>
      </c>
      <c r="BY342" s="18">
        <f t="shared" si="363"/>
        <v>3.4739397214944518</v>
      </c>
      <c r="BZ342" s="56">
        <f t="shared" si="377"/>
        <v>4</v>
      </c>
      <c r="CB342" s="18">
        <f t="shared" si="364"/>
        <v>5.9989832602025492</v>
      </c>
      <c r="CC342" s="18">
        <f t="shared" si="364"/>
        <v>1.9558757584598427</v>
      </c>
      <c r="CD342" s="18">
        <f t="shared" si="364"/>
        <v>1.1341726885711954</v>
      </c>
      <c r="CE342" s="18">
        <f t="shared" si="364"/>
        <v>0.88277089500770423</v>
      </c>
      <c r="CF342" s="18">
        <f t="shared" si="364"/>
        <v>3.4739397214944518</v>
      </c>
      <c r="CG342" s="56">
        <f t="shared" si="378"/>
        <v>4</v>
      </c>
      <c r="CI342" s="18">
        <f t="shared" si="365"/>
        <v>5.9989832602025492</v>
      </c>
      <c r="CJ342" s="18">
        <f t="shared" si="365"/>
        <v>1.9558757584598427</v>
      </c>
      <c r="CK342" s="18">
        <f t="shared" si="365"/>
        <v>1.1341726885711954</v>
      </c>
      <c r="CL342" s="18">
        <f t="shared" si="365"/>
        <v>0.88277089500770423</v>
      </c>
      <c r="CM342" s="18">
        <f t="shared" si="365"/>
        <v>3.4739397214944518</v>
      </c>
      <c r="CN342" s="56">
        <f t="shared" si="379"/>
        <v>4</v>
      </c>
      <c r="CP342" s="18">
        <f t="shared" si="366"/>
        <v>5.9989832602025492</v>
      </c>
      <c r="CQ342" s="18">
        <f t="shared" si="366"/>
        <v>1.9558757584598427</v>
      </c>
      <c r="CR342" s="18">
        <f t="shared" si="366"/>
        <v>1.1341726885711954</v>
      </c>
      <c r="CS342" s="18">
        <f t="shared" si="366"/>
        <v>0.88277089500770423</v>
      </c>
      <c r="CT342" s="18">
        <f t="shared" si="366"/>
        <v>3.4739397214944518</v>
      </c>
      <c r="CU342" s="56">
        <f t="shared" si="380"/>
        <v>4</v>
      </c>
      <c r="CW342" s="18">
        <f t="shared" si="367"/>
        <v>5.9989832602025492</v>
      </c>
      <c r="CX342" s="18">
        <f t="shared" si="367"/>
        <v>1.9558757584598427</v>
      </c>
      <c r="CY342" s="18">
        <f t="shared" si="367"/>
        <v>1.1341726885711954</v>
      </c>
      <c r="CZ342" s="18">
        <f t="shared" si="367"/>
        <v>0.88277089500770423</v>
      </c>
      <c r="DA342" s="18">
        <f t="shared" si="367"/>
        <v>3.4739397214944518</v>
      </c>
      <c r="DB342" s="56">
        <f t="shared" si="381"/>
        <v>4</v>
      </c>
    </row>
    <row r="343" spans="1:106" x14ac:dyDescent="0.25">
      <c r="A343" s="36" t="str">
        <f>KMeans_Data!A71</f>
        <v>Tando M. Khan</v>
      </c>
      <c r="B343" s="18">
        <f>KMeans_Data!H71</f>
        <v>-0.17296398743636285</v>
      </c>
      <c r="C343" s="18">
        <f>KMeans_Data!I71</f>
        <v>-0.67265054538827607</v>
      </c>
      <c r="D343" s="18">
        <f>KMeans_Data!J71</f>
        <v>0.59726181533299938</v>
      </c>
      <c r="E343" s="56">
        <f t="shared" si="368"/>
        <v>4</v>
      </c>
      <c r="F343" s="38">
        <f t="shared" si="369"/>
        <v>0.97448406908549901</v>
      </c>
      <c r="G343" s="18">
        <f>IF(COUNTIF(Distance_Matrix!$E$11:$DQ$11,$E343)&lt;=1,0,SUMIF(Distance_Matrix!$E$11:$DQ$11,$E343,Distance_Matrix!$E$80:$DQ$80)/(COUNTIF(Distance_Matrix!$E$11:$DQ$11,$E343)-1))</f>
        <v>1.1737853248826127</v>
      </c>
      <c r="H343" s="18">
        <f>MIN(IF(1=$E343,1E+99,IF(COUNTIF(Distance_Matrix!$E$11:$DQ$11,1)=0,1E+99,SUMIF(Distance_Matrix!$E$11:$DQ$11,1,Distance_Matrix!$E$80:$DQ$80)/COUNTIF(Distance_Matrix!$E$11:$DQ$11,1))),IF(2=$E343,1E+99,IF(COUNTIF(Distance_Matrix!$E$11:$DQ$11,2)=0,1E+99,SUMIF(Distance_Matrix!$E$11:$DQ$11,2,Distance_Matrix!$E$80:$DQ$80)/COUNTIF(Distance_Matrix!$E$11:$DQ$11,2))),IF(3=$E343,1E+99,IF(COUNTIF(Distance_Matrix!$E$11:$DQ$11,3)=0,1E+99,SUMIF(Distance_Matrix!$E$11:$DQ$11,3,Distance_Matrix!$E$80:$DQ$80)/COUNTIF(Distance_Matrix!$E$11:$DQ$11,3))),IF(4=$E343,1E+99,IF(COUNTIF(Distance_Matrix!$E$11:$DQ$11,4)=0,1E+99,SUMIF(Distance_Matrix!$E$11:$DQ$11,4,Distance_Matrix!$E$80:$DQ$80)/COUNTIF(Distance_Matrix!$E$11:$DQ$11,4))),IF(5=$E343,1E+99,IF(COUNTIF(Distance_Matrix!$E$11:$DQ$11,5)=0,1E+99,SUMIF(Distance_Matrix!$E$11:$DQ$11,5,Distance_Matrix!$E$80:$DQ$80)/COUNTIF(Distance_Matrix!$E$11:$DQ$11,5))))</f>
        <v>1.5983814014693796</v>
      </c>
      <c r="I343" s="18">
        <f>IF(COUNTIF(Distance_Matrix!$E$11:$DQ$11,$E343)&lt;=1,0,(H343-G343)/MAX(G343,H343))</f>
        <v>0.26564127697959888</v>
      </c>
      <c r="X343" s="18">
        <f t="shared" si="356"/>
        <v>6.4135297684832393</v>
      </c>
      <c r="Y343" s="18">
        <f t="shared" si="356"/>
        <v>2.5833134057316025</v>
      </c>
      <c r="Z343" s="18">
        <f t="shared" si="356"/>
        <v>1.8255167686819782</v>
      </c>
      <c r="AA343" s="18">
        <f t="shared" si="356"/>
        <v>1.996049580378717</v>
      </c>
      <c r="AB343" s="18">
        <f t="shared" si="356"/>
        <v>4.2885538040986111</v>
      </c>
      <c r="AC343" s="56">
        <f t="shared" si="370"/>
        <v>3</v>
      </c>
      <c r="AE343" s="18">
        <f t="shared" si="357"/>
        <v>6.3381404262337755</v>
      </c>
      <c r="AF343" s="18">
        <f t="shared" si="357"/>
        <v>1.8680393317588413</v>
      </c>
      <c r="AG343" s="18">
        <f t="shared" si="357"/>
        <v>1.3988902348708219</v>
      </c>
      <c r="AH343" s="18">
        <f t="shared" si="357"/>
        <v>1.1317106531494294</v>
      </c>
      <c r="AI343" s="18">
        <f t="shared" si="357"/>
        <v>4.106677181045975</v>
      </c>
      <c r="AJ343" s="56">
        <f t="shared" si="371"/>
        <v>4</v>
      </c>
      <c r="AL343" s="18">
        <f t="shared" si="358"/>
        <v>6.3381404262337755</v>
      </c>
      <c r="AM343" s="18">
        <f t="shared" si="358"/>
        <v>1.9047190310691435</v>
      </c>
      <c r="AN343" s="18">
        <f t="shared" si="358"/>
        <v>1.4863462034418413</v>
      </c>
      <c r="AO343" s="18">
        <f t="shared" si="358"/>
        <v>1.0119740950866034</v>
      </c>
      <c r="AP343" s="18">
        <f t="shared" si="358"/>
        <v>3.8445397255186862</v>
      </c>
      <c r="AQ343" s="56">
        <f t="shared" si="372"/>
        <v>4</v>
      </c>
      <c r="AS343" s="18">
        <f t="shared" si="359"/>
        <v>6.3381404262337755</v>
      </c>
      <c r="AT343" s="18">
        <f t="shared" si="359"/>
        <v>2.0035566245462424</v>
      </c>
      <c r="AU343" s="18">
        <f t="shared" si="359"/>
        <v>1.508773584351109</v>
      </c>
      <c r="AV343" s="18">
        <f t="shared" si="359"/>
        <v>0.98715959656253105</v>
      </c>
      <c r="AW343" s="18">
        <f t="shared" si="359"/>
        <v>3.8445397255186862</v>
      </c>
      <c r="AX343" s="56">
        <f t="shared" si="373"/>
        <v>4</v>
      </c>
      <c r="AZ343" s="18">
        <f t="shared" si="360"/>
        <v>6.3381404262337755</v>
      </c>
      <c r="BA343" s="18">
        <f t="shared" si="360"/>
        <v>2.0035566245462424</v>
      </c>
      <c r="BB343" s="18">
        <f t="shared" si="360"/>
        <v>1.508773584351109</v>
      </c>
      <c r="BC343" s="18">
        <f t="shared" si="360"/>
        <v>0.98715959656253105</v>
      </c>
      <c r="BD343" s="18">
        <f t="shared" si="360"/>
        <v>3.8445397255186862</v>
      </c>
      <c r="BE343" s="56">
        <f t="shared" si="374"/>
        <v>4</v>
      </c>
      <c r="BG343" s="18">
        <f t="shared" si="361"/>
        <v>6.3381404262337755</v>
      </c>
      <c r="BH343" s="18">
        <f t="shared" si="361"/>
        <v>2.0035566245462424</v>
      </c>
      <c r="BI343" s="18">
        <f t="shared" si="361"/>
        <v>1.508773584351109</v>
      </c>
      <c r="BJ343" s="18">
        <f t="shared" si="361"/>
        <v>0.98715959656253105</v>
      </c>
      <c r="BK343" s="18">
        <f t="shared" si="361"/>
        <v>3.8445397255186862</v>
      </c>
      <c r="BL343" s="56">
        <f t="shared" si="375"/>
        <v>4</v>
      </c>
      <c r="BN343" s="18">
        <f t="shared" si="362"/>
        <v>6.3381404262337755</v>
      </c>
      <c r="BO343" s="18">
        <f t="shared" si="362"/>
        <v>2.0035566245462424</v>
      </c>
      <c r="BP343" s="18">
        <f t="shared" si="362"/>
        <v>1.508773584351109</v>
      </c>
      <c r="BQ343" s="18">
        <f t="shared" si="362"/>
        <v>0.98715959656253105</v>
      </c>
      <c r="BR343" s="18">
        <f t="shared" si="362"/>
        <v>3.8445397255186862</v>
      </c>
      <c r="BS343" s="56">
        <f t="shared" si="376"/>
        <v>4</v>
      </c>
      <c r="BU343" s="18">
        <f t="shared" si="363"/>
        <v>6.3381404262337755</v>
      </c>
      <c r="BV343" s="18">
        <f t="shared" si="363"/>
        <v>2.0035566245462424</v>
      </c>
      <c r="BW343" s="18">
        <f t="shared" si="363"/>
        <v>1.508773584351109</v>
      </c>
      <c r="BX343" s="18">
        <f t="shared" si="363"/>
        <v>0.98715959656253105</v>
      </c>
      <c r="BY343" s="18">
        <f t="shared" si="363"/>
        <v>3.8445397255186862</v>
      </c>
      <c r="BZ343" s="56">
        <f t="shared" si="377"/>
        <v>4</v>
      </c>
      <c r="CB343" s="18">
        <f t="shared" si="364"/>
        <v>6.3381404262337755</v>
      </c>
      <c r="CC343" s="18">
        <f t="shared" si="364"/>
        <v>2.0035566245462424</v>
      </c>
      <c r="CD343" s="18">
        <f t="shared" si="364"/>
        <v>1.508773584351109</v>
      </c>
      <c r="CE343" s="18">
        <f t="shared" si="364"/>
        <v>0.98715959656253105</v>
      </c>
      <c r="CF343" s="18">
        <f t="shared" si="364"/>
        <v>3.8445397255186862</v>
      </c>
      <c r="CG343" s="56">
        <f t="shared" si="378"/>
        <v>4</v>
      </c>
      <c r="CI343" s="18">
        <f t="shared" si="365"/>
        <v>6.3381404262337755</v>
      </c>
      <c r="CJ343" s="18">
        <f t="shared" si="365"/>
        <v>2.0035566245462424</v>
      </c>
      <c r="CK343" s="18">
        <f t="shared" si="365"/>
        <v>1.508773584351109</v>
      </c>
      <c r="CL343" s="18">
        <f t="shared" si="365"/>
        <v>0.98715959656253105</v>
      </c>
      <c r="CM343" s="18">
        <f t="shared" si="365"/>
        <v>3.8445397255186862</v>
      </c>
      <c r="CN343" s="56">
        <f t="shared" si="379"/>
        <v>4</v>
      </c>
      <c r="CP343" s="18">
        <f t="shared" si="366"/>
        <v>6.3381404262337755</v>
      </c>
      <c r="CQ343" s="18">
        <f t="shared" si="366"/>
        <v>2.0035566245462424</v>
      </c>
      <c r="CR343" s="18">
        <f t="shared" si="366"/>
        <v>1.508773584351109</v>
      </c>
      <c r="CS343" s="18">
        <f t="shared" si="366"/>
        <v>0.98715959656253105</v>
      </c>
      <c r="CT343" s="18">
        <f t="shared" si="366"/>
        <v>3.8445397255186862</v>
      </c>
      <c r="CU343" s="56">
        <f t="shared" si="380"/>
        <v>4</v>
      </c>
      <c r="CW343" s="18">
        <f t="shared" si="367"/>
        <v>6.3381404262337755</v>
      </c>
      <c r="CX343" s="18">
        <f t="shared" si="367"/>
        <v>2.0035566245462424</v>
      </c>
      <c r="CY343" s="18">
        <f t="shared" si="367"/>
        <v>1.508773584351109</v>
      </c>
      <c r="CZ343" s="18">
        <f t="shared" si="367"/>
        <v>0.98715959656253105</v>
      </c>
      <c r="DA343" s="18">
        <f t="shared" si="367"/>
        <v>3.8445397255186862</v>
      </c>
      <c r="DB343" s="56">
        <f t="shared" si="381"/>
        <v>4</v>
      </c>
    </row>
    <row r="344" spans="1:106" x14ac:dyDescent="0.25">
      <c r="A344" s="36" t="str">
        <f>KMeans_Data!A72</f>
        <v>Chitral Lower</v>
      </c>
      <c r="B344" s="18">
        <f>KMeans_Data!H72</f>
        <v>-0.21462381690636909</v>
      </c>
      <c r="C344" s="18">
        <f>KMeans_Data!I72</f>
        <v>-0.67265054538827607</v>
      </c>
      <c r="D344" s="18">
        <f>KMeans_Data!J72</f>
        <v>0.19372787308524608</v>
      </c>
      <c r="E344" s="56">
        <f t="shared" si="368"/>
        <v>4</v>
      </c>
      <c r="F344" s="38">
        <f t="shared" si="369"/>
        <v>0.35800575275240004</v>
      </c>
      <c r="G344" s="18">
        <f>IF(COUNTIF(Distance_Matrix!$E$11:$DQ$11,$E344)&lt;=1,0,SUMIF(Distance_Matrix!$E$11:$DQ$11,$E344,Distance_Matrix!$E$81:$DQ$81)/(COUNTIF(Distance_Matrix!$E$11:$DQ$11,$E344)-1))</f>
        <v>0.89647454524189929</v>
      </c>
      <c r="H344" s="18">
        <f>MIN(IF(1=$E344,1E+99,IF(COUNTIF(Distance_Matrix!$E$11:$DQ$11,1)=0,1E+99,SUMIF(Distance_Matrix!$E$11:$DQ$11,1,Distance_Matrix!$E$81:$DQ$81)/COUNTIF(Distance_Matrix!$E$11:$DQ$11,1))),IF(2=$E344,1E+99,IF(COUNTIF(Distance_Matrix!$E$11:$DQ$11,2)=0,1E+99,SUMIF(Distance_Matrix!$E$11:$DQ$11,2,Distance_Matrix!$E$81:$DQ$81)/COUNTIF(Distance_Matrix!$E$11:$DQ$11,2))),IF(3=$E344,1E+99,IF(COUNTIF(Distance_Matrix!$E$11:$DQ$11,3)=0,1E+99,SUMIF(Distance_Matrix!$E$11:$DQ$11,3,Distance_Matrix!$E$81:$DQ$81)/COUNTIF(Distance_Matrix!$E$11:$DQ$11,3))),IF(4=$E344,1E+99,IF(COUNTIF(Distance_Matrix!$E$11:$DQ$11,4)=0,1E+99,SUMIF(Distance_Matrix!$E$11:$DQ$11,4,Distance_Matrix!$E$81:$DQ$81)/COUNTIF(Distance_Matrix!$E$11:$DQ$11,4))),IF(5=$E344,1E+99,IF(COUNTIF(Distance_Matrix!$E$11:$DQ$11,5)=0,1E+99,SUMIF(Distance_Matrix!$E$11:$DQ$11,5,Distance_Matrix!$E$81:$DQ$81)/COUNTIF(Distance_Matrix!$E$11:$DQ$11,5))))</f>
        <v>1.687198108214375</v>
      </c>
      <c r="I344" s="18">
        <f>IF(COUNTIF(Distance_Matrix!$E$11:$DQ$11,$E344)&lt;=1,0,(H344-G344)/MAX(G344,H344))</f>
        <v>0.46866076907194265</v>
      </c>
      <c r="X344" s="18">
        <f t="shared" si="356"/>
        <v>6.6127372640193443</v>
      </c>
      <c r="Y344" s="18">
        <f t="shared" si="356"/>
        <v>2.2962073456330026</v>
      </c>
      <c r="Z344" s="18">
        <f t="shared" si="356"/>
        <v>2.0742743415084681</v>
      </c>
      <c r="AA344" s="18">
        <f t="shared" si="356"/>
        <v>1.6764111272591082</v>
      </c>
      <c r="AB344" s="18">
        <f t="shared" si="356"/>
        <v>4.4944758722572846</v>
      </c>
      <c r="AC344" s="56">
        <f t="shared" si="370"/>
        <v>4</v>
      </c>
      <c r="AE344" s="18">
        <f t="shared" si="357"/>
        <v>6.5218897258418309</v>
      </c>
      <c r="AF344" s="18">
        <f t="shared" si="357"/>
        <v>1.5258904151355734</v>
      </c>
      <c r="AG344" s="18">
        <f t="shared" si="357"/>
        <v>1.5434727433436655</v>
      </c>
      <c r="AH344" s="18">
        <f t="shared" si="357"/>
        <v>0.74681188474006766</v>
      </c>
      <c r="AI344" s="18">
        <f t="shared" si="357"/>
        <v>4.2637167075508753</v>
      </c>
      <c r="AJ344" s="56">
        <f t="shared" si="371"/>
        <v>4</v>
      </c>
      <c r="AL344" s="18">
        <f t="shared" si="358"/>
        <v>6.5218897258418309</v>
      </c>
      <c r="AM344" s="18">
        <f t="shared" si="358"/>
        <v>1.5578152388505921</v>
      </c>
      <c r="AN344" s="18">
        <f t="shared" si="358"/>
        <v>1.6240124086588457</v>
      </c>
      <c r="AO344" s="18">
        <f t="shared" si="358"/>
        <v>0.62717944212534149</v>
      </c>
      <c r="AP344" s="18">
        <f t="shared" si="358"/>
        <v>3.9973232023260814</v>
      </c>
      <c r="AQ344" s="56">
        <f t="shared" si="372"/>
        <v>4</v>
      </c>
      <c r="AS344" s="18">
        <f t="shared" si="359"/>
        <v>6.5218897258418309</v>
      </c>
      <c r="AT344" s="18">
        <f t="shared" si="359"/>
        <v>1.6546942247540559</v>
      </c>
      <c r="AU344" s="18">
        <f t="shared" si="359"/>
        <v>1.6489950062499159</v>
      </c>
      <c r="AV344" s="18">
        <f t="shared" si="359"/>
        <v>0.59833581937938496</v>
      </c>
      <c r="AW344" s="18">
        <f t="shared" si="359"/>
        <v>3.9973232023260814</v>
      </c>
      <c r="AX344" s="56">
        <f t="shared" si="373"/>
        <v>4</v>
      </c>
      <c r="AZ344" s="18">
        <f t="shared" si="360"/>
        <v>6.5218897258418309</v>
      </c>
      <c r="BA344" s="18">
        <f t="shared" si="360"/>
        <v>1.6546942247540559</v>
      </c>
      <c r="BB344" s="18">
        <f t="shared" si="360"/>
        <v>1.6489950062499159</v>
      </c>
      <c r="BC344" s="18">
        <f t="shared" si="360"/>
        <v>0.59833581937938496</v>
      </c>
      <c r="BD344" s="18">
        <f t="shared" si="360"/>
        <v>3.9973232023260814</v>
      </c>
      <c r="BE344" s="56">
        <f t="shared" si="374"/>
        <v>4</v>
      </c>
      <c r="BG344" s="18">
        <f t="shared" si="361"/>
        <v>6.5218897258418309</v>
      </c>
      <c r="BH344" s="18">
        <f t="shared" si="361"/>
        <v>1.6546942247540559</v>
      </c>
      <c r="BI344" s="18">
        <f t="shared" si="361"/>
        <v>1.6489950062499159</v>
      </c>
      <c r="BJ344" s="18">
        <f t="shared" si="361"/>
        <v>0.59833581937938496</v>
      </c>
      <c r="BK344" s="18">
        <f t="shared" si="361"/>
        <v>3.9973232023260814</v>
      </c>
      <c r="BL344" s="56">
        <f t="shared" si="375"/>
        <v>4</v>
      </c>
      <c r="BN344" s="18">
        <f t="shared" si="362"/>
        <v>6.5218897258418309</v>
      </c>
      <c r="BO344" s="18">
        <f t="shared" si="362"/>
        <v>1.6546942247540559</v>
      </c>
      <c r="BP344" s="18">
        <f t="shared" si="362"/>
        <v>1.6489950062499159</v>
      </c>
      <c r="BQ344" s="18">
        <f t="shared" si="362"/>
        <v>0.59833581937938496</v>
      </c>
      <c r="BR344" s="18">
        <f t="shared" si="362"/>
        <v>3.9973232023260814</v>
      </c>
      <c r="BS344" s="56">
        <f t="shared" si="376"/>
        <v>4</v>
      </c>
      <c r="BU344" s="18">
        <f t="shared" si="363"/>
        <v>6.5218897258418309</v>
      </c>
      <c r="BV344" s="18">
        <f t="shared" si="363"/>
        <v>1.6546942247540559</v>
      </c>
      <c r="BW344" s="18">
        <f t="shared" si="363"/>
        <v>1.6489950062499159</v>
      </c>
      <c r="BX344" s="18">
        <f t="shared" si="363"/>
        <v>0.59833581937938496</v>
      </c>
      <c r="BY344" s="18">
        <f t="shared" si="363"/>
        <v>3.9973232023260814</v>
      </c>
      <c r="BZ344" s="56">
        <f t="shared" si="377"/>
        <v>4</v>
      </c>
      <c r="CB344" s="18">
        <f t="shared" si="364"/>
        <v>6.5218897258418309</v>
      </c>
      <c r="CC344" s="18">
        <f t="shared" si="364"/>
        <v>1.6546942247540559</v>
      </c>
      <c r="CD344" s="18">
        <f t="shared" si="364"/>
        <v>1.6489950062499159</v>
      </c>
      <c r="CE344" s="18">
        <f t="shared" si="364"/>
        <v>0.59833581937938496</v>
      </c>
      <c r="CF344" s="18">
        <f t="shared" si="364"/>
        <v>3.9973232023260814</v>
      </c>
      <c r="CG344" s="56">
        <f t="shared" si="378"/>
        <v>4</v>
      </c>
      <c r="CI344" s="18">
        <f t="shared" si="365"/>
        <v>6.5218897258418309</v>
      </c>
      <c r="CJ344" s="18">
        <f t="shared" si="365"/>
        <v>1.6546942247540559</v>
      </c>
      <c r="CK344" s="18">
        <f t="shared" si="365"/>
        <v>1.6489950062499159</v>
      </c>
      <c r="CL344" s="18">
        <f t="shared" si="365"/>
        <v>0.59833581937938496</v>
      </c>
      <c r="CM344" s="18">
        <f t="shared" si="365"/>
        <v>3.9973232023260814</v>
      </c>
      <c r="CN344" s="56">
        <f t="shared" si="379"/>
        <v>4</v>
      </c>
      <c r="CP344" s="18">
        <f t="shared" si="366"/>
        <v>6.5218897258418309</v>
      </c>
      <c r="CQ344" s="18">
        <f t="shared" si="366"/>
        <v>1.6546942247540559</v>
      </c>
      <c r="CR344" s="18">
        <f t="shared" si="366"/>
        <v>1.6489950062499159</v>
      </c>
      <c r="CS344" s="18">
        <f t="shared" si="366"/>
        <v>0.59833581937938496</v>
      </c>
      <c r="CT344" s="18">
        <f t="shared" si="366"/>
        <v>3.9973232023260814</v>
      </c>
      <c r="CU344" s="56">
        <f t="shared" si="380"/>
        <v>4</v>
      </c>
      <c r="CW344" s="18">
        <f t="shared" si="367"/>
        <v>6.5218897258418309</v>
      </c>
      <c r="CX344" s="18">
        <f t="shared" si="367"/>
        <v>1.6546942247540559</v>
      </c>
      <c r="CY344" s="18">
        <f t="shared" si="367"/>
        <v>1.6489950062499159</v>
      </c>
      <c r="CZ344" s="18">
        <f t="shared" si="367"/>
        <v>0.59833581937938496</v>
      </c>
      <c r="DA344" s="18">
        <f t="shared" si="367"/>
        <v>3.9973232023260814</v>
      </c>
      <c r="DB344" s="56">
        <f t="shared" si="381"/>
        <v>4</v>
      </c>
    </row>
    <row r="345" spans="1:106" x14ac:dyDescent="0.25">
      <c r="A345" s="36" t="str">
        <f>KMeans_Data!A73</f>
        <v>Sujawal</v>
      </c>
      <c r="B345" s="18">
        <f>KMeans_Data!H73</f>
        <v>-0.21462381690636909</v>
      </c>
      <c r="C345" s="18">
        <f>KMeans_Data!I73</f>
        <v>-0.67265054538827607</v>
      </c>
      <c r="D345" s="18">
        <f>KMeans_Data!J73</f>
        <v>0.1092417215824385</v>
      </c>
      <c r="E345" s="56">
        <f t="shared" si="368"/>
        <v>4</v>
      </c>
      <c r="F345" s="38">
        <f t="shared" si="369"/>
        <v>0.26903148102829977</v>
      </c>
      <c r="G345" s="18">
        <f>IF(COUNTIF(Distance_Matrix!$E$11:$DQ$11,$E345)&lt;=1,0,SUMIF(Distance_Matrix!$E$11:$DQ$11,$E345,Distance_Matrix!$E$82:$DQ$82)/(COUNTIF(Distance_Matrix!$E$11:$DQ$11,$E345)-1))</f>
        <v>0.85549788549587047</v>
      </c>
      <c r="H345" s="18">
        <f>MIN(IF(1=$E345,1E+99,IF(COUNTIF(Distance_Matrix!$E$11:$DQ$11,1)=0,1E+99,SUMIF(Distance_Matrix!$E$11:$DQ$11,1,Distance_Matrix!$E$82:$DQ$82)/COUNTIF(Distance_Matrix!$E$11:$DQ$11,1))),IF(2=$E345,1E+99,IF(COUNTIF(Distance_Matrix!$E$11:$DQ$11,2)=0,1E+99,SUMIF(Distance_Matrix!$E$11:$DQ$11,2,Distance_Matrix!$E$82:$DQ$82)/COUNTIF(Distance_Matrix!$E$11:$DQ$11,2))),IF(3=$E345,1E+99,IF(COUNTIF(Distance_Matrix!$E$11:$DQ$11,3)=0,1E+99,SUMIF(Distance_Matrix!$E$11:$DQ$11,3,Distance_Matrix!$E$82:$DQ$82)/COUNTIF(Distance_Matrix!$E$11:$DQ$11,3))),IF(4=$E345,1E+99,IF(COUNTIF(Distance_Matrix!$E$11:$DQ$11,4)=0,1E+99,SUMIF(Distance_Matrix!$E$11:$DQ$11,4,Distance_Matrix!$E$82:$DQ$82)/COUNTIF(Distance_Matrix!$E$11:$DQ$11,4))),IF(5=$E345,1E+99,IF(COUNTIF(Distance_Matrix!$E$11:$DQ$11,5)=0,1E+99,SUMIF(Distance_Matrix!$E$11:$DQ$11,5,Distance_Matrix!$E$82:$DQ$82)/COUNTIF(Distance_Matrix!$E$11:$DQ$11,5))))</f>
        <v>1.6234464741557497</v>
      </c>
      <c r="I345" s="18">
        <f>IF(COUNTIF(Distance_Matrix!$E$11:$DQ$11,$E345)&lt;=1,0,(H345-G345)/MAX(G345,H345))</f>
        <v>0.47303597678466119</v>
      </c>
      <c r="X345" s="18">
        <f t="shared" si="356"/>
        <v>6.6522414095383775</v>
      </c>
      <c r="Y345" s="18">
        <f t="shared" si="356"/>
        <v>2.2479744914703566</v>
      </c>
      <c r="Z345" s="18">
        <f t="shared" si="356"/>
        <v>2.1273163768296945</v>
      </c>
      <c r="AA345" s="18">
        <f t="shared" si="356"/>
        <v>1.6097128339429374</v>
      </c>
      <c r="AB345" s="18">
        <f t="shared" si="356"/>
        <v>4.5360311964205255</v>
      </c>
      <c r="AC345" s="56">
        <f t="shared" si="370"/>
        <v>4</v>
      </c>
      <c r="AE345" s="18">
        <f t="shared" si="357"/>
        <v>6.5582561913432311</v>
      </c>
      <c r="AF345" s="18">
        <f t="shared" si="357"/>
        <v>1.464485874989254</v>
      </c>
      <c r="AG345" s="18">
        <f t="shared" si="357"/>
        <v>1.5810337914002563</v>
      </c>
      <c r="AH345" s="18">
        <f t="shared" si="357"/>
        <v>0.66729632201119482</v>
      </c>
      <c r="AI345" s="18">
        <f t="shared" si="357"/>
        <v>4.2960232375305392</v>
      </c>
      <c r="AJ345" s="56">
        <f t="shared" si="371"/>
        <v>4</v>
      </c>
      <c r="AL345" s="18">
        <f t="shared" si="358"/>
        <v>6.5582561913432311</v>
      </c>
      <c r="AM345" s="18">
        <f t="shared" si="358"/>
        <v>1.4948751864415153</v>
      </c>
      <c r="AN345" s="18">
        <f t="shared" si="358"/>
        <v>1.6596630687858398</v>
      </c>
      <c r="AO345" s="18">
        <f t="shared" si="358"/>
        <v>0.5482386221921618</v>
      </c>
      <c r="AP345" s="18">
        <f t="shared" si="358"/>
        <v>4.0291606831408782</v>
      </c>
      <c r="AQ345" s="56">
        <f t="shared" si="372"/>
        <v>4</v>
      </c>
      <c r="AS345" s="18">
        <f t="shared" si="359"/>
        <v>6.5582561913432311</v>
      </c>
      <c r="AT345" s="18">
        <f t="shared" si="359"/>
        <v>1.5908987254299849</v>
      </c>
      <c r="AU345" s="18">
        <f t="shared" si="359"/>
        <v>1.6849237330330347</v>
      </c>
      <c r="AV345" s="18">
        <f t="shared" si="359"/>
        <v>0.51868244719510204</v>
      </c>
      <c r="AW345" s="18">
        <f t="shared" si="359"/>
        <v>4.0291606831408782</v>
      </c>
      <c r="AX345" s="56">
        <f t="shared" si="373"/>
        <v>4</v>
      </c>
      <c r="AZ345" s="18">
        <f t="shared" si="360"/>
        <v>6.5582561913432311</v>
      </c>
      <c r="BA345" s="18">
        <f t="shared" si="360"/>
        <v>1.5908987254299849</v>
      </c>
      <c r="BB345" s="18">
        <f t="shared" si="360"/>
        <v>1.6849237330330347</v>
      </c>
      <c r="BC345" s="18">
        <f t="shared" si="360"/>
        <v>0.51868244719510204</v>
      </c>
      <c r="BD345" s="18">
        <f t="shared" si="360"/>
        <v>4.0291606831408782</v>
      </c>
      <c r="BE345" s="56">
        <f t="shared" si="374"/>
        <v>4</v>
      </c>
      <c r="BG345" s="18">
        <f t="shared" si="361"/>
        <v>6.5582561913432311</v>
      </c>
      <c r="BH345" s="18">
        <f t="shared" si="361"/>
        <v>1.5908987254299849</v>
      </c>
      <c r="BI345" s="18">
        <f t="shared" si="361"/>
        <v>1.6849237330330347</v>
      </c>
      <c r="BJ345" s="18">
        <f t="shared" si="361"/>
        <v>0.51868244719510204</v>
      </c>
      <c r="BK345" s="18">
        <f t="shared" si="361"/>
        <v>4.0291606831408782</v>
      </c>
      <c r="BL345" s="56">
        <f t="shared" si="375"/>
        <v>4</v>
      </c>
      <c r="BN345" s="18">
        <f t="shared" si="362"/>
        <v>6.5582561913432311</v>
      </c>
      <c r="BO345" s="18">
        <f t="shared" si="362"/>
        <v>1.5908987254299849</v>
      </c>
      <c r="BP345" s="18">
        <f t="shared" si="362"/>
        <v>1.6849237330330347</v>
      </c>
      <c r="BQ345" s="18">
        <f t="shared" si="362"/>
        <v>0.51868244719510204</v>
      </c>
      <c r="BR345" s="18">
        <f t="shared" si="362"/>
        <v>4.0291606831408782</v>
      </c>
      <c r="BS345" s="56">
        <f t="shared" si="376"/>
        <v>4</v>
      </c>
      <c r="BU345" s="18">
        <f t="shared" si="363"/>
        <v>6.5582561913432311</v>
      </c>
      <c r="BV345" s="18">
        <f t="shared" si="363"/>
        <v>1.5908987254299849</v>
      </c>
      <c r="BW345" s="18">
        <f t="shared" si="363"/>
        <v>1.6849237330330347</v>
      </c>
      <c r="BX345" s="18">
        <f t="shared" si="363"/>
        <v>0.51868244719510204</v>
      </c>
      <c r="BY345" s="18">
        <f t="shared" si="363"/>
        <v>4.0291606831408782</v>
      </c>
      <c r="BZ345" s="56">
        <f t="shared" si="377"/>
        <v>4</v>
      </c>
      <c r="CB345" s="18">
        <f t="shared" si="364"/>
        <v>6.5582561913432311</v>
      </c>
      <c r="CC345" s="18">
        <f t="shared" si="364"/>
        <v>1.5908987254299849</v>
      </c>
      <c r="CD345" s="18">
        <f t="shared" si="364"/>
        <v>1.6849237330330347</v>
      </c>
      <c r="CE345" s="18">
        <f t="shared" si="364"/>
        <v>0.51868244719510204</v>
      </c>
      <c r="CF345" s="18">
        <f t="shared" si="364"/>
        <v>4.0291606831408782</v>
      </c>
      <c r="CG345" s="56">
        <f t="shared" si="378"/>
        <v>4</v>
      </c>
      <c r="CI345" s="18">
        <f t="shared" si="365"/>
        <v>6.5582561913432311</v>
      </c>
      <c r="CJ345" s="18">
        <f t="shared" si="365"/>
        <v>1.5908987254299849</v>
      </c>
      <c r="CK345" s="18">
        <f t="shared" si="365"/>
        <v>1.6849237330330347</v>
      </c>
      <c r="CL345" s="18">
        <f t="shared" si="365"/>
        <v>0.51868244719510204</v>
      </c>
      <c r="CM345" s="18">
        <f t="shared" si="365"/>
        <v>4.0291606831408782</v>
      </c>
      <c r="CN345" s="56">
        <f t="shared" si="379"/>
        <v>4</v>
      </c>
      <c r="CP345" s="18">
        <f t="shared" si="366"/>
        <v>6.5582561913432311</v>
      </c>
      <c r="CQ345" s="18">
        <f t="shared" si="366"/>
        <v>1.5908987254299849</v>
      </c>
      <c r="CR345" s="18">
        <f t="shared" si="366"/>
        <v>1.6849237330330347</v>
      </c>
      <c r="CS345" s="18">
        <f t="shared" si="366"/>
        <v>0.51868244719510204</v>
      </c>
      <c r="CT345" s="18">
        <f t="shared" si="366"/>
        <v>4.0291606831408782</v>
      </c>
      <c r="CU345" s="56">
        <f t="shared" si="380"/>
        <v>4</v>
      </c>
      <c r="CW345" s="18">
        <f t="shared" si="367"/>
        <v>6.5582561913432311</v>
      </c>
      <c r="CX345" s="18">
        <f t="shared" si="367"/>
        <v>1.5908987254299849</v>
      </c>
      <c r="CY345" s="18">
        <f t="shared" si="367"/>
        <v>1.6849237330330347</v>
      </c>
      <c r="CZ345" s="18">
        <f t="shared" si="367"/>
        <v>0.51868244719510204</v>
      </c>
      <c r="DA345" s="18">
        <f t="shared" si="367"/>
        <v>4.0291606831408782</v>
      </c>
      <c r="DB345" s="56">
        <f t="shared" si="381"/>
        <v>4</v>
      </c>
    </row>
    <row r="346" spans="1:106" x14ac:dyDescent="0.25">
      <c r="A346" s="36" t="str">
        <f>KMeans_Data!A74</f>
        <v>Laiya</v>
      </c>
      <c r="B346" s="18">
        <f>KMeans_Data!H74</f>
        <v>-0.25991062981783247</v>
      </c>
      <c r="C346" s="18">
        <f>KMeans_Data!I74</f>
        <v>-0.67265054538827607</v>
      </c>
      <c r="D346" s="18">
        <f>KMeans_Data!J74</f>
        <v>-1.1456441163335547</v>
      </c>
      <c r="E346" s="56">
        <f t="shared" si="368"/>
        <v>4</v>
      </c>
      <c r="F346" s="38">
        <f t="shared" si="369"/>
        <v>0.63807674638440603</v>
      </c>
      <c r="G346" s="18">
        <f>IF(COUNTIF(Distance_Matrix!$E$11:$DQ$11,$E346)&lt;=1,0,SUMIF(Distance_Matrix!$E$11:$DQ$11,$E346,Distance_Matrix!$E$83:$DQ$83)/(COUNTIF(Distance_Matrix!$E$11:$DQ$11,$E346)-1))</f>
        <v>1.0114738970928885</v>
      </c>
      <c r="H346" s="18">
        <f>MIN(IF(1=$E346,1E+99,IF(COUNTIF(Distance_Matrix!$E$11:$DQ$11,1)=0,1E+99,SUMIF(Distance_Matrix!$E$11:$DQ$11,1,Distance_Matrix!$E$83:$DQ$83)/COUNTIF(Distance_Matrix!$E$11:$DQ$11,1))),IF(2=$E346,1E+99,IF(COUNTIF(Distance_Matrix!$E$11:$DQ$11,2)=0,1E+99,SUMIF(Distance_Matrix!$E$11:$DQ$11,2,Distance_Matrix!$E$83:$DQ$83)/COUNTIF(Distance_Matrix!$E$11:$DQ$11,2))),IF(3=$E346,1E+99,IF(COUNTIF(Distance_Matrix!$E$11:$DQ$11,3)=0,1E+99,SUMIF(Distance_Matrix!$E$11:$DQ$11,3,Distance_Matrix!$E$83:$DQ$83)/COUNTIF(Distance_Matrix!$E$11:$DQ$11,3))),IF(4=$E346,1E+99,IF(COUNTIF(Distance_Matrix!$E$11:$DQ$11,4)=0,1E+99,SUMIF(Distance_Matrix!$E$11:$DQ$11,4,Distance_Matrix!$E$83:$DQ$83)/COUNTIF(Distance_Matrix!$E$11:$DQ$11,4))),IF(5=$E346,1E+99,IF(COUNTIF(Distance_Matrix!$E$11:$DQ$11,5)=0,1E+99,SUMIF(Distance_Matrix!$E$11:$DQ$11,5,Distance_Matrix!$E$83:$DQ$83)/COUNTIF(Distance_Matrix!$E$11:$DQ$11,5))))</f>
        <v>1.0470686411426058</v>
      </c>
      <c r="I346" s="18">
        <f>IF(COUNTIF(Distance_Matrix!$E$11:$DQ$11,$E346)&lt;=1,0,(H346-G346)/MAX(G346,H346))</f>
        <v>3.3994661525604285E-2</v>
      </c>
      <c r="X346" s="18">
        <f t="shared" si="356"/>
        <v>7.3508166372041472</v>
      </c>
      <c r="Y346" s="18">
        <f t="shared" si="356"/>
        <v>1.8198273519854962</v>
      </c>
      <c r="Z346" s="18">
        <f t="shared" si="356"/>
        <v>3.1035249453598421</v>
      </c>
      <c r="AA346" s="18">
        <f t="shared" si="356"/>
        <v>1.0470950502629917</v>
      </c>
      <c r="AB346" s="18">
        <f t="shared" si="356"/>
        <v>5.2977231798605464</v>
      </c>
      <c r="AC346" s="56">
        <f t="shared" si="370"/>
        <v>4</v>
      </c>
      <c r="AE346" s="18">
        <f t="shared" si="357"/>
        <v>7.2162160511051239</v>
      </c>
      <c r="AF346" s="18">
        <f t="shared" si="357"/>
        <v>1.003588125460054</v>
      </c>
      <c r="AG346" s="18">
        <f t="shared" si="357"/>
        <v>2.4484085934744679</v>
      </c>
      <c r="AH346" s="18">
        <f t="shared" si="357"/>
        <v>0.68684239222378352</v>
      </c>
      <c r="AI346" s="18">
        <f t="shared" si="357"/>
        <v>4.9452117783464749</v>
      </c>
      <c r="AJ346" s="56">
        <f t="shared" si="371"/>
        <v>4</v>
      </c>
      <c r="AL346" s="18">
        <f t="shared" si="358"/>
        <v>7.2162160511051239</v>
      </c>
      <c r="AM346" s="18">
        <f t="shared" si="358"/>
        <v>0.9856248634050998</v>
      </c>
      <c r="AN346" s="18">
        <f t="shared" si="358"/>
        <v>2.4999383095775891</v>
      </c>
      <c r="AO346" s="18">
        <f t="shared" si="358"/>
        <v>0.78565981607264468</v>
      </c>
      <c r="AP346" s="18">
        <f t="shared" si="358"/>
        <v>4.6801842128356421</v>
      </c>
      <c r="AQ346" s="56">
        <f t="shared" si="372"/>
        <v>4</v>
      </c>
      <c r="AS346" s="18">
        <f t="shared" si="359"/>
        <v>7.2162160511051239</v>
      </c>
      <c r="AT346" s="18">
        <f t="shared" si="359"/>
        <v>1.0208078166112284</v>
      </c>
      <c r="AU346" s="18">
        <f t="shared" si="359"/>
        <v>2.5251347146958141</v>
      </c>
      <c r="AV346" s="18">
        <f t="shared" si="359"/>
        <v>0.79879706207797607</v>
      </c>
      <c r="AW346" s="18">
        <f t="shared" si="359"/>
        <v>4.6801842128356421</v>
      </c>
      <c r="AX346" s="56">
        <f t="shared" si="373"/>
        <v>4</v>
      </c>
      <c r="AZ346" s="18">
        <f t="shared" si="360"/>
        <v>7.2162160511051239</v>
      </c>
      <c r="BA346" s="18">
        <f t="shared" si="360"/>
        <v>1.0208078166112284</v>
      </c>
      <c r="BB346" s="18">
        <f t="shared" si="360"/>
        <v>2.5251347146958141</v>
      </c>
      <c r="BC346" s="18">
        <f t="shared" si="360"/>
        <v>0.79879706207797607</v>
      </c>
      <c r="BD346" s="18">
        <f t="shared" si="360"/>
        <v>4.6801842128356421</v>
      </c>
      <c r="BE346" s="56">
        <f t="shared" si="374"/>
        <v>4</v>
      </c>
      <c r="BG346" s="18">
        <f t="shared" si="361"/>
        <v>7.2162160511051239</v>
      </c>
      <c r="BH346" s="18">
        <f t="shared" si="361"/>
        <v>1.0208078166112284</v>
      </c>
      <c r="BI346" s="18">
        <f t="shared" si="361"/>
        <v>2.5251347146958141</v>
      </c>
      <c r="BJ346" s="18">
        <f t="shared" si="361"/>
        <v>0.79879706207797607</v>
      </c>
      <c r="BK346" s="18">
        <f t="shared" si="361"/>
        <v>4.6801842128356421</v>
      </c>
      <c r="BL346" s="56">
        <f t="shared" si="375"/>
        <v>4</v>
      </c>
      <c r="BN346" s="18">
        <f t="shared" si="362"/>
        <v>7.2162160511051239</v>
      </c>
      <c r="BO346" s="18">
        <f t="shared" si="362"/>
        <v>1.0208078166112284</v>
      </c>
      <c r="BP346" s="18">
        <f t="shared" si="362"/>
        <v>2.5251347146958141</v>
      </c>
      <c r="BQ346" s="18">
        <f t="shared" si="362"/>
        <v>0.79879706207797607</v>
      </c>
      <c r="BR346" s="18">
        <f t="shared" si="362"/>
        <v>4.6801842128356421</v>
      </c>
      <c r="BS346" s="56">
        <f t="shared" si="376"/>
        <v>4</v>
      </c>
      <c r="BU346" s="18">
        <f t="shared" si="363"/>
        <v>7.2162160511051239</v>
      </c>
      <c r="BV346" s="18">
        <f t="shared" si="363"/>
        <v>1.0208078166112284</v>
      </c>
      <c r="BW346" s="18">
        <f t="shared" si="363"/>
        <v>2.5251347146958141</v>
      </c>
      <c r="BX346" s="18">
        <f t="shared" si="363"/>
        <v>0.79879706207797607</v>
      </c>
      <c r="BY346" s="18">
        <f t="shared" si="363"/>
        <v>4.6801842128356421</v>
      </c>
      <c r="BZ346" s="56">
        <f t="shared" si="377"/>
        <v>4</v>
      </c>
      <c r="CB346" s="18">
        <f t="shared" si="364"/>
        <v>7.2162160511051239</v>
      </c>
      <c r="CC346" s="18">
        <f t="shared" si="364"/>
        <v>1.0208078166112284</v>
      </c>
      <c r="CD346" s="18">
        <f t="shared" si="364"/>
        <v>2.5251347146958141</v>
      </c>
      <c r="CE346" s="18">
        <f t="shared" si="364"/>
        <v>0.79879706207797607</v>
      </c>
      <c r="CF346" s="18">
        <f t="shared" si="364"/>
        <v>4.6801842128356421</v>
      </c>
      <c r="CG346" s="56">
        <f t="shared" si="378"/>
        <v>4</v>
      </c>
      <c r="CI346" s="18">
        <f t="shared" si="365"/>
        <v>7.2162160511051239</v>
      </c>
      <c r="CJ346" s="18">
        <f t="shared" si="365"/>
        <v>1.0208078166112284</v>
      </c>
      <c r="CK346" s="18">
        <f t="shared" si="365"/>
        <v>2.5251347146958141</v>
      </c>
      <c r="CL346" s="18">
        <f t="shared" si="365"/>
        <v>0.79879706207797607</v>
      </c>
      <c r="CM346" s="18">
        <f t="shared" si="365"/>
        <v>4.6801842128356421</v>
      </c>
      <c r="CN346" s="56">
        <f t="shared" si="379"/>
        <v>4</v>
      </c>
      <c r="CP346" s="18">
        <f t="shared" si="366"/>
        <v>7.2162160511051239</v>
      </c>
      <c r="CQ346" s="18">
        <f t="shared" si="366"/>
        <v>1.0208078166112284</v>
      </c>
      <c r="CR346" s="18">
        <f t="shared" si="366"/>
        <v>2.5251347146958141</v>
      </c>
      <c r="CS346" s="18">
        <f t="shared" si="366"/>
        <v>0.79879706207797607</v>
      </c>
      <c r="CT346" s="18">
        <f t="shared" si="366"/>
        <v>4.6801842128356421</v>
      </c>
      <c r="CU346" s="56">
        <f t="shared" si="380"/>
        <v>4</v>
      </c>
      <c r="CW346" s="18">
        <f t="shared" si="367"/>
        <v>7.2162160511051239</v>
      </c>
      <c r="CX346" s="18">
        <f t="shared" si="367"/>
        <v>1.0208078166112284</v>
      </c>
      <c r="CY346" s="18">
        <f t="shared" si="367"/>
        <v>2.5251347146958141</v>
      </c>
      <c r="CZ346" s="18">
        <f t="shared" si="367"/>
        <v>0.79879706207797607</v>
      </c>
      <c r="DA346" s="18">
        <f t="shared" si="367"/>
        <v>4.6801842128356421</v>
      </c>
      <c r="DB346" s="56">
        <f t="shared" si="381"/>
        <v>4</v>
      </c>
    </row>
    <row r="347" spans="1:106" x14ac:dyDescent="0.25">
      <c r="A347" s="36" t="str">
        <f>KMeans_Data!A75</f>
        <v>Shigar</v>
      </c>
      <c r="B347" s="18">
        <f>KMeans_Data!H75</f>
        <v>-0.27592635554508732</v>
      </c>
      <c r="C347" s="18">
        <f>KMeans_Data!I75</f>
        <v>-0.67265054538827607</v>
      </c>
      <c r="D347" s="18">
        <f>KMeans_Data!J75</f>
        <v>0.2867168485915767</v>
      </c>
      <c r="E347" s="56">
        <f t="shared" si="368"/>
        <v>4</v>
      </c>
      <c r="F347" s="38">
        <f t="shared" si="369"/>
        <v>0.48673260234356946</v>
      </c>
      <c r="G347" s="18">
        <f>IF(COUNTIF(Distance_Matrix!$E$11:$DQ$11,$E347)&lt;=1,0,SUMIF(Distance_Matrix!$E$11:$DQ$11,$E347,Distance_Matrix!$E$84:$DQ$84)/(COUNTIF(Distance_Matrix!$E$11:$DQ$11,$E347)-1))</f>
        <v>0.95333536117765449</v>
      </c>
      <c r="H347" s="18">
        <f>MIN(IF(1=$E347,1E+99,IF(COUNTIF(Distance_Matrix!$E$11:$DQ$11,1)=0,1E+99,SUMIF(Distance_Matrix!$E$11:$DQ$11,1,Distance_Matrix!$E$84:$DQ$84)/COUNTIF(Distance_Matrix!$E$11:$DQ$11,1))),IF(2=$E347,1E+99,IF(COUNTIF(Distance_Matrix!$E$11:$DQ$11,2)=0,1E+99,SUMIF(Distance_Matrix!$E$11:$DQ$11,2,Distance_Matrix!$E$84:$DQ$84)/COUNTIF(Distance_Matrix!$E$11:$DQ$11,2))),IF(3=$E347,1E+99,IF(COUNTIF(Distance_Matrix!$E$11:$DQ$11,3)=0,1E+99,SUMIF(Distance_Matrix!$E$11:$DQ$11,3,Distance_Matrix!$E$84:$DQ$84)/COUNTIF(Distance_Matrix!$E$11:$DQ$11,3))),IF(4=$E347,1E+99,IF(COUNTIF(Distance_Matrix!$E$11:$DQ$11,4)=0,1E+99,SUMIF(Distance_Matrix!$E$11:$DQ$11,4,Distance_Matrix!$E$84:$DQ$84)/COUNTIF(Distance_Matrix!$E$11:$DQ$11,4))),IF(5=$E347,1E+99,IF(COUNTIF(Distance_Matrix!$E$11:$DQ$11,5)=0,1E+99,SUMIF(Distance_Matrix!$E$11:$DQ$11,5,Distance_Matrix!$E$84:$DQ$84)/COUNTIF(Distance_Matrix!$E$11:$DQ$11,5))))</f>
        <v>1.7240681239483961</v>
      </c>
      <c r="I347" s="18">
        <f>IF(COUNTIF(Distance_Matrix!$E$11:$DQ$11,$E347)&lt;=1,0,(H347-G347)/MAX(G347,H347))</f>
        <v>0.44704310233730116</v>
      </c>
      <c r="X347" s="18">
        <f t="shared" ref="X347:AB356" si="382">SQRT(($B347-X$270)^2+($C347-X$271)^2+($D347-X$272)^2)</f>
        <v>6.6029959991080132</v>
      </c>
      <c r="Y347" s="18">
        <f t="shared" si="382"/>
        <v>2.30334415944853</v>
      </c>
      <c r="Z347" s="18">
        <f t="shared" si="382"/>
        <v>2.0569594071030406</v>
      </c>
      <c r="AA347" s="18">
        <f t="shared" si="382"/>
        <v>1.7825065614331335</v>
      </c>
      <c r="AB347" s="18">
        <f t="shared" si="382"/>
        <v>4.4859513138351801</v>
      </c>
      <c r="AC347" s="56">
        <f t="shared" si="370"/>
        <v>4</v>
      </c>
      <c r="AE347" s="18">
        <f t="shared" ref="AE347:AI356" si="383">SQRT(($B347-AE$270)^2+($C347-AE$271)^2+($D347-AE$272)^2)</f>
        <v>6.5159830429963437</v>
      </c>
      <c r="AF347" s="18">
        <f t="shared" si="383"/>
        <v>1.5571979009005332</v>
      </c>
      <c r="AG347" s="18">
        <f t="shared" si="383"/>
        <v>1.5384692834968121</v>
      </c>
      <c r="AH347" s="18">
        <f t="shared" si="383"/>
        <v>0.84878174103209281</v>
      </c>
      <c r="AI347" s="18">
        <f t="shared" si="383"/>
        <v>4.2635879601853999</v>
      </c>
      <c r="AJ347" s="56">
        <f t="shared" si="371"/>
        <v>4</v>
      </c>
      <c r="AL347" s="18">
        <f t="shared" ref="AL347:AP356" si="384">SQRT(($B347-AL$270)^2+($C347-AL$271)^2+($D347-AL$272)^2)</f>
        <v>6.5159830429963437</v>
      </c>
      <c r="AM347" s="18">
        <f t="shared" si="384"/>
        <v>1.5917769514808393</v>
      </c>
      <c r="AN347" s="18">
        <f t="shared" si="384"/>
        <v>1.621257751981148</v>
      </c>
      <c r="AO347" s="18">
        <f t="shared" si="384"/>
        <v>0.72945468550779424</v>
      </c>
      <c r="AP347" s="18">
        <f t="shared" si="384"/>
        <v>3.9971109882669191</v>
      </c>
      <c r="AQ347" s="56">
        <f t="shared" si="372"/>
        <v>4</v>
      </c>
      <c r="AS347" s="18">
        <f t="shared" ref="AS347:AW356" si="385">SQRT(($B347-AS$270)^2+($C347-AS$271)^2+($D347-AS$272)^2)</f>
        <v>6.5159830429963437</v>
      </c>
      <c r="AT347" s="18">
        <f t="shared" si="385"/>
        <v>1.6899095523592056</v>
      </c>
      <c r="AU347" s="18">
        <f t="shared" si="385"/>
        <v>1.6460940152055596</v>
      </c>
      <c r="AV347" s="18">
        <f t="shared" si="385"/>
        <v>0.69766224087560413</v>
      </c>
      <c r="AW347" s="18">
        <f t="shared" si="385"/>
        <v>3.9971109882669191</v>
      </c>
      <c r="AX347" s="56">
        <f t="shared" si="373"/>
        <v>4</v>
      </c>
      <c r="AZ347" s="18">
        <f t="shared" ref="AZ347:BD356" si="386">SQRT(($B347-AZ$270)^2+($C347-AZ$271)^2+($D347-AZ$272)^2)</f>
        <v>6.5159830429963437</v>
      </c>
      <c r="BA347" s="18">
        <f t="shared" si="386"/>
        <v>1.6899095523592056</v>
      </c>
      <c r="BB347" s="18">
        <f t="shared" si="386"/>
        <v>1.6460940152055596</v>
      </c>
      <c r="BC347" s="18">
        <f t="shared" si="386"/>
        <v>0.69766224087560413</v>
      </c>
      <c r="BD347" s="18">
        <f t="shared" si="386"/>
        <v>3.9971109882669191</v>
      </c>
      <c r="BE347" s="56">
        <f t="shared" si="374"/>
        <v>4</v>
      </c>
      <c r="BG347" s="18">
        <f t="shared" ref="BG347:BK356" si="387">SQRT(($B347-BG$270)^2+($C347-BG$271)^2+($D347-BG$272)^2)</f>
        <v>6.5159830429963437</v>
      </c>
      <c r="BH347" s="18">
        <f t="shared" si="387"/>
        <v>1.6899095523592056</v>
      </c>
      <c r="BI347" s="18">
        <f t="shared" si="387"/>
        <v>1.6460940152055596</v>
      </c>
      <c r="BJ347" s="18">
        <f t="shared" si="387"/>
        <v>0.69766224087560413</v>
      </c>
      <c r="BK347" s="18">
        <f t="shared" si="387"/>
        <v>3.9971109882669191</v>
      </c>
      <c r="BL347" s="56">
        <f t="shared" si="375"/>
        <v>4</v>
      </c>
      <c r="BN347" s="18">
        <f t="shared" ref="BN347:BR356" si="388">SQRT(($B347-BN$270)^2+($C347-BN$271)^2+($D347-BN$272)^2)</f>
        <v>6.5159830429963437</v>
      </c>
      <c r="BO347" s="18">
        <f t="shared" si="388"/>
        <v>1.6899095523592056</v>
      </c>
      <c r="BP347" s="18">
        <f t="shared" si="388"/>
        <v>1.6460940152055596</v>
      </c>
      <c r="BQ347" s="18">
        <f t="shared" si="388"/>
        <v>0.69766224087560413</v>
      </c>
      <c r="BR347" s="18">
        <f t="shared" si="388"/>
        <v>3.9971109882669191</v>
      </c>
      <c r="BS347" s="56">
        <f t="shared" si="376"/>
        <v>4</v>
      </c>
      <c r="BU347" s="18">
        <f t="shared" ref="BU347:BY356" si="389">SQRT(($B347-BU$270)^2+($C347-BU$271)^2+($D347-BU$272)^2)</f>
        <v>6.5159830429963437</v>
      </c>
      <c r="BV347" s="18">
        <f t="shared" si="389"/>
        <v>1.6899095523592056</v>
      </c>
      <c r="BW347" s="18">
        <f t="shared" si="389"/>
        <v>1.6460940152055596</v>
      </c>
      <c r="BX347" s="18">
        <f t="shared" si="389"/>
        <v>0.69766224087560413</v>
      </c>
      <c r="BY347" s="18">
        <f t="shared" si="389"/>
        <v>3.9971109882669191</v>
      </c>
      <c r="BZ347" s="56">
        <f t="shared" si="377"/>
        <v>4</v>
      </c>
      <c r="CB347" s="18">
        <f t="shared" ref="CB347:CF356" si="390">SQRT(($B347-CB$270)^2+($C347-CB$271)^2+($D347-CB$272)^2)</f>
        <v>6.5159830429963437</v>
      </c>
      <c r="CC347" s="18">
        <f t="shared" si="390"/>
        <v>1.6899095523592056</v>
      </c>
      <c r="CD347" s="18">
        <f t="shared" si="390"/>
        <v>1.6460940152055596</v>
      </c>
      <c r="CE347" s="18">
        <f t="shared" si="390"/>
        <v>0.69766224087560413</v>
      </c>
      <c r="CF347" s="18">
        <f t="shared" si="390"/>
        <v>3.9971109882669191</v>
      </c>
      <c r="CG347" s="56">
        <f t="shared" si="378"/>
        <v>4</v>
      </c>
      <c r="CI347" s="18">
        <f t="shared" ref="CI347:CM356" si="391">SQRT(($B347-CI$270)^2+($C347-CI$271)^2+($D347-CI$272)^2)</f>
        <v>6.5159830429963437</v>
      </c>
      <c r="CJ347" s="18">
        <f t="shared" si="391"/>
        <v>1.6899095523592056</v>
      </c>
      <c r="CK347" s="18">
        <f t="shared" si="391"/>
        <v>1.6460940152055596</v>
      </c>
      <c r="CL347" s="18">
        <f t="shared" si="391"/>
        <v>0.69766224087560413</v>
      </c>
      <c r="CM347" s="18">
        <f t="shared" si="391"/>
        <v>3.9971109882669191</v>
      </c>
      <c r="CN347" s="56">
        <f t="shared" si="379"/>
        <v>4</v>
      </c>
      <c r="CP347" s="18">
        <f t="shared" ref="CP347:CT356" si="392">SQRT(($B347-CP$270)^2+($C347-CP$271)^2+($D347-CP$272)^2)</f>
        <v>6.5159830429963437</v>
      </c>
      <c r="CQ347" s="18">
        <f t="shared" si="392"/>
        <v>1.6899095523592056</v>
      </c>
      <c r="CR347" s="18">
        <f t="shared" si="392"/>
        <v>1.6460940152055596</v>
      </c>
      <c r="CS347" s="18">
        <f t="shared" si="392"/>
        <v>0.69766224087560413</v>
      </c>
      <c r="CT347" s="18">
        <f t="shared" si="392"/>
        <v>3.9971109882669191</v>
      </c>
      <c r="CU347" s="56">
        <f t="shared" si="380"/>
        <v>4</v>
      </c>
      <c r="CW347" s="18">
        <f t="shared" ref="CW347:DA356" si="393">SQRT(($B347-CW$270)^2+($C347-CW$271)^2+($D347-CW$272)^2)</f>
        <v>6.5159830429963437</v>
      </c>
      <c r="CX347" s="18">
        <f t="shared" si="393"/>
        <v>1.6899095523592056</v>
      </c>
      <c r="CY347" s="18">
        <f t="shared" si="393"/>
        <v>1.6460940152055596</v>
      </c>
      <c r="CZ347" s="18">
        <f t="shared" si="393"/>
        <v>0.69766224087560413</v>
      </c>
      <c r="DA347" s="18">
        <f t="shared" si="393"/>
        <v>3.9971109882669191</v>
      </c>
      <c r="DB347" s="56">
        <f t="shared" si="381"/>
        <v>4</v>
      </c>
    </row>
    <row r="348" spans="1:106" x14ac:dyDescent="0.25">
      <c r="A348" s="36" t="str">
        <f>KMeans_Data!A76</f>
        <v>Narowal</v>
      </c>
      <c r="B348" s="18">
        <f>KMeans_Data!H76</f>
        <v>-0.27592635554508732</v>
      </c>
      <c r="C348" s="18">
        <f>KMeans_Data!I76</f>
        <v>-0.67265054538827607</v>
      </c>
      <c r="D348" s="18">
        <f>KMeans_Data!J76</f>
        <v>-1.1456441163335547</v>
      </c>
      <c r="E348" s="56">
        <f t="shared" si="368"/>
        <v>4</v>
      </c>
      <c r="F348" s="38">
        <f t="shared" si="369"/>
        <v>0.6425366744106451</v>
      </c>
      <c r="G348" s="18">
        <f>IF(COUNTIF(Distance_Matrix!$E$11:$DQ$11,$E348)&lt;=1,0,SUMIF(Distance_Matrix!$E$11:$DQ$11,$E348,Distance_Matrix!$E$85:$DQ$85)/(COUNTIF(Distance_Matrix!$E$11:$DQ$11,$E348)-1))</f>
        <v>1.0133592949175225</v>
      </c>
      <c r="H348" s="18">
        <f>MIN(IF(1=$E348,1E+99,IF(COUNTIF(Distance_Matrix!$E$11:$DQ$11,1)=0,1E+99,SUMIF(Distance_Matrix!$E$11:$DQ$11,1,Distance_Matrix!$E$85:$DQ$85)/COUNTIF(Distance_Matrix!$E$11:$DQ$11,1))),IF(2=$E348,1E+99,IF(COUNTIF(Distance_Matrix!$E$11:$DQ$11,2)=0,1E+99,SUMIF(Distance_Matrix!$E$11:$DQ$11,2,Distance_Matrix!$E$85:$DQ$85)/COUNTIF(Distance_Matrix!$E$11:$DQ$11,2))),IF(3=$E348,1E+99,IF(COUNTIF(Distance_Matrix!$E$11:$DQ$11,3)=0,1E+99,SUMIF(Distance_Matrix!$E$11:$DQ$11,3,Distance_Matrix!$E$85:$DQ$85)/COUNTIF(Distance_Matrix!$E$11:$DQ$11,3))),IF(4=$E348,1E+99,IF(COUNTIF(Distance_Matrix!$E$11:$DQ$11,4)=0,1E+99,SUMIF(Distance_Matrix!$E$11:$DQ$11,4,Distance_Matrix!$E$85:$DQ$85)/COUNTIF(Distance_Matrix!$E$11:$DQ$11,4))),IF(5=$E348,1E+99,IF(COUNTIF(Distance_Matrix!$E$11:$DQ$11,5)=0,1E+99,SUMIF(Distance_Matrix!$E$11:$DQ$11,5,Distance_Matrix!$E$85:$DQ$85)/COUNTIF(Distance_Matrix!$E$11:$DQ$11,5))))</f>
        <v>1.0315745109082652</v>
      </c>
      <c r="I348" s="18">
        <f>IF(COUNTIF(Distance_Matrix!$E$11:$DQ$11,$E348)&lt;=1,0,(H348-G348)/MAX(G348,H348))</f>
        <v>1.7657683277483134E-2</v>
      </c>
      <c r="X348" s="18">
        <f t="shared" si="382"/>
        <v>7.3585302822416772</v>
      </c>
      <c r="Y348" s="18">
        <f t="shared" si="382"/>
        <v>1.8038116262582413</v>
      </c>
      <c r="Z348" s="18">
        <f t="shared" si="382"/>
        <v>3.1102534157725112</v>
      </c>
      <c r="AA348" s="18">
        <f t="shared" si="382"/>
        <v>1.0609767705802609</v>
      </c>
      <c r="AB348" s="18">
        <f t="shared" si="382"/>
        <v>5.3056754610308143</v>
      </c>
      <c r="AC348" s="56">
        <f t="shared" si="370"/>
        <v>4</v>
      </c>
      <c r="AE348" s="18">
        <f t="shared" si="383"/>
        <v>7.2240466415362876</v>
      </c>
      <c r="AF348" s="18">
        <f t="shared" si="383"/>
        <v>0.987937025681763</v>
      </c>
      <c r="AG348" s="18">
        <f t="shared" si="383"/>
        <v>2.4537392938658025</v>
      </c>
      <c r="AH348" s="18">
        <f t="shared" si="383"/>
        <v>0.69162139145718193</v>
      </c>
      <c r="AI348" s="18">
        <f t="shared" si="383"/>
        <v>4.9528541605801877</v>
      </c>
      <c r="AJ348" s="56">
        <f t="shared" si="371"/>
        <v>4</v>
      </c>
      <c r="AL348" s="18">
        <f t="shared" si="384"/>
        <v>7.2240466415362876</v>
      </c>
      <c r="AM348" s="18">
        <f t="shared" si="384"/>
        <v>0.96982815807668299</v>
      </c>
      <c r="AN348" s="18">
        <f t="shared" si="384"/>
        <v>2.5054803700406283</v>
      </c>
      <c r="AO348" s="18">
        <f t="shared" si="384"/>
        <v>0.789457499315386</v>
      </c>
      <c r="AP348" s="18">
        <f t="shared" si="384"/>
        <v>4.6875981344281223</v>
      </c>
      <c r="AQ348" s="56">
        <f t="shared" si="372"/>
        <v>4</v>
      </c>
      <c r="AS348" s="18">
        <f t="shared" si="385"/>
        <v>7.2240466415362876</v>
      </c>
      <c r="AT348" s="18">
        <f t="shared" si="385"/>
        <v>1.0048357982375984</v>
      </c>
      <c r="AU348" s="18">
        <f t="shared" si="385"/>
        <v>2.5307440544085296</v>
      </c>
      <c r="AV348" s="18">
        <f t="shared" si="385"/>
        <v>0.80158385363643969</v>
      </c>
      <c r="AW348" s="18">
        <f t="shared" si="385"/>
        <v>4.6875981344281223</v>
      </c>
      <c r="AX348" s="56">
        <f t="shared" si="373"/>
        <v>4</v>
      </c>
      <c r="AZ348" s="18">
        <f t="shared" si="386"/>
        <v>7.2240466415362876</v>
      </c>
      <c r="BA348" s="18">
        <f t="shared" si="386"/>
        <v>1.0048357982375984</v>
      </c>
      <c r="BB348" s="18">
        <f t="shared" si="386"/>
        <v>2.5307440544085296</v>
      </c>
      <c r="BC348" s="18">
        <f t="shared" si="386"/>
        <v>0.80158385363643969</v>
      </c>
      <c r="BD348" s="18">
        <f t="shared" si="386"/>
        <v>4.6875981344281223</v>
      </c>
      <c r="BE348" s="56">
        <f t="shared" si="374"/>
        <v>4</v>
      </c>
      <c r="BG348" s="18">
        <f t="shared" si="387"/>
        <v>7.2240466415362876</v>
      </c>
      <c r="BH348" s="18">
        <f t="shared" si="387"/>
        <v>1.0048357982375984</v>
      </c>
      <c r="BI348" s="18">
        <f t="shared" si="387"/>
        <v>2.5307440544085296</v>
      </c>
      <c r="BJ348" s="18">
        <f t="shared" si="387"/>
        <v>0.80158385363643969</v>
      </c>
      <c r="BK348" s="18">
        <f t="shared" si="387"/>
        <v>4.6875981344281223</v>
      </c>
      <c r="BL348" s="56">
        <f t="shared" si="375"/>
        <v>4</v>
      </c>
      <c r="BN348" s="18">
        <f t="shared" si="388"/>
        <v>7.2240466415362876</v>
      </c>
      <c r="BO348" s="18">
        <f t="shared" si="388"/>
        <v>1.0048357982375984</v>
      </c>
      <c r="BP348" s="18">
        <f t="shared" si="388"/>
        <v>2.5307440544085296</v>
      </c>
      <c r="BQ348" s="18">
        <f t="shared" si="388"/>
        <v>0.80158385363643969</v>
      </c>
      <c r="BR348" s="18">
        <f t="shared" si="388"/>
        <v>4.6875981344281223</v>
      </c>
      <c r="BS348" s="56">
        <f t="shared" si="376"/>
        <v>4</v>
      </c>
      <c r="BU348" s="18">
        <f t="shared" si="389"/>
        <v>7.2240466415362876</v>
      </c>
      <c r="BV348" s="18">
        <f t="shared" si="389"/>
        <v>1.0048357982375984</v>
      </c>
      <c r="BW348" s="18">
        <f t="shared" si="389"/>
        <v>2.5307440544085296</v>
      </c>
      <c r="BX348" s="18">
        <f t="shared" si="389"/>
        <v>0.80158385363643969</v>
      </c>
      <c r="BY348" s="18">
        <f t="shared" si="389"/>
        <v>4.6875981344281223</v>
      </c>
      <c r="BZ348" s="56">
        <f t="shared" si="377"/>
        <v>4</v>
      </c>
      <c r="CB348" s="18">
        <f t="shared" si="390"/>
        <v>7.2240466415362876</v>
      </c>
      <c r="CC348" s="18">
        <f t="shared" si="390"/>
        <v>1.0048357982375984</v>
      </c>
      <c r="CD348" s="18">
        <f t="shared" si="390"/>
        <v>2.5307440544085296</v>
      </c>
      <c r="CE348" s="18">
        <f t="shared" si="390"/>
        <v>0.80158385363643969</v>
      </c>
      <c r="CF348" s="18">
        <f t="shared" si="390"/>
        <v>4.6875981344281223</v>
      </c>
      <c r="CG348" s="56">
        <f t="shared" si="378"/>
        <v>4</v>
      </c>
      <c r="CI348" s="18">
        <f t="shared" si="391"/>
        <v>7.2240466415362876</v>
      </c>
      <c r="CJ348" s="18">
        <f t="shared" si="391"/>
        <v>1.0048357982375984</v>
      </c>
      <c r="CK348" s="18">
        <f t="shared" si="391"/>
        <v>2.5307440544085296</v>
      </c>
      <c r="CL348" s="18">
        <f t="shared" si="391"/>
        <v>0.80158385363643969</v>
      </c>
      <c r="CM348" s="18">
        <f t="shared" si="391"/>
        <v>4.6875981344281223</v>
      </c>
      <c r="CN348" s="56">
        <f t="shared" si="379"/>
        <v>4</v>
      </c>
      <c r="CP348" s="18">
        <f t="shared" si="392"/>
        <v>7.2240466415362876</v>
      </c>
      <c r="CQ348" s="18">
        <f t="shared" si="392"/>
        <v>1.0048357982375984</v>
      </c>
      <c r="CR348" s="18">
        <f t="shared" si="392"/>
        <v>2.5307440544085296</v>
      </c>
      <c r="CS348" s="18">
        <f t="shared" si="392"/>
        <v>0.80158385363643969</v>
      </c>
      <c r="CT348" s="18">
        <f t="shared" si="392"/>
        <v>4.6875981344281223</v>
      </c>
      <c r="CU348" s="56">
        <f t="shared" si="380"/>
        <v>4</v>
      </c>
      <c r="CW348" s="18">
        <f t="shared" si="393"/>
        <v>7.2240466415362876</v>
      </c>
      <c r="CX348" s="18">
        <f t="shared" si="393"/>
        <v>1.0048357982375984</v>
      </c>
      <c r="CY348" s="18">
        <f t="shared" si="393"/>
        <v>2.5307440544085296</v>
      </c>
      <c r="CZ348" s="18">
        <f t="shared" si="393"/>
        <v>0.80158385363643969</v>
      </c>
      <c r="DA348" s="18">
        <f t="shared" si="393"/>
        <v>4.6875981344281223</v>
      </c>
      <c r="DB348" s="56">
        <f t="shared" si="381"/>
        <v>4</v>
      </c>
    </row>
    <row r="349" spans="1:106" x14ac:dyDescent="0.25">
      <c r="A349" s="36" t="str">
        <f>KMeans_Data!A77</f>
        <v>Mandi Bahauddin</v>
      </c>
      <c r="B349" s="18">
        <f>KMeans_Data!H77</f>
        <v>-0.30951672077615416</v>
      </c>
      <c r="C349" s="18">
        <f>KMeans_Data!I77</f>
        <v>-0.67265054538827607</v>
      </c>
      <c r="D349" s="18">
        <f>KMeans_Data!J77</f>
        <v>-0.1820498150291911</v>
      </c>
      <c r="E349" s="56">
        <f t="shared" si="368"/>
        <v>4</v>
      </c>
      <c r="F349" s="38">
        <f t="shared" si="369"/>
        <v>9.7041742153415489E-2</v>
      </c>
      <c r="G349" s="18">
        <f>IF(COUNTIF(Distance_Matrix!$E$11:$DQ$11,$E349)&lt;=1,0,SUMIF(Distance_Matrix!$E$11:$DQ$11,$E349,Distance_Matrix!$E$86:$DQ$86)/(COUNTIF(Distance_Matrix!$E$11:$DQ$11,$E349)-1))</f>
        <v>0.76713484983543445</v>
      </c>
      <c r="H349" s="18">
        <f>MIN(IF(1=$E349,1E+99,IF(COUNTIF(Distance_Matrix!$E$11:$DQ$11,1)=0,1E+99,SUMIF(Distance_Matrix!$E$11:$DQ$11,1,Distance_Matrix!$E$86:$DQ$86)/COUNTIF(Distance_Matrix!$E$11:$DQ$11,1))),IF(2=$E349,1E+99,IF(COUNTIF(Distance_Matrix!$E$11:$DQ$11,2)=0,1E+99,SUMIF(Distance_Matrix!$E$11:$DQ$11,2,Distance_Matrix!$E$86:$DQ$86)/COUNTIF(Distance_Matrix!$E$11:$DQ$11,2))),IF(3=$E349,1E+99,IF(COUNTIF(Distance_Matrix!$E$11:$DQ$11,3)=0,1E+99,SUMIF(Distance_Matrix!$E$11:$DQ$11,3,Distance_Matrix!$E$86:$DQ$86)/COUNTIF(Distance_Matrix!$E$11:$DQ$11,3))),IF(4=$E349,1E+99,IF(COUNTIF(Distance_Matrix!$E$11:$DQ$11,4)=0,1E+99,SUMIF(Distance_Matrix!$E$11:$DQ$11,4,Distance_Matrix!$E$86:$DQ$86)/COUNTIF(Distance_Matrix!$E$11:$DQ$11,4))),IF(5=$E349,1E+99,IF(COUNTIF(Distance_Matrix!$E$11:$DQ$11,5)=0,1E+99,SUMIF(Distance_Matrix!$E$11:$DQ$11,5,Distance_Matrix!$E$86:$DQ$86)/COUNTIF(Distance_Matrix!$E$11:$DQ$11,5))))</f>
        <v>1.3525589232056663</v>
      </c>
      <c r="I349" s="18">
        <f>IF(COUNTIF(Distance_Matrix!$E$11:$DQ$11,$E349)&lt;=1,0,(H349-G349)/MAX(G349,H349))</f>
        <v>0.43282703867919692</v>
      </c>
      <c r="X349" s="18">
        <f t="shared" si="382"/>
        <v>6.8439501868573736</v>
      </c>
      <c r="Y349" s="18">
        <f t="shared" si="382"/>
        <v>2.0154893426904752</v>
      </c>
      <c r="Z349" s="18">
        <f t="shared" si="382"/>
        <v>2.3769571381083732</v>
      </c>
      <c r="AA349" s="18">
        <f t="shared" si="382"/>
        <v>1.4550696614569665</v>
      </c>
      <c r="AB349" s="18">
        <f t="shared" si="382"/>
        <v>4.7410308383057682</v>
      </c>
      <c r="AC349" s="56">
        <f t="shared" si="370"/>
        <v>4</v>
      </c>
      <c r="AE349" s="18">
        <f t="shared" si="383"/>
        <v>6.7401107773342401</v>
      </c>
      <c r="AF349" s="18">
        <f t="shared" si="383"/>
        <v>1.1980384140555782</v>
      </c>
      <c r="AG349" s="18">
        <f t="shared" si="383"/>
        <v>1.7797423755144672</v>
      </c>
      <c r="AH349" s="18">
        <f t="shared" si="383"/>
        <v>0.45275146213991457</v>
      </c>
      <c r="AI349" s="18">
        <f t="shared" si="383"/>
        <v>4.4683106950557496</v>
      </c>
      <c r="AJ349" s="56">
        <f t="shared" si="371"/>
        <v>4</v>
      </c>
      <c r="AL349" s="18">
        <f t="shared" si="384"/>
        <v>6.7401107773342401</v>
      </c>
      <c r="AM349" s="18">
        <f t="shared" si="384"/>
        <v>1.2237373524965909</v>
      </c>
      <c r="AN349" s="18">
        <f t="shared" si="384"/>
        <v>1.8522448814384462</v>
      </c>
      <c r="AO349" s="18">
        <f t="shared" si="384"/>
        <v>0.35276381226996312</v>
      </c>
      <c r="AP349" s="18">
        <f t="shared" si="384"/>
        <v>4.1994107337154629</v>
      </c>
      <c r="AQ349" s="56">
        <f t="shared" si="372"/>
        <v>4</v>
      </c>
      <c r="AS349" s="18">
        <f t="shared" si="385"/>
        <v>6.7401107773342401</v>
      </c>
      <c r="AT349" s="18">
        <f t="shared" si="385"/>
        <v>1.316712980244424</v>
      </c>
      <c r="AU349" s="18">
        <f t="shared" si="385"/>
        <v>1.8783881263454272</v>
      </c>
      <c r="AV349" s="18">
        <f t="shared" si="385"/>
        <v>0.31151523582870788</v>
      </c>
      <c r="AW349" s="18">
        <f t="shared" si="385"/>
        <v>4.1994107337154629</v>
      </c>
      <c r="AX349" s="56">
        <f t="shared" si="373"/>
        <v>4</v>
      </c>
      <c r="AZ349" s="18">
        <f t="shared" si="386"/>
        <v>6.7401107773342401</v>
      </c>
      <c r="BA349" s="18">
        <f t="shared" si="386"/>
        <v>1.316712980244424</v>
      </c>
      <c r="BB349" s="18">
        <f t="shared" si="386"/>
        <v>1.8783881263454272</v>
      </c>
      <c r="BC349" s="18">
        <f t="shared" si="386"/>
        <v>0.31151523582870788</v>
      </c>
      <c r="BD349" s="18">
        <f t="shared" si="386"/>
        <v>4.1994107337154629</v>
      </c>
      <c r="BE349" s="56">
        <f t="shared" si="374"/>
        <v>4</v>
      </c>
      <c r="BG349" s="18">
        <f t="shared" si="387"/>
        <v>6.7401107773342401</v>
      </c>
      <c r="BH349" s="18">
        <f t="shared" si="387"/>
        <v>1.316712980244424</v>
      </c>
      <c r="BI349" s="18">
        <f t="shared" si="387"/>
        <v>1.8783881263454272</v>
      </c>
      <c r="BJ349" s="18">
        <f t="shared" si="387"/>
        <v>0.31151523582870788</v>
      </c>
      <c r="BK349" s="18">
        <f t="shared" si="387"/>
        <v>4.1994107337154629</v>
      </c>
      <c r="BL349" s="56">
        <f t="shared" si="375"/>
        <v>4</v>
      </c>
      <c r="BN349" s="18">
        <f t="shared" si="388"/>
        <v>6.7401107773342401</v>
      </c>
      <c r="BO349" s="18">
        <f t="shared" si="388"/>
        <v>1.316712980244424</v>
      </c>
      <c r="BP349" s="18">
        <f t="shared" si="388"/>
        <v>1.8783881263454272</v>
      </c>
      <c r="BQ349" s="18">
        <f t="shared" si="388"/>
        <v>0.31151523582870788</v>
      </c>
      <c r="BR349" s="18">
        <f t="shared" si="388"/>
        <v>4.1994107337154629</v>
      </c>
      <c r="BS349" s="56">
        <f t="shared" si="376"/>
        <v>4</v>
      </c>
      <c r="BU349" s="18">
        <f t="shared" si="389"/>
        <v>6.7401107773342401</v>
      </c>
      <c r="BV349" s="18">
        <f t="shared" si="389"/>
        <v>1.316712980244424</v>
      </c>
      <c r="BW349" s="18">
        <f t="shared" si="389"/>
        <v>1.8783881263454272</v>
      </c>
      <c r="BX349" s="18">
        <f t="shared" si="389"/>
        <v>0.31151523582870788</v>
      </c>
      <c r="BY349" s="18">
        <f t="shared" si="389"/>
        <v>4.1994107337154629</v>
      </c>
      <c r="BZ349" s="56">
        <f t="shared" si="377"/>
        <v>4</v>
      </c>
      <c r="CB349" s="18">
        <f t="shared" si="390"/>
        <v>6.7401107773342401</v>
      </c>
      <c r="CC349" s="18">
        <f t="shared" si="390"/>
        <v>1.316712980244424</v>
      </c>
      <c r="CD349" s="18">
        <f t="shared" si="390"/>
        <v>1.8783881263454272</v>
      </c>
      <c r="CE349" s="18">
        <f t="shared" si="390"/>
        <v>0.31151523582870788</v>
      </c>
      <c r="CF349" s="18">
        <f t="shared" si="390"/>
        <v>4.1994107337154629</v>
      </c>
      <c r="CG349" s="56">
        <f t="shared" si="378"/>
        <v>4</v>
      </c>
      <c r="CI349" s="18">
        <f t="shared" si="391"/>
        <v>6.7401107773342401</v>
      </c>
      <c r="CJ349" s="18">
        <f t="shared" si="391"/>
        <v>1.316712980244424</v>
      </c>
      <c r="CK349" s="18">
        <f t="shared" si="391"/>
        <v>1.8783881263454272</v>
      </c>
      <c r="CL349" s="18">
        <f t="shared" si="391"/>
        <v>0.31151523582870788</v>
      </c>
      <c r="CM349" s="18">
        <f t="shared" si="391"/>
        <v>4.1994107337154629</v>
      </c>
      <c r="CN349" s="56">
        <f t="shared" si="379"/>
        <v>4</v>
      </c>
      <c r="CP349" s="18">
        <f t="shared" si="392"/>
        <v>6.7401107773342401</v>
      </c>
      <c r="CQ349" s="18">
        <f t="shared" si="392"/>
        <v>1.316712980244424</v>
      </c>
      <c r="CR349" s="18">
        <f t="shared" si="392"/>
        <v>1.8783881263454272</v>
      </c>
      <c r="CS349" s="18">
        <f t="shared" si="392"/>
        <v>0.31151523582870788</v>
      </c>
      <c r="CT349" s="18">
        <f t="shared" si="392"/>
        <v>4.1994107337154629</v>
      </c>
      <c r="CU349" s="56">
        <f t="shared" si="380"/>
        <v>4</v>
      </c>
      <c r="CW349" s="18">
        <f t="shared" si="393"/>
        <v>6.7401107773342401</v>
      </c>
      <c r="CX349" s="18">
        <f t="shared" si="393"/>
        <v>1.316712980244424</v>
      </c>
      <c r="CY349" s="18">
        <f t="shared" si="393"/>
        <v>1.8783881263454272</v>
      </c>
      <c r="CZ349" s="18">
        <f t="shared" si="393"/>
        <v>0.31151523582870788</v>
      </c>
      <c r="DA349" s="18">
        <f t="shared" si="393"/>
        <v>4.1994107337154629</v>
      </c>
      <c r="DB349" s="56">
        <f t="shared" si="381"/>
        <v>4</v>
      </c>
    </row>
    <row r="350" spans="1:106" x14ac:dyDescent="0.25">
      <c r="A350" s="36" t="str">
        <f>KMeans_Data!A78</f>
        <v>Ghanche</v>
      </c>
      <c r="B350" s="18">
        <f>KMeans_Data!H78</f>
        <v>-0.3271614619727895</v>
      </c>
      <c r="C350" s="18">
        <f>KMeans_Data!I78</f>
        <v>-0.67265054538827607</v>
      </c>
      <c r="D350" s="18">
        <f>KMeans_Data!J78</f>
        <v>-0.24392704812240026</v>
      </c>
      <c r="E350" s="56">
        <f t="shared" si="368"/>
        <v>4</v>
      </c>
      <c r="F350" s="38">
        <f t="shared" si="369"/>
        <v>8.3675501962875251E-2</v>
      </c>
      <c r="G350" s="18">
        <f>IF(COUNTIF(Distance_Matrix!$E$11:$DQ$11,$E350)&lt;=1,0,SUMIF(Distance_Matrix!$E$11:$DQ$11,$E350,Distance_Matrix!$E$87:$DQ$87)/(COUNTIF(Distance_Matrix!$E$11:$DQ$11,$E350)-1))</f>
        <v>0.75991867304728389</v>
      </c>
      <c r="H350" s="18">
        <f>MIN(IF(1=$E350,1E+99,IF(COUNTIF(Distance_Matrix!$E$11:$DQ$11,1)=0,1E+99,SUMIF(Distance_Matrix!$E$11:$DQ$11,1,Distance_Matrix!$E$87:$DQ$87)/COUNTIF(Distance_Matrix!$E$11:$DQ$11,1))),IF(2=$E350,1E+99,IF(COUNTIF(Distance_Matrix!$E$11:$DQ$11,2)=0,1E+99,SUMIF(Distance_Matrix!$E$11:$DQ$11,2,Distance_Matrix!$E$87:$DQ$87)/COUNTIF(Distance_Matrix!$E$11:$DQ$11,2))),IF(3=$E350,1E+99,IF(COUNTIF(Distance_Matrix!$E$11:$DQ$11,3)=0,1E+99,SUMIF(Distance_Matrix!$E$11:$DQ$11,3,Distance_Matrix!$E$87:$DQ$87)/COUNTIF(Distance_Matrix!$E$11:$DQ$11,3))),IF(4=$E350,1E+99,IF(COUNTIF(Distance_Matrix!$E$11:$DQ$11,4)=0,1E+99,SUMIF(Distance_Matrix!$E$11:$DQ$11,4,Distance_Matrix!$E$87:$DQ$87)/COUNTIF(Distance_Matrix!$E$11:$DQ$11,4))),IF(5=$E350,1E+99,IF(COUNTIF(Distance_Matrix!$E$11:$DQ$11,5)=0,1E+99,SUMIF(Distance_Matrix!$E$11:$DQ$11,5,Distance_Matrix!$E$87:$DQ$87)/COUNTIF(Distance_Matrix!$E$11:$DQ$11,5))))</f>
        <v>1.2987853227422024</v>
      </c>
      <c r="I350" s="18">
        <f>IF(COUNTIF(Distance_Matrix!$E$11:$DQ$11,$E350)&lt;=1,0,(H350-G350)/MAX(G350,H350))</f>
        <v>0.41490047682181797</v>
      </c>
      <c r="X350" s="18">
        <f t="shared" si="382"/>
        <v>6.8844268357778047</v>
      </c>
      <c r="Y350" s="18">
        <f t="shared" si="382"/>
        <v>1.9709434616357322</v>
      </c>
      <c r="Z350" s="18">
        <f t="shared" si="382"/>
        <v>2.4302456152411116</v>
      </c>
      <c r="AA350" s="18">
        <f t="shared" si="382"/>
        <v>1.4268240617135268</v>
      </c>
      <c r="AB350" s="18">
        <f t="shared" si="382"/>
        <v>4.7845583291712881</v>
      </c>
      <c r="AC350" s="56">
        <f t="shared" si="370"/>
        <v>4</v>
      </c>
      <c r="AE350" s="18">
        <f t="shared" si="383"/>
        <v>6.7785647143495904</v>
      </c>
      <c r="AF350" s="18">
        <f t="shared" si="383"/>
        <v>1.1460175806489361</v>
      </c>
      <c r="AG350" s="18">
        <f t="shared" si="383"/>
        <v>1.8245851476276715</v>
      </c>
      <c r="AH350" s="18">
        <f t="shared" si="383"/>
        <v>0.42044380252339703</v>
      </c>
      <c r="AI350" s="18">
        <f t="shared" si="383"/>
        <v>4.5053920010326314</v>
      </c>
      <c r="AJ350" s="56">
        <f t="shared" si="371"/>
        <v>4</v>
      </c>
      <c r="AL350" s="18">
        <f t="shared" si="384"/>
        <v>6.7785647143495904</v>
      </c>
      <c r="AM350" s="18">
        <f t="shared" si="384"/>
        <v>1.1703273875956408</v>
      </c>
      <c r="AN350" s="18">
        <f t="shared" si="384"/>
        <v>1.8957836032131397</v>
      </c>
      <c r="AO350" s="18">
        <f t="shared" si="384"/>
        <v>0.33160101580559748</v>
      </c>
      <c r="AP350" s="18">
        <f t="shared" si="384"/>
        <v>4.2362258741297518</v>
      </c>
      <c r="AQ350" s="56">
        <f t="shared" si="372"/>
        <v>4</v>
      </c>
      <c r="AS350" s="18">
        <f t="shared" si="385"/>
        <v>6.7785647143495904</v>
      </c>
      <c r="AT350" s="18">
        <f t="shared" si="385"/>
        <v>1.2622708463105616</v>
      </c>
      <c r="AU350" s="18">
        <f t="shared" si="385"/>
        <v>1.9220301797654786</v>
      </c>
      <c r="AV350" s="18">
        <f t="shared" si="385"/>
        <v>0.28926718092945708</v>
      </c>
      <c r="AW350" s="18">
        <f t="shared" si="385"/>
        <v>4.2362258741297518</v>
      </c>
      <c r="AX350" s="56">
        <f t="shared" si="373"/>
        <v>4</v>
      </c>
      <c r="AZ350" s="18">
        <f t="shared" si="386"/>
        <v>6.7785647143495904</v>
      </c>
      <c r="BA350" s="18">
        <f t="shared" si="386"/>
        <v>1.2622708463105616</v>
      </c>
      <c r="BB350" s="18">
        <f t="shared" si="386"/>
        <v>1.9220301797654786</v>
      </c>
      <c r="BC350" s="18">
        <f t="shared" si="386"/>
        <v>0.28926718092945708</v>
      </c>
      <c r="BD350" s="18">
        <f t="shared" si="386"/>
        <v>4.2362258741297518</v>
      </c>
      <c r="BE350" s="56">
        <f t="shared" si="374"/>
        <v>4</v>
      </c>
      <c r="BG350" s="18">
        <f t="shared" si="387"/>
        <v>6.7785647143495904</v>
      </c>
      <c r="BH350" s="18">
        <f t="shared" si="387"/>
        <v>1.2622708463105616</v>
      </c>
      <c r="BI350" s="18">
        <f t="shared" si="387"/>
        <v>1.9220301797654786</v>
      </c>
      <c r="BJ350" s="18">
        <f t="shared" si="387"/>
        <v>0.28926718092945708</v>
      </c>
      <c r="BK350" s="18">
        <f t="shared" si="387"/>
        <v>4.2362258741297518</v>
      </c>
      <c r="BL350" s="56">
        <f t="shared" si="375"/>
        <v>4</v>
      </c>
      <c r="BN350" s="18">
        <f t="shared" si="388"/>
        <v>6.7785647143495904</v>
      </c>
      <c r="BO350" s="18">
        <f t="shared" si="388"/>
        <v>1.2622708463105616</v>
      </c>
      <c r="BP350" s="18">
        <f t="shared" si="388"/>
        <v>1.9220301797654786</v>
      </c>
      <c r="BQ350" s="18">
        <f t="shared" si="388"/>
        <v>0.28926718092945708</v>
      </c>
      <c r="BR350" s="18">
        <f t="shared" si="388"/>
        <v>4.2362258741297518</v>
      </c>
      <c r="BS350" s="56">
        <f t="shared" si="376"/>
        <v>4</v>
      </c>
      <c r="BU350" s="18">
        <f t="shared" si="389"/>
        <v>6.7785647143495904</v>
      </c>
      <c r="BV350" s="18">
        <f t="shared" si="389"/>
        <v>1.2622708463105616</v>
      </c>
      <c r="BW350" s="18">
        <f t="shared" si="389"/>
        <v>1.9220301797654786</v>
      </c>
      <c r="BX350" s="18">
        <f t="shared" si="389"/>
        <v>0.28926718092945708</v>
      </c>
      <c r="BY350" s="18">
        <f t="shared" si="389"/>
        <v>4.2362258741297518</v>
      </c>
      <c r="BZ350" s="56">
        <f t="shared" si="377"/>
        <v>4</v>
      </c>
      <c r="CB350" s="18">
        <f t="shared" si="390"/>
        <v>6.7785647143495904</v>
      </c>
      <c r="CC350" s="18">
        <f t="shared" si="390"/>
        <v>1.2622708463105616</v>
      </c>
      <c r="CD350" s="18">
        <f t="shared" si="390"/>
        <v>1.9220301797654786</v>
      </c>
      <c r="CE350" s="18">
        <f t="shared" si="390"/>
        <v>0.28926718092945708</v>
      </c>
      <c r="CF350" s="18">
        <f t="shared" si="390"/>
        <v>4.2362258741297518</v>
      </c>
      <c r="CG350" s="56">
        <f t="shared" si="378"/>
        <v>4</v>
      </c>
      <c r="CI350" s="18">
        <f t="shared" si="391"/>
        <v>6.7785647143495904</v>
      </c>
      <c r="CJ350" s="18">
        <f t="shared" si="391"/>
        <v>1.2622708463105616</v>
      </c>
      <c r="CK350" s="18">
        <f t="shared" si="391"/>
        <v>1.9220301797654786</v>
      </c>
      <c r="CL350" s="18">
        <f t="shared" si="391"/>
        <v>0.28926718092945708</v>
      </c>
      <c r="CM350" s="18">
        <f t="shared" si="391"/>
        <v>4.2362258741297518</v>
      </c>
      <c r="CN350" s="56">
        <f t="shared" si="379"/>
        <v>4</v>
      </c>
      <c r="CP350" s="18">
        <f t="shared" si="392"/>
        <v>6.7785647143495904</v>
      </c>
      <c r="CQ350" s="18">
        <f t="shared" si="392"/>
        <v>1.2622708463105616</v>
      </c>
      <c r="CR350" s="18">
        <f t="shared" si="392"/>
        <v>1.9220301797654786</v>
      </c>
      <c r="CS350" s="18">
        <f t="shared" si="392"/>
        <v>0.28926718092945708</v>
      </c>
      <c r="CT350" s="18">
        <f t="shared" si="392"/>
        <v>4.2362258741297518</v>
      </c>
      <c r="CU350" s="56">
        <f t="shared" si="380"/>
        <v>4</v>
      </c>
      <c r="CW350" s="18">
        <f t="shared" si="393"/>
        <v>6.7785647143495904</v>
      </c>
      <c r="CX350" s="18">
        <f t="shared" si="393"/>
        <v>1.2622708463105616</v>
      </c>
      <c r="CY350" s="18">
        <f t="shared" si="393"/>
        <v>1.9220301797654786</v>
      </c>
      <c r="CZ350" s="18">
        <f t="shared" si="393"/>
        <v>0.28926718092945708</v>
      </c>
      <c r="DA350" s="18">
        <f t="shared" si="393"/>
        <v>4.2362258741297518</v>
      </c>
      <c r="DB350" s="56">
        <f t="shared" si="381"/>
        <v>4</v>
      </c>
    </row>
    <row r="351" spans="1:106" x14ac:dyDescent="0.25">
      <c r="A351" s="36" t="str">
        <f>KMeans_Data!A79</f>
        <v>Hunza</v>
      </c>
      <c r="B351" s="18">
        <f>KMeans_Data!H79</f>
        <v>-0.3271614619727895</v>
      </c>
      <c r="C351" s="18">
        <f>KMeans_Data!I79</f>
        <v>-0.67265054538827607</v>
      </c>
      <c r="D351" s="18">
        <f>KMeans_Data!J79</f>
        <v>-1.1456441163335547</v>
      </c>
      <c r="E351" s="56">
        <f t="shared" si="368"/>
        <v>4</v>
      </c>
      <c r="F351" s="38">
        <f t="shared" si="369"/>
        <v>0.66024981043844266</v>
      </c>
      <c r="G351" s="18">
        <f>IF(COUNTIF(Distance_Matrix!$E$11:$DQ$11,$E351)&lt;=1,0,SUMIF(Distance_Matrix!$E$11:$DQ$11,$E351,Distance_Matrix!$E$88:$DQ$88)/(COUNTIF(Distance_Matrix!$E$11:$DQ$11,$E351)-1))</f>
        <v>1.022570184996346</v>
      </c>
      <c r="H351" s="18">
        <f>MIN(IF(1=$E351,1E+99,IF(COUNTIF(Distance_Matrix!$E$11:$DQ$11,1)=0,1E+99,SUMIF(Distance_Matrix!$E$11:$DQ$11,1,Distance_Matrix!$E$88:$DQ$88)/COUNTIF(Distance_Matrix!$E$11:$DQ$11,1))),IF(2=$E351,1E+99,IF(COUNTIF(Distance_Matrix!$E$11:$DQ$11,2)=0,1E+99,SUMIF(Distance_Matrix!$E$11:$DQ$11,2,Distance_Matrix!$E$88:$DQ$88)/COUNTIF(Distance_Matrix!$E$11:$DQ$11,2))),IF(3=$E351,1E+99,IF(COUNTIF(Distance_Matrix!$E$11:$DQ$11,3)=0,1E+99,SUMIF(Distance_Matrix!$E$11:$DQ$11,3,Distance_Matrix!$E$88:$DQ$88)/COUNTIF(Distance_Matrix!$E$11:$DQ$11,3))),IF(4=$E351,1E+99,IF(COUNTIF(Distance_Matrix!$E$11:$DQ$11,4)=0,1E+99,SUMIF(Distance_Matrix!$E$11:$DQ$11,4,Distance_Matrix!$E$88:$DQ$88)/COUNTIF(Distance_Matrix!$E$11:$DQ$11,4))),IF(5=$E351,1E+99,IF(COUNTIF(Distance_Matrix!$E$11:$DQ$11,5)=0,1E+99,SUMIF(Distance_Matrix!$E$11:$DQ$11,5,Distance_Matrix!$E$88:$DQ$88)/COUNTIF(Distance_Matrix!$E$11:$DQ$11,5))))</f>
        <v>0.98212325628110531</v>
      </c>
      <c r="I351" s="18">
        <f>IF(COUNTIF(Distance_Matrix!$E$11:$DQ$11,$E351)&lt;=1,0,(H351-G351)/MAX(G351,H351))</f>
        <v>-3.9554183476790128E-2</v>
      </c>
      <c r="X351" s="18">
        <f t="shared" si="382"/>
        <v>7.3833858290521244</v>
      </c>
      <c r="Y351" s="18">
        <f t="shared" si="382"/>
        <v>1.752576519830539</v>
      </c>
      <c r="Z351" s="18">
        <f t="shared" si="382"/>
        <v>3.1322311072030558</v>
      </c>
      <c r="AA351" s="18">
        <f t="shared" si="382"/>
        <v>1.1057726854925323</v>
      </c>
      <c r="AB351" s="18">
        <f t="shared" si="382"/>
        <v>5.3313586874880867</v>
      </c>
      <c r="AC351" s="56">
        <f t="shared" si="370"/>
        <v>4</v>
      </c>
      <c r="AE351" s="18">
        <f t="shared" si="383"/>
        <v>7.2492779336309621</v>
      </c>
      <c r="AF351" s="18">
        <f t="shared" si="383"/>
        <v>0.93795106209244083</v>
      </c>
      <c r="AG351" s="18">
        <f t="shared" si="383"/>
        <v>2.471412414039055</v>
      </c>
      <c r="AH351" s="18">
        <f t="shared" si="383"/>
        <v>0.70912626629191489</v>
      </c>
      <c r="AI351" s="18">
        <f t="shared" si="383"/>
        <v>4.9775698330527591</v>
      </c>
      <c r="AJ351" s="56">
        <f t="shared" si="371"/>
        <v>4</v>
      </c>
      <c r="AL351" s="18">
        <f t="shared" si="384"/>
        <v>7.2492779336309621</v>
      </c>
      <c r="AM351" s="18">
        <f t="shared" si="384"/>
        <v>0.91934461345994645</v>
      </c>
      <c r="AN351" s="18">
        <f t="shared" si="384"/>
        <v>2.5238106503284614</v>
      </c>
      <c r="AO351" s="18">
        <f t="shared" si="384"/>
        <v>0.80363226225154216</v>
      </c>
      <c r="AP351" s="18">
        <f t="shared" si="384"/>
        <v>4.7116029440189005</v>
      </c>
      <c r="AQ351" s="56">
        <f t="shared" si="372"/>
        <v>4</v>
      </c>
      <c r="AS351" s="18">
        <f t="shared" si="385"/>
        <v>7.2492779336309621</v>
      </c>
      <c r="AT351" s="18">
        <f t="shared" si="385"/>
        <v>0.9537503595422181</v>
      </c>
      <c r="AU351" s="18">
        <f t="shared" si="385"/>
        <v>2.5492815814718193</v>
      </c>
      <c r="AV351" s="18">
        <f t="shared" si="385"/>
        <v>0.81255757361459791</v>
      </c>
      <c r="AW351" s="18">
        <f t="shared" si="385"/>
        <v>4.7116029440189005</v>
      </c>
      <c r="AX351" s="56">
        <f t="shared" si="373"/>
        <v>4</v>
      </c>
      <c r="AZ351" s="18">
        <f t="shared" si="386"/>
        <v>7.2492779336309621</v>
      </c>
      <c r="BA351" s="18">
        <f t="shared" si="386"/>
        <v>0.9537503595422181</v>
      </c>
      <c r="BB351" s="18">
        <f t="shared" si="386"/>
        <v>2.5492815814718193</v>
      </c>
      <c r="BC351" s="18">
        <f t="shared" si="386"/>
        <v>0.81255757361459791</v>
      </c>
      <c r="BD351" s="18">
        <f t="shared" si="386"/>
        <v>4.7116029440189005</v>
      </c>
      <c r="BE351" s="56">
        <f t="shared" si="374"/>
        <v>4</v>
      </c>
      <c r="BG351" s="18">
        <f t="shared" si="387"/>
        <v>7.2492779336309621</v>
      </c>
      <c r="BH351" s="18">
        <f t="shared" si="387"/>
        <v>0.9537503595422181</v>
      </c>
      <c r="BI351" s="18">
        <f t="shared" si="387"/>
        <v>2.5492815814718193</v>
      </c>
      <c r="BJ351" s="18">
        <f t="shared" si="387"/>
        <v>0.81255757361459791</v>
      </c>
      <c r="BK351" s="18">
        <f t="shared" si="387"/>
        <v>4.7116029440189005</v>
      </c>
      <c r="BL351" s="56">
        <f t="shared" si="375"/>
        <v>4</v>
      </c>
      <c r="BN351" s="18">
        <f t="shared" si="388"/>
        <v>7.2492779336309621</v>
      </c>
      <c r="BO351" s="18">
        <f t="shared" si="388"/>
        <v>0.9537503595422181</v>
      </c>
      <c r="BP351" s="18">
        <f t="shared" si="388"/>
        <v>2.5492815814718193</v>
      </c>
      <c r="BQ351" s="18">
        <f t="shared" si="388"/>
        <v>0.81255757361459791</v>
      </c>
      <c r="BR351" s="18">
        <f t="shared" si="388"/>
        <v>4.7116029440189005</v>
      </c>
      <c r="BS351" s="56">
        <f t="shared" si="376"/>
        <v>4</v>
      </c>
      <c r="BU351" s="18">
        <f t="shared" si="389"/>
        <v>7.2492779336309621</v>
      </c>
      <c r="BV351" s="18">
        <f t="shared" si="389"/>
        <v>0.9537503595422181</v>
      </c>
      <c r="BW351" s="18">
        <f t="shared" si="389"/>
        <v>2.5492815814718193</v>
      </c>
      <c r="BX351" s="18">
        <f t="shared" si="389"/>
        <v>0.81255757361459791</v>
      </c>
      <c r="BY351" s="18">
        <f t="shared" si="389"/>
        <v>4.7116029440189005</v>
      </c>
      <c r="BZ351" s="56">
        <f t="shared" si="377"/>
        <v>4</v>
      </c>
      <c r="CB351" s="18">
        <f t="shared" si="390"/>
        <v>7.2492779336309621</v>
      </c>
      <c r="CC351" s="18">
        <f t="shared" si="390"/>
        <v>0.9537503595422181</v>
      </c>
      <c r="CD351" s="18">
        <f t="shared" si="390"/>
        <v>2.5492815814718193</v>
      </c>
      <c r="CE351" s="18">
        <f t="shared" si="390"/>
        <v>0.81255757361459791</v>
      </c>
      <c r="CF351" s="18">
        <f t="shared" si="390"/>
        <v>4.7116029440189005</v>
      </c>
      <c r="CG351" s="56">
        <f t="shared" si="378"/>
        <v>4</v>
      </c>
      <c r="CI351" s="18">
        <f t="shared" si="391"/>
        <v>7.2492779336309621</v>
      </c>
      <c r="CJ351" s="18">
        <f t="shared" si="391"/>
        <v>0.9537503595422181</v>
      </c>
      <c r="CK351" s="18">
        <f t="shared" si="391"/>
        <v>2.5492815814718193</v>
      </c>
      <c r="CL351" s="18">
        <f t="shared" si="391"/>
        <v>0.81255757361459791</v>
      </c>
      <c r="CM351" s="18">
        <f t="shared" si="391"/>
        <v>4.7116029440189005</v>
      </c>
      <c r="CN351" s="56">
        <f t="shared" si="379"/>
        <v>4</v>
      </c>
      <c r="CP351" s="18">
        <f t="shared" si="392"/>
        <v>7.2492779336309621</v>
      </c>
      <c r="CQ351" s="18">
        <f t="shared" si="392"/>
        <v>0.9537503595422181</v>
      </c>
      <c r="CR351" s="18">
        <f t="shared" si="392"/>
        <v>2.5492815814718193</v>
      </c>
      <c r="CS351" s="18">
        <f t="shared" si="392"/>
        <v>0.81255757361459791</v>
      </c>
      <c r="CT351" s="18">
        <f t="shared" si="392"/>
        <v>4.7116029440189005</v>
      </c>
      <c r="CU351" s="56">
        <f t="shared" si="380"/>
        <v>4</v>
      </c>
      <c r="CW351" s="18">
        <f t="shared" si="393"/>
        <v>7.2492779336309621</v>
      </c>
      <c r="CX351" s="18">
        <f t="shared" si="393"/>
        <v>0.9537503595422181</v>
      </c>
      <c r="CY351" s="18">
        <f t="shared" si="393"/>
        <v>2.5492815814718193</v>
      </c>
      <c r="CZ351" s="18">
        <f t="shared" si="393"/>
        <v>0.81255757361459791</v>
      </c>
      <c r="DA351" s="18">
        <f t="shared" si="393"/>
        <v>4.7116029440189005</v>
      </c>
      <c r="DB351" s="56">
        <f t="shared" si="381"/>
        <v>4</v>
      </c>
    </row>
    <row r="352" spans="1:106" x14ac:dyDescent="0.25">
      <c r="A352" s="36" t="str">
        <f>KMeans_Data!A80</f>
        <v>Nankana Sahib</v>
      </c>
      <c r="B352" s="18">
        <f>KMeans_Data!H80</f>
        <v>-0.34542544181187113</v>
      </c>
      <c r="C352" s="18">
        <f>KMeans_Data!I80</f>
        <v>-0.67265054538827607</v>
      </c>
      <c r="D352" s="18">
        <f>KMeans_Data!J80</f>
        <v>-0.24392704812240026</v>
      </c>
      <c r="E352" s="56">
        <f t="shared" si="368"/>
        <v>4</v>
      </c>
      <c r="F352" s="38">
        <f t="shared" si="369"/>
        <v>9.1259103119216423E-2</v>
      </c>
      <c r="G352" s="18">
        <f>IF(COUNTIF(Distance_Matrix!$E$11:$DQ$11,$E352)&lt;=1,0,SUMIF(Distance_Matrix!$E$11:$DQ$11,$E352,Distance_Matrix!$E$89:$DQ$89)/(COUNTIF(Distance_Matrix!$E$11:$DQ$11,$E352)-1))</f>
        <v>0.76260865345842455</v>
      </c>
      <c r="H352" s="18">
        <f>MIN(IF(1=$E352,1E+99,IF(COUNTIF(Distance_Matrix!$E$11:$DQ$11,1)=0,1E+99,SUMIF(Distance_Matrix!$E$11:$DQ$11,1,Distance_Matrix!$E$89:$DQ$89)/COUNTIF(Distance_Matrix!$E$11:$DQ$11,1))),IF(2=$E352,1E+99,IF(COUNTIF(Distance_Matrix!$E$11:$DQ$11,2)=0,1E+99,SUMIF(Distance_Matrix!$E$11:$DQ$11,2,Distance_Matrix!$E$89:$DQ$89)/COUNTIF(Distance_Matrix!$E$11:$DQ$11,2))),IF(3=$E352,1E+99,IF(COUNTIF(Distance_Matrix!$E$11:$DQ$11,3)=0,1E+99,SUMIF(Distance_Matrix!$E$11:$DQ$11,3,Distance_Matrix!$E$89:$DQ$89)/COUNTIF(Distance_Matrix!$E$11:$DQ$11,3))),IF(4=$E352,1E+99,IF(COUNTIF(Distance_Matrix!$E$11:$DQ$11,4)=0,1E+99,SUMIF(Distance_Matrix!$E$11:$DQ$11,4,Distance_Matrix!$E$89:$DQ$89)/COUNTIF(Distance_Matrix!$E$11:$DQ$11,4))),IF(5=$E352,1E+99,IF(COUNTIF(Distance_Matrix!$E$11:$DQ$11,5)=0,1E+99,SUMIF(Distance_Matrix!$E$11:$DQ$11,5,Distance_Matrix!$E$89:$DQ$89)/COUNTIF(Distance_Matrix!$E$11:$DQ$11,5))))</f>
        <v>1.2859411973798571</v>
      </c>
      <c r="I352" s="18">
        <f>IF(COUNTIF(Distance_Matrix!$E$11:$DQ$11,$E352)&lt;=1,0,(H352-G352)/MAX(G352,H352))</f>
        <v>0.40696459914943078</v>
      </c>
      <c r="X352" s="18">
        <f t="shared" si="382"/>
        <v>6.8939988968562389</v>
      </c>
      <c r="Y352" s="18">
        <f t="shared" si="382"/>
        <v>1.9547208643371412</v>
      </c>
      <c r="Z352" s="18">
        <f t="shared" si="382"/>
        <v>2.4405470008765069</v>
      </c>
      <c r="AA352" s="18">
        <f t="shared" si="382"/>
        <v>1.4393387843683685</v>
      </c>
      <c r="AB352" s="18">
        <f t="shared" si="382"/>
        <v>4.7948570411684299</v>
      </c>
      <c r="AC352" s="56">
        <f t="shared" si="370"/>
        <v>4</v>
      </c>
      <c r="AE352" s="18">
        <f t="shared" si="383"/>
        <v>6.7882535537031279</v>
      </c>
      <c r="AF352" s="18">
        <f t="shared" si="383"/>
        <v>1.131507320575956</v>
      </c>
      <c r="AG352" s="18">
        <f t="shared" si="383"/>
        <v>1.8334145137697457</v>
      </c>
      <c r="AH352" s="18">
        <f t="shared" si="383"/>
        <v>0.43218402397833261</v>
      </c>
      <c r="AI352" s="18">
        <f t="shared" si="383"/>
        <v>4.5152318150258868</v>
      </c>
      <c r="AJ352" s="56">
        <f t="shared" si="371"/>
        <v>4</v>
      </c>
      <c r="AL352" s="18">
        <f t="shared" si="384"/>
        <v>6.7882535537031279</v>
      </c>
      <c r="AM352" s="18">
        <f t="shared" si="384"/>
        <v>1.1562602834468874</v>
      </c>
      <c r="AN352" s="18">
        <f t="shared" si="384"/>
        <v>1.9047644292423107</v>
      </c>
      <c r="AO352" s="18">
        <f t="shared" si="384"/>
        <v>0.34536696452112231</v>
      </c>
      <c r="AP352" s="18">
        <f t="shared" si="384"/>
        <v>4.245857838575092</v>
      </c>
      <c r="AQ352" s="56">
        <f t="shared" si="372"/>
        <v>4</v>
      </c>
      <c r="AS352" s="18">
        <f t="shared" si="385"/>
        <v>6.7882535537031279</v>
      </c>
      <c r="AT352" s="18">
        <f t="shared" si="385"/>
        <v>1.2485711581680918</v>
      </c>
      <c r="AU352" s="18">
        <f t="shared" si="385"/>
        <v>1.9310719532572997</v>
      </c>
      <c r="AV352" s="18">
        <f t="shared" si="385"/>
        <v>0.30209121655423288</v>
      </c>
      <c r="AW352" s="18">
        <f t="shared" si="385"/>
        <v>4.245857838575092</v>
      </c>
      <c r="AX352" s="56">
        <f t="shared" si="373"/>
        <v>4</v>
      </c>
      <c r="AZ352" s="18">
        <f t="shared" si="386"/>
        <v>6.7882535537031279</v>
      </c>
      <c r="BA352" s="18">
        <f t="shared" si="386"/>
        <v>1.2485711581680918</v>
      </c>
      <c r="BB352" s="18">
        <f t="shared" si="386"/>
        <v>1.9310719532572997</v>
      </c>
      <c r="BC352" s="18">
        <f t="shared" si="386"/>
        <v>0.30209121655423288</v>
      </c>
      <c r="BD352" s="18">
        <f t="shared" si="386"/>
        <v>4.245857838575092</v>
      </c>
      <c r="BE352" s="56">
        <f t="shared" si="374"/>
        <v>4</v>
      </c>
      <c r="BG352" s="18">
        <f t="shared" si="387"/>
        <v>6.7882535537031279</v>
      </c>
      <c r="BH352" s="18">
        <f t="shared" si="387"/>
        <v>1.2485711581680918</v>
      </c>
      <c r="BI352" s="18">
        <f t="shared" si="387"/>
        <v>1.9310719532572997</v>
      </c>
      <c r="BJ352" s="18">
        <f t="shared" si="387"/>
        <v>0.30209121655423288</v>
      </c>
      <c r="BK352" s="18">
        <f t="shared" si="387"/>
        <v>4.245857838575092</v>
      </c>
      <c r="BL352" s="56">
        <f t="shared" si="375"/>
        <v>4</v>
      </c>
      <c r="BN352" s="18">
        <f t="shared" si="388"/>
        <v>6.7882535537031279</v>
      </c>
      <c r="BO352" s="18">
        <f t="shared" si="388"/>
        <v>1.2485711581680918</v>
      </c>
      <c r="BP352" s="18">
        <f t="shared" si="388"/>
        <v>1.9310719532572997</v>
      </c>
      <c r="BQ352" s="18">
        <f t="shared" si="388"/>
        <v>0.30209121655423288</v>
      </c>
      <c r="BR352" s="18">
        <f t="shared" si="388"/>
        <v>4.245857838575092</v>
      </c>
      <c r="BS352" s="56">
        <f t="shared" si="376"/>
        <v>4</v>
      </c>
      <c r="BU352" s="18">
        <f t="shared" si="389"/>
        <v>6.7882535537031279</v>
      </c>
      <c r="BV352" s="18">
        <f t="shared" si="389"/>
        <v>1.2485711581680918</v>
      </c>
      <c r="BW352" s="18">
        <f t="shared" si="389"/>
        <v>1.9310719532572997</v>
      </c>
      <c r="BX352" s="18">
        <f t="shared" si="389"/>
        <v>0.30209121655423288</v>
      </c>
      <c r="BY352" s="18">
        <f t="shared" si="389"/>
        <v>4.245857838575092</v>
      </c>
      <c r="BZ352" s="56">
        <f t="shared" si="377"/>
        <v>4</v>
      </c>
      <c r="CB352" s="18">
        <f t="shared" si="390"/>
        <v>6.7882535537031279</v>
      </c>
      <c r="CC352" s="18">
        <f t="shared" si="390"/>
        <v>1.2485711581680918</v>
      </c>
      <c r="CD352" s="18">
        <f t="shared" si="390"/>
        <v>1.9310719532572997</v>
      </c>
      <c r="CE352" s="18">
        <f t="shared" si="390"/>
        <v>0.30209121655423288</v>
      </c>
      <c r="CF352" s="18">
        <f t="shared" si="390"/>
        <v>4.245857838575092</v>
      </c>
      <c r="CG352" s="56">
        <f t="shared" si="378"/>
        <v>4</v>
      </c>
      <c r="CI352" s="18">
        <f t="shared" si="391"/>
        <v>6.7882535537031279</v>
      </c>
      <c r="CJ352" s="18">
        <f t="shared" si="391"/>
        <v>1.2485711581680918</v>
      </c>
      <c r="CK352" s="18">
        <f t="shared" si="391"/>
        <v>1.9310719532572997</v>
      </c>
      <c r="CL352" s="18">
        <f t="shared" si="391"/>
        <v>0.30209121655423288</v>
      </c>
      <c r="CM352" s="18">
        <f t="shared" si="391"/>
        <v>4.245857838575092</v>
      </c>
      <c r="CN352" s="56">
        <f t="shared" si="379"/>
        <v>4</v>
      </c>
      <c r="CP352" s="18">
        <f t="shared" si="392"/>
        <v>6.7882535537031279</v>
      </c>
      <c r="CQ352" s="18">
        <f t="shared" si="392"/>
        <v>1.2485711581680918</v>
      </c>
      <c r="CR352" s="18">
        <f t="shared" si="392"/>
        <v>1.9310719532572997</v>
      </c>
      <c r="CS352" s="18">
        <f t="shared" si="392"/>
        <v>0.30209121655423288</v>
      </c>
      <c r="CT352" s="18">
        <f t="shared" si="392"/>
        <v>4.245857838575092</v>
      </c>
      <c r="CU352" s="56">
        <f t="shared" si="380"/>
        <v>4</v>
      </c>
      <c r="CW352" s="18">
        <f t="shared" si="393"/>
        <v>6.7882535537031279</v>
      </c>
      <c r="CX352" s="18">
        <f t="shared" si="393"/>
        <v>1.2485711581680918</v>
      </c>
      <c r="CY352" s="18">
        <f t="shared" si="393"/>
        <v>1.9310719532572997</v>
      </c>
      <c r="CZ352" s="18">
        <f t="shared" si="393"/>
        <v>0.30209121655423288</v>
      </c>
      <c r="DA352" s="18">
        <f t="shared" si="393"/>
        <v>4.245857838575092</v>
      </c>
      <c r="DB352" s="56">
        <f t="shared" si="381"/>
        <v>4</v>
      </c>
    </row>
    <row r="353" spans="1:106" x14ac:dyDescent="0.25">
      <c r="A353" s="36" t="str">
        <f>KMeans_Data!A81</f>
        <v>Khushab</v>
      </c>
      <c r="B353" s="18">
        <f>KMeans_Data!H81</f>
        <v>-0.34542544181187113</v>
      </c>
      <c r="C353" s="18">
        <f>KMeans_Data!I81</f>
        <v>-0.67265054538827607</v>
      </c>
      <c r="D353" s="18">
        <f>KMeans_Data!J81</f>
        <v>-1.1456441163335547</v>
      </c>
      <c r="E353" s="56">
        <f t="shared" si="368"/>
        <v>4</v>
      </c>
      <c r="F353" s="38">
        <f t="shared" si="369"/>
        <v>0.66783341159478382</v>
      </c>
      <c r="G353" s="18">
        <f>IF(COUNTIF(Distance_Matrix!$E$11:$DQ$11,$E353)&lt;=1,0,SUMIF(Distance_Matrix!$E$11:$DQ$11,$E353,Distance_Matrix!$E$90:$DQ$90)/(COUNTIF(Distance_Matrix!$E$11:$DQ$11,$E353)-1))</f>
        <v>1.0269989519778147</v>
      </c>
      <c r="H353" s="18">
        <f>MIN(IF(1=$E353,1E+99,IF(COUNTIF(Distance_Matrix!$E$11:$DQ$11,1)=0,1E+99,SUMIF(Distance_Matrix!$E$11:$DQ$11,1,Distance_Matrix!$E$90:$DQ$90)/COUNTIF(Distance_Matrix!$E$11:$DQ$11,1))),IF(2=$E353,1E+99,IF(COUNTIF(Distance_Matrix!$E$11:$DQ$11,2)=0,1E+99,SUMIF(Distance_Matrix!$E$11:$DQ$11,2,Distance_Matrix!$E$90:$DQ$90)/COUNTIF(Distance_Matrix!$E$11:$DQ$11,2))),IF(3=$E353,1E+99,IF(COUNTIF(Distance_Matrix!$E$11:$DQ$11,3)=0,1E+99,SUMIF(Distance_Matrix!$E$11:$DQ$11,3,Distance_Matrix!$E$90:$DQ$90)/COUNTIF(Distance_Matrix!$E$11:$DQ$11,3))),IF(4=$E353,1E+99,IF(COUNTIF(Distance_Matrix!$E$11:$DQ$11,4)=0,1E+99,SUMIF(Distance_Matrix!$E$11:$DQ$11,4,Distance_Matrix!$E$90:$DQ$90)/COUNTIF(Distance_Matrix!$E$11:$DQ$11,4))),IF(5=$E353,1E+99,IF(COUNTIF(Distance_Matrix!$E$11:$DQ$11,5)=0,1E+99,SUMIF(Distance_Matrix!$E$11:$DQ$11,5,Distance_Matrix!$E$90:$DQ$90)/COUNTIF(Distance_Matrix!$E$11:$DQ$11,5))))</f>
        <v>0.96454081821324533</v>
      </c>
      <c r="I353" s="18">
        <f>IF(COUNTIF(Distance_Matrix!$E$11:$DQ$11,$E353)&lt;=1,0,(H353-G353)/MAX(G353,H353))</f>
        <v>-6.0816161150200033E-2</v>
      </c>
      <c r="X353" s="18">
        <f t="shared" si="382"/>
        <v>7.39231183279799</v>
      </c>
      <c r="Y353" s="18">
        <f t="shared" si="382"/>
        <v>1.7343125399914574</v>
      </c>
      <c r="Z353" s="18">
        <f t="shared" si="382"/>
        <v>3.1402305045998049</v>
      </c>
      <c r="AA353" s="18">
        <f t="shared" si="382"/>
        <v>1.1218745317920775</v>
      </c>
      <c r="AB353" s="18">
        <f t="shared" si="382"/>
        <v>5.3406030646973583</v>
      </c>
      <c r="AC353" s="56">
        <f t="shared" si="370"/>
        <v>4</v>
      </c>
      <c r="AE353" s="18">
        <f t="shared" si="383"/>
        <v>7.2583384656384409</v>
      </c>
      <c r="AF353" s="18">
        <f t="shared" si="383"/>
        <v>0.9201655917501349</v>
      </c>
      <c r="AG353" s="18">
        <f t="shared" si="383"/>
        <v>2.4779380820804242</v>
      </c>
      <c r="AH353" s="18">
        <f t="shared" si="383"/>
        <v>0.71614949629730418</v>
      </c>
      <c r="AI353" s="18">
        <f t="shared" si="383"/>
        <v>4.9864779858503345</v>
      </c>
      <c r="AJ353" s="56">
        <f t="shared" si="371"/>
        <v>4</v>
      </c>
      <c r="AL353" s="18">
        <f t="shared" si="384"/>
        <v>7.2583384656384409</v>
      </c>
      <c r="AM353" s="18">
        <f t="shared" si="384"/>
        <v>0.90136905161984415</v>
      </c>
      <c r="AN353" s="18">
        <f t="shared" si="384"/>
        <v>2.5305636248484964</v>
      </c>
      <c r="AO353" s="18">
        <f t="shared" si="384"/>
        <v>0.80940961164960323</v>
      </c>
      <c r="AP353" s="18">
        <f t="shared" si="384"/>
        <v>4.7202649746418626</v>
      </c>
      <c r="AQ353" s="56">
        <f t="shared" si="372"/>
        <v>4</v>
      </c>
      <c r="AS353" s="18">
        <f t="shared" si="385"/>
        <v>7.2583384656384409</v>
      </c>
      <c r="AT353" s="18">
        <f t="shared" si="385"/>
        <v>0.93554368999557647</v>
      </c>
      <c r="AU353" s="18">
        <f t="shared" si="385"/>
        <v>2.5561055256696865</v>
      </c>
      <c r="AV353" s="18">
        <f t="shared" si="385"/>
        <v>0.81721075102741025</v>
      </c>
      <c r="AW353" s="18">
        <f t="shared" si="385"/>
        <v>4.7202649746418626</v>
      </c>
      <c r="AX353" s="56">
        <f t="shared" si="373"/>
        <v>4</v>
      </c>
      <c r="AZ353" s="18">
        <f t="shared" si="386"/>
        <v>7.2583384656384409</v>
      </c>
      <c r="BA353" s="18">
        <f t="shared" si="386"/>
        <v>0.93554368999557647</v>
      </c>
      <c r="BB353" s="18">
        <f t="shared" si="386"/>
        <v>2.5561055256696865</v>
      </c>
      <c r="BC353" s="18">
        <f t="shared" si="386"/>
        <v>0.81721075102741025</v>
      </c>
      <c r="BD353" s="18">
        <f t="shared" si="386"/>
        <v>4.7202649746418626</v>
      </c>
      <c r="BE353" s="56">
        <f t="shared" si="374"/>
        <v>4</v>
      </c>
      <c r="BG353" s="18">
        <f t="shared" si="387"/>
        <v>7.2583384656384409</v>
      </c>
      <c r="BH353" s="18">
        <f t="shared" si="387"/>
        <v>0.93554368999557647</v>
      </c>
      <c r="BI353" s="18">
        <f t="shared" si="387"/>
        <v>2.5561055256696865</v>
      </c>
      <c r="BJ353" s="18">
        <f t="shared" si="387"/>
        <v>0.81721075102741025</v>
      </c>
      <c r="BK353" s="18">
        <f t="shared" si="387"/>
        <v>4.7202649746418626</v>
      </c>
      <c r="BL353" s="56">
        <f t="shared" si="375"/>
        <v>4</v>
      </c>
      <c r="BN353" s="18">
        <f t="shared" si="388"/>
        <v>7.2583384656384409</v>
      </c>
      <c r="BO353" s="18">
        <f t="shared" si="388"/>
        <v>0.93554368999557647</v>
      </c>
      <c r="BP353" s="18">
        <f t="shared" si="388"/>
        <v>2.5561055256696865</v>
      </c>
      <c r="BQ353" s="18">
        <f t="shared" si="388"/>
        <v>0.81721075102741025</v>
      </c>
      <c r="BR353" s="18">
        <f t="shared" si="388"/>
        <v>4.7202649746418626</v>
      </c>
      <c r="BS353" s="56">
        <f t="shared" si="376"/>
        <v>4</v>
      </c>
      <c r="BU353" s="18">
        <f t="shared" si="389"/>
        <v>7.2583384656384409</v>
      </c>
      <c r="BV353" s="18">
        <f t="shared" si="389"/>
        <v>0.93554368999557647</v>
      </c>
      <c r="BW353" s="18">
        <f t="shared" si="389"/>
        <v>2.5561055256696865</v>
      </c>
      <c r="BX353" s="18">
        <f t="shared" si="389"/>
        <v>0.81721075102741025</v>
      </c>
      <c r="BY353" s="18">
        <f t="shared" si="389"/>
        <v>4.7202649746418626</v>
      </c>
      <c r="BZ353" s="56">
        <f t="shared" si="377"/>
        <v>4</v>
      </c>
      <c r="CB353" s="18">
        <f t="shared" si="390"/>
        <v>7.2583384656384409</v>
      </c>
      <c r="CC353" s="18">
        <f t="shared" si="390"/>
        <v>0.93554368999557647</v>
      </c>
      <c r="CD353" s="18">
        <f t="shared" si="390"/>
        <v>2.5561055256696865</v>
      </c>
      <c r="CE353" s="18">
        <f t="shared" si="390"/>
        <v>0.81721075102741025</v>
      </c>
      <c r="CF353" s="18">
        <f t="shared" si="390"/>
        <v>4.7202649746418626</v>
      </c>
      <c r="CG353" s="56">
        <f t="shared" si="378"/>
        <v>4</v>
      </c>
      <c r="CI353" s="18">
        <f t="shared" si="391"/>
        <v>7.2583384656384409</v>
      </c>
      <c r="CJ353" s="18">
        <f t="shared" si="391"/>
        <v>0.93554368999557647</v>
      </c>
      <c r="CK353" s="18">
        <f t="shared" si="391"/>
        <v>2.5561055256696865</v>
      </c>
      <c r="CL353" s="18">
        <f t="shared" si="391"/>
        <v>0.81721075102741025</v>
      </c>
      <c r="CM353" s="18">
        <f t="shared" si="391"/>
        <v>4.7202649746418626</v>
      </c>
      <c r="CN353" s="56">
        <f t="shared" si="379"/>
        <v>4</v>
      </c>
      <c r="CP353" s="18">
        <f t="shared" si="392"/>
        <v>7.2583384656384409</v>
      </c>
      <c r="CQ353" s="18">
        <f t="shared" si="392"/>
        <v>0.93554368999557647</v>
      </c>
      <c r="CR353" s="18">
        <f t="shared" si="392"/>
        <v>2.5561055256696865</v>
      </c>
      <c r="CS353" s="18">
        <f t="shared" si="392"/>
        <v>0.81721075102741025</v>
      </c>
      <c r="CT353" s="18">
        <f t="shared" si="392"/>
        <v>4.7202649746418626</v>
      </c>
      <c r="CU353" s="56">
        <f t="shared" si="380"/>
        <v>4</v>
      </c>
      <c r="CW353" s="18">
        <f t="shared" si="393"/>
        <v>7.2583384656384409</v>
      </c>
      <c r="CX353" s="18">
        <f t="shared" si="393"/>
        <v>0.93554368999557647</v>
      </c>
      <c r="CY353" s="18">
        <f t="shared" si="393"/>
        <v>2.5561055256696865</v>
      </c>
      <c r="CZ353" s="18">
        <f t="shared" si="393"/>
        <v>0.81721075102741025</v>
      </c>
      <c r="DA353" s="18">
        <f t="shared" si="393"/>
        <v>4.7202649746418626</v>
      </c>
      <c r="DB353" s="56">
        <f t="shared" si="381"/>
        <v>4</v>
      </c>
    </row>
    <row r="354" spans="1:106" x14ac:dyDescent="0.25">
      <c r="A354" s="36" t="str">
        <f>KMeans_Data!A82</f>
        <v>Sheikhupura</v>
      </c>
      <c r="B354" s="18">
        <f>KMeans_Data!H82</f>
        <v>-0.38399641938154599</v>
      </c>
      <c r="C354" s="18">
        <f>KMeans_Data!I82</f>
        <v>-0.67265054538827607</v>
      </c>
      <c r="D354" s="18">
        <f>KMeans_Data!J82</f>
        <v>-1.1456441163335547</v>
      </c>
      <c r="E354" s="56">
        <f t="shared" si="368"/>
        <v>4</v>
      </c>
      <c r="F354" s="38">
        <f t="shared" si="369"/>
        <v>0.68604109918150569</v>
      </c>
      <c r="G354" s="18">
        <f>IF(COUNTIF(Distance_Matrix!$E$11:$DQ$11,$E354)&lt;=1,0,SUMIF(Distance_Matrix!$E$11:$DQ$11,$E354,Distance_Matrix!$E$91:$DQ$91)/(COUNTIF(Distance_Matrix!$E$11:$DQ$11,$E354)-1))</f>
        <v>1.038622340467789</v>
      </c>
      <c r="H354" s="18">
        <f>MIN(IF(1=$E354,1E+99,IF(COUNTIF(Distance_Matrix!$E$11:$DQ$11,1)=0,1E+99,SUMIF(Distance_Matrix!$E$11:$DQ$11,1,Distance_Matrix!$E$91:$DQ$91)/COUNTIF(Distance_Matrix!$E$11:$DQ$11,1))),IF(2=$E354,1E+99,IF(COUNTIF(Distance_Matrix!$E$11:$DQ$11,2)=0,1E+99,SUMIF(Distance_Matrix!$E$11:$DQ$11,2,Distance_Matrix!$E$91:$DQ$91)/COUNTIF(Distance_Matrix!$E$11:$DQ$11,2))),IF(3=$E354,1E+99,IF(COUNTIF(Distance_Matrix!$E$11:$DQ$11,3)=0,1E+99,SUMIF(Distance_Matrix!$E$11:$DQ$11,3,Distance_Matrix!$E$91:$DQ$91)/COUNTIF(Distance_Matrix!$E$11:$DQ$11,3))),IF(4=$E354,1E+99,IF(COUNTIF(Distance_Matrix!$E$11:$DQ$11,4)=0,1E+99,SUMIF(Distance_Matrix!$E$11:$DQ$11,4,Distance_Matrix!$E$91:$DQ$91)/COUNTIF(Distance_Matrix!$E$11:$DQ$11,4))),IF(5=$E354,1E+99,IF(COUNTIF(Distance_Matrix!$E$11:$DQ$11,5)=0,1E+99,SUMIF(Distance_Matrix!$E$11:$DQ$11,5,Distance_Matrix!$E$91:$DQ$91)/COUNTIF(Distance_Matrix!$E$11:$DQ$11,5))))</f>
        <v>0.92749556608606609</v>
      </c>
      <c r="I354" s="18">
        <f>IF(COUNTIF(Distance_Matrix!$E$11:$DQ$11,$E354)&lt;=1,0,(H354-G354)/MAX(G354,H354))</f>
        <v>-0.10699440022797133</v>
      </c>
      <c r="X354" s="18">
        <f t="shared" si="382"/>
        <v>7.4112748787545444</v>
      </c>
      <c r="Y354" s="18">
        <f t="shared" si="382"/>
        <v>1.6957415624217826</v>
      </c>
      <c r="Z354" s="18">
        <f t="shared" si="382"/>
        <v>3.1574046827609017</v>
      </c>
      <c r="AA354" s="18">
        <f t="shared" si="382"/>
        <v>1.1560905939655126</v>
      </c>
      <c r="AB354" s="18">
        <f t="shared" si="382"/>
        <v>5.3602779987239586</v>
      </c>
      <c r="AC354" s="56">
        <f t="shared" si="370"/>
        <v>4</v>
      </c>
      <c r="AE354" s="18">
        <f t="shared" si="383"/>
        <v>7.27758659193118</v>
      </c>
      <c r="AF354" s="18">
        <f t="shared" si="383"/>
        <v>0.88266937830125769</v>
      </c>
      <c r="AG354" s="18">
        <f t="shared" si="383"/>
        <v>2.4921030888134745</v>
      </c>
      <c r="AH354" s="18">
        <f t="shared" si="383"/>
        <v>0.73225821123948087</v>
      </c>
      <c r="AI354" s="18">
        <f t="shared" si="383"/>
        <v>5.0054576497055443</v>
      </c>
      <c r="AJ354" s="56">
        <f t="shared" si="371"/>
        <v>4</v>
      </c>
      <c r="AL354" s="18">
        <f t="shared" si="384"/>
        <v>7.27758659193118</v>
      </c>
      <c r="AM354" s="18">
        <f t="shared" si="384"/>
        <v>0.86344694987894954</v>
      </c>
      <c r="AN354" s="18">
        <f t="shared" si="384"/>
        <v>2.545196768423192</v>
      </c>
      <c r="AO354" s="18">
        <f t="shared" si="384"/>
        <v>0.82281027715766131</v>
      </c>
      <c r="AP354" s="18">
        <f t="shared" si="384"/>
        <v>4.7387372551621993</v>
      </c>
      <c r="AQ354" s="56">
        <f t="shared" si="372"/>
        <v>4</v>
      </c>
      <c r="AS354" s="18">
        <f t="shared" si="385"/>
        <v>7.27758659193118</v>
      </c>
      <c r="AT354" s="18">
        <f t="shared" si="385"/>
        <v>0.89710139959002577</v>
      </c>
      <c r="AU354" s="18">
        <f t="shared" si="385"/>
        <v>2.5708836002051427</v>
      </c>
      <c r="AV354" s="18">
        <f t="shared" si="385"/>
        <v>0.82827598008242742</v>
      </c>
      <c r="AW354" s="18">
        <f t="shared" si="385"/>
        <v>4.7387372551621993</v>
      </c>
      <c r="AX354" s="56">
        <f t="shared" si="373"/>
        <v>4</v>
      </c>
      <c r="AZ354" s="18">
        <f t="shared" si="386"/>
        <v>7.27758659193118</v>
      </c>
      <c r="BA354" s="18">
        <f t="shared" si="386"/>
        <v>0.89710139959002577</v>
      </c>
      <c r="BB354" s="18">
        <f t="shared" si="386"/>
        <v>2.5708836002051427</v>
      </c>
      <c r="BC354" s="18">
        <f t="shared" si="386"/>
        <v>0.82827598008242742</v>
      </c>
      <c r="BD354" s="18">
        <f t="shared" si="386"/>
        <v>4.7387372551621993</v>
      </c>
      <c r="BE354" s="56">
        <f t="shared" si="374"/>
        <v>4</v>
      </c>
      <c r="BG354" s="18">
        <f t="shared" si="387"/>
        <v>7.27758659193118</v>
      </c>
      <c r="BH354" s="18">
        <f t="shared" si="387"/>
        <v>0.89710139959002577</v>
      </c>
      <c r="BI354" s="18">
        <f t="shared" si="387"/>
        <v>2.5708836002051427</v>
      </c>
      <c r="BJ354" s="18">
        <f t="shared" si="387"/>
        <v>0.82827598008242742</v>
      </c>
      <c r="BK354" s="18">
        <f t="shared" si="387"/>
        <v>4.7387372551621993</v>
      </c>
      <c r="BL354" s="56">
        <f t="shared" si="375"/>
        <v>4</v>
      </c>
      <c r="BN354" s="18">
        <f t="shared" si="388"/>
        <v>7.27758659193118</v>
      </c>
      <c r="BO354" s="18">
        <f t="shared" si="388"/>
        <v>0.89710139959002577</v>
      </c>
      <c r="BP354" s="18">
        <f t="shared" si="388"/>
        <v>2.5708836002051427</v>
      </c>
      <c r="BQ354" s="18">
        <f t="shared" si="388"/>
        <v>0.82827598008242742</v>
      </c>
      <c r="BR354" s="18">
        <f t="shared" si="388"/>
        <v>4.7387372551621993</v>
      </c>
      <c r="BS354" s="56">
        <f t="shared" si="376"/>
        <v>4</v>
      </c>
      <c r="BU354" s="18">
        <f t="shared" si="389"/>
        <v>7.27758659193118</v>
      </c>
      <c r="BV354" s="18">
        <f t="shared" si="389"/>
        <v>0.89710139959002577</v>
      </c>
      <c r="BW354" s="18">
        <f t="shared" si="389"/>
        <v>2.5708836002051427</v>
      </c>
      <c r="BX354" s="18">
        <f t="shared" si="389"/>
        <v>0.82827598008242742</v>
      </c>
      <c r="BY354" s="18">
        <f t="shared" si="389"/>
        <v>4.7387372551621993</v>
      </c>
      <c r="BZ354" s="56">
        <f t="shared" si="377"/>
        <v>4</v>
      </c>
      <c r="CB354" s="18">
        <f t="shared" si="390"/>
        <v>7.27758659193118</v>
      </c>
      <c r="CC354" s="18">
        <f t="shared" si="390"/>
        <v>0.89710139959002577</v>
      </c>
      <c r="CD354" s="18">
        <f t="shared" si="390"/>
        <v>2.5708836002051427</v>
      </c>
      <c r="CE354" s="18">
        <f t="shared" si="390"/>
        <v>0.82827598008242742</v>
      </c>
      <c r="CF354" s="18">
        <f t="shared" si="390"/>
        <v>4.7387372551621993</v>
      </c>
      <c r="CG354" s="56">
        <f t="shared" si="378"/>
        <v>4</v>
      </c>
      <c r="CI354" s="18">
        <f t="shared" si="391"/>
        <v>7.27758659193118</v>
      </c>
      <c r="CJ354" s="18">
        <f t="shared" si="391"/>
        <v>0.89710139959002577</v>
      </c>
      <c r="CK354" s="18">
        <f t="shared" si="391"/>
        <v>2.5708836002051427</v>
      </c>
      <c r="CL354" s="18">
        <f t="shared" si="391"/>
        <v>0.82827598008242742</v>
      </c>
      <c r="CM354" s="18">
        <f t="shared" si="391"/>
        <v>4.7387372551621993</v>
      </c>
      <c r="CN354" s="56">
        <f t="shared" si="379"/>
        <v>4</v>
      </c>
      <c r="CP354" s="18">
        <f t="shared" si="392"/>
        <v>7.27758659193118</v>
      </c>
      <c r="CQ354" s="18">
        <f t="shared" si="392"/>
        <v>0.89710139959002577</v>
      </c>
      <c r="CR354" s="18">
        <f t="shared" si="392"/>
        <v>2.5708836002051427</v>
      </c>
      <c r="CS354" s="18">
        <f t="shared" si="392"/>
        <v>0.82827598008242742</v>
      </c>
      <c r="CT354" s="18">
        <f t="shared" si="392"/>
        <v>4.7387372551621993</v>
      </c>
      <c r="CU354" s="56">
        <f t="shared" si="380"/>
        <v>4</v>
      </c>
      <c r="CW354" s="18">
        <f t="shared" si="393"/>
        <v>7.27758659193118</v>
      </c>
      <c r="CX354" s="18">
        <f t="shared" si="393"/>
        <v>0.89710139959002577</v>
      </c>
      <c r="CY354" s="18">
        <f t="shared" si="393"/>
        <v>2.5708836002051427</v>
      </c>
      <c r="CZ354" s="18">
        <f t="shared" si="393"/>
        <v>0.82827598008242742</v>
      </c>
      <c r="DA354" s="18">
        <f t="shared" si="393"/>
        <v>4.7387372551621993</v>
      </c>
      <c r="DB354" s="56">
        <f t="shared" si="381"/>
        <v>4</v>
      </c>
    </row>
    <row r="355" spans="1:106" x14ac:dyDescent="0.25">
      <c r="A355" s="36" t="str">
        <f>KMeans_Data!A83</f>
        <v>Diamer</v>
      </c>
      <c r="B355" s="18">
        <f>KMeans_Data!H83</f>
        <v>-0.40440962464593949</v>
      </c>
      <c r="C355" s="18">
        <f>KMeans_Data!I83</f>
        <v>-0.67265054538827607</v>
      </c>
      <c r="D355" s="18">
        <f>KMeans_Data!J83</f>
        <v>4.2930091906806002E-2</v>
      </c>
      <c r="E355" s="56">
        <f t="shared" si="368"/>
        <v>4</v>
      </c>
      <c r="F355" s="38">
        <f t="shared" si="369"/>
        <v>0.27783635756871972</v>
      </c>
      <c r="G355" s="18">
        <f>IF(COUNTIF(Distance_Matrix!$E$11:$DQ$11,$E355)&lt;=1,0,SUMIF(Distance_Matrix!$E$11:$DQ$11,$E355,Distance_Matrix!$E$92:$DQ$92)/(COUNTIF(Distance_Matrix!$E$11:$DQ$11,$E355)-1))</f>
        <v>0.85009663843902927</v>
      </c>
      <c r="H355" s="18">
        <f>MIN(IF(1=$E355,1E+99,IF(COUNTIF(Distance_Matrix!$E$11:$DQ$11,1)=0,1E+99,SUMIF(Distance_Matrix!$E$11:$DQ$11,1,Distance_Matrix!$E$92:$DQ$92)/COUNTIF(Distance_Matrix!$E$11:$DQ$11,1))),IF(2=$E355,1E+99,IF(COUNTIF(Distance_Matrix!$E$11:$DQ$11,2)=0,1E+99,SUMIF(Distance_Matrix!$E$11:$DQ$11,2,Distance_Matrix!$E$92:$DQ$92)/COUNTIF(Distance_Matrix!$E$11:$DQ$11,2))),IF(3=$E355,1E+99,IF(COUNTIF(Distance_Matrix!$E$11:$DQ$11,3)=0,1E+99,SUMIF(Distance_Matrix!$E$11:$DQ$11,3,Distance_Matrix!$E$92:$DQ$92)/COUNTIF(Distance_Matrix!$E$11:$DQ$11,3))),IF(4=$E355,1E+99,IF(COUNTIF(Distance_Matrix!$E$11:$DQ$11,4)=0,1E+99,SUMIF(Distance_Matrix!$E$11:$DQ$11,4,Distance_Matrix!$E$92:$DQ$92)/COUNTIF(Distance_Matrix!$E$11:$DQ$11,4))),IF(5=$E355,1E+99,IF(COUNTIF(Distance_Matrix!$E$11:$DQ$11,5)=0,1E+99,SUMIF(Distance_Matrix!$E$11:$DQ$11,5,Distance_Matrix!$E$92:$DQ$92)/COUNTIF(Distance_Matrix!$E$11:$DQ$11,5))))</f>
        <v>1.4576145866267529</v>
      </c>
      <c r="I355" s="18">
        <f>IF(COUNTIF(Distance_Matrix!$E$11:$DQ$11,$E355)&lt;=1,0,(H355-G355)/MAX(G355,H355))</f>
        <v>0.41678915246975984</v>
      </c>
      <c r="X355" s="18">
        <f t="shared" si="382"/>
        <v>6.784830788256877</v>
      </c>
      <c r="Y355" s="18">
        <f t="shared" si="382"/>
        <v>2.0541260313792522</v>
      </c>
      <c r="Z355" s="18">
        <f t="shared" si="382"/>
        <v>2.2850867502514411</v>
      </c>
      <c r="AA355" s="18">
        <f t="shared" si="382"/>
        <v>1.6708406619776459</v>
      </c>
      <c r="AB355" s="18">
        <f t="shared" si="382"/>
        <v>4.6792211682165608</v>
      </c>
      <c r="AC355" s="56">
        <f t="shared" si="370"/>
        <v>4</v>
      </c>
      <c r="AE355" s="18">
        <f t="shared" si="383"/>
        <v>6.6895298105037746</v>
      </c>
      <c r="AF355" s="18">
        <f t="shared" si="383"/>
        <v>1.287255896035205</v>
      </c>
      <c r="AG355" s="18">
        <f t="shared" si="383"/>
        <v>1.7109156676923198</v>
      </c>
      <c r="AH355" s="18">
        <f t="shared" si="383"/>
        <v>0.67888317318669056</v>
      </c>
      <c r="AI355" s="18">
        <f t="shared" si="383"/>
        <v>4.4266286046661882</v>
      </c>
      <c r="AJ355" s="56">
        <f t="shared" si="371"/>
        <v>4</v>
      </c>
      <c r="AL355" s="18">
        <f t="shared" si="384"/>
        <v>6.6895298105037746</v>
      </c>
      <c r="AM355" s="18">
        <f t="shared" si="384"/>
        <v>1.320452380223728</v>
      </c>
      <c r="AN355" s="18">
        <f t="shared" si="384"/>
        <v>1.789098931706919</v>
      </c>
      <c r="AO355" s="18">
        <f t="shared" si="384"/>
        <v>0.56957077171809412</v>
      </c>
      <c r="AP355" s="18">
        <f t="shared" si="384"/>
        <v>4.1573428881474559</v>
      </c>
      <c r="AQ355" s="56">
        <f t="shared" si="372"/>
        <v>4</v>
      </c>
      <c r="AS355" s="18">
        <f t="shared" si="385"/>
        <v>6.6895298105037746</v>
      </c>
      <c r="AT355" s="18">
        <f t="shared" si="385"/>
        <v>1.4180428702393835</v>
      </c>
      <c r="AU355" s="18">
        <f t="shared" si="385"/>
        <v>1.8151693289255362</v>
      </c>
      <c r="AV355" s="18">
        <f t="shared" si="385"/>
        <v>0.52710184743436417</v>
      </c>
      <c r="AW355" s="18">
        <f t="shared" si="385"/>
        <v>4.1573428881474559</v>
      </c>
      <c r="AX355" s="56">
        <f t="shared" si="373"/>
        <v>4</v>
      </c>
      <c r="AZ355" s="18">
        <f t="shared" si="386"/>
        <v>6.6895298105037746</v>
      </c>
      <c r="BA355" s="18">
        <f t="shared" si="386"/>
        <v>1.4180428702393835</v>
      </c>
      <c r="BB355" s="18">
        <f t="shared" si="386"/>
        <v>1.8151693289255362</v>
      </c>
      <c r="BC355" s="18">
        <f t="shared" si="386"/>
        <v>0.52710184743436417</v>
      </c>
      <c r="BD355" s="18">
        <f t="shared" si="386"/>
        <v>4.1573428881474559</v>
      </c>
      <c r="BE355" s="56">
        <f t="shared" si="374"/>
        <v>4</v>
      </c>
      <c r="BG355" s="18">
        <f t="shared" si="387"/>
        <v>6.6895298105037746</v>
      </c>
      <c r="BH355" s="18">
        <f t="shared" si="387"/>
        <v>1.4180428702393835</v>
      </c>
      <c r="BI355" s="18">
        <f t="shared" si="387"/>
        <v>1.8151693289255362</v>
      </c>
      <c r="BJ355" s="18">
        <f t="shared" si="387"/>
        <v>0.52710184743436417</v>
      </c>
      <c r="BK355" s="18">
        <f t="shared" si="387"/>
        <v>4.1573428881474559</v>
      </c>
      <c r="BL355" s="56">
        <f t="shared" si="375"/>
        <v>4</v>
      </c>
      <c r="BN355" s="18">
        <f t="shared" si="388"/>
        <v>6.6895298105037746</v>
      </c>
      <c r="BO355" s="18">
        <f t="shared" si="388"/>
        <v>1.4180428702393835</v>
      </c>
      <c r="BP355" s="18">
        <f t="shared" si="388"/>
        <v>1.8151693289255362</v>
      </c>
      <c r="BQ355" s="18">
        <f t="shared" si="388"/>
        <v>0.52710184743436417</v>
      </c>
      <c r="BR355" s="18">
        <f t="shared" si="388"/>
        <v>4.1573428881474559</v>
      </c>
      <c r="BS355" s="56">
        <f t="shared" si="376"/>
        <v>4</v>
      </c>
      <c r="BU355" s="18">
        <f t="shared" si="389"/>
        <v>6.6895298105037746</v>
      </c>
      <c r="BV355" s="18">
        <f t="shared" si="389"/>
        <v>1.4180428702393835</v>
      </c>
      <c r="BW355" s="18">
        <f t="shared" si="389"/>
        <v>1.8151693289255362</v>
      </c>
      <c r="BX355" s="18">
        <f t="shared" si="389"/>
        <v>0.52710184743436417</v>
      </c>
      <c r="BY355" s="18">
        <f t="shared" si="389"/>
        <v>4.1573428881474559</v>
      </c>
      <c r="BZ355" s="56">
        <f t="shared" si="377"/>
        <v>4</v>
      </c>
      <c r="CB355" s="18">
        <f t="shared" si="390"/>
        <v>6.6895298105037746</v>
      </c>
      <c r="CC355" s="18">
        <f t="shared" si="390"/>
        <v>1.4180428702393835</v>
      </c>
      <c r="CD355" s="18">
        <f t="shared" si="390"/>
        <v>1.8151693289255362</v>
      </c>
      <c r="CE355" s="18">
        <f t="shared" si="390"/>
        <v>0.52710184743436417</v>
      </c>
      <c r="CF355" s="18">
        <f t="shared" si="390"/>
        <v>4.1573428881474559</v>
      </c>
      <c r="CG355" s="56">
        <f t="shared" si="378"/>
        <v>4</v>
      </c>
      <c r="CI355" s="18">
        <f t="shared" si="391"/>
        <v>6.6895298105037746</v>
      </c>
      <c r="CJ355" s="18">
        <f t="shared" si="391"/>
        <v>1.4180428702393835</v>
      </c>
      <c r="CK355" s="18">
        <f t="shared" si="391"/>
        <v>1.8151693289255362</v>
      </c>
      <c r="CL355" s="18">
        <f t="shared" si="391"/>
        <v>0.52710184743436417</v>
      </c>
      <c r="CM355" s="18">
        <f t="shared" si="391"/>
        <v>4.1573428881474559</v>
      </c>
      <c r="CN355" s="56">
        <f t="shared" si="379"/>
        <v>4</v>
      </c>
      <c r="CP355" s="18">
        <f t="shared" si="392"/>
        <v>6.6895298105037746</v>
      </c>
      <c r="CQ355" s="18">
        <f t="shared" si="392"/>
        <v>1.4180428702393835</v>
      </c>
      <c r="CR355" s="18">
        <f t="shared" si="392"/>
        <v>1.8151693289255362</v>
      </c>
      <c r="CS355" s="18">
        <f t="shared" si="392"/>
        <v>0.52710184743436417</v>
      </c>
      <c r="CT355" s="18">
        <f t="shared" si="392"/>
        <v>4.1573428881474559</v>
      </c>
      <c r="CU355" s="56">
        <f t="shared" si="380"/>
        <v>4</v>
      </c>
      <c r="CW355" s="18">
        <f t="shared" si="393"/>
        <v>6.6895298105037746</v>
      </c>
      <c r="CX355" s="18">
        <f t="shared" si="393"/>
        <v>1.4180428702393835</v>
      </c>
      <c r="CY355" s="18">
        <f t="shared" si="393"/>
        <v>1.8151693289255362</v>
      </c>
      <c r="CZ355" s="18">
        <f t="shared" si="393"/>
        <v>0.52710184743436417</v>
      </c>
      <c r="DA355" s="18">
        <f t="shared" si="393"/>
        <v>4.1573428881474559</v>
      </c>
      <c r="DB355" s="56">
        <f t="shared" si="381"/>
        <v>4</v>
      </c>
    </row>
    <row r="356" spans="1:106" x14ac:dyDescent="0.25">
      <c r="A356" s="36" t="str">
        <f>KMeans_Data!A84</f>
        <v>Hangu</v>
      </c>
      <c r="B356" s="18">
        <f>KMeans_Data!H84</f>
        <v>-0.40440962464593949</v>
      </c>
      <c r="C356" s="18">
        <f>KMeans_Data!I84</f>
        <v>-0.14698313392952958</v>
      </c>
      <c r="D356" s="18">
        <f>KMeans_Data!J84</f>
        <v>0.13914828540559679</v>
      </c>
      <c r="E356" s="56">
        <f t="shared" si="368"/>
        <v>4</v>
      </c>
      <c r="F356" s="38">
        <f t="shared" si="369"/>
        <v>0.47084783775978978</v>
      </c>
      <c r="G356" s="18">
        <f>IF(COUNTIF(Distance_Matrix!$E$11:$DQ$11,$E356)&lt;=1,0,SUMIF(Distance_Matrix!$E$11:$DQ$11,$E356,Distance_Matrix!$E$93:$DQ$93)/(COUNTIF(Distance_Matrix!$E$11:$DQ$11,$E356)-1))</f>
        <v>0.9681995580206807</v>
      </c>
      <c r="H356" s="18">
        <f>MIN(IF(1=$E356,1E+99,IF(COUNTIF(Distance_Matrix!$E$11:$DQ$11,1)=0,1E+99,SUMIF(Distance_Matrix!$E$11:$DQ$11,1,Distance_Matrix!$E$93:$DQ$93)/COUNTIF(Distance_Matrix!$E$11:$DQ$11,1))),IF(2=$E356,1E+99,IF(COUNTIF(Distance_Matrix!$E$11:$DQ$11,2)=0,1E+99,SUMIF(Distance_Matrix!$E$11:$DQ$11,2,Distance_Matrix!$E$93:$DQ$93)/COUNTIF(Distance_Matrix!$E$11:$DQ$11,2))),IF(3=$E356,1E+99,IF(COUNTIF(Distance_Matrix!$E$11:$DQ$11,3)=0,1E+99,SUMIF(Distance_Matrix!$E$11:$DQ$11,3,Distance_Matrix!$E$93:$DQ$93)/COUNTIF(Distance_Matrix!$E$11:$DQ$11,3))),IF(4=$E356,1E+99,IF(COUNTIF(Distance_Matrix!$E$11:$DQ$11,4)=0,1E+99,SUMIF(Distance_Matrix!$E$11:$DQ$11,4,Distance_Matrix!$E$93:$DQ$93)/COUNTIF(Distance_Matrix!$E$11:$DQ$11,4))),IF(5=$E356,1E+99,IF(COUNTIF(Distance_Matrix!$E$11:$DQ$11,5)=0,1E+99,SUMIF(Distance_Matrix!$E$11:$DQ$11,5,Distance_Matrix!$E$93:$DQ$93)/COUNTIF(Distance_Matrix!$E$11:$DQ$11,5))))</f>
        <v>1.5653680450259033</v>
      </c>
      <c r="I356" s="18">
        <f>IF(COUNTIF(Distance_Matrix!$E$11:$DQ$11,$E356)&lt;=1,0,(H356-G356)/MAX(G356,H356))</f>
        <v>0.38148759258423526</v>
      </c>
      <c r="X356" s="18">
        <f t="shared" si="382"/>
        <v>6.3834526327003553</v>
      </c>
      <c r="Y356" s="18">
        <f t="shared" si="382"/>
        <v>2.1757166284541909</v>
      </c>
      <c r="Z356" s="18">
        <f t="shared" si="382"/>
        <v>2.0315517886503232</v>
      </c>
      <c r="AA356" s="18">
        <f t="shared" si="382"/>
        <v>1.6593267180759232</v>
      </c>
      <c r="AB356" s="18">
        <f t="shared" si="382"/>
        <v>4.3143177570201923</v>
      </c>
      <c r="AC356" s="56">
        <f t="shared" si="370"/>
        <v>4</v>
      </c>
      <c r="AE356" s="18">
        <f t="shared" si="383"/>
        <v>6.2815110222262991</v>
      </c>
      <c r="AF356" s="18">
        <f t="shared" si="383"/>
        <v>1.4529644230728902</v>
      </c>
      <c r="AG356" s="18">
        <f t="shared" si="383"/>
        <v>1.3510401464075343</v>
      </c>
      <c r="AH356" s="18">
        <f t="shared" si="383"/>
        <v>0.81284017948977683</v>
      </c>
      <c r="AI356" s="18">
        <f t="shared" si="383"/>
        <v>4.0210914503937243</v>
      </c>
      <c r="AJ356" s="56">
        <f t="shared" si="371"/>
        <v>4</v>
      </c>
      <c r="AL356" s="18">
        <f t="shared" si="384"/>
        <v>6.2815110222262991</v>
      </c>
      <c r="AM356" s="18">
        <f t="shared" si="384"/>
        <v>1.4857215195548255</v>
      </c>
      <c r="AN356" s="18">
        <f t="shared" si="384"/>
        <v>1.4219043009066921</v>
      </c>
      <c r="AO356" s="18">
        <f t="shared" si="384"/>
        <v>0.72515688020178826</v>
      </c>
      <c r="AP356" s="18">
        <f t="shared" si="384"/>
        <v>3.7474497838525829</v>
      </c>
      <c r="AQ356" s="56">
        <f t="shared" si="372"/>
        <v>4</v>
      </c>
      <c r="AS356" s="18">
        <f t="shared" si="385"/>
        <v>6.2815110222262991</v>
      </c>
      <c r="AT356" s="18">
        <f t="shared" si="385"/>
        <v>1.5777326363416058</v>
      </c>
      <c r="AU356" s="18">
        <f t="shared" si="385"/>
        <v>1.4493485784348854</v>
      </c>
      <c r="AV356" s="18">
        <f t="shared" si="385"/>
        <v>0.68618353066784532</v>
      </c>
      <c r="AW356" s="18">
        <f t="shared" si="385"/>
        <v>3.7474497838525829</v>
      </c>
      <c r="AX356" s="56">
        <f t="shared" si="373"/>
        <v>4</v>
      </c>
      <c r="AZ356" s="18">
        <f t="shared" si="386"/>
        <v>6.2815110222262991</v>
      </c>
      <c r="BA356" s="18">
        <f t="shared" si="386"/>
        <v>1.5777326363416058</v>
      </c>
      <c r="BB356" s="18">
        <f t="shared" si="386"/>
        <v>1.4493485784348854</v>
      </c>
      <c r="BC356" s="18">
        <f t="shared" si="386"/>
        <v>0.68618353066784532</v>
      </c>
      <c r="BD356" s="18">
        <f t="shared" si="386"/>
        <v>3.7474497838525829</v>
      </c>
      <c r="BE356" s="56">
        <f t="shared" si="374"/>
        <v>4</v>
      </c>
      <c r="BG356" s="18">
        <f t="shared" si="387"/>
        <v>6.2815110222262991</v>
      </c>
      <c r="BH356" s="18">
        <f t="shared" si="387"/>
        <v>1.5777326363416058</v>
      </c>
      <c r="BI356" s="18">
        <f t="shared" si="387"/>
        <v>1.4493485784348854</v>
      </c>
      <c r="BJ356" s="18">
        <f t="shared" si="387"/>
        <v>0.68618353066784532</v>
      </c>
      <c r="BK356" s="18">
        <f t="shared" si="387"/>
        <v>3.7474497838525829</v>
      </c>
      <c r="BL356" s="56">
        <f t="shared" si="375"/>
        <v>4</v>
      </c>
      <c r="BN356" s="18">
        <f t="shared" si="388"/>
        <v>6.2815110222262991</v>
      </c>
      <c r="BO356" s="18">
        <f t="shared" si="388"/>
        <v>1.5777326363416058</v>
      </c>
      <c r="BP356" s="18">
        <f t="shared" si="388"/>
        <v>1.4493485784348854</v>
      </c>
      <c r="BQ356" s="18">
        <f t="shared" si="388"/>
        <v>0.68618353066784532</v>
      </c>
      <c r="BR356" s="18">
        <f t="shared" si="388"/>
        <v>3.7474497838525829</v>
      </c>
      <c r="BS356" s="56">
        <f t="shared" si="376"/>
        <v>4</v>
      </c>
      <c r="BU356" s="18">
        <f t="shared" si="389"/>
        <v>6.2815110222262991</v>
      </c>
      <c r="BV356" s="18">
        <f t="shared" si="389"/>
        <v>1.5777326363416058</v>
      </c>
      <c r="BW356" s="18">
        <f t="shared" si="389"/>
        <v>1.4493485784348854</v>
      </c>
      <c r="BX356" s="18">
        <f t="shared" si="389"/>
        <v>0.68618353066784532</v>
      </c>
      <c r="BY356" s="18">
        <f t="shared" si="389"/>
        <v>3.7474497838525829</v>
      </c>
      <c r="BZ356" s="56">
        <f t="shared" si="377"/>
        <v>4</v>
      </c>
      <c r="CB356" s="18">
        <f t="shared" si="390"/>
        <v>6.2815110222262991</v>
      </c>
      <c r="CC356" s="18">
        <f t="shared" si="390"/>
        <v>1.5777326363416058</v>
      </c>
      <c r="CD356" s="18">
        <f t="shared" si="390"/>
        <v>1.4493485784348854</v>
      </c>
      <c r="CE356" s="18">
        <f t="shared" si="390"/>
        <v>0.68618353066784532</v>
      </c>
      <c r="CF356" s="18">
        <f t="shared" si="390"/>
        <v>3.7474497838525829</v>
      </c>
      <c r="CG356" s="56">
        <f t="shared" si="378"/>
        <v>4</v>
      </c>
      <c r="CI356" s="18">
        <f t="shared" si="391"/>
        <v>6.2815110222262991</v>
      </c>
      <c r="CJ356" s="18">
        <f t="shared" si="391"/>
        <v>1.5777326363416058</v>
      </c>
      <c r="CK356" s="18">
        <f t="shared" si="391"/>
        <v>1.4493485784348854</v>
      </c>
      <c r="CL356" s="18">
        <f t="shared" si="391"/>
        <v>0.68618353066784532</v>
      </c>
      <c r="CM356" s="18">
        <f t="shared" si="391"/>
        <v>3.7474497838525829</v>
      </c>
      <c r="CN356" s="56">
        <f t="shared" si="379"/>
        <v>4</v>
      </c>
      <c r="CP356" s="18">
        <f t="shared" si="392"/>
        <v>6.2815110222262991</v>
      </c>
      <c r="CQ356" s="18">
        <f t="shared" si="392"/>
        <v>1.5777326363416058</v>
      </c>
      <c r="CR356" s="18">
        <f t="shared" si="392"/>
        <v>1.4493485784348854</v>
      </c>
      <c r="CS356" s="18">
        <f t="shared" si="392"/>
        <v>0.68618353066784532</v>
      </c>
      <c r="CT356" s="18">
        <f t="shared" si="392"/>
        <v>3.7474497838525829</v>
      </c>
      <c r="CU356" s="56">
        <f t="shared" si="380"/>
        <v>4</v>
      </c>
      <c r="CW356" s="18">
        <f t="shared" si="393"/>
        <v>6.2815110222262991</v>
      </c>
      <c r="CX356" s="18">
        <f t="shared" si="393"/>
        <v>1.5777326363416058</v>
      </c>
      <c r="CY356" s="18">
        <f t="shared" si="393"/>
        <v>1.4493485784348854</v>
      </c>
      <c r="CZ356" s="18">
        <f t="shared" si="393"/>
        <v>0.68618353066784532</v>
      </c>
      <c r="DA356" s="18">
        <f t="shared" si="393"/>
        <v>3.7474497838525829</v>
      </c>
      <c r="DB356" s="56">
        <f t="shared" si="381"/>
        <v>4</v>
      </c>
    </row>
    <row r="357" spans="1:106" x14ac:dyDescent="0.25">
      <c r="A357" s="36" t="str">
        <f>KMeans_Data!A85</f>
        <v>Mohmand</v>
      </c>
      <c r="B357" s="18">
        <f>KMeans_Data!H85</f>
        <v>-0.47094306176301559</v>
      </c>
      <c r="C357" s="18">
        <f>KMeans_Data!I85</f>
        <v>-0.14698313392952958</v>
      </c>
      <c r="D357" s="18">
        <f>KMeans_Data!J85</f>
        <v>-0.39984522290956798</v>
      </c>
      <c r="E357" s="56">
        <f t="shared" si="368"/>
        <v>4</v>
      </c>
      <c r="F357" s="38">
        <f t="shared" si="369"/>
        <v>0.24815105167183296</v>
      </c>
      <c r="G357" s="18">
        <f>IF(COUNTIF(Distance_Matrix!$E$11:$DQ$11,$E357)&lt;=1,0,SUMIF(Distance_Matrix!$E$11:$DQ$11,$E357,Distance_Matrix!$E$94:$DQ$94)/(COUNTIF(Distance_Matrix!$E$11:$DQ$11,$E357)-1))</f>
        <v>0.89325240381533266</v>
      </c>
      <c r="H357" s="18">
        <f>MIN(IF(1=$E357,1E+99,IF(COUNTIF(Distance_Matrix!$E$11:$DQ$11,1)=0,1E+99,SUMIF(Distance_Matrix!$E$11:$DQ$11,1,Distance_Matrix!$E$94:$DQ$94)/COUNTIF(Distance_Matrix!$E$11:$DQ$11,1))),IF(2=$E357,1E+99,IF(COUNTIF(Distance_Matrix!$E$11:$DQ$11,2)=0,1E+99,SUMIF(Distance_Matrix!$E$11:$DQ$11,2,Distance_Matrix!$E$94:$DQ$94)/COUNTIF(Distance_Matrix!$E$11:$DQ$11,2))),IF(3=$E357,1E+99,IF(COUNTIF(Distance_Matrix!$E$11:$DQ$11,3)=0,1E+99,SUMIF(Distance_Matrix!$E$11:$DQ$11,3,Distance_Matrix!$E$94:$DQ$94)/COUNTIF(Distance_Matrix!$E$11:$DQ$11,3))),IF(4=$E357,1E+99,IF(COUNTIF(Distance_Matrix!$E$11:$DQ$11,4)=0,1E+99,SUMIF(Distance_Matrix!$E$11:$DQ$11,4,Distance_Matrix!$E$94:$DQ$94)/COUNTIF(Distance_Matrix!$E$11:$DQ$11,4))),IF(5=$E357,1E+99,IF(COUNTIF(Distance_Matrix!$E$11:$DQ$11,5)=0,1E+99,SUMIF(Distance_Matrix!$E$11:$DQ$11,5,Distance_Matrix!$E$94:$DQ$94)/COUNTIF(Distance_Matrix!$E$11:$DQ$11,5))))</f>
        <v>1.2112411982096212</v>
      </c>
      <c r="I357" s="18">
        <f>IF(COUNTIF(Distance_Matrix!$E$11:$DQ$11,$E357)&lt;=1,0,(H357-G357)/MAX(G357,H357))</f>
        <v>0.26253135615294387</v>
      </c>
      <c r="X357" s="18">
        <f t="shared" ref="X357:AB366" si="394">SQRT(($B357-X$270)^2+($C357-X$271)^2+($D357-X$272)^2)</f>
        <v>6.6999482057459137</v>
      </c>
      <c r="Y357" s="18">
        <f t="shared" si="394"/>
        <v>1.8495305652109939</v>
      </c>
      <c r="Z357" s="18">
        <f t="shared" si="394"/>
        <v>2.459485542954774</v>
      </c>
      <c r="AA357" s="18">
        <f t="shared" si="394"/>
        <v>1.3427760609254091</v>
      </c>
      <c r="AB357" s="18">
        <f t="shared" si="394"/>
        <v>4.6566190802835576</v>
      </c>
      <c r="AC357" s="56">
        <f t="shared" si="370"/>
        <v>4</v>
      </c>
      <c r="AE357" s="18">
        <f t="shared" ref="AE357:AI366" si="395">SQRT(($B357-AE$270)^2+($C357-AE$271)^2+($D357-AE$272)^2)</f>
        <v>6.579376857280395</v>
      </c>
      <c r="AF357" s="18">
        <f t="shared" si="395"/>
        <v>1.0661001187822878</v>
      </c>
      <c r="AG357" s="18">
        <f t="shared" si="395"/>
        <v>1.7346428528312066</v>
      </c>
      <c r="AH357" s="18">
        <f t="shared" si="395"/>
        <v>0.54509176096687717</v>
      </c>
      <c r="AI357" s="18">
        <f t="shared" si="395"/>
        <v>4.3097599116004845</v>
      </c>
      <c r="AJ357" s="56">
        <f t="shared" si="371"/>
        <v>4</v>
      </c>
      <c r="AL357" s="18">
        <f t="shared" ref="AL357:AP366" si="396">SQRT(($B357-AL$270)^2+($C357-AL$271)^2+($D357-AL$272)^2)</f>
        <v>6.579376857280395</v>
      </c>
      <c r="AM357" s="18">
        <f t="shared" si="396"/>
        <v>1.0861305282721561</v>
      </c>
      <c r="AN357" s="18">
        <f t="shared" si="396"/>
        <v>1.7917285041119073</v>
      </c>
      <c r="AO357" s="18">
        <f t="shared" si="396"/>
        <v>0.53398938206412583</v>
      </c>
      <c r="AP357" s="18">
        <f t="shared" si="396"/>
        <v>4.0359116057610054</v>
      </c>
      <c r="AQ357" s="56">
        <f t="shared" si="372"/>
        <v>4</v>
      </c>
      <c r="AS357" s="18">
        <f t="shared" ref="AS357:AW366" si="397">SQRT(($B357-AS$270)^2+($C357-AS$271)^2+($D357-AS$272)^2)</f>
        <v>6.579376857280395</v>
      </c>
      <c r="AT357" s="18">
        <f t="shared" si="397"/>
        <v>1.1663189123030175</v>
      </c>
      <c r="AU357" s="18">
        <f t="shared" si="397"/>
        <v>1.8190675942030563</v>
      </c>
      <c r="AV357" s="18">
        <f t="shared" si="397"/>
        <v>0.49814762036150784</v>
      </c>
      <c r="AW357" s="18">
        <f t="shared" si="397"/>
        <v>4.0359116057610054</v>
      </c>
      <c r="AX357" s="56">
        <f t="shared" si="373"/>
        <v>4</v>
      </c>
      <c r="AZ357" s="18">
        <f t="shared" ref="AZ357:BD366" si="398">SQRT(($B357-AZ$270)^2+($C357-AZ$271)^2+($D357-AZ$272)^2)</f>
        <v>6.579376857280395</v>
      </c>
      <c r="BA357" s="18">
        <f t="shared" si="398"/>
        <v>1.1663189123030175</v>
      </c>
      <c r="BB357" s="18">
        <f t="shared" si="398"/>
        <v>1.8190675942030563</v>
      </c>
      <c r="BC357" s="18">
        <f t="shared" si="398"/>
        <v>0.49814762036150784</v>
      </c>
      <c r="BD357" s="18">
        <f t="shared" si="398"/>
        <v>4.0359116057610054</v>
      </c>
      <c r="BE357" s="56">
        <f t="shared" si="374"/>
        <v>4</v>
      </c>
      <c r="BG357" s="18">
        <f t="shared" ref="BG357:BK366" si="399">SQRT(($B357-BG$270)^2+($C357-BG$271)^2+($D357-BG$272)^2)</f>
        <v>6.579376857280395</v>
      </c>
      <c r="BH357" s="18">
        <f t="shared" si="399"/>
        <v>1.1663189123030175</v>
      </c>
      <c r="BI357" s="18">
        <f t="shared" si="399"/>
        <v>1.8190675942030563</v>
      </c>
      <c r="BJ357" s="18">
        <f t="shared" si="399"/>
        <v>0.49814762036150784</v>
      </c>
      <c r="BK357" s="18">
        <f t="shared" si="399"/>
        <v>4.0359116057610054</v>
      </c>
      <c r="BL357" s="56">
        <f t="shared" si="375"/>
        <v>4</v>
      </c>
      <c r="BN357" s="18">
        <f t="shared" ref="BN357:BR366" si="400">SQRT(($B357-BN$270)^2+($C357-BN$271)^2+($D357-BN$272)^2)</f>
        <v>6.579376857280395</v>
      </c>
      <c r="BO357" s="18">
        <f t="shared" si="400"/>
        <v>1.1663189123030175</v>
      </c>
      <c r="BP357" s="18">
        <f t="shared" si="400"/>
        <v>1.8190675942030563</v>
      </c>
      <c r="BQ357" s="18">
        <f t="shared" si="400"/>
        <v>0.49814762036150784</v>
      </c>
      <c r="BR357" s="18">
        <f t="shared" si="400"/>
        <v>4.0359116057610054</v>
      </c>
      <c r="BS357" s="56">
        <f t="shared" si="376"/>
        <v>4</v>
      </c>
      <c r="BU357" s="18">
        <f t="shared" ref="BU357:BY366" si="401">SQRT(($B357-BU$270)^2+($C357-BU$271)^2+($D357-BU$272)^2)</f>
        <v>6.579376857280395</v>
      </c>
      <c r="BV357" s="18">
        <f t="shared" si="401"/>
        <v>1.1663189123030175</v>
      </c>
      <c r="BW357" s="18">
        <f t="shared" si="401"/>
        <v>1.8190675942030563</v>
      </c>
      <c r="BX357" s="18">
        <f t="shared" si="401"/>
        <v>0.49814762036150784</v>
      </c>
      <c r="BY357" s="18">
        <f t="shared" si="401"/>
        <v>4.0359116057610054</v>
      </c>
      <c r="BZ357" s="56">
        <f t="shared" si="377"/>
        <v>4</v>
      </c>
      <c r="CB357" s="18">
        <f t="shared" ref="CB357:CF366" si="402">SQRT(($B357-CB$270)^2+($C357-CB$271)^2+($D357-CB$272)^2)</f>
        <v>6.579376857280395</v>
      </c>
      <c r="CC357" s="18">
        <f t="shared" si="402"/>
        <v>1.1663189123030175</v>
      </c>
      <c r="CD357" s="18">
        <f t="shared" si="402"/>
        <v>1.8190675942030563</v>
      </c>
      <c r="CE357" s="18">
        <f t="shared" si="402"/>
        <v>0.49814762036150784</v>
      </c>
      <c r="CF357" s="18">
        <f t="shared" si="402"/>
        <v>4.0359116057610054</v>
      </c>
      <c r="CG357" s="56">
        <f t="shared" si="378"/>
        <v>4</v>
      </c>
      <c r="CI357" s="18">
        <f t="shared" ref="CI357:CM366" si="403">SQRT(($B357-CI$270)^2+($C357-CI$271)^2+($D357-CI$272)^2)</f>
        <v>6.579376857280395</v>
      </c>
      <c r="CJ357" s="18">
        <f t="shared" si="403"/>
        <v>1.1663189123030175</v>
      </c>
      <c r="CK357" s="18">
        <f t="shared" si="403"/>
        <v>1.8190675942030563</v>
      </c>
      <c r="CL357" s="18">
        <f t="shared" si="403"/>
        <v>0.49814762036150784</v>
      </c>
      <c r="CM357" s="18">
        <f t="shared" si="403"/>
        <v>4.0359116057610054</v>
      </c>
      <c r="CN357" s="56">
        <f t="shared" si="379"/>
        <v>4</v>
      </c>
      <c r="CP357" s="18">
        <f t="shared" ref="CP357:CT366" si="404">SQRT(($B357-CP$270)^2+($C357-CP$271)^2+($D357-CP$272)^2)</f>
        <v>6.579376857280395</v>
      </c>
      <c r="CQ357" s="18">
        <f t="shared" si="404"/>
        <v>1.1663189123030175</v>
      </c>
      <c r="CR357" s="18">
        <f t="shared" si="404"/>
        <v>1.8190675942030563</v>
      </c>
      <c r="CS357" s="18">
        <f t="shared" si="404"/>
        <v>0.49814762036150784</v>
      </c>
      <c r="CT357" s="18">
        <f t="shared" si="404"/>
        <v>4.0359116057610054</v>
      </c>
      <c r="CU357" s="56">
        <f t="shared" si="380"/>
        <v>4</v>
      </c>
      <c r="CW357" s="18">
        <f t="shared" ref="CW357:DA366" si="405">SQRT(($B357-CW$270)^2+($C357-CW$271)^2+($D357-CW$272)^2)</f>
        <v>6.579376857280395</v>
      </c>
      <c r="CX357" s="18">
        <f t="shared" si="405"/>
        <v>1.1663189123030175</v>
      </c>
      <c r="CY357" s="18">
        <f t="shared" si="405"/>
        <v>1.8190675942030563</v>
      </c>
      <c r="CZ357" s="18">
        <f t="shared" si="405"/>
        <v>0.49814762036150784</v>
      </c>
      <c r="DA357" s="18">
        <f t="shared" si="405"/>
        <v>4.0359116057610054</v>
      </c>
      <c r="DB357" s="56">
        <f t="shared" si="381"/>
        <v>4</v>
      </c>
    </row>
    <row r="358" spans="1:106" x14ac:dyDescent="0.25">
      <c r="A358" s="36" t="str">
        <f>KMeans_Data!A86</f>
        <v>Bahawal Nagar</v>
      </c>
      <c r="B358" s="18">
        <f>KMeans_Data!H86</f>
        <v>-0.47094306176301559</v>
      </c>
      <c r="C358" s="18">
        <f>KMeans_Data!I86</f>
        <v>-0.67265054538827607</v>
      </c>
      <c r="D358" s="18">
        <f>KMeans_Data!J86</f>
        <v>-0.39984522290956798</v>
      </c>
      <c r="E358" s="56">
        <f t="shared" si="368"/>
        <v>4</v>
      </c>
      <c r="F358" s="38">
        <f t="shared" si="369"/>
        <v>0.14483718670204387</v>
      </c>
      <c r="G358" s="18">
        <f>IF(COUNTIF(Distance_Matrix!$E$11:$DQ$11,$E358)&lt;=1,0,SUMIF(Distance_Matrix!$E$11:$DQ$11,$E358,Distance_Matrix!$E$95:$DQ$95)/(COUNTIF(Distance_Matrix!$E$11:$DQ$11,$E358)-1))</f>
        <v>0.79258423254366717</v>
      </c>
      <c r="H358" s="18">
        <f>MIN(IF(1=$E358,1E+99,IF(COUNTIF(Distance_Matrix!$E$11:$DQ$11,1)=0,1E+99,SUMIF(Distance_Matrix!$E$11:$DQ$11,1,Distance_Matrix!$E$95:$DQ$95)/COUNTIF(Distance_Matrix!$E$11:$DQ$11,1))),IF(2=$E358,1E+99,IF(COUNTIF(Distance_Matrix!$E$11:$DQ$11,2)=0,1E+99,SUMIF(Distance_Matrix!$E$11:$DQ$11,2,Distance_Matrix!$E$95:$DQ$95)/COUNTIF(Distance_Matrix!$E$11:$DQ$11,2))),IF(3=$E358,1E+99,IF(COUNTIF(Distance_Matrix!$E$11:$DQ$11,3)=0,1E+99,SUMIF(Distance_Matrix!$E$11:$DQ$11,3,Distance_Matrix!$E$95:$DQ$95)/COUNTIF(Distance_Matrix!$E$11:$DQ$11,3))),IF(4=$E358,1E+99,IF(COUNTIF(Distance_Matrix!$E$11:$DQ$11,4)=0,1E+99,SUMIF(Distance_Matrix!$E$11:$DQ$11,4,Distance_Matrix!$E$95:$DQ$95)/COUNTIF(Distance_Matrix!$E$11:$DQ$11,4))),IF(5=$E358,1E+99,IF(COUNTIF(Distance_Matrix!$E$11:$DQ$11,5)=0,1E+99,SUMIF(Distance_Matrix!$E$11:$DQ$11,5,Distance_Matrix!$E$95:$DQ$95)/COUNTIF(Distance_Matrix!$E$11:$DQ$11,5))))</f>
        <v>1.0960221771649397</v>
      </c>
      <c r="I358" s="18">
        <f>IF(COUNTIF(Distance_Matrix!$E$11:$DQ$11,$E358)&lt;=1,0,(H358-G358)/MAX(G358,H358))</f>
        <v>0.27685383648547135</v>
      </c>
      <c r="X358" s="18">
        <f t="shared" si="394"/>
        <v>7.0403370809162977</v>
      </c>
      <c r="Y358" s="18">
        <f t="shared" si="394"/>
        <v>1.7732560684176326</v>
      </c>
      <c r="Z358" s="18">
        <f t="shared" si="394"/>
        <v>2.6226032521928966</v>
      </c>
      <c r="AA358" s="18">
        <f t="shared" si="394"/>
        <v>1.4420033901708058</v>
      </c>
      <c r="AB358" s="18">
        <f t="shared" si="394"/>
        <v>4.9524606015591397</v>
      </c>
      <c r="AC358" s="56">
        <f t="shared" si="370"/>
        <v>4</v>
      </c>
      <c r="AE358" s="18">
        <f t="shared" si="395"/>
        <v>6.9301705016420287</v>
      </c>
      <c r="AF358" s="18">
        <f t="shared" si="395"/>
        <v>0.9380729307864496</v>
      </c>
      <c r="AG358" s="18">
        <f t="shared" si="395"/>
        <v>1.9913864802410755</v>
      </c>
      <c r="AH358" s="18">
        <f t="shared" si="395"/>
        <v>0.46230316986669368</v>
      </c>
      <c r="AI358" s="18">
        <f t="shared" si="395"/>
        <v>4.6554620321436211</v>
      </c>
      <c r="AJ358" s="56">
        <f t="shared" si="371"/>
        <v>4</v>
      </c>
      <c r="AL358" s="18">
        <f t="shared" si="396"/>
        <v>6.9301705016420287</v>
      </c>
      <c r="AM358" s="18">
        <f t="shared" si="396"/>
        <v>0.96077618863678316</v>
      </c>
      <c r="AN358" s="18">
        <f t="shared" si="396"/>
        <v>2.060194399512322</v>
      </c>
      <c r="AO358" s="18">
        <f t="shared" si="396"/>
        <v>0.42159753890342028</v>
      </c>
      <c r="AP358" s="18">
        <f t="shared" si="396"/>
        <v>4.3847510691519496</v>
      </c>
      <c r="AQ358" s="56">
        <f t="shared" si="372"/>
        <v>4</v>
      </c>
      <c r="AS358" s="18">
        <f t="shared" si="397"/>
        <v>6.9301705016420287</v>
      </c>
      <c r="AT358" s="18">
        <f t="shared" si="397"/>
        <v>1.0517032261638897</v>
      </c>
      <c r="AU358" s="18">
        <f t="shared" si="397"/>
        <v>2.0869083267407627</v>
      </c>
      <c r="AV358" s="18">
        <f t="shared" si="397"/>
        <v>0.38057481091375961</v>
      </c>
      <c r="AW358" s="18">
        <f t="shared" si="397"/>
        <v>4.3847510691519496</v>
      </c>
      <c r="AX358" s="56">
        <f t="shared" si="373"/>
        <v>4</v>
      </c>
      <c r="AZ358" s="18">
        <f t="shared" si="398"/>
        <v>6.9301705016420287</v>
      </c>
      <c r="BA358" s="18">
        <f t="shared" si="398"/>
        <v>1.0517032261638897</v>
      </c>
      <c r="BB358" s="18">
        <f t="shared" si="398"/>
        <v>2.0869083267407627</v>
      </c>
      <c r="BC358" s="18">
        <f t="shared" si="398"/>
        <v>0.38057481091375961</v>
      </c>
      <c r="BD358" s="18">
        <f t="shared" si="398"/>
        <v>4.3847510691519496</v>
      </c>
      <c r="BE358" s="56">
        <f t="shared" si="374"/>
        <v>4</v>
      </c>
      <c r="BG358" s="18">
        <f t="shared" si="399"/>
        <v>6.9301705016420287</v>
      </c>
      <c r="BH358" s="18">
        <f t="shared" si="399"/>
        <v>1.0517032261638897</v>
      </c>
      <c r="BI358" s="18">
        <f t="shared" si="399"/>
        <v>2.0869083267407627</v>
      </c>
      <c r="BJ358" s="18">
        <f t="shared" si="399"/>
        <v>0.38057481091375961</v>
      </c>
      <c r="BK358" s="18">
        <f t="shared" si="399"/>
        <v>4.3847510691519496</v>
      </c>
      <c r="BL358" s="56">
        <f t="shared" si="375"/>
        <v>4</v>
      </c>
      <c r="BN358" s="18">
        <f t="shared" si="400"/>
        <v>6.9301705016420287</v>
      </c>
      <c r="BO358" s="18">
        <f t="shared" si="400"/>
        <v>1.0517032261638897</v>
      </c>
      <c r="BP358" s="18">
        <f t="shared" si="400"/>
        <v>2.0869083267407627</v>
      </c>
      <c r="BQ358" s="18">
        <f t="shared" si="400"/>
        <v>0.38057481091375961</v>
      </c>
      <c r="BR358" s="18">
        <f t="shared" si="400"/>
        <v>4.3847510691519496</v>
      </c>
      <c r="BS358" s="56">
        <f t="shared" si="376"/>
        <v>4</v>
      </c>
      <c r="BU358" s="18">
        <f t="shared" si="401"/>
        <v>6.9301705016420287</v>
      </c>
      <c r="BV358" s="18">
        <f t="shared" si="401"/>
        <v>1.0517032261638897</v>
      </c>
      <c r="BW358" s="18">
        <f t="shared" si="401"/>
        <v>2.0869083267407627</v>
      </c>
      <c r="BX358" s="18">
        <f t="shared" si="401"/>
        <v>0.38057481091375961</v>
      </c>
      <c r="BY358" s="18">
        <f t="shared" si="401"/>
        <v>4.3847510691519496</v>
      </c>
      <c r="BZ358" s="56">
        <f t="shared" si="377"/>
        <v>4</v>
      </c>
      <c r="CB358" s="18">
        <f t="shared" si="402"/>
        <v>6.9301705016420287</v>
      </c>
      <c r="CC358" s="18">
        <f t="shared" si="402"/>
        <v>1.0517032261638897</v>
      </c>
      <c r="CD358" s="18">
        <f t="shared" si="402"/>
        <v>2.0869083267407627</v>
      </c>
      <c r="CE358" s="18">
        <f t="shared" si="402"/>
        <v>0.38057481091375961</v>
      </c>
      <c r="CF358" s="18">
        <f t="shared" si="402"/>
        <v>4.3847510691519496</v>
      </c>
      <c r="CG358" s="56">
        <f t="shared" si="378"/>
        <v>4</v>
      </c>
      <c r="CI358" s="18">
        <f t="shared" si="403"/>
        <v>6.9301705016420287</v>
      </c>
      <c r="CJ358" s="18">
        <f t="shared" si="403"/>
        <v>1.0517032261638897</v>
      </c>
      <c r="CK358" s="18">
        <f t="shared" si="403"/>
        <v>2.0869083267407627</v>
      </c>
      <c r="CL358" s="18">
        <f t="shared" si="403"/>
        <v>0.38057481091375961</v>
      </c>
      <c r="CM358" s="18">
        <f t="shared" si="403"/>
        <v>4.3847510691519496</v>
      </c>
      <c r="CN358" s="56">
        <f t="shared" si="379"/>
        <v>4</v>
      </c>
      <c r="CP358" s="18">
        <f t="shared" si="404"/>
        <v>6.9301705016420287</v>
      </c>
      <c r="CQ358" s="18">
        <f t="shared" si="404"/>
        <v>1.0517032261638897</v>
      </c>
      <c r="CR358" s="18">
        <f t="shared" si="404"/>
        <v>2.0869083267407627</v>
      </c>
      <c r="CS358" s="18">
        <f t="shared" si="404"/>
        <v>0.38057481091375961</v>
      </c>
      <c r="CT358" s="18">
        <f t="shared" si="404"/>
        <v>4.3847510691519496</v>
      </c>
      <c r="CU358" s="56">
        <f t="shared" si="380"/>
        <v>4</v>
      </c>
      <c r="CW358" s="18">
        <f t="shared" si="405"/>
        <v>6.9301705016420287</v>
      </c>
      <c r="CX358" s="18">
        <f t="shared" si="405"/>
        <v>1.0517032261638897</v>
      </c>
      <c r="CY358" s="18">
        <f t="shared" si="405"/>
        <v>2.0869083267407627</v>
      </c>
      <c r="CZ358" s="18">
        <f t="shared" si="405"/>
        <v>0.38057481091375961</v>
      </c>
      <c r="DA358" s="18">
        <f t="shared" si="405"/>
        <v>4.3847510691519496</v>
      </c>
      <c r="DB358" s="56">
        <f t="shared" si="381"/>
        <v>4</v>
      </c>
    </row>
    <row r="359" spans="1:106" x14ac:dyDescent="0.25">
      <c r="A359" s="36" t="str">
        <f>KMeans_Data!A87</f>
        <v>Ghizer</v>
      </c>
      <c r="B359" s="18">
        <f>KMeans_Data!H87</f>
        <v>-0.5205491527213375</v>
      </c>
      <c r="C359" s="18">
        <f>KMeans_Data!I87</f>
        <v>-0.67265054538827607</v>
      </c>
      <c r="D359" s="18">
        <f>KMeans_Data!J87</f>
        <v>-0.50324791546397885</v>
      </c>
      <c r="E359" s="56">
        <f t="shared" si="368"/>
        <v>4</v>
      </c>
      <c r="F359" s="38">
        <f t="shared" si="369"/>
        <v>0.19706878527272254</v>
      </c>
      <c r="G359" s="18">
        <f>IF(COUNTIF(Distance_Matrix!$E$11:$DQ$11,$E359)&lt;=1,0,SUMIF(Distance_Matrix!$E$11:$DQ$11,$E359,Distance_Matrix!$E$96:$DQ$96)/(COUNTIF(Distance_Matrix!$E$11:$DQ$11,$E359)-1))</f>
        <v>0.82361434069693129</v>
      </c>
      <c r="H359" s="18">
        <f>MIN(IF(1=$E359,1E+99,IF(COUNTIF(Distance_Matrix!$E$11:$DQ$11,1)=0,1E+99,SUMIF(Distance_Matrix!$E$11:$DQ$11,1,Distance_Matrix!$E$96:$DQ$96)/COUNTIF(Distance_Matrix!$E$11:$DQ$11,1))),IF(2=$E359,1E+99,IF(COUNTIF(Distance_Matrix!$E$11:$DQ$11,2)=0,1E+99,SUMIF(Distance_Matrix!$E$11:$DQ$11,2,Distance_Matrix!$E$96:$DQ$96)/COUNTIF(Distance_Matrix!$E$11:$DQ$11,2))),IF(3=$E359,1E+99,IF(COUNTIF(Distance_Matrix!$E$11:$DQ$11,3)=0,1E+99,SUMIF(Distance_Matrix!$E$11:$DQ$11,3,Distance_Matrix!$E$96:$DQ$96)/COUNTIF(Distance_Matrix!$E$11:$DQ$11,3))),IF(4=$E359,1E+99,IF(COUNTIF(Distance_Matrix!$E$11:$DQ$11,4)=0,1E+99,SUMIF(Distance_Matrix!$E$11:$DQ$11,4,Distance_Matrix!$E$96:$DQ$96)/COUNTIF(Distance_Matrix!$E$11:$DQ$11,4))),IF(5=$E359,1E+99,IF(COUNTIF(Distance_Matrix!$E$11:$DQ$11,5)=0,1E+99,SUMIF(Distance_Matrix!$E$11:$DQ$11,5,Distance_Matrix!$E$96:$DQ$96)/COUNTIF(Distance_Matrix!$E$11:$DQ$11,5))))</f>
        <v>0.99674512691938499</v>
      </c>
      <c r="I359" s="18">
        <f>IF(COUNTIF(Distance_Matrix!$E$11:$DQ$11,$E359)&lt;=1,0,(H359-G359)/MAX(G359,H359))</f>
        <v>0.17369614512944212</v>
      </c>
      <c r="X359" s="18">
        <f t="shared" si="394"/>
        <v>7.1208456226614238</v>
      </c>
      <c r="Y359" s="18">
        <f t="shared" si="394"/>
        <v>1.6863400260996402</v>
      </c>
      <c r="Z359" s="18">
        <f t="shared" si="394"/>
        <v>2.7253656976307941</v>
      </c>
      <c r="AA359" s="18">
        <f t="shared" si="394"/>
        <v>1.4314584704603783</v>
      </c>
      <c r="AB359" s="18">
        <f t="shared" si="394"/>
        <v>5.0393093377908409</v>
      </c>
      <c r="AC359" s="56">
        <f t="shared" si="370"/>
        <v>4</v>
      </c>
      <c r="AE359" s="18">
        <f t="shared" si="395"/>
        <v>7.0076382598392266</v>
      </c>
      <c r="AF359" s="18">
        <f t="shared" si="395"/>
        <v>0.84024735825901498</v>
      </c>
      <c r="AG359" s="18">
        <f t="shared" si="395"/>
        <v>2.0826688323275215</v>
      </c>
      <c r="AH359" s="18">
        <f t="shared" si="395"/>
        <v>0.49378338027252078</v>
      </c>
      <c r="AI359" s="18">
        <f t="shared" si="395"/>
        <v>4.7321654282321504</v>
      </c>
      <c r="AJ359" s="56">
        <f t="shared" si="371"/>
        <v>4</v>
      </c>
      <c r="AL359" s="18">
        <f t="shared" si="396"/>
        <v>7.0076382598392266</v>
      </c>
      <c r="AM359" s="18">
        <f t="shared" si="396"/>
        <v>0.85998394613274631</v>
      </c>
      <c r="AN359" s="18">
        <f t="shared" si="396"/>
        <v>2.149630605520068</v>
      </c>
      <c r="AO359" s="18">
        <f t="shared" si="396"/>
        <v>0.47960569873281461</v>
      </c>
      <c r="AP359" s="18">
        <f t="shared" si="396"/>
        <v>4.4610795730943718</v>
      </c>
      <c r="AQ359" s="56">
        <f t="shared" si="372"/>
        <v>4</v>
      </c>
      <c r="AS359" s="18">
        <f t="shared" si="397"/>
        <v>7.0076382598392266</v>
      </c>
      <c r="AT359" s="18">
        <f t="shared" si="397"/>
        <v>0.94856162655699761</v>
      </c>
      <c r="AU359" s="18">
        <f t="shared" si="397"/>
        <v>2.1764521070269063</v>
      </c>
      <c r="AV359" s="18">
        <f t="shared" si="397"/>
        <v>0.44392430128651722</v>
      </c>
      <c r="AW359" s="18">
        <f t="shared" si="397"/>
        <v>4.4610795730943718</v>
      </c>
      <c r="AX359" s="56">
        <f t="shared" si="373"/>
        <v>4</v>
      </c>
      <c r="AZ359" s="18">
        <f t="shared" si="398"/>
        <v>7.0076382598392266</v>
      </c>
      <c r="BA359" s="18">
        <f t="shared" si="398"/>
        <v>0.94856162655699761</v>
      </c>
      <c r="BB359" s="18">
        <f t="shared" si="398"/>
        <v>2.1764521070269063</v>
      </c>
      <c r="BC359" s="18">
        <f t="shared" si="398"/>
        <v>0.44392430128651722</v>
      </c>
      <c r="BD359" s="18">
        <f t="shared" si="398"/>
        <v>4.4610795730943718</v>
      </c>
      <c r="BE359" s="56">
        <f t="shared" si="374"/>
        <v>4</v>
      </c>
      <c r="BG359" s="18">
        <f t="shared" si="399"/>
        <v>7.0076382598392266</v>
      </c>
      <c r="BH359" s="18">
        <f t="shared" si="399"/>
        <v>0.94856162655699761</v>
      </c>
      <c r="BI359" s="18">
        <f t="shared" si="399"/>
        <v>2.1764521070269063</v>
      </c>
      <c r="BJ359" s="18">
        <f t="shared" si="399"/>
        <v>0.44392430128651722</v>
      </c>
      <c r="BK359" s="18">
        <f t="shared" si="399"/>
        <v>4.4610795730943718</v>
      </c>
      <c r="BL359" s="56">
        <f t="shared" si="375"/>
        <v>4</v>
      </c>
      <c r="BN359" s="18">
        <f t="shared" si="400"/>
        <v>7.0076382598392266</v>
      </c>
      <c r="BO359" s="18">
        <f t="shared" si="400"/>
        <v>0.94856162655699761</v>
      </c>
      <c r="BP359" s="18">
        <f t="shared" si="400"/>
        <v>2.1764521070269063</v>
      </c>
      <c r="BQ359" s="18">
        <f t="shared" si="400"/>
        <v>0.44392430128651722</v>
      </c>
      <c r="BR359" s="18">
        <f t="shared" si="400"/>
        <v>4.4610795730943718</v>
      </c>
      <c r="BS359" s="56">
        <f t="shared" si="376"/>
        <v>4</v>
      </c>
      <c r="BU359" s="18">
        <f t="shared" si="401"/>
        <v>7.0076382598392266</v>
      </c>
      <c r="BV359" s="18">
        <f t="shared" si="401"/>
        <v>0.94856162655699761</v>
      </c>
      <c r="BW359" s="18">
        <f t="shared" si="401"/>
        <v>2.1764521070269063</v>
      </c>
      <c r="BX359" s="18">
        <f t="shared" si="401"/>
        <v>0.44392430128651722</v>
      </c>
      <c r="BY359" s="18">
        <f t="shared" si="401"/>
        <v>4.4610795730943718</v>
      </c>
      <c r="BZ359" s="56">
        <f t="shared" si="377"/>
        <v>4</v>
      </c>
      <c r="CB359" s="18">
        <f t="shared" si="402"/>
        <v>7.0076382598392266</v>
      </c>
      <c r="CC359" s="18">
        <f t="shared" si="402"/>
        <v>0.94856162655699761</v>
      </c>
      <c r="CD359" s="18">
        <f t="shared" si="402"/>
        <v>2.1764521070269063</v>
      </c>
      <c r="CE359" s="18">
        <f t="shared" si="402"/>
        <v>0.44392430128651722</v>
      </c>
      <c r="CF359" s="18">
        <f t="shared" si="402"/>
        <v>4.4610795730943718</v>
      </c>
      <c r="CG359" s="56">
        <f t="shared" si="378"/>
        <v>4</v>
      </c>
      <c r="CI359" s="18">
        <f t="shared" si="403"/>
        <v>7.0076382598392266</v>
      </c>
      <c r="CJ359" s="18">
        <f t="shared" si="403"/>
        <v>0.94856162655699761</v>
      </c>
      <c r="CK359" s="18">
        <f t="shared" si="403"/>
        <v>2.1764521070269063</v>
      </c>
      <c r="CL359" s="18">
        <f t="shared" si="403"/>
        <v>0.44392430128651722</v>
      </c>
      <c r="CM359" s="18">
        <f t="shared" si="403"/>
        <v>4.4610795730943718</v>
      </c>
      <c r="CN359" s="56">
        <f t="shared" si="379"/>
        <v>4</v>
      </c>
      <c r="CP359" s="18">
        <f t="shared" si="404"/>
        <v>7.0076382598392266</v>
      </c>
      <c r="CQ359" s="18">
        <f t="shared" si="404"/>
        <v>0.94856162655699761</v>
      </c>
      <c r="CR359" s="18">
        <f t="shared" si="404"/>
        <v>2.1764521070269063</v>
      </c>
      <c r="CS359" s="18">
        <f t="shared" si="404"/>
        <v>0.44392430128651722</v>
      </c>
      <c r="CT359" s="18">
        <f t="shared" si="404"/>
        <v>4.4610795730943718</v>
      </c>
      <c r="CU359" s="56">
        <f t="shared" si="380"/>
        <v>4</v>
      </c>
      <c r="CW359" s="18">
        <f t="shared" si="405"/>
        <v>7.0076382598392266</v>
      </c>
      <c r="CX359" s="18">
        <f t="shared" si="405"/>
        <v>0.94856162655699761</v>
      </c>
      <c r="CY359" s="18">
        <f t="shared" si="405"/>
        <v>2.1764521070269063</v>
      </c>
      <c r="CZ359" s="18">
        <f t="shared" si="405"/>
        <v>0.44392430128651722</v>
      </c>
      <c r="DA359" s="18">
        <f t="shared" si="405"/>
        <v>4.4610795730943718</v>
      </c>
      <c r="DB359" s="56">
        <f t="shared" si="381"/>
        <v>4</v>
      </c>
    </row>
    <row r="360" spans="1:106" x14ac:dyDescent="0.25">
      <c r="A360" s="36" t="str">
        <f>KMeans_Data!A88</f>
        <v>Mianwali</v>
      </c>
      <c r="B360" s="18">
        <f>KMeans_Data!H88</f>
        <v>-0.54724577455296852</v>
      </c>
      <c r="C360" s="18">
        <f>KMeans_Data!I88</f>
        <v>-0.67265054538827607</v>
      </c>
      <c r="D360" s="18">
        <f>KMeans_Data!J88</f>
        <v>-0.82444601589876665</v>
      </c>
      <c r="E360" s="56">
        <f t="shared" si="368"/>
        <v>4</v>
      </c>
      <c r="F360" s="38">
        <f t="shared" si="369"/>
        <v>0.40420958455589207</v>
      </c>
      <c r="G360" s="18">
        <f>IF(COUNTIF(Distance_Matrix!$E$11:$DQ$11,$E360)&lt;=1,0,SUMIF(Distance_Matrix!$E$11:$DQ$11,$E360,Distance_Matrix!$E$97:$DQ$97)/(COUNTIF(Distance_Matrix!$E$11:$DQ$11,$E360)-1))</f>
        <v>0.93311399444947518</v>
      </c>
      <c r="H360" s="18">
        <f>MIN(IF(1=$E360,1E+99,IF(COUNTIF(Distance_Matrix!$E$11:$DQ$11,1)=0,1E+99,SUMIF(Distance_Matrix!$E$11:$DQ$11,1,Distance_Matrix!$E$97:$DQ$97)/COUNTIF(Distance_Matrix!$E$11:$DQ$11,1))),IF(2=$E360,1E+99,IF(COUNTIF(Distance_Matrix!$E$11:$DQ$11,2)=0,1E+99,SUMIF(Distance_Matrix!$E$11:$DQ$11,2,Distance_Matrix!$E$97:$DQ$97)/COUNTIF(Distance_Matrix!$E$11:$DQ$11,2))),IF(3=$E360,1E+99,IF(COUNTIF(Distance_Matrix!$E$11:$DQ$11,3)=0,1E+99,SUMIF(Distance_Matrix!$E$11:$DQ$11,3,Distance_Matrix!$E$97:$DQ$97)/COUNTIF(Distance_Matrix!$E$11:$DQ$11,3))),IF(4=$E360,1E+99,IF(COUNTIF(Distance_Matrix!$E$11:$DQ$11,4)=0,1E+99,SUMIF(Distance_Matrix!$E$11:$DQ$11,4,Distance_Matrix!$E$97:$DQ$97)/COUNTIF(Distance_Matrix!$E$11:$DQ$11,4))),IF(5=$E360,1E+99,IF(COUNTIF(Distance_Matrix!$E$11:$DQ$11,5)=0,1E+99,SUMIF(Distance_Matrix!$E$11:$DQ$11,5,Distance_Matrix!$E$97:$DQ$97)/COUNTIF(Distance_Matrix!$E$11:$DQ$11,5))))</f>
        <v>0.82107101566784269</v>
      </c>
      <c r="I360" s="18">
        <f>IF(COUNTIF(Distance_Matrix!$E$11:$DQ$11,$E360)&lt;=1,0,(H360-G360)/MAX(G360,H360))</f>
        <v>-0.12007426686139924</v>
      </c>
      <c r="X360" s="18">
        <f t="shared" si="394"/>
        <v>7.3092925798473285</v>
      </c>
      <c r="Y360" s="18">
        <f t="shared" si="394"/>
        <v>1.5657907219695728</v>
      </c>
      <c r="Z360" s="18">
        <f t="shared" si="394"/>
        <v>2.980360147150797</v>
      </c>
      <c r="AA360" s="18">
        <f t="shared" si="394"/>
        <v>1.3425907007716069</v>
      </c>
      <c r="AB360" s="18">
        <f t="shared" si="394"/>
        <v>5.2440289968498544</v>
      </c>
      <c r="AC360" s="56">
        <f t="shared" si="370"/>
        <v>4</v>
      </c>
      <c r="AE360" s="18">
        <f t="shared" si="395"/>
        <v>7.1862281591827486</v>
      </c>
      <c r="AF360" s="18">
        <f t="shared" si="395"/>
        <v>0.70280353018440411</v>
      </c>
      <c r="AG360" s="18">
        <f t="shared" si="395"/>
        <v>2.3162928579790041</v>
      </c>
      <c r="AH360" s="18">
        <f t="shared" si="395"/>
        <v>0.60438747337830212</v>
      </c>
      <c r="AI360" s="18">
        <f t="shared" si="395"/>
        <v>4.9100690154054352</v>
      </c>
      <c r="AJ360" s="56">
        <f t="shared" si="371"/>
        <v>4</v>
      </c>
      <c r="AL360" s="18">
        <f t="shared" si="396"/>
        <v>7.1862281591827486</v>
      </c>
      <c r="AM360" s="18">
        <f t="shared" si="396"/>
        <v>0.70398036526616603</v>
      </c>
      <c r="AN360" s="18">
        <f t="shared" si="396"/>
        <v>2.377009933385962</v>
      </c>
      <c r="AO360" s="18">
        <f t="shared" si="396"/>
        <v>0.65207245549281589</v>
      </c>
      <c r="AP360" s="18">
        <f t="shared" si="396"/>
        <v>4.6396645828791252</v>
      </c>
      <c r="AQ360" s="56">
        <f t="shared" si="372"/>
        <v>4</v>
      </c>
      <c r="AS360" s="18">
        <f t="shared" si="397"/>
        <v>7.1862281591827486</v>
      </c>
      <c r="AT360" s="18">
        <f t="shared" si="397"/>
        <v>0.77241890813494118</v>
      </c>
      <c r="AU360" s="18">
        <f t="shared" si="397"/>
        <v>2.4036588033745816</v>
      </c>
      <c r="AV360" s="18">
        <f t="shared" si="397"/>
        <v>0.63577479075211218</v>
      </c>
      <c r="AW360" s="18">
        <f t="shared" si="397"/>
        <v>4.6396645828791252</v>
      </c>
      <c r="AX360" s="56">
        <f t="shared" si="373"/>
        <v>4</v>
      </c>
      <c r="AZ360" s="18">
        <f t="shared" si="398"/>
        <v>7.1862281591827486</v>
      </c>
      <c r="BA360" s="18">
        <f t="shared" si="398"/>
        <v>0.77241890813494118</v>
      </c>
      <c r="BB360" s="18">
        <f t="shared" si="398"/>
        <v>2.4036588033745816</v>
      </c>
      <c r="BC360" s="18">
        <f t="shared" si="398"/>
        <v>0.63577479075211218</v>
      </c>
      <c r="BD360" s="18">
        <f t="shared" si="398"/>
        <v>4.6396645828791252</v>
      </c>
      <c r="BE360" s="56">
        <f t="shared" si="374"/>
        <v>4</v>
      </c>
      <c r="BG360" s="18">
        <f t="shared" si="399"/>
        <v>7.1862281591827486</v>
      </c>
      <c r="BH360" s="18">
        <f t="shared" si="399"/>
        <v>0.77241890813494118</v>
      </c>
      <c r="BI360" s="18">
        <f t="shared" si="399"/>
        <v>2.4036588033745816</v>
      </c>
      <c r="BJ360" s="18">
        <f t="shared" si="399"/>
        <v>0.63577479075211218</v>
      </c>
      <c r="BK360" s="18">
        <f t="shared" si="399"/>
        <v>4.6396645828791252</v>
      </c>
      <c r="BL360" s="56">
        <f t="shared" si="375"/>
        <v>4</v>
      </c>
      <c r="BN360" s="18">
        <f t="shared" si="400"/>
        <v>7.1862281591827486</v>
      </c>
      <c r="BO360" s="18">
        <f t="shared" si="400"/>
        <v>0.77241890813494118</v>
      </c>
      <c r="BP360" s="18">
        <f t="shared" si="400"/>
        <v>2.4036588033745816</v>
      </c>
      <c r="BQ360" s="18">
        <f t="shared" si="400"/>
        <v>0.63577479075211218</v>
      </c>
      <c r="BR360" s="18">
        <f t="shared" si="400"/>
        <v>4.6396645828791252</v>
      </c>
      <c r="BS360" s="56">
        <f t="shared" si="376"/>
        <v>4</v>
      </c>
      <c r="BU360" s="18">
        <f t="shared" si="401"/>
        <v>7.1862281591827486</v>
      </c>
      <c r="BV360" s="18">
        <f t="shared" si="401"/>
        <v>0.77241890813494118</v>
      </c>
      <c r="BW360" s="18">
        <f t="shared" si="401"/>
        <v>2.4036588033745816</v>
      </c>
      <c r="BX360" s="18">
        <f t="shared" si="401"/>
        <v>0.63577479075211218</v>
      </c>
      <c r="BY360" s="18">
        <f t="shared" si="401"/>
        <v>4.6396645828791252</v>
      </c>
      <c r="BZ360" s="56">
        <f t="shared" si="377"/>
        <v>4</v>
      </c>
      <c r="CB360" s="18">
        <f t="shared" si="402"/>
        <v>7.1862281591827486</v>
      </c>
      <c r="CC360" s="18">
        <f t="shared" si="402"/>
        <v>0.77241890813494118</v>
      </c>
      <c r="CD360" s="18">
        <f t="shared" si="402"/>
        <v>2.4036588033745816</v>
      </c>
      <c r="CE360" s="18">
        <f t="shared" si="402"/>
        <v>0.63577479075211218</v>
      </c>
      <c r="CF360" s="18">
        <f t="shared" si="402"/>
        <v>4.6396645828791252</v>
      </c>
      <c r="CG360" s="56">
        <f t="shared" si="378"/>
        <v>4</v>
      </c>
      <c r="CI360" s="18">
        <f t="shared" si="403"/>
        <v>7.1862281591827486</v>
      </c>
      <c r="CJ360" s="18">
        <f t="shared" si="403"/>
        <v>0.77241890813494118</v>
      </c>
      <c r="CK360" s="18">
        <f t="shared" si="403"/>
        <v>2.4036588033745816</v>
      </c>
      <c r="CL360" s="18">
        <f t="shared" si="403"/>
        <v>0.63577479075211218</v>
      </c>
      <c r="CM360" s="18">
        <f t="shared" si="403"/>
        <v>4.6396645828791252</v>
      </c>
      <c r="CN360" s="56">
        <f t="shared" si="379"/>
        <v>4</v>
      </c>
      <c r="CP360" s="18">
        <f t="shared" si="404"/>
        <v>7.1862281591827486</v>
      </c>
      <c r="CQ360" s="18">
        <f t="shared" si="404"/>
        <v>0.77241890813494118</v>
      </c>
      <c r="CR360" s="18">
        <f t="shared" si="404"/>
        <v>2.4036588033745816</v>
      </c>
      <c r="CS360" s="18">
        <f t="shared" si="404"/>
        <v>0.63577479075211218</v>
      </c>
      <c r="CT360" s="18">
        <f t="shared" si="404"/>
        <v>4.6396645828791252</v>
      </c>
      <c r="CU360" s="56">
        <f t="shared" si="380"/>
        <v>4</v>
      </c>
      <c r="CW360" s="18">
        <f t="shared" si="405"/>
        <v>7.1862281591827486</v>
      </c>
      <c r="CX360" s="18">
        <f t="shared" si="405"/>
        <v>0.77241890813494118</v>
      </c>
      <c r="CY360" s="18">
        <f t="shared" si="405"/>
        <v>2.4036588033745816</v>
      </c>
      <c r="CZ360" s="18">
        <f t="shared" si="405"/>
        <v>0.63577479075211218</v>
      </c>
      <c r="DA360" s="18">
        <f t="shared" si="405"/>
        <v>4.6396645828791252</v>
      </c>
      <c r="DB360" s="56">
        <f t="shared" si="381"/>
        <v>4</v>
      </c>
    </row>
    <row r="361" spans="1:106" x14ac:dyDescent="0.25">
      <c r="A361" s="36" t="str">
        <f>KMeans_Data!A89</f>
        <v>Kharmang</v>
      </c>
      <c r="B361" s="18">
        <f>KMeans_Data!H89</f>
        <v>-0.60513538281414725</v>
      </c>
      <c r="C361" s="18">
        <f>KMeans_Data!I89</f>
        <v>-0.67265054538827607</v>
      </c>
      <c r="D361" s="18">
        <f>KMeans_Data!J89</f>
        <v>-3.44812518432112E-2</v>
      </c>
      <c r="E361" s="56">
        <f t="shared" si="368"/>
        <v>4</v>
      </c>
      <c r="F361" s="38">
        <f t="shared" si="369"/>
        <v>0.37009383859120698</v>
      </c>
      <c r="G361" s="18">
        <f>IF(COUNTIF(Distance_Matrix!$E$11:$DQ$11,$E361)&lt;=1,0,SUMIF(Distance_Matrix!$E$11:$DQ$11,$E361,Distance_Matrix!$E$98:$DQ$98)/(COUNTIF(Distance_Matrix!$E$11:$DQ$11,$E361)-1))</f>
        <v>0.89274682507959036</v>
      </c>
      <c r="H361" s="18">
        <f>MIN(IF(1=$E361,1E+99,IF(COUNTIF(Distance_Matrix!$E$11:$DQ$11,1)=0,1E+99,SUMIF(Distance_Matrix!$E$11:$DQ$11,1,Distance_Matrix!$E$98:$DQ$98)/COUNTIF(Distance_Matrix!$E$11:$DQ$11,1))),IF(2=$E361,1E+99,IF(COUNTIF(Distance_Matrix!$E$11:$DQ$11,2)=0,1E+99,SUMIF(Distance_Matrix!$E$11:$DQ$11,2,Distance_Matrix!$E$98:$DQ$98)/COUNTIF(Distance_Matrix!$E$11:$DQ$11,2))),IF(3=$E361,1E+99,IF(COUNTIF(Distance_Matrix!$E$11:$DQ$11,3)=0,1E+99,SUMIF(Distance_Matrix!$E$11:$DQ$11,3,Distance_Matrix!$E$98:$DQ$98)/COUNTIF(Distance_Matrix!$E$11:$DQ$11,3))),IF(4=$E361,1E+99,IF(COUNTIF(Distance_Matrix!$E$11:$DQ$11,4)=0,1E+99,SUMIF(Distance_Matrix!$E$11:$DQ$11,4,Distance_Matrix!$E$98:$DQ$98)/COUNTIF(Distance_Matrix!$E$11:$DQ$11,4))),IF(5=$E361,1E+99,IF(COUNTIF(Distance_Matrix!$E$11:$DQ$11,5)=0,1E+99,SUMIF(Distance_Matrix!$E$11:$DQ$11,5,Distance_Matrix!$E$98:$DQ$98)/COUNTIF(Distance_Matrix!$E$11:$DQ$11,5))))</f>
        <v>1.2879319285165209</v>
      </c>
      <c r="I361" s="18">
        <f>IF(COUNTIF(Distance_Matrix!$E$11:$DQ$11,$E361)&lt;=1,0,(H361-G361)/MAX(G361,H361))</f>
        <v>0.30683694897766589</v>
      </c>
      <c r="X361" s="18">
        <f t="shared" si="394"/>
        <v>6.9320982715787478</v>
      </c>
      <c r="Y361" s="18">
        <f t="shared" si="394"/>
        <v>1.8463845039341165</v>
      </c>
      <c r="Z361" s="18">
        <f t="shared" si="394"/>
        <v>2.4632705018895025</v>
      </c>
      <c r="AA361" s="18">
        <f t="shared" si="394"/>
        <v>1.75371916113307</v>
      </c>
      <c r="AB361" s="18">
        <f t="shared" si="394"/>
        <v>4.8387640754866625</v>
      </c>
      <c r="AC361" s="56">
        <f t="shared" si="370"/>
        <v>4</v>
      </c>
      <c r="AE361" s="18">
        <f t="shared" si="395"/>
        <v>6.8352558789316831</v>
      </c>
      <c r="AF361" s="18">
        <f t="shared" si="395"/>
        <v>1.1027314981764171</v>
      </c>
      <c r="AG361" s="18">
        <f t="shared" si="395"/>
        <v>1.8655190044055578</v>
      </c>
      <c r="AH361" s="18">
        <f t="shared" si="395"/>
        <v>0.74719674913547662</v>
      </c>
      <c r="AI361" s="18">
        <f t="shared" si="395"/>
        <v>4.573222446299221</v>
      </c>
      <c r="AJ361" s="56">
        <f t="shared" si="371"/>
        <v>4</v>
      </c>
      <c r="AL361" s="18">
        <f t="shared" si="396"/>
        <v>6.8352558789316831</v>
      </c>
      <c r="AM361" s="18">
        <f t="shared" si="396"/>
        <v>1.1394252596587702</v>
      </c>
      <c r="AN361" s="18">
        <f t="shared" si="396"/>
        <v>1.9425994521596299</v>
      </c>
      <c r="AO361" s="18">
        <f t="shared" si="396"/>
        <v>0.65745508703316102</v>
      </c>
      <c r="AP361" s="18">
        <f t="shared" si="396"/>
        <v>4.3018569758686445</v>
      </c>
      <c r="AQ361" s="56">
        <f t="shared" si="372"/>
        <v>4</v>
      </c>
      <c r="AS361" s="18">
        <f t="shared" si="397"/>
        <v>6.8352558789316831</v>
      </c>
      <c r="AT361" s="18">
        <f t="shared" si="397"/>
        <v>1.2383559038193757</v>
      </c>
      <c r="AU361" s="18">
        <f t="shared" si="397"/>
        <v>1.9692425081748073</v>
      </c>
      <c r="AV361" s="18">
        <f t="shared" si="397"/>
        <v>0.60835338298657216</v>
      </c>
      <c r="AW361" s="18">
        <f t="shared" si="397"/>
        <v>4.3018569758686445</v>
      </c>
      <c r="AX361" s="56">
        <f t="shared" si="373"/>
        <v>4</v>
      </c>
      <c r="AZ361" s="18">
        <f t="shared" si="398"/>
        <v>6.8352558789316831</v>
      </c>
      <c r="BA361" s="18">
        <f t="shared" si="398"/>
        <v>1.2383559038193757</v>
      </c>
      <c r="BB361" s="18">
        <f t="shared" si="398"/>
        <v>1.9692425081748073</v>
      </c>
      <c r="BC361" s="18">
        <f t="shared" si="398"/>
        <v>0.60835338298657216</v>
      </c>
      <c r="BD361" s="18">
        <f t="shared" si="398"/>
        <v>4.3018569758686445</v>
      </c>
      <c r="BE361" s="56">
        <f t="shared" si="374"/>
        <v>4</v>
      </c>
      <c r="BG361" s="18">
        <f t="shared" si="399"/>
        <v>6.8352558789316831</v>
      </c>
      <c r="BH361" s="18">
        <f t="shared" si="399"/>
        <v>1.2383559038193757</v>
      </c>
      <c r="BI361" s="18">
        <f t="shared" si="399"/>
        <v>1.9692425081748073</v>
      </c>
      <c r="BJ361" s="18">
        <f t="shared" si="399"/>
        <v>0.60835338298657216</v>
      </c>
      <c r="BK361" s="18">
        <f t="shared" si="399"/>
        <v>4.3018569758686445</v>
      </c>
      <c r="BL361" s="56">
        <f t="shared" si="375"/>
        <v>4</v>
      </c>
      <c r="BN361" s="18">
        <f t="shared" si="400"/>
        <v>6.8352558789316831</v>
      </c>
      <c r="BO361" s="18">
        <f t="shared" si="400"/>
        <v>1.2383559038193757</v>
      </c>
      <c r="BP361" s="18">
        <f t="shared" si="400"/>
        <v>1.9692425081748073</v>
      </c>
      <c r="BQ361" s="18">
        <f t="shared" si="400"/>
        <v>0.60835338298657216</v>
      </c>
      <c r="BR361" s="18">
        <f t="shared" si="400"/>
        <v>4.3018569758686445</v>
      </c>
      <c r="BS361" s="56">
        <f t="shared" si="376"/>
        <v>4</v>
      </c>
      <c r="BU361" s="18">
        <f t="shared" si="401"/>
        <v>6.8352558789316831</v>
      </c>
      <c r="BV361" s="18">
        <f t="shared" si="401"/>
        <v>1.2383559038193757</v>
      </c>
      <c r="BW361" s="18">
        <f t="shared" si="401"/>
        <v>1.9692425081748073</v>
      </c>
      <c r="BX361" s="18">
        <f t="shared" si="401"/>
        <v>0.60835338298657216</v>
      </c>
      <c r="BY361" s="18">
        <f t="shared" si="401"/>
        <v>4.3018569758686445</v>
      </c>
      <c r="BZ361" s="56">
        <f t="shared" si="377"/>
        <v>4</v>
      </c>
      <c r="CB361" s="18">
        <f t="shared" si="402"/>
        <v>6.8352558789316831</v>
      </c>
      <c r="CC361" s="18">
        <f t="shared" si="402"/>
        <v>1.2383559038193757</v>
      </c>
      <c r="CD361" s="18">
        <f t="shared" si="402"/>
        <v>1.9692425081748073</v>
      </c>
      <c r="CE361" s="18">
        <f t="shared" si="402"/>
        <v>0.60835338298657216</v>
      </c>
      <c r="CF361" s="18">
        <f t="shared" si="402"/>
        <v>4.3018569758686445</v>
      </c>
      <c r="CG361" s="56">
        <f t="shared" si="378"/>
        <v>4</v>
      </c>
      <c r="CI361" s="18">
        <f t="shared" si="403"/>
        <v>6.8352558789316831</v>
      </c>
      <c r="CJ361" s="18">
        <f t="shared" si="403"/>
        <v>1.2383559038193757</v>
      </c>
      <c r="CK361" s="18">
        <f t="shared" si="403"/>
        <v>1.9692425081748073</v>
      </c>
      <c r="CL361" s="18">
        <f t="shared" si="403"/>
        <v>0.60835338298657216</v>
      </c>
      <c r="CM361" s="18">
        <f t="shared" si="403"/>
        <v>4.3018569758686445</v>
      </c>
      <c r="CN361" s="56">
        <f t="shared" si="379"/>
        <v>4</v>
      </c>
      <c r="CP361" s="18">
        <f t="shared" si="404"/>
        <v>6.8352558789316831</v>
      </c>
      <c r="CQ361" s="18">
        <f t="shared" si="404"/>
        <v>1.2383559038193757</v>
      </c>
      <c r="CR361" s="18">
        <f t="shared" si="404"/>
        <v>1.9692425081748073</v>
      </c>
      <c r="CS361" s="18">
        <f t="shared" si="404"/>
        <v>0.60835338298657216</v>
      </c>
      <c r="CT361" s="18">
        <f t="shared" si="404"/>
        <v>4.3018569758686445</v>
      </c>
      <c r="CU361" s="56">
        <f t="shared" si="380"/>
        <v>4</v>
      </c>
      <c r="CW361" s="18">
        <f t="shared" si="405"/>
        <v>6.8352558789316831</v>
      </c>
      <c r="CX361" s="18">
        <f t="shared" si="405"/>
        <v>1.2383559038193757</v>
      </c>
      <c r="CY361" s="18">
        <f t="shared" si="405"/>
        <v>1.9692425081748073</v>
      </c>
      <c r="CZ361" s="18">
        <f t="shared" si="405"/>
        <v>0.60835338298657216</v>
      </c>
      <c r="DA361" s="18">
        <f t="shared" si="405"/>
        <v>4.3018569758686445</v>
      </c>
      <c r="DB361" s="56">
        <f t="shared" si="381"/>
        <v>4</v>
      </c>
    </row>
    <row r="362" spans="1:106" x14ac:dyDescent="0.25">
      <c r="A362" s="36" t="str">
        <f>KMeans_Data!A90</f>
        <v>Attock</v>
      </c>
      <c r="B362" s="18">
        <f>KMeans_Data!H90</f>
        <v>-0.63668868079673557</v>
      </c>
      <c r="C362" s="18">
        <f>KMeans_Data!I90</f>
        <v>-0.67265054538827607</v>
      </c>
      <c r="D362" s="18">
        <f>KMeans_Data!J90</f>
        <v>-1.1456441163335547</v>
      </c>
      <c r="E362" s="56">
        <f t="shared" si="368"/>
        <v>2</v>
      </c>
      <c r="F362" s="38">
        <f t="shared" si="369"/>
        <v>0.41684071399412109</v>
      </c>
      <c r="G362" s="18">
        <f>IF(COUNTIF(Distance_Matrix!$E$11:$DQ$11,$E362)&lt;=1,0,SUMIF(Distance_Matrix!$E$11:$DQ$11,$E362,Distance_Matrix!$E$99:$DQ$99)/(COUNTIF(Distance_Matrix!$E$11:$DQ$11,$E362)-1))</f>
        <v>0.71731376254806001</v>
      </c>
      <c r="H362" s="18">
        <f>MIN(IF(1=$E362,1E+99,IF(COUNTIF(Distance_Matrix!$E$11:$DQ$11,1)=0,1E+99,SUMIF(Distance_Matrix!$E$11:$DQ$11,1,Distance_Matrix!$E$99:$DQ$99)/COUNTIF(Distance_Matrix!$E$11:$DQ$11,1))),IF(2=$E362,1E+99,IF(COUNTIF(Distance_Matrix!$E$11:$DQ$11,2)=0,1E+99,SUMIF(Distance_Matrix!$E$11:$DQ$11,2,Distance_Matrix!$E$99:$DQ$99)/COUNTIF(Distance_Matrix!$E$11:$DQ$11,2))),IF(3=$E362,1E+99,IF(COUNTIF(Distance_Matrix!$E$11:$DQ$11,3)=0,1E+99,SUMIF(Distance_Matrix!$E$11:$DQ$11,3,Distance_Matrix!$E$99:$DQ$99)/COUNTIF(Distance_Matrix!$E$11:$DQ$11,3))),IF(4=$E362,1E+99,IF(COUNTIF(Distance_Matrix!$E$11:$DQ$11,4)=0,1E+99,SUMIF(Distance_Matrix!$E$11:$DQ$11,4,Distance_Matrix!$E$99:$DQ$99)/COUNTIF(Distance_Matrix!$E$11:$DQ$11,4))),IF(5=$E362,1E+99,IF(COUNTIF(Distance_Matrix!$E$11:$DQ$11,5)=0,1E+99,SUMIF(Distance_Matrix!$E$11:$DQ$11,5,Distance_Matrix!$E$99:$DQ$99)/COUNTIF(Distance_Matrix!$E$11:$DQ$11,5))))</f>
        <v>1.124011790682784</v>
      </c>
      <c r="I362" s="18">
        <f>IF(COUNTIF(Distance_Matrix!$E$11:$DQ$11,$E362)&lt;=1,0,(H362-G362)/MAX(G362,H362))</f>
        <v>0.36182719034261568</v>
      </c>
      <c r="X362" s="18">
        <f t="shared" si="394"/>
        <v>7.5392108031360259</v>
      </c>
      <c r="Y362" s="18">
        <f t="shared" si="394"/>
        <v>1.443049301006593</v>
      </c>
      <c r="Z362" s="18">
        <f t="shared" si="394"/>
        <v>3.278929330896613</v>
      </c>
      <c r="AA362" s="18">
        <f t="shared" si="394"/>
        <v>1.3859213030549966</v>
      </c>
      <c r="AB362" s="18">
        <f t="shared" si="394"/>
        <v>5.494132987284166</v>
      </c>
      <c r="AC362" s="56">
        <f t="shared" si="370"/>
        <v>4</v>
      </c>
      <c r="AE362" s="18">
        <f t="shared" si="395"/>
        <v>7.4074196873951061</v>
      </c>
      <c r="AF362" s="18">
        <f t="shared" si="395"/>
        <v>0.64018498025709758</v>
      </c>
      <c r="AG362" s="18">
        <f t="shared" si="395"/>
        <v>2.5971903480549905</v>
      </c>
      <c r="AH362" s="18">
        <f t="shared" si="395"/>
        <v>0.87330306344670527</v>
      </c>
      <c r="AI362" s="18">
        <f t="shared" si="395"/>
        <v>5.1352340870242639</v>
      </c>
      <c r="AJ362" s="56">
        <f t="shared" si="371"/>
        <v>2</v>
      </c>
      <c r="AL362" s="18">
        <f t="shared" si="396"/>
        <v>7.4074196873951061</v>
      </c>
      <c r="AM362" s="18">
        <f t="shared" si="396"/>
        <v>0.61699879990451434</v>
      </c>
      <c r="AN362" s="18">
        <f t="shared" si="396"/>
        <v>2.6529651799169618</v>
      </c>
      <c r="AO362" s="18">
        <f t="shared" si="396"/>
        <v>0.94546997028159441</v>
      </c>
      <c r="AP362" s="18">
        <f t="shared" si="396"/>
        <v>4.8655878495097236</v>
      </c>
      <c r="AQ362" s="56">
        <f t="shared" si="372"/>
        <v>2</v>
      </c>
      <c r="AS362" s="18">
        <f t="shared" si="397"/>
        <v>7.4074196873951061</v>
      </c>
      <c r="AT362" s="18">
        <f t="shared" si="397"/>
        <v>0.64563202677231024</v>
      </c>
      <c r="AU362" s="18">
        <f t="shared" si="397"/>
        <v>2.6794438475845581</v>
      </c>
      <c r="AV362" s="18">
        <f t="shared" si="397"/>
        <v>0.93751060554103893</v>
      </c>
      <c r="AW362" s="18">
        <f t="shared" si="397"/>
        <v>4.8655878495097236</v>
      </c>
      <c r="AX362" s="56">
        <f t="shared" si="373"/>
        <v>2</v>
      </c>
      <c r="AZ362" s="18">
        <f t="shared" si="398"/>
        <v>7.4074196873951061</v>
      </c>
      <c r="BA362" s="18">
        <f t="shared" si="398"/>
        <v>0.64563202677231024</v>
      </c>
      <c r="BB362" s="18">
        <f t="shared" si="398"/>
        <v>2.6794438475845581</v>
      </c>
      <c r="BC362" s="18">
        <f t="shared" si="398"/>
        <v>0.93751060554103893</v>
      </c>
      <c r="BD362" s="18">
        <f t="shared" si="398"/>
        <v>4.8655878495097236</v>
      </c>
      <c r="BE362" s="56">
        <f t="shared" si="374"/>
        <v>2</v>
      </c>
      <c r="BG362" s="18">
        <f t="shared" si="399"/>
        <v>7.4074196873951061</v>
      </c>
      <c r="BH362" s="18">
        <f t="shared" si="399"/>
        <v>0.64563202677231024</v>
      </c>
      <c r="BI362" s="18">
        <f t="shared" si="399"/>
        <v>2.6794438475845581</v>
      </c>
      <c r="BJ362" s="18">
        <f t="shared" si="399"/>
        <v>0.93751060554103893</v>
      </c>
      <c r="BK362" s="18">
        <f t="shared" si="399"/>
        <v>4.8655878495097236</v>
      </c>
      <c r="BL362" s="56">
        <f t="shared" si="375"/>
        <v>2</v>
      </c>
      <c r="BN362" s="18">
        <f t="shared" si="400"/>
        <v>7.4074196873951061</v>
      </c>
      <c r="BO362" s="18">
        <f t="shared" si="400"/>
        <v>0.64563202677231024</v>
      </c>
      <c r="BP362" s="18">
        <f t="shared" si="400"/>
        <v>2.6794438475845581</v>
      </c>
      <c r="BQ362" s="18">
        <f t="shared" si="400"/>
        <v>0.93751060554103893</v>
      </c>
      <c r="BR362" s="18">
        <f t="shared" si="400"/>
        <v>4.8655878495097236</v>
      </c>
      <c r="BS362" s="56">
        <f t="shared" si="376"/>
        <v>2</v>
      </c>
      <c r="BU362" s="18">
        <f t="shared" si="401"/>
        <v>7.4074196873951061</v>
      </c>
      <c r="BV362" s="18">
        <f t="shared" si="401"/>
        <v>0.64563202677231024</v>
      </c>
      <c r="BW362" s="18">
        <f t="shared" si="401"/>
        <v>2.6794438475845581</v>
      </c>
      <c r="BX362" s="18">
        <f t="shared" si="401"/>
        <v>0.93751060554103893</v>
      </c>
      <c r="BY362" s="18">
        <f t="shared" si="401"/>
        <v>4.8655878495097236</v>
      </c>
      <c r="BZ362" s="56">
        <f t="shared" si="377"/>
        <v>2</v>
      </c>
      <c r="CB362" s="18">
        <f t="shared" si="402"/>
        <v>7.4074196873951061</v>
      </c>
      <c r="CC362" s="18">
        <f t="shared" si="402"/>
        <v>0.64563202677231024</v>
      </c>
      <c r="CD362" s="18">
        <f t="shared" si="402"/>
        <v>2.6794438475845581</v>
      </c>
      <c r="CE362" s="18">
        <f t="shared" si="402"/>
        <v>0.93751060554103893</v>
      </c>
      <c r="CF362" s="18">
        <f t="shared" si="402"/>
        <v>4.8655878495097236</v>
      </c>
      <c r="CG362" s="56">
        <f t="shared" si="378"/>
        <v>2</v>
      </c>
      <c r="CI362" s="18">
        <f t="shared" si="403"/>
        <v>7.4074196873951061</v>
      </c>
      <c r="CJ362" s="18">
        <f t="shared" si="403"/>
        <v>0.64563202677231024</v>
      </c>
      <c r="CK362" s="18">
        <f t="shared" si="403"/>
        <v>2.6794438475845581</v>
      </c>
      <c r="CL362" s="18">
        <f t="shared" si="403"/>
        <v>0.93751060554103893</v>
      </c>
      <c r="CM362" s="18">
        <f t="shared" si="403"/>
        <v>4.8655878495097236</v>
      </c>
      <c r="CN362" s="56">
        <f t="shared" si="379"/>
        <v>2</v>
      </c>
      <c r="CP362" s="18">
        <f t="shared" si="404"/>
        <v>7.4074196873951061</v>
      </c>
      <c r="CQ362" s="18">
        <f t="shared" si="404"/>
        <v>0.64563202677231024</v>
      </c>
      <c r="CR362" s="18">
        <f t="shared" si="404"/>
        <v>2.6794438475845581</v>
      </c>
      <c r="CS362" s="18">
        <f t="shared" si="404"/>
        <v>0.93751060554103893</v>
      </c>
      <c r="CT362" s="18">
        <f t="shared" si="404"/>
        <v>4.8655878495097236</v>
      </c>
      <c r="CU362" s="56">
        <f t="shared" si="380"/>
        <v>2</v>
      </c>
      <c r="CW362" s="18">
        <f t="shared" si="405"/>
        <v>7.4074196873951061</v>
      </c>
      <c r="CX362" s="18">
        <f t="shared" si="405"/>
        <v>0.64563202677231024</v>
      </c>
      <c r="CY362" s="18">
        <f t="shared" si="405"/>
        <v>2.6794438475845581</v>
      </c>
      <c r="CZ362" s="18">
        <f t="shared" si="405"/>
        <v>0.93751060554103893</v>
      </c>
      <c r="DA362" s="18">
        <f t="shared" si="405"/>
        <v>4.8655878495097236</v>
      </c>
      <c r="DB362" s="56">
        <f t="shared" si="381"/>
        <v>2</v>
      </c>
    </row>
    <row r="363" spans="1:106" x14ac:dyDescent="0.25">
      <c r="A363" s="36" t="str">
        <f>KMeans_Data!A91</f>
        <v>Chitral Upper</v>
      </c>
      <c r="B363" s="18">
        <f>KMeans_Data!H91</f>
        <v>-0.63668868079673557</v>
      </c>
      <c r="C363" s="18">
        <f>KMeans_Data!I91</f>
        <v>-0.67265054538827607</v>
      </c>
      <c r="D363" s="18">
        <f>KMeans_Data!J91</f>
        <v>-0.31535907140676028</v>
      </c>
      <c r="E363" s="56">
        <f t="shared" si="368"/>
        <v>4</v>
      </c>
      <c r="F363" s="38">
        <f t="shared" si="369"/>
        <v>0.28871782241721128</v>
      </c>
      <c r="G363" s="18">
        <f>IF(COUNTIF(Distance_Matrix!$E$11:$DQ$11,$E363)&lt;=1,0,SUMIF(Distance_Matrix!$E$11:$DQ$11,$E363,Distance_Matrix!$E$100:$DQ$100)/(COUNTIF(Distance_Matrix!$E$11:$DQ$11,$E363)-1))</f>
        <v>0.85912353258998575</v>
      </c>
      <c r="H363" s="18">
        <f>MIN(IF(1=$E363,1E+99,IF(COUNTIF(Distance_Matrix!$E$11:$DQ$11,1)=0,1E+99,SUMIF(Distance_Matrix!$E$11:$DQ$11,1,Distance_Matrix!$E$100:$DQ$100)/COUNTIF(Distance_Matrix!$E$11:$DQ$11,1))),IF(2=$E363,1E+99,IF(COUNTIF(Distance_Matrix!$E$11:$DQ$11,2)=0,1E+99,SUMIF(Distance_Matrix!$E$11:$DQ$11,2,Distance_Matrix!$E$100:$DQ$100)/COUNTIF(Distance_Matrix!$E$11:$DQ$11,2))),IF(3=$E363,1E+99,IF(COUNTIF(Distance_Matrix!$E$11:$DQ$11,3)=0,1E+99,SUMIF(Distance_Matrix!$E$11:$DQ$11,3,Distance_Matrix!$E$100:$DQ$100)/COUNTIF(Distance_Matrix!$E$11:$DQ$11,3))),IF(4=$E363,1E+99,IF(COUNTIF(Distance_Matrix!$E$11:$DQ$11,4)=0,1E+99,SUMIF(Distance_Matrix!$E$11:$DQ$11,4,Distance_Matrix!$E$100:$DQ$100)/COUNTIF(Distance_Matrix!$E$11:$DQ$11,4))),IF(5=$E363,1E+99,IF(COUNTIF(Distance_Matrix!$E$11:$DQ$11,5)=0,1E+99,SUMIF(Distance_Matrix!$E$11:$DQ$11,5,Distance_Matrix!$E$100:$DQ$100)/COUNTIF(Distance_Matrix!$E$11:$DQ$11,5))))</f>
        <v>1.0488280032281505</v>
      </c>
      <c r="I363" s="18">
        <f>IF(COUNTIF(Distance_Matrix!$E$11:$DQ$11,$E363)&lt;=1,0,(H363-G363)/MAX(G363,H363))</f>
        <v>0.18087281237179031</v>
      </c>
      <c r="X363" s="18">
        <f t="shared" si="394"/>
        <v>7.0869805101477814</v>
      </c>
      <c r="Y363" s="18">
        <f t="shared" si="394"/>
        <v>1.6648617182711321</v>
      </c>
      <c r="Z363" s="18">
        <f t="shared" si="394"/>
        <v>2.6639479151350605</v>
      </c>
      <c r="AA363" s="18">
        <f t="shared" si="394"/>
        <v>1.6155962101003916</v>
      </c>
      <c r="AB363" s="18">
        <f t="shared" si="394"/>
        <v>5.0032974614587671</v>
      </c>
      <c r="AC363" s="56">
        <f t="shared" si="370"/>
        <v>4</v>
      </c>
      <c r="AE363" s="18">
        <f t="shared" si="395"/>
        <v>6.9807269472774092</v>
      </c>
      <c r="AF363" s="18">
        <f t="shared" si="395"/>
        <v>0.86590000279588986</v>
      </c>
      <c r="AG363" s="18">
        <f t="shared" si="395"/>
        <v>2.0316122320406658</v>
      </c>
      <c r="AH363" s="18">
        <f t="shared" si="395"/>
        <v>0.63489693882463705</v>
      </c>
      <c r="AI363" s="18">
        <f t="shared" si="395"/>
        <v>4.7104548473103289</v>
      </c>
      <c r="AJ363" s="56">
        <f t="shared" si="371"/>
        <v>4</v>
      </c>
      <c r="AL363" s="18">
        <f t="shared" si="396"/>
        <v>6.9807269472774092</v>
      </c>
      <c r="AM363" s="18">
        <f t="shared" si="396"/>
        <v>0.89682928869166134</v>
      </c>
      <c r="AN363" s="18">
        <f t="shared" si="396"/>
        <v>2.1031332346218736</v>
      </c>
      <c r="AO363" s="18">
        <f t="shared" si="396"/>
        <v>0.5841138807956725</v>
      </c>
      <c r="AP363" s="18">
        <f t="shared" si="396"/>
        <v>4.4382433120153291</v>
      </c>
      <c r="AQ363" s="56">
        <f t="shared" si="372"/>
        <v>4</v>
      </c>
      <c r="AS363" s="18">
        <f t="shared" si="397"/>
        <v>6.9807269472774092</v>
      </c>
      <c r="AT363" s="18">
        <f t="shared" si="397"/>
        <v>0.99350866847597608</v>
      </c>
      <c r="AU363" s="18">
        <f t="shared" si="397"/>
        <v>2.1301762606637697</v>
      </c>
      <c r="AV363" s="18">
        <f t="shared" si="397"/>
        <v>0.53732468993822657</v>
      </c>
      <c r="AW363" s="18">
        <f t="shared" si="397"/>
        <v>4.4382433120153291</v>
      </c>
      <c r="AX363" s="56">
        <f t="shared" si="373"/>
        <v>4</v>
      </c>
      <c r="AZ363" s="18">
        <f t="shared" si="398"/>
        <v>6.9807269472774092</v>
      </c>
      <c r="BA363" s="18">
        <f t="shared" si="398"/>
        <v>0.99350866847597608</v>
      </c>
      <c r="BB363" s="18">
        <f t="shared" si="398"/>
        <v>2.1301762606637697</v>
      </c>
      <c r="BC363" s="18">
        <f t="shared" si="398"/>
        <v>0.53732468993822657</v>
      </c>
      <c r="BD363" s="18">
        <f t="shared" si="398"/>
        <v>4.4382433120153291</v>
      </c>
      <c r="BE363" s="56">
        <f t="shared" si="374"/>
        <v>4</v>
      </c>
      <c r="BG363" s="18">
        <f t="shared" si="399"/>
        <v>6.9807269472774092</v>
      </c>
      <c r="BH363" s="18">
        <f t="shared" si="399"/>
        <v>0.99350866847597608</v>
      </c>
      <c r="BI363" s="18">
        <f t="shared" si="399"/>
        <v>2.1301762606637697</v>
      </c>
      <c r="BJ363" s="18">
        <f t="shared" si="399"/>
        <v>0.53732468993822657</v>
      </c>
      <c r="BK363" s="18">
        <f t="shared" si="399"/>
        <v>4.4382433120153291</v>
      </c>
      <c r="BL363" s="56">
        <f t="shared" si="375"/>
        <v>4</v>
      </c>
      <c r="BN363" s="18">
        <f t="shared" si="400"/>
        <v>6.9807269472774092</v>
      </c>
      <c r="BO363" s="18">
        <f t="shared" si="400"/>
        <v>0.99350866847597608</v>
      </c>
      <c r="BP363" s="18">
        <f t="shared" si="400"/>
        <v>2.1301762606637697</v>
      </c>
      <c r="BQ363" s="18">
        <f t="shared" si="400"/>
        <v>0.53732468993822657</v>
      </c>
      <c r="BR363" s="18">
        <f t="shared" si="400"/>
        <v>4.4382433120153291</v>
      </c>
      <c r="BS363" s="56">
        <f t="shared" si="376"/>
        <v>4</v>
      </c>
      <c r="BU363" s="18">
        <f t="shared" si="401"/>
        <v>6.9807269472774092</v>
      </c>
      <c r="BV363" s="18">
        <f t="shared" si="401"/>
        <v>0.99350866847597608</v>
      </c>
      <c r="BW363" s="18">
        <f t="shared" si="401"/>
        <v>2.1301762606637697</v>
      </c>
      <c r="BX363" s="18">
        <f t="shared" si="401"/>
        <v>0.53732468993822657</v>
      </c>
      <c r="BY363" s="18">
        <f t="shared" si="401"/>
        <v>4.4382433120153291</v>
      </c>
      <c r="BZ363" s="56">
        <f t="shared" si="377"/>
        <v>4</v>
      </c>
      <c r="CB363" s="18">
        <f t="shared" si="402"/>
        <v>6.9807269472774092</v>
      </c>
      <c r="CC363" s="18">
        <f t="shared" si="402"/>
        <v>0.99350866847597608</v>
      </c>
      <c r="CD363" s="18">
        <f t="shared" si="402"/>
        <v>2.1301762606637697</v>
      </c>
      <c r="CE363" s="18">
        <f t="shared" si="402"/>
        <v>0.53732468993822657</v>
      </c>
      <c r="CF363" s="18">
        <f t="shared" si="402"/>
        <v>4.4382433120153291</v>
      </c>
      <c r="CG363" s="56">
        <f t="shared" si="378"/>
        <v>4</v>
      </c>
      <c r="CI363" s="18">
        <f t="shared" si="403"/>
        <v>6.9807269472774092</v>
      </c>
      <c r="CJ363" s="18">
        <f t="shared" si="403"/>
        <v>0.99350866847597608</v>
      </c>
      <c r="CK363" s="18">
        <f t="shared" si="403"/>
        <v>2.1301762606637697</v>
      </c>
      <c r="CL363" s="18">
        <f t="shared" si="403"/>
        <v>0.53732468993822657</v>
      </c>
      <c r="CM363" s="18">
        <f t="shared" si="403"/>
        <v>4.4382433120153291</v>
      </c>
      <c r="CN363" s="56">
        <f t="shared" si="379"/>
        <v>4</v>
      </c>
      <c r="CP363" s="18">
        <f t="shared" si="404"/>
        <v>6.9807269472774092</v>
      </c>
      <c r="CQ363" s="18">
        <f t="shared" si="404"/>
        <v>0.99350866847597608</v>
      </c>
      <c r="CR363" s="18">
        <f t="shared" si="404"/>
        <v>2.1301762606637697</v>
      </c>
      <c r="CS363" s="18">
        <f t="shared" si="404"/>
        <v>0.53732468993822657</v>
      </c>
      <c r="CT363" s="18">
        <f t="shared" si="404"/>
        <v>4.4382433120153291</v>
      </c>
      <c r="CU363" s="56">
        <f t="shared" si="380"/>
        <v>4</v>
      </c>
      <c r="CW363" s="18">
        <f t="shared" si="405"/>
        <v>6.9807269472774092</v>
      </c>
      <c r="CX363" s="18">
        <f t="shared" si="405"/>
        <v>0.99350866847597608</v>
      </c>
      <c r="CY363" s="18">
        <f t="shared" si="405"/>
        <v>2.1301762606637697</v>
      </c>
      <c r="CZ363" s="18">
        <f t="shared" si="405"/>
        <v>0.53732468993822657</v>
      </c>
      <c r="DA363" s="18">
        <f t="shared" si="405"/>
        <v>4.4382433120153291</v>
      </c>
      <c r="DB363" s="56">
        <f t="shared" si="381"/>
        <v>4</v>
      </c>
    </row>
    <row r="364" spans="1:106" x14ac:dyDescent="0.25">
      <c r="A364" s="36" t="str">
        <f>KMeans_Data!A92</f>
        <v>Matiari</v>
      </c>
      <c r="B364" s="18">
        <f>KMeans_Data!H92</f>
        <v>-0.70618776706351938</v>
      </c>
      <c r="C364" s="18">
        <f>KMeans_Data!I92</f>
        <v>-0.14698313392952958</v>
      </c>
      <c r="D364" s="18">
        <f>KMeans_Data!J92</f>
        <v>0.62851349158581915</v>
      </c>
      <c r="E364" s="56">
        <f t="shared" si="368"/>
        <v>4</v>
      </c>
      <c r="F364" s="38">
        <f t="shared" si="369"/>
        <v>1.4711003908956002</v>
      </c>
      <c r="G364" s="18">
        <f>IF(COUNTIF(Distance_Matrix!$E$11:$DQ$11,$E364)&lt;=1,0,SUMIF(Distance_Matrix!$E$11:$DQ$11,$E364,Distance_Matrix!$E$101:$DQ$101)/(COUNTIF(Distance_Matrix!$E$11:$DQ$11,$E364)-1))</f>
        <v>1.3606318097325607</v>
      </c>
      <c r="H364" s="18">
        <f>MIN(IF(1=$E364,1E+99,IF(COUNTIF(Distance_Matrix!$E$11:$DQ$11,1)=0,1E+99,SUMIF(Distance_Matrix!$E$11:$DQ$11,1,Distance_Matrix!$E$101:$DQ$101)/COUNTIF(Distance_Matrix!$E$11:$DQ$11,1))),IF(2=$E364,1E+99,IF(COUNTIF(Distance_Matrix!$E$11:$DQ$11,2)=0,1E+99,SUMIF(Distance_Matrix!$E$11:$DQ$11,2,Distance_Matrix!$E$101:$DQ$101)/COUNTIF(Distance_Matrix!$E$11:$DQ$11,2))),IF(3=$E364,1E+99,IF(COUNTIF(Distance_Matrix!$E$11:$DQ$11,3)=0,1E+99,SUMIF(Distance_Matrix!$E$11:$DQ$11,3,Distance_Matrix!$E$101:$DQ$101)/COUNTIF(Distance_Matrix!$E$11:$DQ$11,3))),IF(4=$E364,1E+99,IF(COUNTIF(Distance_Matrix!$E$11:$DQ$11,4)=0,1E+99,SUMIF(Distance_Matrix!$E$11:$DQ$11,4,Distance_Matrix!$E$101:$DQ$101)/COUNTIF(Distance_Matrix!$E$11:$DQ$11,4))),IF(5=$E364,1E+99,IF(COUNTIF(Distance_Matrix!$E$11:$DQ$11,5)=0,1E+99,SUMIF(Distance_Matrix!$E$11:$DQ$11,5,Distance_Matrix!$E$101:$DQ$101)/COUNTIF(Distance_Matrix!$E$11:$DQ$11,5))))</f>
        <v>1.6537662150175743</v>
      </c>
      <c r="I364" s="18">
        <f>IF(COUNTIF(Distance_Matrix!$E$11:$DQ$11,$E364)&lt;=1,0,(H364-G364)/MAX(G364,H364))</f>
        <v>0.17725262653397383</v>
      </c>
      <c r="X364" s="18">
        <f t="shared" si="394"/>
        <v>6.3444455343865602</v>
      </c>
      <c r="Y364" s="18">
        <f t="shared" si="394"/>
        <v>2.3044742649072281</v>
      </c>
      <c r="Z364" s="18">
        <f t="shared" si="394"/>
        <v>2.0062365515196272</v>
      </c>
      <c r="AA364" s="18">
        <f t="shared" si="394"/>
        <v>2.230507321178711</v>
      </c>
      <c r="AB364" s="18">
        <f t="shared" si="394"/>
        <v>4.2929465690047417</v>
      </c>
      <c r="AC364" s="56">
        <f t="shared" si="370"/>
        <v>3</v>
      </c>
      <c r="AE364" s="18">
        <f t="shared" si="395"/>
        <v>6.2636751934553176</v>
      </c>
      <c r="AF364" s="18">
        <f t="shared" si="395"/>
        <v>1.7286506496035972</v>
      </c>
      <c r="AG364" s="18">
        <f t="shared" si="395"/>
        <v>1.4278583237643598</v>
      </c>
      <c r="AH364" s="18">
        <f t="shared" si="395"/>
        <v>1.3553576746370313</v>
      </c>
      <c r="AI364" s="18">
        <f t="shared" si="395"/>
        <v>4.048902682091275</v>
      </c>
      <c r="AJ364" s="56">
        <f t="shared" si="371"/>
        <v>4</v>
      </c>
      <c r="AL364" s="18">
        <f t="shared" si="396"/>
        <v>6.2636751934553176</v>
      </c>
      <c r="AM364" s="18">
        <f t="shared" si="396"/>
        <v>1.7717457620032167</v>
      </c>
      <c r="AN364" s="18">
        <f t="shared" si="396"/>
        <v>1.5057540450327307</v>
      </c>
      <c r="AO364" s="18">
        <f t="shared" si="396"/>
        <v>1.2557363640310344</v>
      </c>
      <c r="AP364" s="18">
        <f t="shared" si="396"/>
        <v>3.7779255585770524</v>
      </c>
      <c r="AQ364" s="56">
        <f t="shared" si="372"/>
        <v>4</v>
      </c>
      <c r="AS364" s="18">
        <f t="shared" si="397"/>
        <v>6.2636751934553176</v>
      </c>
      <c r="AT364" s="18">
        <f t="shared" si="397"/>
        <v>1.8654164157688027</v>
      </c>
      <c r="AU364" s="18">
        <f t="shared" si="397"/>
        <v>1.5303688069294461</v>
      </c>
      <c r="AV364" s="18">
        <f t="shared" si="397"/>
        <v>1.2128892739634562</v>
      </c>
      <c r="AW364" s="18">
        <f t="shared" si="397"/>
        <v>3.7779255585770524</v>
      </c>
      <c r="AX364" s="56">
        <f t="shared" si="373"/>
        <v>4</v>
      </c>
      <c r="AZ364" s="18">
        <f t="shared" si="398"/>
        <v>6.2636751934553176</v>
      </c>
      <c r="BA364" s="18">
        <f t="shared" si="398"/>
        <v>1.8654164157688027</v>
      </c>
      <c r="BB364" s="18">
        <f t="shared" si="398"/>
        <v>1.5303688069294461</v>
      </c>
      <c r="BC364" s="18">
        <f t="shared" si="398"/>
        <v>1.2128892739634562</v>
      </c>
      <c r="BD364" s="18">
        <f t="shared" si="398"/>
        <v>3.7779255585770524</v>
      </c>
      <c r="BE364" s="56">
        <f t="shared" si="374"/>
        <v>4</v>
      </c>
      <c r="BG364" s="18">
        <f t="shared" si="399"/>
        <v>6.2636751934553176</v>
      </c>
      <c r="BH364" s="18">
        <f t="shared" si="399"/>
        <v>1.8654164157688027</v>
      </c>
      <c r="BI364" s="18">
        <f t="shared" si="399"/>
        <v>1.5303688069294461</v>
      </c>
      <c r="BJ364" s="18">
        <f t="shared" si="399"/>
        <v>1.2128892739634562</v>
      </c>
      <c r="BK364" s="18">
        <f t="shared" si="399"/>
        <v>3.7779255585770524</v>
      </c>
      <c r="BL364" s="56">
        <f t="shared" si="375"/>
        <v>4</v>
      </c>
      <c r="BN364" s="18">
        <f t="shared" si="400"/>
        <v>6.2636751934553176</v>
      </c>
      <c r="BO364" s="18">
        <f t="shared" si="400"/>
        <v>1.8654164157688027</v>
      </c>
      <c r="BP364" s="18">
        <f t="shared" si="400"/>
        <v>1.5303688069294461</v>
      </c>
      <c r="BQ364" s="18">
        <f t="shared" si="400"/>
        <v>1.2128892739634562</v>
      </c>
      <c r="BR364" s="18">
        <f t="shared" si="400"/>
        <v>3.7779255585770524</v>
      </c>
      <c r="BS364" s="56">
        <f t="shared" si="376"/>
        <v>4</v>
      </c>
      <c r="BU364" s="18">
        <f t="shared" si="401"/>
        <v>6.2636751934553176</v>
      </c>
      <c r="BV364" s="18">
        <f t="shared" si="401"/>
        <v>1.8654164157688027</v>
      </c>
      <c r="BW364" s="18">
        <f t="shared" si="401"/>
        <v>1.5303688069294461</v>
      </c>
      <c r="BX364" s="18">
        <f t="shared" si="401"/>
        <v>1.2128892739634562</v>
      </c>
      <c r="BY364" s="18">
        <f t="shared" si="401"/>
        <v>3.7779255585770524</v>
      </c>
      <c r="BZ364" s="56">
        <f t="shared" si="377"/>
        <v>4</v>
      </c>
      <c r="CB364" s="18">
        <f t="shared" si="402"/>
        <v>6.2636751934553176</v>
      </c>
      <c r="CC364" s="18">
        <f t="shared" si="402"/>
        <v>1.8654164157688027</v>
      </c>
      <c r="CD364" s="18">
        <f t="shared" si="402"/>
        <v>1.5303688069294461</v>
      </c>
      <c r="CE364" s="18">
        <f t="shared" si="402"/>
        <v>1.2128892739634562</v>
      </c>
      <c r="CF364" s="18">
        <f t="shared" si="402"/>
        <v>3.7779255585770524</v>
      </c>
      <c r="CG364" s="56">
        <f t="shared" si="378"/>
        <v>4</v>
      </c>
      <c r="CI364" s="18">
        <f t="shared" si="403"/>
        <v>6.2636751934553176</v>
      </c>
      <c r="CJ364" s="18">
        <f t="shared" si="403"/>
        <v>1.8654164157688027</v>
      </c>
      <c r="CK364" s="18">
        <f t="shared" si="403"/>
        <v>1.5303688069294461</v>
      </c>
      <c r="CL364" s="18">
        <f t="shared" si="403"/>
        <v>1.2128892739634562</v>
      </c>
      <c r="CM364" s="18">
        <f t="shared" si="403"/>
        <v>3.7779255585770524</v>
      </c>
      <c r="CN364" s="56">
        <f t="shared" si="379"/>
        <v>4</v>
      </c>
      <c r="CP364" s="18">
        <f t="shared" si="404"/>
        <v>6.2636751934553176</v>
      </c>
      <c r="CQ364" s="18">
        <f t="shared" si="404"/>
        <v>1.8654164157688027</v>
      </c>
      <c r="CR364" s="18">
        <f t="shared" si="404"/>
        <v>1.5303688069294461</v>
      </c>
      <c r="CS364" s="18">
        <f t="shared" si="404"/>
        <v>1.2128892739634562</v>
      </c>
      <c r="CT364" s="18">
        <f t="shared" si="404"/>
        <v>3.7779255585770524</v>
      </c>
      <c r="CU364" s="56">
        <f t="shared" si="380"/>
        <v>4</v>
      </c>
      <c r="CW364" s="18">
        <f t="shared" si="405"/>
        <v>6.2636751934553176</v>
      </c>
      <c r="CX364" s="18">
        <f t="shared" si="405"/>
        <v>1.8654164157688027</v>
      </c>
      <c r="CY364" s="18">
        <f t="shared" si="405"/>
        <v>1.5303688069294461</v>
      </c>
      <c r="CZ364" s="18">
        <f t="shared" si="405"/>
        <v>1.2128892739634562</v>
      </c>
      <c r="DA364" s="18">
        <f t="shared" si="405"/>
        <v>3.7779255585770524</v>
      </c>
      <c r="DB364" s="56">
        <f t="shared" si="381"/>
        <v>4</v>
      </c>
    </row>
    <row r="365" spans="1:106" x14ac:dyDescent="0.25">
      <c r="A365" s="36" t="str">
        <f>KMeans_Data!A93</f>
        <v>Lakki Marwat</v>
      </c>
      <c r="B365" s="18">
        <f>KMeans_Data!H93</f>
        <v>-0.74475874463319425</v>
      </c>
      <c r="C365" s="18">
        <f>KMeans_Data!I93</f>
        <v>-0.14698313392952958</v>
      </c>
      <c r="D365" s="18">
        <f>KMeans_Data!J93</f>
        <v>-0.1820498150291911</v>
      </c>
      <c r="E365" s="56">
        <f t="shared" si="368"/>
        <v>4</v>
      </c>
      <c r="F365" s="38">
        <f t="shared" si="369"/>
        <v>0.5472044517286383</v>
      </c>
      <c r="G365" s="18">
        <f>IF(COUNTIF(Distance_Matrix!$E$11:$DQ$11,$E365)&lt;=1,0,SUMIF(Distance_Matrix!$E$11:$DQ$11,$E365,Distance_Matrix!$E$102:$DQ$102)/(COUNTIF(Distance_Matrix!$E$11:$DQ$11,$E365)-1))</f>
        <v>1.0170387019744631</v>
      </c>
      <c r="H365" s="18">
        <f>MIN(IF(1=$E365,1E+99,IF(COUNTIF(Distance_Matrix!$E$11:$DQ$11,1)=0,1E+99,SUMIF(Distance_Matrix!$E$11:$DQ$11,1,Distance_Matrix!$E$102:$DQ$102)/COUNTIF(Distance_Matrix!$E$11:$DQ$11,1))),IF(2=$E365,1E+99,IF(COUNTIF(Distance_Matrix!$E$11:$DQ$11,2)=0,1E+99,SUMIF(Distance_Matrix!$E$11:$DQ$11,2,Distance_Matrix!$E$102:$DQ$102)/COUNTIF(Distance_Matrix!$E$11:$DQ$11,2))),IF(3=$E365,1E+99,IF(COUNTIF(Distance_Matrix!$E$11:$DQ$11,3)=0,1E+99,SUMIF(Distance_Matrix!$E$11:$DQ$11,3,Distance_Matrix!$E$102:$DQ$102)/COUNTIF(Distance_Matrix!$E$11:$DQ$11,3))),IF(4=$E365,1E+99,IF(COUNTIF(Distance_Matrix!$E$11:$DQ$11,4)=0,1E+99,SUMIF(Distance_Matrix!$E$11:$DQ$11,4,Distance_Matrix!$E$102:$DQ$102)/COUNTIF(Distance_Matrix!$E$11:$DQ$11,4))),IF(5=$E365,1E+99,IF(COUNTIF(Distance_Matrix!$E$11:$DQ$11,5)=0,1E+99,SUMIF(Distance_Matrix!$E$11:$DQ$11,5,Distance_Matrix!$E$102:$DQ$102)/COUNTIF(Distance_Matrix!$E$11:$DQ$11,5))))</f>
        <v>1.2143430213632402</v>
      </c>
      <c r="I365" s="18">
        <f>IF(COUNTIF(Distance_Matrix!$E$11:$DQ$11,$E365)&lt;=1,0,(H365-G365)/MAX(G365,H365))</f>
        <v>0.16247824207634531</v>
      </c>
      <c r="X365" s="18">
        <f t="shared" si="394"/>
        <v>6.7432716431257811</v>
      </c>
      <c r="Y365" s="18">
        <f t="shared" si="394"/>
        <v>1.7282967825727553</v>
      </c>
      <c r="Z365" s="18">
        <f t="shared" si="394"/>
        <v>2.4865230223264101</v>
      </c>
      <c r="AA365" s="18">
        <f t="shared" si="394"/>
        <v>1.6916898584203452</v>
      </c>
      <c r="AB365" s="18">
        <f t="shared" si="394"/>
        <v>4.7065657284103448</v>
      </c>
      <c r="AC365" s="56">
        <f t="shared" si="370"/>
        <v>4</v>
      </c>
      <c r="AE365" s="18">
        <f t="shared" si="395"/>
        <v>6.6323912864965102</v>
      </c>
      <c r="AF365" s="18">
        <f t="shared" si="395"/>
        <v>1.0346349927776675</v>
      </c>
      <c r="AG365" s="18">
        <f t="shared" si="395"/>
        <v>1.7738806841964101</v>
      </c>
      <c r="AH365" s="18">
        <f t="shared" si="395"/>
        <v>0.83250049627490275</v>
      </c>
      <c r="AI365" s="18">
        <f t="shared" si="395"/>
        <v>4.3758276126591165</v>
      </c>
      <c r="AJ365" s="56">
        <f t="shared" si="371"/>
        <v>4</v>
      </c>
      <c r="AL365" s="18">
        <f t="shared" si="396"/>
        <v>6.6323912864965102</v>
      </c>
      <c r="AM365" s="18">
        <f t="shared" si="396"/>
        <v>1.0678537555717285</v>
      </c>
      <c r="AN365" s="18">
        <f t="shared" si="396"/>
        <v>1.837448326636586</v>
      </c>
      <c r="AO365" s="18">
        <f t="shared" si="396"/>
        <v>0.7874322201278986</v>
      </c>
      <c r="AP365" s="18">
        <f t="shared" si="396"/>
        <v>4.1000803804526402</v>
      </c>
      <c r="AQ365" s="56">
        <f t="shared" si="372"/>
        <v>4</v>
      </c>
      <c r="AS365" s="18">
        <f t="shared" si="397"/>
        <v>6.6323912864965102</v>
      </c>
      <c r="AT365" s="18">
        <f t="shared" si="397"/>
        <v>1.1551451087712361</v>
      </c>
      <c r="AU365" s="18">
        <f t="shared" si="397"/>
        <v>1.8650795027196647</v>
      </c>
      <c r="AV365" s="18">
        <f t="shared" si="397"/>
        <v>0.73973268937409975</v>
      </c>
      <c r="AW365" s="18">
        <f t="shared" si="397"/>
        <v>4.1000803804526402</v>
      </c>
      <c r="AX365" s="56">
        <f t="shared" si="373"/>
        <v>4</v>
      </c>
      <c r="AZ365" s="18">
        <f t="shared" si="398"/>
        <v>6.6323912864965102</v>
      </c>
      <c r="BA365" s="18">
        <f t="shared" si="398"/>
        <v>1.1551451087712361</v>
      </c>
      <c r="BB365" s="18">
        <f t="shared" si="398"/>
        <v>1.8650795027196647</v>
      </c>
      <c r="BC365" s="18">
        <f t="shared" si="398"/>
        <v>0.73973268937409975</v>
      </c>
      <c r="BD365" s="18">
        <f t="shared" si="398"/>
        <v>4.1000803804526402</v>
      </c>
      <c r="BE365" s="56">
        <f t="shared" si="374"/>
        <v>4</v>
      </c>
      <c r="BG365" s="18">
        <f t="shared" si="399"/>
        <v>6.6323912864965102</v>
      </c>
      <c r="BH365" s="18">
        <f t="shared" si="399"/>
        <v>1.1551451087712361</v>
      </c>
      <c r="BI365" s="18">
        <f t="shared" si="399"/>
        <v>1.8650795027196647</v>
      </c>
      <c r="BJ365" s="18">
        <f t="shared" si="399"/>
        <v>0.73973268937409975</v>
      </c>
      <c r="BK365" s="18">
        <f t="shared" si="399"/>
        <v>4.1000803804526402</v>
      </c>
      <c r="BL365" s="56">
        <f t="shared" si="375"/>
        <v>4</v>
      </c>
      <c r="BN365" s="18">
        <f t="shared" si="400"/>
        <v>6.6323912864965102</v>
      </c>
      <c r="BO365" s="18">
        <f t="shared" si="400"/>
        <v>1.1551451087712361</v>
      </c>
      <c r="BP365" s="18">
        <f t="shared" si="400"/>
        <v>1.8650795027196647</v>
      </c>
      <c r="BQ365" s="18">
        <f t="shared" si="400"/>
        <v>0.73973268937409975</v>
      </c>
      <c r="BR365" s="18">
        <f t="shared" si="400"/>
        <v>4.1000803804526402</v>
      </c>
      <c r="BS365" s="56">
        <f t="shared" si="376"/>
        <v>4</v>
      </c>
      <c r="BU365" s="18">
        <f t="shared" si="401"/>
        <v>6.6323912864965102</v>
      </c>
      <c r="BV365" s="18">
        <f t="shared" si="401"/>
        <v>1.1551451087712361</v>
      </c>
      <c r="BW365" s="18">
        <f t="shared" si="401"/>
        <v>1.8650795027196647</v>
      </c>
      <c r="BX365" s="18">
        <f t="shared" si="401"/>
        <v>0.73973268937409975</v>
      </c>
      <c r="BY365" s="18">
        <f t="shared" si="401"/>
        <v>4.1000803804526402</v>
      </c>
      <c r="BZ365" s="56">
        <f t="shared" si="377"/>
        <v>4</v>
      </c>
      <c r="CB365" s="18">
        <f t="shared" si="402"/>
        <v>6.6323912864965102</v>
      </c>
      <c r="CC365" s="18">
        <f t="shared" si="402"/>
        <v>1.1551451087712361</v>
      </c>
      <c r="CD365" s="18">
        <f t="shared" si="402"/>
        <v>1.8650795027196647</v>
      </c>
      <c r="CE365" s="18">
        <f t="shared" si="402"/>
        <v>0.73973268937409975</v>
      </c>
      <c r="CF365" s="18">
        <f t="shared" si="402"/>
        <v>4.1000803804526402</v>
      </c>
      <c r="CG365" s="56">
        <f t="shared" si="378"/>
        <v>4</v>
      </c>
      <c r="CI365" s="18">
        <f t="shared" si="403"/>
        <v>6.6323912864965102</v>
      </c>
      <c r="CJ365" s="18">
        <f t="shared" si="403"/>
        <v>1.1551451087712361</v>
      </c>
      <c r="CK365" s="18">
        <f t="shared" si="403"/>
        <v>1.8650795027196647</v>
      </c>
      <c r="CL365" s="18">
        <f t="shared" si="403"/>
        <v>0.73973268937409975</v>
      </c>
      <c r="CM365" s="18">
        <f t="shared" si="403"/>
        <v>4.1000803804526402</v>
      </c>
      <c r="CN365" s="56">
        <f t="shared" si="379"/>
        <v>4</v>
      </c>
      <c r="CP365" s="18">
        <f t="shared" si="404"/>
        <v>6.6323912864965102</v>
      </c>
      <c r="CQ365" s="18">
        <f t="shared" si="404"/>
        <v>1.1551451087712361</v>
      </c>
      <c r="CR365" s="18">
        <f t="shared" si="404"/>
        <v>1.8650795027196647</v>
      </c>
      <c r="CS365" s="18">
        <f t="shared" si="404"/>
        <v>0.73973268937409975</v>
      </c>
      <c r="CT365" s="18">
        <f t="shared" si="404"/>
        <v>4.1000803804526402</v>
      </c>
      <c r="CU365" s="56">
        <f t="shared" si="380"/>
        <v>4</v>
      </c>
      <c r="CW365" s="18">
        <f t="shared" si="405"/>
        <v>6.6323912864965102</v>
      </c>
      <c r="CX365" s="18">
        <f t="shared" si="405"/>
        <v>1.1551451087712361</v>
      </c>
      <c r="CY365" s="18">
        <f t="shared" si="405"/>
        <v>1.8650795027196647</v>
      </c>
      <c r="CZ365" s="18">
        <f t="shared" si="405"/>
        <v>0.73973268937409975</v>
      </c>
      <c r="DA365" s="18">
        <f t="shared" si="405"/>
        <v>4.1000803804526402</v>
      </c>
      <c r="DB365" s="56">
        <f t="shared" si="381"/>
        <v>4</v>
      </c>
    </row>
    <row r="366" spans="1:106" x14ac:dyDescent="0.25">
      <c r="A366" s="36" t="str">
        <f>KMeans_Data!A94</f>
        <v>Taftan</v>
      </c>
      <c r="B366" s="18">
        <f>KMeans_Data!H94</f>
        <v>-0.74475874463319425</v>
      </c>
      <c r="C366" s="18">
        <f>KMeans_Data!I94</f>
        <v>-0.67265054538827607</v>
      </c>
      <c r="D366" s="18">
        <f>KMeans_Data!J94</f>
        <v>-1.1456441163335547</v>
      </c>
      <c r="E366" s="56">
        <f t="shared" si="368"/>
        <v>2</v>
      </c>
      <c r="F366" s="38">
        <f t="shared" si="369"/>
        <v>0.2899118687601821</v>
      </c>
      <c r="G366" s="18">
        <f>IF(COUNTIF(Distance_Matrix!$E$11:$DQ$11,$E366)&lt;=1,0,SUMIF(Distance_Matrix!$E$11:$DQ$11,$E366,Distance_Matrix!$E$103:$DQ$103)/(COUNTIF(Distance_Matrix!$E$11:$DQ$11,$E366)-1))</f>
        <v>0.62283531856510577</v>
      </c>
      <c r="H366" s="18">
        <f>MIN(IF(1=$E366,1E+99,IF(COUNTIF(Distance_Matrix!$E$11:$DQ$11,1)=0,1E+99,SUMIF(Distance_Matrix!$E$11:$DQ$11,1,Distance_Matrix!$E$103:$DQ$103)/COUNTIF(Distance_Matrix!$E$11:$DQ$11,1))),IF(2=$E366,1E+99,IF(COUNTIF(Distance_Matrix!$E$11:$DQ$11,2)=0,1E+99,SUMIF(Distance_Matrix!$E$11:$DQ$11,2,Distance_Matrix!$E$103:$DQ$103)/COUNTIF(Distance_Matrix!$E$11:$DQ$11,2))),IF(3=$E366,1E+99,IF(COUNTIF(Distance_Matrix!$E$11:$DQ$11,3)=0,1E+99,SUMIF(Distance_Matrix!$E$11:$DQ$11,3,Distance_Matrix!$E$103:$DQ$103)/COUNTIF(Distance_Matrix!$E$11:$DQ$11,3))),IF(4=$E366,1E+99,IF(COUNTIF(Distance_Matrix!$E$11:$DQ$11,4)=0,1E+99,SUMIF(Distance_Matrix!$E$11:$DQ$11,4,Distance_Matrix!$E$103:$DQ$103)/COUNTIF(Distance_Matrix!$E$11:$DQ$11,4))),IF(5=$E366,1E+99,IF(COUNTIF(Distance_Matrix!$E$11:$DQ$11,5)=0,1E+99,SUMIF(Distance_Matrix!$E$11:$DQ$11,5,Distance_Matrix!$E$103:$DQ$103)/COUNTIF(Distance_Matrix!$E$11:$DQ$11,5))))</f>
        <v>1.1805808989617659</v>
      </c>
      <c r="I366" s="18">
        <f>IF(COUNTIF(Distance_Matrix!$E$11:$DQ$11,$E366)&lt;=1,0,(H366-G366)/MAX(G366,H366))</f>
        <v>0.47243317326847856</v>
      </c>
      <c r="X366" s="18">
        <f t="shared" si="394"/>
        <v>7.595834527091335</v>
      </c>
      <c r="Y366" s="18">
        <f t="shared" si="394"/>
        <v>1.3349792371701343</v>
      </c>
      <c r="Z366" s="18">
        <f t="shared" si="394"/>
        <v>3.3353981460163755</v>
      </c>
      <c r="AA366" s="18">
        <f t="shared" si="394"/>
        <v>1.4864813577861453</v>
      </c>
      <c r="AB366" s="18">
        <f t="shared" si="394"/>
        <v>5.5539049886384522</v>
      </c>
      <c r="AC366" s="56">
        <f t="shared" si="370"/>
        <v>2</v>
      </c>
      <c r="AE366" s="18">
        <f t="shared" si="395"/>
        <v>7.4648682750744397</v>
      </c>
      <c r="AF366" s="18">
        <f t="shared" si="395"/>
        <v>0.5393493197029644</v>
      </c>
      <c r="AG366" s="18">
        <f t="shared" si="395"/>
        <v>2.6482285026187005</v>
      </c>
      <c r="AH366" s="18">
        <f t="shared" si="395"/>
        <v>0.94788996960161231</v>
      </c>
      <c r="AI366" s="18">
        <f t="shared" si="395"/>
        <v>5.1935003890049591</v>
      </c>
      <c r="AJ366" s="56">
        <f t="shared" si="371"/>
        <v>2</v>
      </c>
      <c r="AL366" s="18">
        <f t="shared" si="396"/>
        <v>7.4648682750744397</v>
      </c>
      <c r="AM366" s="18">
        <f t="shared" si="396"/>
        <v>0.51345565843598451</v>
      </c>
      <c r="AN366" s="18">
        <f t="shared" si="396"/>
        <v>2.704957331682746</v>
      </c>
      <c r="AO366" s="18">
        <f t="shared" si="396"/>
        <v>1.0127498648307554</v>
      </c>
      <c r="AP366" s="18">
        <f t="shared" si="396"/>
        <v>4.9228015235132414</v>
      </c>
      <c r="AQ366" s="56">
        <f t="shared" si="372"/>
        <v>2</v>
      </c>
      <c r="AS366" s="18">
        <f t="shared" si="397"/>
        <v>7.4648682750744397</v>
      </c>
      <c r="AT366" s="18">
        <f t="shared" si="397"/>
        <v>0.53843464669371166</v>
      </c>
      <c r="AU366" s="18">
        <f t="shared" si="397"/>
        <v>2.7316975609093048</v>
      </c>
      <c r="AV366" s="18">
        <f t="shared" si="397"/>
        <v>1.0002028670786023</v>
      </c>
      <c r="AW366" s="18">
        <f t="shared" si="397"/>
        <v>4.9228015235132414</v>
      </c>
      <c r="AX366" s="56">
        <f t="shared" si="373"/>
        <v>2</v>
      </c>
      <c r="AZ366" s="18">
        <f t="shared" si="398"/>
        <v>7.4648682750744397</v>
      </c>
      <c r="BA366" s="18">
        <f t="shared" si="398"/>
        <v>0.53843464669371166</v>
      </c>
      <c r="BB366" s="18">
        <f t="shared" si="398"/>
        <v>2.7316975609093048</v>
      </c>
      <c r="BC366" s="18">
        <f t="shared" si="398"/>
        <v>1.0002028670786023</v>
      </c>
      <c r="BD366" s="18">
        <f t="shared" si="398"/>
        <v>4.9228015235132414</v>
      </c>
      <c r="BE366" s="56">
        <f t="shared" si="374"/>
        <v>2</v>
      </c>
      <c r="BG366" s="18">
        <f t="shared" si="399"/>
        <v>7.4648682750744397</v>
      </c>
      <c r="BH366" s="18">
        <f t="shared" si="399"/>
        <v>0.53843464669371166</v>
      </c>
      <c r="BI366" s="18">
        <f t="shared" si="399"/>
        <v>2.7316975609093048</v>
      </c>
      <c r="BJ366" s="18">
        <f t="shared" si="399"/>
        <v>1.0002028670786023</v>
      </c>
      <c r="BK366" s="18">
        <f t="shared" si="399"/>
        <v>4.9228015235132414</v>
      </c>
      <c r="BL366" s="56">
        <f t="shared" si="375"/>
        <v>2</v>
      </c>
      <c r="BN366" s="18">
        <f t="shared" si="400"/>
        <v>7.4648682750744397</v>
      </c>
      <c r="BO366" s="18">
        <f t="shared" si="400"/>
        <v>0.53843464669371166</v>
      </c>
      <c r="BP366" s="18">
        <f t="shared" si="400"/>
        <v>2.7316975609093048</v>
      </c>
      <c r="BQ366" s="18">
        <f t="shared" si="400"/>
        <v>1.0002028670786023</v>
      </c>
      <c r="BR366" s="18">
        <f t="shared" si="400"/>
        <v>4.9228015235132414</v>
      </c>
      <c r="BS366" s="56">
        <f t="shared" si="376"/>
        <v>2</v>
      </c>
      <c r="BU366" s="18">
        <f t="shared" si="401"/>
        <v>7.4648682750744397</v>
      </c>
      <c r="BV366" s="18">
        <f t="shared" si="401"/>
        <v>0.53843464669371166</v>
      </c>
      <c r="BW366" s="18">
        <f t="shared" si="401"/>
        <v>2.7316975609093048</v>
      </c>
      <c r="BX366" s="18">
        <f t="shared" si="401"/>
        <v>1.0002028670786023</v>
      </c>
      <c r="BY366" s="18">
        <f t="shared" si="401"/>
        <v>4.9228015235132414</v>
      </c>
      <c r="BZ366" s="56">
        <f t="shared" si="377"/>
        <v>2</v>
      </c>
      <c r="CB366" s="18">
        <f t="shared" si="402"/>
        <v>7.4648682750744397</v>
      </c>
      <c r="CC366" s="18">
        <f t="shared" si="402"/>
        <v>0.53843464669371166</v>
      </c>
      <c r="CD366" s="18">
        <f t="shared" si="402"/>
        <v>2.7316975609093048</v>
      </c>
      <c r="CE366" s="18">
        <f t="shared" si="402"/>
        <v>1.0002028670786023</v>
      </c>
      <c r="CF366" s="18">
        <f t="shared" si="402"/>
        <v>4.9228015235132414</v>
      </c>
      <c r="CG366" s="56">
        <f t="shared" si="378"/>
        <v>2</v>
      </c>
      <c r="CI366" s="18">
        <f t="shared" si="403"/>
        <v>7.4648682750744397</v>
      </c>
      <c r="CJ366" s="18">
        <f t="shared" si="403"/>
        <v>0.53843464669371166</v>
      </c>
      <c r="CK366" s="18">
        <f t="shared" si="403"/>
        <v>2.7316975609093048</v>
      </c>
      <c r="CL366" s="18">
        <f t="shared" si="403"/>
        <v>1.0002028670786023</v>
      </c>
      <c r="CM366" s="18">
        <f t="shared" si="403"/>
        <v>4.9228015235132414</v>
      </c>
      <c r="CN366" s="56">
        <f t="shared" si="379"/>
        <v>2</v>
      </c>
      <c r="CP366" s="18">
        <f t="shared" si="404"/>
        <v>7.4648682750744397</v>
      </c>
      <c r="CQ366" s="18">
        <f t="shared" si="404"/>
        <v>0.53843464669371166</v>
      </c>
      <c r="CR366" s="18">
        <f t="shared" si="404"/>
        <v>2.7316975609093048</v>
      </c>
      <c r="CS366" s="18">
        <f t="shared" si="404"/>
        <v>1.0002028670786023</v>
      </c>
      <c r="CT366" s="18">
        <f t="shared" si="404"/>
        <v>4.9228015235132414</v>
      </c>
      <c r="CU366" s="56">
        <f t="shared" si="380"/>
        <v>2</v>
      </c>
      <c r="CW366" s="18">
        <f t="shared" si="405"/>
        <v>7.4648682750744397</v>
      </c>
      <c r="CX366" s="18">
        <f t="shared" si="405"/>
        <v>0.53843464669371166</v>
      </c>
      <c r="CY366" s="18">
        <f t="shared" si="405"/>
        <v>2.7316975609093048</v>
      </c>
      <c r="CZ366" s="18">
        <f t="shared" si="405"/>
        <v>1.0002028670786023</v>
      </c>
      <c r="DA366" s="18">
        <f t="shared" si="405"/>
        <v>4.9228015235132414</v>
      </c>
      <c r="DB366" s="56">
        <f t="shared" si="381"/>
        <v>2</v>
      </c>
    </row>
    <row r="367" spans="1:106" x14ac:dyDescent="0.25">
      <c r="A367" s="36" t="str">
        <f>KMeans_Data!A95</f>
        <v>Orakzai</v>
      </c>
      <c r="B367" s="18">
        <f>KMeans_Data!H95</f>
        <v>-0.78641857410320049</v>
      </c>
      <c r="C367" s="18">
        <f>KMeans_Data!I95</f>
        <v>-0.67265054538827607</v>
      </c>
      <c r="D367" s="18">
        <f>KMeans_Data!J95</f>
        <v>-0.39984522290956798</v>
      </c>
      <c r="E367" s="56">
        <f t="shared" si="368"/>
        <v>4</v>
      </c>
      <c r="F367" s="38">
        <f t="shared" si="369"/>
        <v>0.46031158033970238</v>
      </c>
      <c r="G367" s="18">
        <f>IF(COUNTIF(Distance_Matrix!$E$11:$DQ$11,$E367)&lt;=1,0,SUMIF(Distance_Matrix!$E$11:$DQ$11,$E367,Distance_Matrix!$E$104:$DQ$104)/(COUNTIF(Distance_Matrix!$E$11:$DQ$11,$E367)-1))</f>
        <v>0.94869111821439567</v>
      </c>
      <c r="H367" s="18">
        <f>MIN(IF(1=$E367,1E+99,IF(COUNTIF(Distance_Matrix!$E$11:$DQ$11,1)=0,1E+99,SUMIF(Distance_Matrix!$E$11:$DQ$11,1,Distance_Matrix!$E$104:$DQ$104)/COUNTIF(Distance_Matrix!$E$11:$DQ$11,1))),IF(2=$E367,1E+99,IF(COUNTIF(Distance_Matrix!$E$11:$DQ$11,2)=0,1E+99,SUMIF(Distance_Matrix!$E$11:$DQ$11,2,Distance_Matrix!$E$104:$DQ$104)/COUNTIF(Distance_Matrix!$E$11:$DQ$11,2))),IF(3=$E367,1E+99,IF(COUNTIF(Distance_Matrix!$E$11:$DQ$11,3)=0,1E+99,SUMIF(Distance_Matrix!$E$11:$DQ$11,3,Distance_Matrix!$E$104:$DQ$104)/COUNTIF(Distance_Matrix!$E$11:$DQ$11,3))),IF(4=$E367,1E+99,IF(COUNTIF(Distance_Matrix!$E$11:$DQ$11,4)=0,1E+99,SUMIF(Distance_Matrix!$E$11:$DQ$11,4,Distance_Matrix!$E$104:$DQ$104)/COUNTIF(Distance_Matrix!$E$11:$DQ$11,4))),IF(5=$E367,1E+99,IF(COUNTIF(Distance_Matrix!$E$11:$DQ$11,5)=0,1E+99,SUMIF(Distance_Matrix!$E$11:$DQ$11,5,Distance_Matrix!$E$104:$DQ$104)/COUNTIF(Distance_Matrix!$E$11:$DQ$11,5))))</f>
        <v>0.90462137795422337</v>
      </c>
      <c r="I367" s="18">
        <f>IF(COUNTIF(Distance_Matrix!$E$11:$DQ$11,$E367)&lt;=1,0,(H367-G367)/MAX(G367,H367))</f>
        <v>-4.6453202116110599E-2</v>
      </c>
      <c r="X367" s="18">
        <f t="shared" ref="X367:AB376" si="406">SQRT(($B367-X$270)^2+($C367-X$271)^2+($D367-X$272)^2)</f>
        <v>7.2131090036106817</v>
      </c>
      <c r="Y367" s="18">
        <f t="shared" si="406"/>
        <v>1.4929471121798834</v>
      </c>
      <c r="Z367" s="18">
        <f t="shared" si="406"/>
        <v>2.8158876730251468</v>
      </c>
      <c r="AA367" s="18">
        <f t="shared" si="406"/>
        <v>1.6980661534517425</v>
      </c>
      <c r="AB367" s="18">
        <f t="shared" si="406"/>
        <v>5.1395949888301109</v>
      </c>
      <c r="AC367" s="56">
        <f t="shared" si="370"/>
        <v>2</v>
      </c>
      <c r="AE367" s="18">
        <f t="shared" ref="AE367:AI376" si="407">SQRT(($B367-AE$270)^2+($C367-AE$271)^2+($D367-AE$272)^2)</f>
        <v>7.1050853199929325</v>
      </c>
      <c r="AF367" s="18">
        <f t="shared" si="407"/>
        <v>0.70258849750311292</v>
      </c>
      <c r="AG367" s="18">
        <f t="shared" si="407"/>
        <v>2.1697892988253971</v>
      </c>
      <c r="AH367" s="18">
        <f t="shared" si="407"/>
        <v>0.75571867891867917</v>
      </c>
      <c r="AI367" s="18">
        <f t="shared" si="407"/>
        <v>4.8364233463456987</v>
      </c>
      <c r="AJ367" s="56">
        <f t="shared" si="371"/>
        <v>2</v>
      </c>
      <c r="AL367" s="18">
        <f t="shared" ref="AL367:AP376" si="408">SQRT(($B367-AL$270)^2+($C367-AL$271)^2+($D367-AL$272)^2)</f>
        <v>7.1050853199929325</v>
      </c>
      <c r="AM367" s="18">
        <f t="shared" si="408"/>
        <v>0.73637828565995078</v>
      </c>
      <c r="AN367" s="18">
        <f t="shared" si="408"/>
        <v>2.2401896122659211</v>
      </c>
      <c r="AO367" s="18">
        <f t="shared" si="408"/>
        <v>0.72332318654368755</v>
      </c>
      <c r="AP367" s="18">
        <f t="shared" si="408"/>
        <v>4.5630824119403997</v>
      </c>
      <c r="AQ367" s="56">
        <f t="shared" si="372"/>
        <v>4</v>
      </c>
      <c r="AS367" s="18">
        <f t="shared" ref="AS367:AW376" si="409">SQRT(($B367-AS$270)^2+($C367-AS$271)^2+($D367-AS$272)^2)</f>
        <v>7.1050853199929325</v>
      </c>
      <c r="AT367" s="18">
        <f t="shared" si="409"/>
        <v>0.83450945935170928</v>
      </c>
      <c r="AU367" s="18">
        <f t="shared" si="409"/>
        <v>2.2674752042508026</v>
      </c>
      <c r="AV367" s="18">
        <f t="shared" si="409"/>
        <v>0.67846265950286633</v>
      </c>
      <c r="AW367" s="18">
        <f t="shared" si="409"/>
        <v>4.5630824119403997</v>
      </c>
      <c r="AX367" s="56">
        <f t="shared" si="373"/>
        <v>4</v>
      </c>
      <c r="AZ367" s="18">
        <f t="shared" ref="AZ367:BD376" si="410">SQRT(($B367-AZ$270)^2+($C367-AZ$271)^2+($D367-AZ$272)^2)</f>
        <v>7.1050853199929325</v>
      </c>
      <c r="BA367" s="18">
        <f t="shared" si="410"/>
        <v>0.83450945935170928</v>
      </c>
      <c r="BB367" s="18">
        <f t="shared" si="410"/>
        <v>2.2674752042508026</v>
      </c>
      <c r="BC367" s="18">
        <f t="shared" si="410"/>
        <v>0.67846265950286633</v>
      </c>
      <c r="BD367" s="18">
        <f t="shared" si="410"/>
        <v>4.5630824119403997</v>
      </c>
      <c r="BE367" s="56">
        <f t="shared" si="374"/>
        <v>4</v>
      </c>
      <c r="BG367" s="18">
        <f t="shared" ref="BG367:BK376" si="411">SQRT(($B367-BG$270)^2+($C367-BG$271)^2+($D367-BG$272)^2)</f>
        <v>7.1050853199929325</v>
      </c>
      <c r="BH367" s="18">
        <f t="shared" si="411"/>
        <v>0.83450945935170928</v>
      </c>
      <c r="BI367" s="18">
        <f t="shared" si="411"/>
        <v>2.2674752042508026</v>
      </c>
      <c r="BJ367" s="18">
        <f t="shared" si="411"/>
        <v>0.67846265950286633</v>
      </c>
      <c r="BK367" s="18">
        <f t="shared" si="411"/>
        <v>4.5630824119403997</v>
      </c>
      <c r="BL367" s="56">
        <f t="shared" si="375"/>
        <v>4</v>
      </c>
      <c r="BN367" s="18">
        <f t="shared" ref="BN367:BR376" si="412">SQRT(($B367-BN$270)^2+($C367-BN$271)^2+($D367-BN$272)^2)</f>
        <v>7.1050853199929325</v>
      </c>
      <c r="BO367" s="18">
        <f t="shared" si="412"/>
        <v>0.83450945935170928</v>
      </c>
      <c r="BP367" s="18">
        <f t="shared" si="412"/>
        <v>2.2674752042508026</v>
      </c>
      <c r="BQ367" s="18">
        <f t="shared" si="412"/>
        <v>0.67846265950286633</v>
      </c>
      <c r="BR367" s="18">
        <f t="shared" si="412"/>
        <v>4.5630824119403997</v>
      </c>
      <c r="BS367" s="56">
        <f t="shared" si="376"/>
        <v>4</v>
      </c>
      <c r="BU367" s="18">
        <f t="shared" ref="BU367:BY376" si="413">SQRT(($B367-BU$270)^2+($C367-BU$271)^2+($D367-BU$272)^2)</f>
        <v>7.1050853199929325</v>
      </c>
      <c r="BV367" s="18">
        <f t="shared" si="413"/>
        <v>0.83450945935170928</v>
      </c>
      <c r="BW367" s="18">
        <f t="shared" si="413"/>
        <v>2.2674752042508026</v>
      </c>
      <c r="BX367" s="18">
        <f t="shared" si="413"/>
        <v>0.67846265950286633</v>
      </c>
      <c r="BY367" s="18">
        <f t="shared" si="413"/>
        <v>4.5630824119403997</v>
      </c>
      <c r="BZ367" s="56">
        <f t="shared" si="377"/>
        <v>4</v>
      </c>
      <c r="CB367" s="18">
        <f t="shared" ref="CB367:CF376" si="414">SQRT(($B367-CB$270)^2+($C367-CB$271)^2+($D367-CB$272)^2)</f>
        <v>7.1050853199929325</v>
      </c>
      <c r="CC367" s="18">
        <f t="shared" si="414"/>
        <v>0.83450945935170928</v>
      </c>
      <c r="CD367" s="18">
        <f t="shared" si="414"/>
        <v>2.2674752042508026</v>
      </c>
      <c r="CE367" s="18">
        <f t="shared" si="414"/>
        <v>0.67846265950286633</v>
      </c>
      <c r="CF367" s="18">
        <f t="shared" si="414"/>
        <v>4.5630824119403997</v>
      </c>
      <c r="CG367" s="56">
        <f t="shared" si="378"/>
        <v>4</v>
      </c>
      <c r="CI367" s="18">
        <f t="shared" ref="CI367:CM376" si="415">SQRT(($B367-CI$270)^2+($C367-CI$271)^2+($D367-CI$272)^2)</f>
        <v>7.1050853199929325</v>
      </c>
      <c r="CJ367" s="18">
        <f t="shared" si="415"/>
        <v>0.83450945935170928</v>
      </c>
      <c r="CK367" s="18">
        <f t="shared" si="415"/>
        <v>2.2674752042508026</v>
      </c>
      <c r="CL367" s="18">
        <f t="shared" si="415"/>
        <v>0.67846265950286633</v>
      </c>
      <c r="CM367" s="18">
        <f t="shared" si="415"/>
        <v>4.5630824119403997</v>
      </c>
      <c r="CN367" s="56">
        <f t="shared" si="379"/>
        <v>4</v>
      </c>
      <c r="CP367" s="18">
        <f t="shared" ref="CP367:CT376" si="416">SQRT(($B367-CP$270)^2+($C367-CP$271)^2+($D367-CP$272)^2)</f>
        <v>7.1050853199929325</v>
      </c>
      <c r="CQ367" s="18">
        <f t="shared" si="416"/>
        <v>0.83450945935170928</v>
      </c>
      <c r="CR367" s="18">
        <f t="shared" si="416"/>
        <v>2.2674752042508026</v>
      </c>
      <c r="CS367" s="18">
        <f t="shared" si="416"/>
        <v>0.67846265950286633</v>
      </c>
      <c r="CT367" s="18">
        <f t="shared" si="416"/>
        <v>4.5630824119403997</v>
      </c>
      <c r="CU367" s="56">
        <f t="shared" si="380"/>
        <v>4</v>
      </c>
      <c r="CW367" s="18">
        <f t="shared" ref="CW367:DA376" si="417">SQRT(($B367-CW$270)^2+($C367-CW$271)^2+($D367-CW$272)^2)</f>
        <v>7.1050853199929325</v>
      </c>
      <c r="CX367" s="18">
        <f t="shared" si="417"/>
        <v>0.83450945935170928</v>
      </c>
      <c r="CY367" s="18">
        <f t="shared" si="417"/>
        <v>2.2674752042508026</v>
      </c>
      <c r="CZ367" s="18">
        <f t="shared" si="417"/>
        <v>0.67846265950286633</v>
      </c>
      <c r="DA367" s="18">
        <f t="shared" si="417"/>
        <v>4.5630824119403997</v>
      </c>
      <c r="DB367" s="56">
        <f t="shared" si="381"/>
        <v>4</v>
      </c>
    </row>
    <row r="368" spans="1:106" x14ac:dyDescent="0.25">
      <c r="A368" s="36" t="str">
        <f>KMeans_Data!A96</f>
        <v>North Waziristan</v>
      </c>
      <c r="B368" s="18">
        <f>KMeans_Data!H96</f>
        <v>-0.8317053870146639</v>
      </c>
      <c r="C368" s="18">
        <f>KMeans_Data!I96</f>
        <v>-0.67265054538827607</v>
      </c>
      <c r="D368" s="18">
        <f>KMeans_Data!J96</f>
        <v>-0.31535907140676028</v>
      </c>
      <c r="E368" s="56">
        <f t="shared" si="368"/>
        <v>4</v>
      </c>
      <c r="F368" s="38">
        <f t="shared" si="369"/>
        <v>0.52488868687271339</v>
      </c>
      <c r="G368" s="18">
        <f>IF(COUNTIF(Distance_Matrix!$E$11:$DQ$11,$E368)&lt;=1,0,SUMIF(Distance_Matrix!$E$11:$DQ$11,$E368,Distance_Matrix!$E$105:$DQ$105)/(COUNTIF(Distance_Matrix!$E$11:$DQ$11,$E368)-1))</f>
        <v>0.97625700408895277</v>
      </c>
      <c r="H368" s="18">
        <f>MIN(IF(1=$E368,1E+99,IF(COUNTIF(Distance_Matrix!$E$11:$DQ$11,1)=0,1E+99,SUMIF(Distance_Matrix!$E$11:$DQ$11,1,Distance_Matrix!$E$105:$DQ$105)/COUNTIF(Distance_Matrix!$E$11:$DQ$11,1))),IF(2=$E368,1E+99,IF(COUNTIF(Distance_Matrix!$E$11:$DQ$11,2)=0,1E+99,SUMIF(Distance_Matrix!$E$11:$DQ$11,2,Distance_Matrix!$E$105:$DQ$105)/COUNTIF(Distance_Matrix!$E$11:$DQ$11,2))),IF(3=$E368,1E+99,IF(COUNTIF(Distance_Matrix!$E$11:$DQ$11,3)=0,1E+99,SUMIF(Distance_Matrix!$E$11:$DQ$11,3,Distance_Matrix!$E$105:$DQ$105)/COUNTIF(Distance_Matrix!$E$11:$DQ$11,3))),IF(4=$E368,1E+99,IF(COUNTIF(Distance_Matrix!$E$11:$DQ$11,4)=0,1E+99,SUMIF(Distance_Matrix!$E$11:$DQ$11,4,Distance_Matrix!$E$105:$DQ$105)/COUNTIF(Distance_Matrix!$E$11:$DQ$11,4))),IF(5=$E368,1E+99,IF(COUNTIF(Distance_Matrix!$E$11:$DQ$11,5)=0,1E+99,SUMIF(Distance_Matrix!$E$11:$DQ$11,5,Distance_Matrix!$E$105:$DQ$105)/COUNTIF(Distance_Matrix!$E$11:$DQ$11,5))))</f>
        <v>0.95190131296430902</v>
      </c>
      <c r="I368" s="18">
        <f>IF(COUNTIF(Distance_Matrix!$E$11:$DQ$11,$E368)&lt;=1,0,(H368-G368)/MAX(G368,H368))</f>
        <v>-2.4948032149969143E-2</v>
      </c>
      <c r="X368" s="18">
        <f t="shared" si="406"/>
        <v>7.1964396719425361</v>
      </c>
      <c r="Y368" s="18">
        <f t="shared" si="406"/>
        <v>1.4989858616691543</v>
      </c>
      <c r="Z368" s="18">
        <f t="shared" si="406"/>
        <v>2.7906228532659427</v>
      </c>
      <c r="AA368" s="18">
        <f t="shared" si="406"/>
        <v>1.7743580684314197</v>
      </c>
      <c r="AB368" s="18">
        <f t="shared" si="406"/>
        <v>5.1226549086321391</v>
      </c>
      <c r="AC368" s="56">
        <f t="shared" si="370"/>
        <v>2</v>
      </c>
      <c r="AE368" s="18">
        <f t="shared" si="407"/>
        <v>7.0914941176067341</v>
      </c>
      <c r="AF368" s="18">
        <f t="shared" si="407"/>
        <v>0.74304004873424645</v>
      </c>
      <c r="AG368" s="18">
        <f t="shared" si="407"/>
        <v>2.1511646433284768</v>
      </c>
      <c r="AH368" s="18">
        <f t="shared" si="407"/>
        <v>0.81558181045659506</v>
      </c>
      <c r="AI368" s="18">
        <f t="shared" si="407"/>
        <v>4.8261106283933906</v>
      </c>
      <c r="AJ368" s="56">
        <f t="shared" si="371"/>
        <v>2</v>
      </c>
      <c r="AL368" s="18">
        <f t="shared" si="408"/>
        <v>7.0914941176067341</v>
      </c>
      <c r="AM368" s="18">
        <f t="shared" si="408"/>
        <v>0.78104802044975707</v>
      </c>
      <c r="AN368" s="18">
        <f t="shared" si="408"/>
        <v>2.2232444521276586</v>
      </c>
      <c r="AO368" s="18">
        <f t="shared" si="408"/>
        <v>0.77193979001291335</v>
      </c>
      <c r="AP368" s="18">
        <f t="shared" si="408"/>
        <v>4.552532869785046</v>
      </c>
      <c r="AQ368" s="56">
        <f t="shared" si="372"/>
        <v>4</v>
      </c>
      <c r="AS368" s="18">
        <f t="shared" si="409"/>
        <v>7.0914941176067341</v>
      </c>
      <c r="AT368" s="18">
        <f t="shared" si="409"/>
        <v>0.88032232660135823</v>
      </c>
      <c r="AU368" s="18">
        <f t="shared" si="409"/>
        <v>2.2505209484714914</v>
      </c>
      <c r="AV368" s="18">
        <f t="shared" si="409"/>
        <v>0.72449201988200906</v>
      </c>
      <c r="AW368" s="18">
        <f t="shared" si="409"/>
        <v>4.552532869785046</v>
      </c>
      <c r="AX368" s="56">
        <f t="shared" si="373"/>
        <v>4</v>
      </c>
      <c r="AZ368" s="18">
        <f t="shared" si="410"/>
        <v>7.0914941176067341</v>
      </c>
      <c r="BA368" s="18">
        <f t="shared" si="410"/>
        <v>0.88032232660135823</v>
      </c>
      <c r="BB368" s="18">
        <f t="shared" si="410"/>
        <v>2.2505209484714914</v>
      </c>
      <c r="BC368" s="18">
        <f t="shared" si="410"/>
        <v>0.72449201988200906</v>
      </c>
      <c r="BD368" s="18">
        <f t="shared" si="410"/>
        <v>4.552532869785046</v>
      </c>
      <c r="BE368" s="56">
        <f t="shared" si="374"/>
        <v>4</v>
      </c>
      <c r="BG368" s="18">
        <f t="shared" si="411"/>
        <v>7.0914941176067341</v>
      </c>
      <c r="BH368" s="18">
        <f t="shared" si="411"/>
        <v>0.88032232660135823</v>
      </c>
      <c r="BI368" s="18">
        <f t="shared" si="411"/>
        <v>2.2505209484714914</v>
      </c>
      <c r="BJ368" s="18">
        <f t="shared" si="411"/>
        <v>0.72449201988200906</v>
      </c>
      <c r="BK368" s="18">
        <f t="shared" si="411"/>
        <v>4.552532869785046</v>
      </c>
      <c r="BL368" s="56">
        <f t="shared" si="375"/>
        <v>4</v>
      </c>
      <c r="BN368" s="18">
        <f t="shared" si="412"/>
        <v>7.0914941176067341</v>
      </c>
      <c r="BO368" s="18">
        <f t="shared" si="412"/>
        <v>0.88032232660135823</v>
      </c>
      <c r="BP368" s="18">
        <f t="shared" si="412"/>
        <v>2.2505209484714914</v>
      </c>
      <c r="BQ368" s="18">
        <f t="shared" si="412"/>
        <v>0.72449201988200906</v>
      </c>
      <c r="BR368" s="18">
        <f t="shared" si="412"/>
        <v>4.552532869785046</v>
      </c>
      <c r="BS368" s="56">
        <f t="shared" si="376"/>
        <v>4</v>
      </c>
      <c r="BU368" s="18">
        <f t="shared" si="413"/>
        <v>7.0914941176067341</v>
      </c>
      <c r="BV368" s="18">
        <f t="shared" si="413"/>
        <v>0.88032232660135823</v>
      </c>
      <c r="BW368" s="18">
        <f t="shared" si="413"/>
        <v>2.2505209484714914</v>
      </c>
      <c r="BX368" s="18">
        <f t="shared" si="413"/>
        <v>0.72449201988200906</v>
      </c>
      <c r="BY368" s="18">
        <f t="shared" si="413"/>
        <v>4.552532869785046</v>
      </c>
      <c r="BZ368" s="56">
        <f t="shared" si="377"/>
        <v>4</v>
      </c>
      <c r="CB368" s="18">
        <f t="shared" si="414"/>
        <v>7.0914941176067341</v>
      </c>
      <c r="CC368" s="18">
        <f t="shared" si="414"/>
        <v>0.88032232660135823</v>
      </c>
      <c r="CD368" s="18">
        <f t="shared" si="414"/>
        <v>2.2505209484714914</v>
      </c>
      <c r="CE368" s="18">
        <f t="shared" si="414"/>
        <v>0.72449201988200906</v>
      </c>
      <c r="CF368" s="18">
        <f t="shared" si="414"/>
        <v>4.552532869785046</v>
      </c>
      <c r="CG368" s="56">
        <f t="shared" si="378"/>
        <v>4</v>
      </c>
      <c r="CI368" s="18">
        <f t="shared" si="415"/>
        <v>7.0914941176067341</v>
      </c>
      <c r="CJ368" s="18">
        <f t="shared" si="415"/>
        <v>0.88032232660135823</v>
      </c>
      <c r="CK368" s="18">
        <f t="shared" si="415"/>
        <v>2.2505209484714914</v>
      </c>
      <c r="CL368" s="18">
        <f t="shared" si="415"/>
        <v>0.72449201988200906</v>
      </c>
      <c r="CM368" s="18">
        <f t="shared" si="415"/>
        <v>4.552532869785046</v>
      </c>
      <c r="CN368" s="56">
        <f t="shared" si="379"/>
        <v>4</v>
      </c>
      <c r="CP368" s="18">
        <f t="shared" si="416"/>
        <v>7.0914941176067341</v>
      </c>
      <c r="CQ368" s="18">
        <f t="shared" si="416"/>
        <v>0.88032232660135823</v>
      </c>
      <c r="CR368" s="18">
        <f t="shared" si="416"/>
        <v>2.2505209484714914</v>
      </c>
      <c r="CS368" s="18">
        <f t="shared" si="416"/>
        <v>0.72449201988200906</v>
      </c>
      <c r="CT368" s="18">
        <f t="shared" si="416"/>
        <v>4.552532869785046</v>
      </c>
      <c r="CU368" s="56">
        <f t="shared" si="380"/>
        <v>4</v>
      </c>
      <c r="CW368" s="18">
        <f t="shared" si="417"/>
        <v>7.0914941176067341</v>
      </c>
      <c r="CX368" s="18">
        <f t="shared" si="417"/>
        <v>0.88032232660135823</v>
      </c>
      <c r="CY368" s="18">
        <f t="shared" si="417"/>
        <v>2.2505209484714914</v>
      </c>
      <c r="CZ368" s="18">
        <f t="shared" si="417"/>
        <v>0.72449201988200906</v>
      </c>
      <c r="DA368" s="18">
        <f t="shared" si="417"/>
        <v>4.552532869785046</v>
      </c>
      <c r="DB368" s="56">
        <f t="shared" si="381"/>
        <v>4</v>
      </c>
    </row>
    <row r="369" spans="1:106" x14ac:dyDescent="0.25">
      <c r="A369" s="36" t="str">
        <f>KMeans_Data!A97</f>
        <v>Kasur</v>
      </c>
      <c r="B369" s="18">
        <f>KMeans_Data!H97</f>
        <v>-0.8317053870146639</v>
      </c>
      <c r="C369" s="18">
        <f>KMeans_Data!I97</f>
        <v>-0.67265054538827607</v>
      </c>
      <c r="D369" s="18">
        <f>KMeans_Data!J97</f>
        <v>-1.1456441163335547</v>
      </c>
      <c r="E369" s="56">
        <f t="shared" si="368"/>
        <v>2</v>
      </c>
      <c r="F369" s="38">
        <f t="shared" si="369"/>
        <v>0.20474863837004259</v>
      </c>
      <c r="G369" s="18">
        <f>IF(COUNTIF(Distance_Matrix!$E$11:$DQ$11,$E369)&lt;=1,0,SUMIF(Distance_Matrix!$E$11:$DQ$11,$E369,Distance_Matrix!$E$106:$DQ$106)/(COUNTIF(Distance_Matrix!$E$11:$DQ$11,$E369)-1))</f>
        <v>0.55582868241901895</v>
      </c>
      <c r="H369" s="18">
        <f>MIN(IF(1=$E369,1E+99,IF(COUNTIF(Distance_Matrix!$E$11:$DQ$11,1)=0,1E+99,SUMIF(Distance_Matrix!$E$11:$DQ$11,1,Distance_Matrix!$E$106:$DQ$106)/COUNTIF(Distance_Matrix!$E$11:$DQ$11,1))),IF(2=$E369,1E+99,IF(COUNTIF(Distance_Matrix!$E$11:$DQ$11,2)=0,1E+99,SUMIF(Distance_Matrix!$E$11:$DQ$11,2,Distance_Matrix!$E$106:$DQ$106)/COUNTIF(Distance_Matrix!$E$11:$DQ$11,2))),IF(3=$E369,1E+99,IF(COUNTIF(Distance_Matrix!$E$11:$DQ$11,3)=0,1E+99,SUMIF(Distance_Matrix!$E$11:$DQ$11,3,Distance_Matrix!$E$106:$DQ$106)/COUNTIF(Distance_Matrix!$E$11:$DQ$11,3))),IF(4=$E369,1E+99,IF(COUNTIF(Distance_Matrix!$E$11:$DQ$11,4)=0,1E+99,SUMIF(Distance_Matrix!$E$11:$DQ$11,4,Distance_Matrix!$E$106:$DQ$106)/COUNTIF(Distance_Matrix!$E$11:$DQ$11,4))),IF(5=$E369,1E+99,IF(COUNTIF(Distance_Matrix!$E$11:$DQ$11,5)=0,1E+99,SUMIF(Distance_Matrix!$E$11:$DQ$11,5,Distance_Matrix!$E$106:$DQ$106)/COUNTIF(Distance_Matrix!$E$11:$DQ$11,5))))</f>
        <v>1.2303679498333178</v>
      </c>
      <c r="I369" s="18">
        <f>IF(COUNTIF(Distance_Matrix!$E$11:$DQ$11,$E369)&lt;=1,0,(H369-G369)/MAX(G369,H369))</f>
        <v>0.54824190398139105</v>
      </c>
      <c r="X369" s="18">
        <f t="shared" si="406"/>
        <v>7.6421954132838588</v>
      </c>
      <c r="Y369" s="18">
        <f t="shared" si="406"/>
        <v>1.2480325947886648</v>
      </c>
      <c r="Z369" s="18">
        <f t="shared" si="406"/>
        <v>3.38265206186386</v>
      </c>
      <c r="AA369" s="18">
        <f t="shared" si="406"/>
        <v>1.5681113797108259</v>
      </c>
      <c r="AB369" s="18">
        <f t="shared" si="406"/>
        <v>5.6030442713811599</v>
      </c>
      <c r="AC369" s="56">
        <f t="shared" si="370"/>
        <v>2</v>
      </c>
      <c r="AE369" s="18">
        <f t="shared" si="407"/>
        <v>7.5118976652251153</v>
      </c>
      <c r="AF369" s="18">
        <f t="shared" si="407"/>
        <v>0.46061101607305244</v>
      </c>
      <c r="AG369" s="18">
        <f t="shared" si="407"/>
        <v>2.6917389853697333</v>
      </c>
      <c r="AH369" s="18">
        <f t="shared" si="407"/>
        <v>1.0122933405116141</v>
      </c>
      <c r="AI369" s="18">
        <f t="shared" si="407"/>
        <v>5.2415253559892463</v>
      </c>
      <c r="AJ369" s="56">
        <f t="shared" si="371"/>
        <v>2</v>
      </c>
      <c r="AL369" s="18">
        <f t="shared" si="408"/>
        <v>7.5118976652251153</v>
      </c>
      <c r="AM369" s="18">
        <f t="shared" si="408"/>
        <v>0.43176470012832657</v>
      </c>
      <c r="AN369" s="18">
        <f t="shared" si="408"/>
        <v>2.7491581870087409</v>
      </c>
      <c r="AO369" s="18">
        <f t="shared" si="408"/>
        <v>1.0717347985258661</v>
      </c>
      <c r="AP369" s="18">
        <f t="shared" si="408"/>
        <v>4.9700600554843533</v>
      </c>
      <c r="AQ369" s="56">
        <f t="shared" si="372"/>
        <v>2</v>
      </c>
      <c r="AS369" s="18">
        <f t="shared" si="409"/>
        <v>7.5118976652251153</v>
      </c>
      <c r="AT369" s="18">
        <f t="shared" si="409"/>
        <v>0.45249158928099714</v>
      </c>
      <c r="AU369" s="18">
        <f t="shared" si="409"/>
        <v>2.7760787039225456</v>
      </c>
      <c r="AV369" s="18">
        <f t="shared" si="409"/>
        <v>1.0559815339092951</v>
      </c>
      <c r="AW369" s="18">
        <f t="shared" si="409"/>
        <v>4.9700600554843533</v>
      </c>
      <c r="AX369" s="56">
        <f t="shared" si="373"/>
        <v>2</v>
      </c>
      <c r="AZ369" s="18">
        <f t="shared" si="410"/>
        <v>7.5118976652251153</v>
      </c>
      <c r="BA369" s="18">
        <f t="shared" si="410"/>
        <v>0.45249158928099714</v>
      </c>
      <c r="BB369" s="18">
        <f t="shared" si="410"/>
        <v>2.7760787039225456</v>
      </c>
      <c r="BC369" s="18">
        <f t="shared" si="410"/>
        <v>1.0559815339092951</v>
      </c>
      <c r="BD369" s="18">
        <f t="shared" si="410"/>
        <v>4.9700600554843533</v>
      </c>
      <c r="BE369" s="56">
        <f t="shared" si="374"/>
        <v>2</v>
      </c>
      <c r="BG369" s="18">
        <f t="shared" si="411"/>
        <v>7.5118976652251153</v>
      </c>
      <c r="BH369" s="18">
        <f t="shared" si="411"/>
        <v>0.45249158928099714</v>
      </c>
      <c r="BI369" s="18">
        <f t="shared" si="411"/>
        <v>2.7760787039225456</v>
      </c>
      <c r="BJ369" s="18">
        <f t="shared" si="411"/>
        <v>1.0559815339092951</v>
      </c>
      <c r="BK369" s="18">
        <f t="shared" si="411"/>
        <v>4.9700600554843533</v>
      </c>
      <c r="BL369" s="56">
        <f t="shared" si="375"/>
        <v>2</v>
      </c>
      <c r="BN369" s="18">
        <f t="shared" si="412"/>
        <v>7.5118976652251153</v>
      </c>
      <c r="BO369" s="18">
        <f t="shared" si="412"/>
        <v>0.45249158928099714</v>
      </c>
      <c r="BP369" s="18">
        <f t="shared" si="412"/>
        <v>2.7760787039225456</v>
      </c>
      <c r="BQ369" s="18">
        <f t="shared" si="412"/>
        <v>1.0559815339092951</v>
      </c>
      <c r="BR369" s="18">
        <f t="shared" si="412"/>
        <v>4.9700600554843533</v>
      </c>
      <c r="BS369" s="56">
        <f t="shared" si="376"/>
        <v>2</v>
      </c>
      <c r="BU369" s="18">
        <f t="shared" si="413"/>
        <v>7.5118976652251153</v>
      </c>
      <c r="BV369" s="18">
        <f t="shared" si="413"/>
        <v>0.45249158928099714</v>
      </c>
      <c r="BW369" s="18">
        <f t="shared" si="413"/>
        <v>2.7760787039225456</v>
      </c>
      <c r="BX369" s="18">
        <f t="shared" si="413"/>
        <v>1.0559815339092951</v>
      </c>
      <c r="BY369" s="18">
        <f t="shared" si="413"/>
        <v>4.9700600554843533</v>
      </c>
      <c r="BZ369" s="56">
        <f t="shared" si="377"/>
        <v>2</v>
      </c>
      <c r="CB369" s="18">
        <f t="shared" si="414"/>
        <v>7.5118976652251153</v>
      </c>
      <c r="CC369" s="18">
        <f t="shared" si="414"/>
        <v>0.45249158928099714</v>
      </c>
      <c r="CD369" s="18">
        <f t="shared" si="414"/>
        <v>2.7760787039225456</v>
      </c>
      <c r="CE369" s="18">
        <f t="shared" si="414"/>
        <v>1.0559815339092951</v>
      </c>
      <c r="CF369" s="18">
        <f t="shared" si="414"/>
        <v>4.9700600554843533</v>
      </c>
      <c r="CG369" s="56">
        <f t="shared" si="378"/>
        <v>2</v>
      </c>
      <c r="CI369" s="18">
        <f t="shared" si="415"/>
        <v>7.5118976652251153</v>
      </c>
      <c r="CJ369" s="18">
        <f t="shared" si="415"/>
        <v>0.45249158928099714</v>
      </c>
      <c r="CK369" s="18">
        <f t="shared" si="415"/>
        <v>2.7760787039225456</v>
      </c>
      <c r="CL369" s="18">
        <f t="shared" si="415"/>
        <v>1.0559815339092951</v>
      </c>
      <c r="CM369" s="18">
        <f t="shared" si="415"/>
        <v>4.9700600554843533</v>
      </c>
      <c r="CN369" s="56">
        <f t="shared" si="379"/>
        <v>2</v>
      </c>
      <c r="CP369" s="18">
        <f t="shared" si="416"/>
        <v>7.5118976652251153</v>
      </c>
      <c r="CQ369" s="18">
        <f t="shared" si="416"/>
        <v>0.45249158928099714</v>
      </c>
      <c r="CR369" s="18">
        <f t="shared" si="416"/>
        <v>2.7760787039225456</v>
      </c>
      <c r="CS369" s="18">
        <f t="shared" si="416"/>
        <v>1.0559815339092951</v>
      </c>
      <c r="CT369" s="18">
        <f t="shared" si="416"/>
        <v>4.9700600554843533</v>
      </c>
      <c r="CU369" s="56">
        <f t="shared" si="380"/>
        <v>2</v>
      </c>
      <c r="CW369" s="18">
        <f t="shared" si="417"/>
        <v>7.5118976652251153</v>
      </c>
      <c r="CX369" s="18">
        <f t="shared" si="417"/>
        <v>0.45249158928099714</v>
      </c>
      <c r="CY369" s="18">
        <f t="shared" si="417"/>
        <v>2.7760787039225456</v>
      </c>
      <c r="CZ369" s="18">
        <f t="shared" si="417"/>
        <v>1.0559815339092951</v>
      </c>
      <c r="DA369" s="18">
        <f t="shared" si="417"/>
        <v>4.9700600554843533</v>
      </c>
      <c r="DB369" s="56">
        <f t="shared" si="381"/>
        <v>2</v>
      </c>
    </row>
    <row r="370" spans="1:106" x14ac:dyDescent="0.25">
      <c r="A370" s="36" t="str">
        <f>KMeans_Data!A98</f>
        <v>Rajanpur</v>
      </c>
      <c r="B370" s="18">
        <f>KMeans_Data!H98</f>
        <v>-0.88131147797298559</v>
      </c>
      <c r="C370" s="18">
        <f>KMeans_Data!I98</f>
        <v>-0.67265054538827607</v>
      </c>
      <c r="D370" s="18">
        <f>KMeans_Data!J98</f>
        <v>-1.1456441163335547</v>
      </c>
      <c r="E370" s="56">
        <f t="shared" si="368"/>
        <v>2</v>
      </c>
      <c r="F370" s="38">
        <f t="shared" si="369"/>
        <v>0.16293389344383863</v>
      </c>
      <c r="G370" s="18">
        <f>IF(COUNTIF(Distance_Matrix!$E$11:$DQ$11,$E370)&lt;=1,0,SUMIF(Distance_Matrix!$E$11:$DQ$11,$E370,Distance_Matrix!$E$107:$DQ$107)/(COUNTIF(Distance_Matrix!$E$11:$DQ$11,$E370)-1))</f>
        <v>0.52255110794184201</v>
      </c>
      <c r="H370" s="18">
        <f>MIN(IF(1=$E370,1E+99,IF(COUNTIF(Distance_Matrix!$E$11:$DQ$11,1)=0,1E+99,SUMIF(Distance_Matrix!$E$11:$DQ$11,1,Distance_Matrix!$E$107:$DQ$107)/COUNTIF(Distance_Matrix!$E$11:$DQ$11,1))),IF(2=$E370,1E+99,IF(COUNTIF(Distance_Matrix!$E$11:$DQ$11,2)=0,1E+99,SUMIF(Distance_Matrix!$E$11:$DQ$11,2,Distance_Matrix!$E$107:$DQ$107)/COUNTIF(Distance_Matrix!$E$11:$DQ$11,2))),IF(3=$E370,1E+99,IF(COUNTIF(Distance_Matrix!$E$11:$DQ$11,3)=0,1E+99,SUMIF(Distance_Matrix!$E$11:$DQ$11,3,Distance_Matrix!$E$107:$DQ$107)/COUNTIF(Distance_Matrix!$E$11:$DQ$11,3))),IF(4=$E370,1E+99,IF(COUNTIF(Distance_Matrix!$E$11:$DQ$11,4)=0,1E+99,SUMIF(Distance_Matrix!$E$11:$DQ$11,4,Distance_Matrix!$E$107:$DQ$107)/COUNTIF(Distance_Matrix!$E$11:$DQ$11,4))),IF(5=$E370,1E+99,IF(COUNTIF(Distance_Matrix!$E$11:$DQ$11,5)=0,1E+99,SUMIF(Distance_Matrix!$E$11:$DQ$11,5,Distance_Matrix!$E$107:$DQ$107)/COUNTIF(Distance_Matrix!$E$11:$DQ$11,5))))</f>
        <v>1.2603442406450758</v>
      </c>
      <c r="I370" s="18">
        <f>IF(COUNTIF(Distance_Matrix!$E$11:$DQ$11,$E370)&lt;=1,0,(H370-G370)/MAX(G370,H370))</f>
        <v>0.58539017270838067</v>
      </c>
      <c r="X370" s="18">
        <f t="shared" si="406"/>
        <v>7.6689619977801469</v>
      </c>
      <c r="Y370" s="18">
        <f t="shared" si="406"/>
        <v>1.198426503830343</v>
      </c>
      <c r="Z370" s="18">
        <f t="shared" si="406"/>
        <v>3.4103119353684268</v>
      </c>
      <c r="AA370" s="18">
        <f t="shared" si="406"/>
        <v>1.6149328167294064</v>
      </c>
      <c r="AB370" s="18">
        <f t="shared" si="406"/>
        <v>5.6314892832805281</v>
      </c>
      <c r="AC370" s="56">
        <f t="shared" si="370"/>
        <v>2</v>
      </c>
      <c r="AE370" s="18">
        <f t="shared" si="407"/>
        <v>7.5390473912889027</v>
      </c>
      <c r="AF370" s="18">
        <f t="shared" si="407"/>
        <v>0.41715127923040168</v>
      </c>
      <c r="AG370" s="18">
        <f t="shared" si="407"/>
        <v>2.717497614891307</v>
      </c>
      <c r="AH370" s="18">
        <f t="shared" si="407"/>
        <v>1.0504938612894712</v>
      </c>
      <c r="AI370" s="18">
        <f t="shared" si="407"/>
        <v>5.2693719507730306</v>
      </c>
      <c r="AJ370" s="56">
        <f t="shared" si="371"/>
        <v>2</v>
      </c>
      <c r="AL370" s="18">
        <f t="shared" si="408"/>
        <v>7.5390473912889027</v>
      </c>
      <c r="AM370" s="18">
        <f t="shared" si="408"/>
        <v>0.38618675270464387</v>
      </c>
      <c r="AN370" s="18">
        <f t="shared" si="408"/>
        <v>2.7752814584503418</v>
      </c>
      <c r="AO370" s="18">
        <f t="shared" si="408"/>
        <v>1.1070403819482726</v>
      </c>
      <c r="AP370" s="18">
        <f t="shared" si="408"/>
        <v>4.9975002220889033</v>
      </c>
      <c r="AQ370" s="56">
        <f t="shared" si="372"/>
        <v>2</v>
      </c>
      <c r="AS370" s="18">
        <f t="shared" si="409"/>
        <v>7.5390473912889027</v>
      </c>
      <c r="AT370" s="18">
        <f t="shared" si="409"/>
        <v>0.4036507072257382</v>
      </c>
      <c r="AU370" s="18">
        <f t="shared" si="409"/>
        <v>2.8022935539569067</v>
      </c>
      <c r="AV370" s="18">
        <f t="shared" si="409"/>
        <v>1.0896358060149449</v>
      </c>
      <c r="AW370" s="18">
        <f t="shared" si="409"/>
        <v>4.9975002220889033</v>
      </c>
      <c r="AX370" s="56">
        <f t="shared" si="373"/>
        <v>2</v>
      </c>
      <c r="AZ370" s="18">
        <f t="shared" si="410"/>
        <v>7.5390473912889027</v>
      </c>
      <c r="BA370" s="18">
        <f t="shared" si="410"/>
        <v>0.4036507072257382</v>
      </c>
      <c r="BB370" s="18">
        <f t="shared" si="410"/>
        <v>2.8022935539569067</v>
      </c>
      <c r="BC370" s="18">
        <f t="shared" si="410"/>
        <v>1.0896358060149449</v>
      </c>
      <c r="BD370" s="18">
        <f t="shared" si="410"/>
        <v>4.9975002220889033</v>
      </c>
      <c r="BE370" s="56">
        <f t="shared" si="374"/>
        <v>2</v>
      </c>
      <c r="BG370" s="18">
        <f t="shared" si="411"/>
        <v>7.5390473912889027</v>
      </c>
      <c r="BH370" s="18">
        <f t="shared" si="411"/>
        <v>0.4036507072257382</v>
      </c>
      <c r="BI370" s="18">
        <f t="shared" si="411"/>
        <v>2.8022935539569067</v>
      </c>
      <c r="BJ370" s="18">
        <f t="shared" si="411"/>
        <v>1.0896358060149449</v>
      </c>
      <c r="BK370" s="18">
        <f t="shared" si="411"/>
        <v>4.9975002220889033</v>
      </c>
      <c r="BL370" s="56">
        <f t="shared" si="375"/>
        <v>2</v>
      </c>
      <c r="BN370" s="18">
        <f t="shared" si="412"/>
        <v>7.5390473912889027</v>
      </c>
      <c r="BO370" s="18">
        <f t="shared" si="412"/>
        <v>0.4036507072257382</v>
      </c>
      <c r="BP370" s="18">
        <f t="shared" si="412"/>
        <v>2.8022935539569067</v>
      </c>
      <c r="BQ370" s="18">
        <f t="shared" si="412"/>
        <v>1.0896358060149449</v>
      </c>
      <c r="BR370" s="18">
        <f t="shared" si="412"/>
        <v>4.9975002220889033</v>
      </c>
      <c r="BS370" s="56">
        <f t="shared" si="376"/>
        <v>2</v>
      </c>
      <c r="BU370" s="18">
        <f t="shared" si="413"/>
        <v>7.5390473912889027</v>
      </c>
      <c r="BV370" s="18">
        <f t="shared" si="413"/>
        <v>0.4036507072257382</v>
      </c>
      <c r="BW370" s="18">
        <f t="shared" si="413"/>
        <v>2.8022935539569067</v>
      </c>
      <c r="BX370" s="18">
        <f t="shared" si="413"/>
        <v>1.0896358060149449</v>
      </c>
      <c r="BY370" s="18">
        <f t="shared" si="413"/>
        <v>4.9975002220889033</v>
      </c>
      <c r="BZ370" s="56">
        <f t="shared" si="377"/>
        <v>2</v>
      </c>
      <c r="CB370" s="18">
        <f t="shared" si="414"/>
        <v>7.5390473912889027</v>
      </c>
      <c r="CC370" s="18">
        <f t="shared" si="414"/>
        <v>0.4036507072257382</v>
      </c>
      <c r="CD370" s="18">
        <f t="shared" si="414"/>
        <v>2.8022935539569067</v>
      </c>
      <c r="CE370" s="18">
        <f t="shared" si="414"/>
        <v>1.0896358060149449</v>
      </c>
      <c r="CF370" s="18">
        <f t="shared" si="414"/>
        <v>4.9975002220889033</v>
      </c>
      <c r="CG370" s="56">
        <f t="shared" si="378"/>
        <v>2</v>
      </c>
      <c r="CI370" s="18">
        <f t="shared" si="415"/>
        <v>7.5390473912889027</v>
      </c>
      <c r="CJ370" s="18">
        <f t="shared" si="415"/>
        <v>0.4036507072257382</v>
      </c>
      <c r="CK370" s="18">
        <f t="shared" si="415"/>
        <v>2.8022935539569067</v>
      </c>
      <c r="CL370" s="18">
        <f t="shared" si="415"/>
        <v>1.0896358060149449</v>
      </c>
      <c r="CM370" s="18">
        <f t="shared" si="415"/>
        <v>4.9975002220889033</v>
      </c>
      <c r="CN370" s="56">
        <f t="shared" si="379"/>
        <v>2</v>
      </c>
      <c r="CP370" s="18">
        <f t="shared" si="416"/>
        <v>7.5390473912889027</v>
      </c>
      <c r="CQ370" s="18">
        <f t="shared" si="416"/>
        <v>0.4036507072257382</v>
      </c>
      <c r="CR370" s="18">
        <f t="shared" si="416"/>
        <v>2.8022935539569067</v>
      </c>
      <c r="CS370" s="18">
        <f t="shared" si="416"/>
        <v>1.0896358060149449</v>
      </c>
      <c r="CT370" s="18">
        <f t="shared" si="416"/>
        <v>4.9975002220889033</v>
      </c>
      <c r="CU370" s="56">
        <f t="shared" si="380"/>
        <v>2</v>
      </c>
      <c r="CW370" s="18">
        <f t="shared" si="417"/>
        <v>7.5390473912889027</v>
      </c>
      <c r="CX370" s="18">
        <f t="shared" si="417"/>
        <v>0.4036507072257382</v>
      </c>
      <c r="CY370" s="18">
        <f t="shared" si="417"/>
        <v>2.8022935539569067</v>
      </c>
      <c r="CZ370" s="18">
        <f t="shared" si="417"/>
        <v>1.0896358060149449</v>
      </c>
      <c r="DA370" s="18">
        <f t="shared" si="417"/>
        <v>4.9975002220889033</v>
      </c>
      <c r="DB370" s="56">
        <f t="shared" si="381"/>
        <v>2</v>
      </c>
    </row>
    <row r="371" spans="1:106" x14ac:dyDescent="0.25">
      <c r="A371" s="36" t="str">
        <f>KMeans_Data!A99</f>
        <v>Umerkot</v>
      </c>
      <c r="B371" s="18">
        <f>KMeans_Data!H99</f>
        <v>-0.88131147797298559</v>
      </c>
      <c r="C371" s="18">
        <f>KMeans_Data!I99</f>
        <v>-0.14698313392952958</v>
      </c>
      <c r="D371" s="18">
        <f>KMeans_Data!J99</f>
        <v>-0.82444601589876665</v>
      </c>
      <c r="E371" s="56">
        <f t="shared" si="368"/>
        <v>2</v>
      </c>
      <c r="F371" s="38">
        <f t="shared" si="369"/>
        <v>0.47422699136542268</v>
      </c>
      <c r="G371" s="18">
        <f>IF(COUNTIF(Distance_Matrix!$E$11:$DQ$11,$E371)&lt;=1,0,SUMIF(Distance_Matrix!$E$11:$DQ$11,$E371,Distance_Matrix!$E$108:$DQ$108)/(COUNTIF(Distance_Matrix!$E$11:$DQ$11,$E371)-1))</f>
        <v>0.81667714269528491</v>
      </c>
      <c r="H371" s="18">
        <f>MIN(IF(1=$E371,1E+99,IF(COUNTIF(Distance_Matrix!$E$11:$DQ$11,1)=0,1E+99,SUMIF(Distance_Matrix!$E$11:$DQ$11,1,Distance_Matrix!$E$108:$DQ$108)/COUNTIF(Distance_Matrix!$E$11:$DQ$11,1))),IF(2=$E371,1E+99,IF(COUNTIF(Distance_Matrix!$E$11:$DQ$11,2)=0,1E+99,SUMIF(Distance_Matrix!$E$11:$DQ$11,2,Distance_Matrix!$E$108:$DQ$108)/COUNTIF(Distance_Matrix!$E$11:$DQ$11,2))),IF(3=$E371,1E+99,IF(COUNTIF(Distance_Matrix!$E$11:$DQ$11,3)=0,1E+99,SUMIF(Distance_Matrix!$E$11:$DQ$11,3,Distance_Matrix!$E$108:$DQ$108)/COUNTIF(Distance_Matrix!$E$11:$DQ$11,3))),IF(4=$E371,1E+99,IF(COUNTIF(Distance_Matrix!$E$11:$DQ$11,4)=0,1E+99,SUMIF(Distance_Matrix!$E$11:$DQ$11,4,Distance_Matrix!$E$108:$DQ$108)/COUNTIF(Distance_Matrix!$E$11:$DQ$11,4))),IF(5=$E371,1E+99,IF(COUNTIF(Distance_Matrix!$E$11:$DQ$11,5)=0,1E+99,SUMIF(Distance_Matrix!$E$11:$DQ$11,5,Distance_Matrix!$E$108:$DQ$108)/COUNTIF(Distance_Matrix!$E$11:$DQ$11,5))))</f>
        <v>1.1756041934310499</v>
      </c>
      <c r="I371" s="18">
        <f>IF(COUNTIF(Distance_Matrix!$E$11:$DQ$11,$E371)&lt;=1,0,(H371-G371)/MAX(G371,H371))</f>
        <v>0.30531283636222956</v>
      </c>
      <c r="X371" s="18">
        <f t="shared" si="406"/>
        <v>7.1703290216323134</v>
      </c>
      <c r="Y371" s="18">
        <f t="shared" si="406"/>
        <v>1.3474867466048319</v>
      </c>
      <c r="Z371" s="18">
        <f t="shared" si="406"/>
        <v>3.0370836754197215</v>
      </c>
      <c r="AA371" s="18">
        <f t="shared" si="406"/>
        <v>1.5604005879269436</v>
      </c>
      <c r="AB371" s="18">
        <f t="shared" si="406"/>
        <v>5.168570922912421</v>
      </c>
      <c r="AC371" s="56">
        <f t="shared" si="370"/>
        <v>2</v>
      </c>
      <c r="AE371" s="18">
        <f t="shared" si="407"/>
        <v>7.0398609478577896</v>
      </c>
      <c r="AF371" s="18">
        <f t="shared" si="407"/>
        <v>0.63134391318726779</v>
      </c>
      <c r="AG371" s="18">
        <f t="shared" si="407"/>
        <v>2.2916980930122723</v>
      </c>
      <c r="AH371" s="18">
        <f t="shared" si="407"/>
        <v>0.94038397039366517</v>
      </c>
      <c r="AI371" s="18">
        <f t="shared" si="407"/>
        <v>4.7838848048900653</v>
      </c>
      <c r="AJ371" s="56">
        <f t="shared" si="371"/>
        <v>2</v>
      </c>
      <c r="AL371" s="18">
        <f t="shared" si="408"/>
        <v>7.0398609478577896</v>
      </c>
      <c r="AM371" s="18">
        <f t="shared" si="408"/>
        <v>0.63725021649049529</v>
      </c>
      <c r="AN371" s="18">
        <f t="shared" si="408"/>
        <v>2.3436975435326497</v>
      </c>
      <c r="AO371" s="18">
        <f t="shared" si="408"/>
        <v>0.9775468389002282</v>
      </c>
      <c r="AP371" s="18">
        <f t="shared" si="408"/>
        <v>4.5095373554072857</v>
      </c>
      <c r="AQ371" s="56">
        <f t="shared" si="372"/>
        <v>2</v>
      </c>
      <c r="AS371" s="18">
        <f t="shared" si="409"/>
        <v>7.0398609478577896</v>
      </c>
      <c r="AT371" s="18">
        <f t="shared" si="409"/>
        <v>0.68864140985379518</v>
      </c>
      <c r="AU371" s="18">
        <f t="shared" si="409"/>
        <v>2.3709020261365019</v>
      </c>
      <c r="AV371" s="18">
        <f t="shared" si="409"/>
        <v>0.94803932008259018</v>
      </c>
      <c r="AW371" s="18">
        <f t="shared" si="409"/>
        <v>4.5095373554072857</v>
      </c>
      <c r="AX371" s="56">
        <f t="shared" si="373"/>
        <v>2</v>
      </c>
      <c r="AZ371" s="18">
        <f t="shared" si="410"/>
        <v>7.0398609478577896</v>
      </c>
      <c r="BA371" s="18">
        <f t="shared" si="410"/>
        <v>0.68864140985379518</v>
      </c>
      <c r="BB371" s="18">
        <f t="shared" si="410"/>
        <v>2.3709020261365019</v>
      </c>
      <c r="BC371" s="18">
        <f t="shared" si="410"/>
        <v>0.94803932008259018</v>
      </c>
      <c r="BD371" s="18">
        <f t="shared" si="410"/>
        <v>4.5095373554072857</v>
      </c>
      <c r="BE371" s="56">
        <f t="shared" si="374"/>
        <v>2</v>
      </c>
      <c r="BG371" s="18">
        <f t="shared" si="411"/>
        <v>7.0398609478577896</v>
      </c>
      <c r="BH371" s="18">
        <f t="shared" si="411"/>
        <v>0.68864140985379518</v>
      </c>
      <c r="BI371" s="18">
        <f t="shared" si="411"/>
        <v>2.3709020261365019</v>
      </c>
      <c r="BJ371" s="18">
        <f t="shared" si="411"/>
        <v>0.94803932008259018</v>
      </c>
      <c r="BK371" s="18">
        <f t="shared" si="411"/>
        <v>4.5095373554072857</v>
      </c>
      <c r="BL371" s="56">
        <f t="shared" si="375"/>
        <v>2</v>
      </c>
      <c r="BN371" s="18">
        <f t="shared" si="412"/>
        <v>7.0398609478577896</v>
      </c>
      <c r="BO371" s="18">
        <f t="shared" si="412"/>
        <v>0.68864140985379518</v>
      </c>
      <c r="BP371" s="18">
        <f t="shared" si="412"/>
        <v>2.3709020261365019</v>
      </c>
      <c r="BQ371" s="18">
        <f t="shared" si="412"/>
        <v>0.94803932008259018</v>
      </c>
      <c r="BR371" s="18">
        <f t="shared" si="412"/>
        <v>4.5095373554072857</v>
      </c>
      <c r="BS371" s="56">
        <f t="shared" si="376"/>
        <v>2</v>
      </c>
      <c r="BU371" s="18">
        <f t="shared" si="413"/>
        <v>7.0398609478577896</v>
      </c>
      <c r="BV371" s="18">
        <f t="shared" si="413"/>
        <v>0.68864140985379518</v>
      </c>
      <c r="BW371" s="18">
        <f t="shared" si="413"/>
        <v>2.3709020261365019</v>
      </c>
      <c r="BX371" s="18">
        <f t="shared" si="413"/>
        <v>0.94803932008259018</v>
      </c>
      <c r="BY371" s="18">
        <f t="shared" si="413"/>
        <v>4.5095373554072857</v>
      </c>
      <c r="BZ371" s="56">
        <f t="shared" si="377"/>
        <v>2</v>
      </c>
      <c r="CB371" s="18">
        <f t="shared" si="414"/>
        <v>7.0398609478577896</v>
      </c>
      <c r="CC371" s="18">
        <f t="shared" si="414"/>
        <v>0.68864140985379518</v>
      </c>
      <c r="CD371" s="18">
        <f t="shared" si="414"/>
        <v>2.3709020261365019</v>
      </c>
      <c r="CE371" s="18">
        <f t="shared" si="414"/>
        <v>0.94803932008259018</v>
      </c>
      <c r="CF371" s="18">
        <f t="shared" si="414"/>
        <v>4.5095373554072857</v>
      </c>
      <c r="CG371" s="56">
        <f t="shared" si="378"/>
        <v>2</v>
      </c>
      <c r="CI371" s="18">
        <f t="shared" si="415"/>
        <v>7.0398609478577896</v>
      </c>
      <c r="CJ371" s="18">
        <f t="shared" si="415"/>
        <v>0.68864140985379518</v>
      </c>
      <c r="CK371" s="18">
        <f t="shared" si="415"/>
        <v>2.3709020261365019</v>
      </c>
      <c r="CL371" s="18">
        <f t="shared" si="415"/>
        <v>0.94803932008259018</v>
      </c>
      <c r="CM371" s="18">
        <f t="shared" si="415"/>
        <v>4.5095373554072857</v>
      </c>
      <c r="CN371" s="56">
        <f t="shared" si="379"/>
        <v>2</v>
      </c>
      <c r="CP371" s="18">
        <f t="shared" si="416"/>
        <v>7.0398609478577896</v>
      </c>
      <c r="CQ371" s="18">
        <f t="shared" si="416"/>
        <v>0.68864140985379518</v>
      </c>
      <c r="CR371" s="18">
        <f t="shared" si="416"/>
        <v>2.3709020261365019</v>
      </c>
      <c r="CS371" s="18">
        <f t="shared" si="416"/>
        <v>0.94803932008259018</v>
      </c>
      <c r="CT371" s="18">
        <f t="shared" si="416"/>
        <v>4.5095373554072857</v>
      </c>
      <c r="CU371" s="56">
        <f t="shared" si="380"/>
        <v>2</v>
      </c>
      <c r="CW371" s="18">
        <f t="shared" si="417"/>
        <v>7.0398609478577896</v>
      </c>
      <c r="CX371" s="18">
        <f t="shared" si="417"/>
        <v>0.68864140985379518</v>
      </c>
      <c r="CY371" s="18">
        <f t="shared" si="417"/>
        <v>2.3709020261365019</v>
      </c>
      <c r="CZ371" s="18">
        <f t="shared" si="417"/>
        <v>0.94803932008259018</v>
      </c>
      <c r="DA371" s="18">
        <f t="shared" si="417"/>
        <v>4.5095373554072857</v>
      </c>
      <c r="DB371" s="56">
        <f t="shared" si="381"/>
        <v>2</v>
      </c>
    </row>
    <row r="372" spans="1:106" x14ac:dyDescent="0.25">
      <c r="A372" s="36" t="str">
        <f>KMeans_Data!A100</f>
        <v>Tando Allahyar</v>
      </c>
      <c r="B372" s="18">
        <f>KMeans_Data!H100</f>
        <v>-0.88131147797298559</v>
      </c>
      <c r="C372" s="18">
        <f>KMeans_Data!I100</f>
        <v>-0.67265054538827607</v>
      </c>
      <c r="D372" s="18">
        <f>KMeans_Data!J100</f>
        <v>0.26515989636960624</v>
      </c>
      <c r="E372" s="56">
        <f t="shared" si="368"/>
        <v>4</v>
      </c>
      <c r="F372" s="38">
        <f t="shared" si="369"/>
        <v>1.0034343255363727</v>
      </c>
      <c r="G372" s="18">
        <f>IF(COUNTIF(Distance_Matrix!$E$11:$DQ$11,$E372)&lt;=1,0,SUMIF(Distance_Matrix!$E$11:$DQ$11,$E372,Distance_Matrix!$E$109:$DQ$109)/(COUNTIF(Distance_Matrix!$E$11:$DQ$11,$E372)-1))</f>
        <v>1.1757278866655689</v>
      </c>
      <c r="H372" s="18">
        <f>MIN(IF(1=$E372,1E+99,IF(COUNTIF(Distance_Matrix!$E$11:$DQ$11,1)=0,1E+99,SUMIF(Distance_Matrix!$E$11:$DQ$11,1,Distance_Matrix!$E$109:$DQ$109)/COUNTIF(Distance_Matrix!$E$11:$DQ$11,1))),IF(2=$E372,1E+99,IF(COUNTIF(Distance_Matrix!$E$11:$DQ$11,2)=0,1E+99,SUMIF(Distance_Matrix!$E$11:$DQ$11,2,Distance_Matrix!$E$109:$DQ$109)/COUNTIF(Distance_Matrix!$E$11:$DQ$11,2))),IF(3=$E372,1E+99,IF(COUNTIF(Distance_Matrix!$E$11:$DQ$11,3)=0,1E+99,SUMIF(Distance_Matrix!$E$11:$DQ$11,3,Distance_Matrix!$E$109:$DQ$109)/COUNTIF(Distance_Matrix!$E$11:$DQ$11,3))),IF(4=$E372,1E+99,IF(COUNTIF(Distance_Matrix!$E$11:$DQ$11,4)=0,1E+99,SUMIF(Distance_Matrix!$E$11:$DQ$11,4,Distance_Matrix!$E$109:$DQ$109)/COUNTIF(Distance_Matrix!$E$11:$DQ$11,4))),IF(5=$E372,1E+99,IF(COUNTIF(Distance_Matrix!$E$11:$DQ$11,5)=0,1E+99,SUMIF(Distance_Matrix!$E$11:$DQ$11,5,Distance_Matrix!$E$109:$DQ$109)/COUNTIF(Distance_Matrix!$E$11:$DQ$11,5))))</f>
        <v>1.4527326305609547</v>
      </c>
      <c r="I372" s="18">
        <f>IF(COUNTIF(Distance_Matrix!$E$11:$DQ$11,$E372)&lt;=1,0,(H372-G372)/MAX(G372,H372))</f>
        <v>0.19067840707097206</v>
      </c>
      <c r="X372" s="18">
        <f t="shared" si="406"/>
        <v>6.9565010417417197</v>
      </c>
      <c r="Y372" s="18">
        <f t="shared" si="406"/>
        <v>1.8511061685766055</v>
      </c>
      <c r="Z372" s="18">
        <f t="shared" si="406"/>
        <v>2.4978253127828713</v>
      </c>
      <c r="AA372" s="18">
        <f t="shared" si="406"/>
        <v>2.1443824203739674</v>
      </c>
      <c r="AB372" s="18">
        <f t="shared" si="406"/>
        <v>4.8762304468318245</v>
      </c>
      <c r="AC372" s="56">
        <f t="shared" si="370"/>
        <v>2</v>
      </c>
      <c r="AE372" s="18">
        <f t="shared" si="407"/>
        <v>6.8720030696440411</v>
      </c>
      <c r="AF372" s="18">
        <f t="shared" si="407"/>
        <v>1.2532530645575661</v>
      </c>
      <c r="AG372" s="18">
        <f t="shared" si="407"/>
        <v>1.9378915322147123</v>
      </c>
      <c r="AH372" s="18">
        <f t="shared" si="407"/>
        <v>1.1452386508209169</v>
      </c>
      <c r="AI372" s="18">
        <f t="shared" si="407"/>
        <v>4.6345325635658394</v>
      </c>
      <c r="AJ372" s="56">
        <f t="shared" si="371"/>
        <v>4</v>
      </c>
      <c r="AL372" s="18">
        <f t="shared" si="408"/>
        <v>6.8720030696440411</v>
      </c>
      <c r="AM372" s="18">
        <f t="shared" si="408"/>
        <v>1.299206450948158</v>
      </c>
      <c r="AN372" s="18">
        <f t="shared" si="408"/>
        <v>2.0193404674819426</v>
      </c>
      <c r="AO372" s="18">
        <f t="shared" si="408"/>
        <v>1.0513602638809663</v>
      </c>
      <c r="AP372" s="18">
        <f t="shared" si="408"/>
        <v>4.3632746321761067</v>
      </c>
      <c r="AQ372" s="56">
        <f t="shared" si="372"/>
        <v>4</v>
      </c>
      <c r="AS372" s="18">
        <f t="shared" si="409"/>
        <v>6.8720030696440411</v>
      </c>
      <c r="AT372" s="18">
        <f t="shared" si="409"/>
        <v>1.3967236238088476</v>
      </c>
      <c r="AU372" s="18">
        <f t="shared" si="409"/>
        <v>2.0452400128353885</v>
      </c>
      <c r="AV372" s="18">
        <f t="shared" si="409"/>
        <v>1.0017156909704332</v>
      </c>
      <c r="AW372" s="18">
        <f t="shared" si="409"/>
        <v>4.3632746321761067</v>
      </c>
      <c r="AX372" s="56">
        <f t="shared" si="373"/>
        <v>4</v>
      </c>
      <c r="AZ372" s="18">
        <f t="shared" si="410"/>
        <v>6.8720030696440411</v>
      </c>
      <c r="BA372" s="18">
        <f t="shared" si="410"/>
        <v>1.3967236238088476</v>
      </c>
      <c r="BB372" s="18">
        <f t="shared" si="410"/>
        <v>2.0452400128353885</v>
      </c>
      <c r="BC372" s="18">
        <f t="shared" si="410"/>
        <v>1.0017156909704332</v>
      </c>
      <c r="BD372" s="18">
        <f t="shared" si="410"/>
        <v>4.3632746321761067</v>
      </c>
      <c r="BE372" s="56">
        <f t="shared" si="374"/>
        <v>4</v>
      </c>
      <c r="BG372" s="18">
        <f t="shared" si="411"/>
        <v>6.8720030696440411</v>
      </c>
      <c r="BH372" s="18">
        <f t="shared" si="411"/>
        <v>1.3967236238088476</v>
      </c>
      <c r="BI372" s="18">
        <f t="shared" si="411"/>
        <v>2.0452400128353885</v>
      </c>
      <c r="BJ372" s="18">
        <f t="shared" si="411"/>
        <v>1.0017156909704332</v>
      </c>
      <c r="BK372" s="18">
        <f t="shared" si="411"/>
        <v>4.3632746321761067</v>
      </c>
      <c r="BL372" s="56">
        <f t="shared" si="375"/>
        <v>4</v>
      </c>
      <c r="BN372" s="18">
        <f t="shared" si="412"/>
        <v>6.8720030696440411</v>
      </c>
      <c r="BO372" s="18">
        <f t="shared" si="412"/>
        <v>1.3967236238088476</v>
      </c>
      <c r="BP372" s="18">
        <f t="shared" si="412"/>
        <v>2.0452400128353885</v>
      </c>
      <c r="BQ372" s="18">
        <f t="shared" si="412"/>
        <v>1.0017156909704332</v>
      </c>
      <c r="BR372" s="18">
        <f t="shared" si="412"/>
        <v>4.3632746321761067</v>
      </c>
      <c r="BS372" s="56">
        <f t="shared" si="376"/>
        <v>4</v>
      </c>
      <c r="BU372" s="18">
        <f t="shared" si="413"/>
        <v>6.8720030696440411</v>
      </c>
      <c r="BV372" s="18">
        <f t="shared" si="413"/>
        <v>1.3967236238088476</v>
      </c>
      <c r="BW372" s="18">
        <f t="shared" si="413"/>
        <v>2.0452400128353885</v>
      </c>
      <c r="BX372" s="18">
        <f t="shared" si="413"/>
        <v>1.0017156909704332</v>
      </c>
      <c r="BY372" s="18">
        <f t="shared" si="413"/>
        <v>4.3632746321761067</v>
      </c>
      <c r="BZ372" s="56">
        <f t="shared" si="377"/>
        <v>4</v>
      </c>
      <c r="CB372" s="18">
        <f t="shared" si="414"/>
        <v>6.8720030696440411</v>
      </c>
      <c r="CC372" s="18">
        <f t="shared" si="414"/>
        <v>1.3967236238088476</v>
      </c>
      <c r="CD372" s="18">
        <f t="shared" si="414"/>
        <v>2.0452400128353885</v>
      </c>
      <c r="CE372" s="18">
        <f t="shared" si="414"/>
        <v>1.0017156909704332</v>
      </c>
      <c r="CF372" s="18">
        <f t="shared" si="414"/>
        <v>4.3632746321761067</v>
      </c>
      <c r="CG372" s="56">
        <f t="shared" si="378"/>
        <v>4</v>
      </c>
      <c r="CI372" s="18">
        <f t="shared" si="415"/>
        <v>6.8720030696440411</v>
      </c>
      <c r="CJ372" s="18">
        <f t="shared" si="415"/>
        <v>1.3967236238088476</v>
      </c>
      <c r="CK372" s="18">
        <f t="shared" si="415"/>
        <v>2.0452400128353885</v>
      </c>
      <c r="CL372" s="18">
        <f t="shared" si="415"/>
        <v>1.0017156909704332</v>
      </c>
      <c r="CM372" s="18">
        <f t="shared" si="415"/>
        <v>4.3632746321761067</v>
      </c>
      <c r="CN372" s="56">
        <f t="shared" si="379"/>
        <v>4</v>
      </c>
      <c r="CP372" s="18">
        <f t="shared" si="416"/>
        <v>6.8720030696440411</v>
      </c>
      <c r="CQ372" s="18">
        <f t="shared" si="416"/>
        <v>1.3967236238088476</v>
      </c>
      <c r="CR372" s="18">
        <f t="shared" si="416"/>
        <v>2.0452400128353885</v>
      </c>
      <c r="CS372" s="18">
        <f t="shared" si="416"/>
        <v>1.0017156909704332</v>
      </c>
      <c r="CT372" s="18">
        <f t="shared" si="416"/>
        <v>4.3632746321761067</v>
      </c>
      <c r="CU372" s="56">
        <f t="shared" si="380"/>
        <v>4</v>
      </c>
      <c r="CW372" s="18">
        <f t="shared" si="417"/>
        <v>6.8720030696440411</v>
      </c>
      <c r="CX372" s="18">
        <f t="shared" si="417"/>
        <v>1.3967236238088476</v>
      </c>
      <c r="CY372" s="18">
        <f t="shared" si="417"/>
        <v>2.0452400128353885</v>
      </c>
      <c r="CZ372" s="18">
        <f t="shared" si="417"/>
        <v>1.0017156909704332</v>
      </c>
      <c r="DA372" s="18">
        <f t="shared" si="417"/>
        <v>4.3632746321761067</v>
      </c>
      <c r="DB372" s="56">
        <f t="shared" si="381"/>
        <v>4</v>
      </c>
    </row>
    <row r="373" spans="1:106" x14ac:dyDescent="0.25">
      <c r="A373" s="36" t="str">
        <f>KMeans_Data!A101</f>
        <v>Mirpur</v>
      </c>
      <c r="B373" s="18">
        <f>KMeans_Data!H101</f>
        <v>-0.88131147797298559</v>
      </c>
      <c r="C373" s="18">
        <f>KMeans_Data!I101</f>
        <v>-0.67265054538827607</v>
      </c>
      <c r="D373" s="18">
        <f>KMeans_Data!J101</f>
        <v>-1.1456441163335547</v>
      </c>
      <c r="E373" s="56">
        <f t="shared" ref="E373:E393" si="418">DB373</f>
        <v>2</v>
      </c>
      <c r="F373" s="38">
        <f t="shared" ref="F373:F404" si="419">($B373-INDEX($L$270:$P$270,E373))^2+($C373-INDEX($L$271:$P$271,E373))^2+($D373-INDEX($L$272:$P$272,E373))^2</f>
        <v>0.16293389344383863</v>
      </c>
      <c r="G373" s="18">
        <f>IF(COUNTIF(Distance_Matrix!$E$11:$DQ$11,$E373)&lt;=1,0,SUMIF(Distance_Matrix!$E$11:$DQ$11,$E373,Distance_Matrix!$E$110:$DQ$110)/(COUNTIF(Distance_Matrix!$E$11:$DQ$11,$E373)-1))</f>
        <v>0.52255110794184201</v>
      </c>
      <c r="H373" s="18">
        <f>MIN(IF(1=$E373,1E+99,IF(COUNTIF(Distance_Matrix!$E$11:$DQ$11,1)=0,1E+99,SUMIF(Distance_Matrix!$E$11:$DQ$11,1,Distance_Matrix!$E$110:$DQ$110)/COUNTIF(Distance_Matrix!$E$11:$DQ$11,1))),IF(2=$E373,1E+99,IF(COUNTIF(Distance_Matrix!$E$11:$DQ$11,2)=0,1E+99,SUMIF(Distance_Matrix!$E$11:$DQ$11,2,Distance_Matrix!$E$110:$DQ$110)/COUNTIF(Distance_Matrix!$E$11:$DQ$11,2))),IF(3=$E373,1E+99,IF(COUNTIF(Distance_Matrix!$E$11:$DQ$11,3)=0,1E+99,SUMIF(Distance_Matrix!$E$11:$DQ$11,3,Distance_Matrix!$E$110:$DQ$110)/COUNTIF(Distance_Matrix!$E$11:$DQ$11,3))),IF(4=$E373,1E+99,IF(COUNTIF(Distance_Matrix!$E$11:$DQ$11,4)=0,1E+99,SUMIF(Distance_Matrix!$E$11:$DQ$11,4,Distance_Matrix!$E$110:$DQ$110)/COUNTIF(Distance_Matrix!$E$11:$DQ$11,4))),IF(5=$E373,1E+99,IF(COUNTIF(Distance_Matrix!$E$11:$DQ$11,5)=0,1E+99,SUMIF(Distance_Matrix!$E$11:$DQ$11,5,Distance_Matrix!$E$110:$DQ$110)/COUNTIF(Distance_Matrix!$E$11:$DQ$11,5))))</f>
        <v>1.2603442406450758</v>
      </c>
      <c r="I373" s="18">
        <f>IF(COUNTIF(Distance_Matrix!$E$11:$DQ$11,$E373)&lt;=1,0,(H373-G373)/MAX(G373,H373))</f>
        <v>0.58539017270838067</v>
      </c>
      <c r="X373" s="18">
        <f t="shared" si="406"/>
        <v>7.6689619977801469</v>
      </c>
      <c r="Y373" s="18">
        <f t="shared" si="406"/>
        <v>1.198426503830343</v>
      </c>
      <c r="Z373" s="18">
        <f t="shared" si="406"/>
        <v>3.4103119353684268</v>
      </c>
      <c r="AA373" s="18">
        <f t="shared" si="406"/>
        <v>1.6149328167294064</v>
      </c>
      <c r="AB373" s="18">
        <f t="shared" si="406"/>
        <v>5.6314892832805281</v>
      </c>
      <c r="AC373" s="56">
        <f t="shared" ref="AC373:AC404" si="420">MATCH(MIN(X373:AB373),X373:AB373,0)</f>
        <v>2</v>
      </c>
      <c r="AE373" s="18">
        <f t="shared" si="407"/>
        <v>7.5390473912889027</v>
      </c>
      <c r="AF373" s="18">
        <f t="shared" si="407"/>
        <v>0.41715127923040168</v>
      </c>
      <c r="AG373" s="18">
        <f t="shared" si="407"/>
        <v>2.717497614891307</v>
      </c>
      <c r="AH373" s="18">
        <f t="shared" si="407"/>
        <v>1.0504938612894712</v>
      </c>
      <c r="AI373" s="18">
        <f t="shared" si="407"/>
        <v>5.2693719507730306</v>
      </c>
      <c r="AJ373" s="56">
        <f t="shared" ref="AJ373:AJ404" si="421">MATCH(MIN(AE373:AI373),AE373:AI373,0)</f>
        <v>2</v>
      </c>
      <c r="AL373" s="18">
        <f t="shared" si="408"/>
        <v>7.5390473912889027</v>
      </c>
      <c r="AM373" s="18">
        <f t="shared" si="408"/>
        <v>0.38618675270464387</v>
      </c>
      <c r="AN373" s="18">
        <f t="shared" si="408"/>
        <v>2.7752814584503418</v>
      </c>
      <c r="AO373" s="18">
        <f t="shared" si="408"/>
        <v>1.1070403819482726</v>
      </c>
      <c r="AP373" s="18">
        <f t="shared" si="408"/>
        <v>4.9975002220889033</v>
      </c>
      <c r="AQ373" s="56">
        <f t="shared" ref="AQ373:AQ404" si="422">MATCH(MIN(AL373:AP373),AL373:AP373,0)</f>
        <v>2</v>
      </c>
      <c r="AS373" s="18">
        <f t="shared" si="409"/>
        <v>7.5390473912889027</v>
      </c>
      <c r="AT373" s="18">
        <f t="shared" si="409"/>
        <v>0.4036507072257382</v>
      </c>
      <c r="AU373" s="18">
        <f t="shared" si="409"/>
        <v>2.8022935539569067</v>
      </c>
      <c r="AV373" s="18">
        <f t="shared" si="409"/>
        <v>1.0896358060149449</v>
      </c>
      <c r="AW373" s="18">
        <f t="shared" si="409"/>
        <v>4.9975002220889033</v>
      </c>
      <c r="AX373" s="56">
        <f t="shared" ref="AX373:AX404" si="423">MATCH(MIN(AS373:AW373),AS373:AW373,0)</f>
        <v>2</v>
      </c>
      <c r="AZ373" s="18">
        <f t="shared" si="410"/>
        <v>7.5390473912889027</v>
      </c>
      <c r="BA373" s="18">
        <f t="shared" si="410"/>
        <v>0.4036507072257382</v>
      </c>
      <c r="BB373" s="18">
        <f t="shared" si="410"/>
        <v>2.8022935539569067</v>
      </c>
      <c r="BC373" s="18">
        <f t="shared" si="410"/>
        <v>1.0896358060149449</v>
      </c>
      <c r="BD373" s="18">
        <f t="shared" si="410"/>
        <v>4.9975002220889033</v>
      </c>
      <c r="BE373" s="56">
        <f t="shared" ref="BE373:BE404" si="424">MATCH(MIN(AZ373:BD373),AZ373:BD373,0)</f>
        <v>2</v>
      </c>
      <c r="BG373" s="18">
        <f t="shared" si="411"/>
        <v>7.5390473912889027</v>
      </c>
      <c r="BH373" s="18">
        <f t="shared" si="411"/>
        <v>0.4036507072257382</v>
      </c>
      <c r="BI373" s="18">
        <f t="shared" si="411"/>
        <v>2.8022935539569067</v>
      </c>
      <c r="BJ373" s="18">
        <f t="shared" si="411"/>
        <v>1.0896358060149449</v>
      </c>
      <c r="BK373" s="18">
        <f t="shared" si="411"/>
        <v>4.9975002220889033</v>
      </c>
      <c r="BL373" s="56">
        <f t="shared" ref="BL373:BL404" si="425">MATCH(MIN(BG373:BK373),BG373:BK373,0)</f>
        <v>2</v>
      </c>
      <c r="BN373" s="18">
        <f t="shared" si="412"/>
        <v>7.5390473912889027</v>
      </c>
      <c r="BO373" s="18">
        <f t="shared" si="412"/>
        <v>0.4036507072257382</v>
      </c>
      <c r="BP373" s="18">
        <f t="shared" si="412"/>
        <v>2.8022935539569067</v>
      </c>
      <c r="BQ373" s="18">
        <f t="shared" si="412"/>
        <v>1.0896358060149449</v>
      </c>
      <c r="BR373" s="18">
        <f t="shared" si="412"/>
        <v>4.9975002220889033</v>
      </c>
      <c r="BS373" s="56">
        <f t="shared" ref="BS373:BS404" si="426">MATCH(MIN(BN373:BR373),BN373:BR373,0)</f>
        <v>2</v>
      </c>
      <c r="BU373" s="18">
        <f t="shared" si="413"/>
        <v>7.5390473912889027</v>
      </c>
      <c r="BV373" s="18">
        <f t="shared" si="413"/>
        <v>0.4036507072257382</v>
      </c>
      <c r="BW373" s="18">
        <f t="shared" si="413"/>
        <v>2.8022935539569067</v>
      </c>
      <c r="BX373" s="18">
        <f t="shared" si="413"/>
        <v>1.0896358060149449</v>
      </c>
      <c r="BY373" s="18">
        <f t="shared" si="413"/>
        <v>4.9975002220889033</v>
      </c>
      <c r="BZ373" s="56">
        <f t="shared" ref="BZ373:BZ404" si="427">MATCH(MIN(BU373:BY373),BU373:BY373,0)</f>
        <v>2</v>
      </c>
      <c r="CB373" s="18">
        <f t="shared" si="414"/>
        <v>7.5390473912889027</v>
      </c>
      <c r="CC373" s="18">
        <f t="shared" si="414"/>
        <v>0.4036507072257382</v>
      </c>
      <c r="CD373" s="18">
        <f t="shared" si="414"/>
        <v>2.8022935539569067</v>
      </c>
      <c r="CE373" s="18">
        <f t="shared" si="414"/>
        <v>1.0896358060149449</v>
      </c>
      <c r="CF373" s="18">
        <f t="shared" si="414"/>
        <v>4.9975002220889033</v>
      </c>
      <c r="CG373" s="56">
        <f t="shared" ref="CG373:CG404" si="428">MATCH(MIN(CB373:CF373),CB373:CF373,0)</f>
        <v>2</v>
      </c>
      <c r="CI373" s="18">
        <f t="shared" si="415"/>
        <v>7.5390473912889027</v>
      </c>
      <c r="CJ373" s="18">
        <f t="shared" si="415"/>
        <v>0.4036507072257382</v>
      </c>
      <c r="CK373" s="18">
        <f t="shared" si="415"/>
        <v>2.8022935539569067</v>
      </c>
      <c r="CL373" s="18">
        <f t="shared" si="415"/>
        <v>1.0896358060149449</v>
      </c>
      <c r="CM373" s="18">
        <f t="shared" si="415"/>
        <v>4.9975002220889033</v>
      </c>
      <c r="CN373" s="56">
        <f t="shared" ref="CN373:CN404" si="429">MATCH(MIN(CI373:CM373),CI373:CM373,0)</f>
        <v>2</v>
      </c>
      <c r="CP373" s="18">
        <f t="shared" si="416"/>
        <v>7.5390473912889027</v>
      </c>
      <c r="CQ373" s="18">
        <f t="shared" si="416"/>
        <v>0.4036507072257382</v>
      </c>
      <c r="CR373" s="18">
        <f t="shared" si="416"/>
        <v>2.8022935539569067</v>
      </c>
      <c r="CS373" s="18">
        <f t="shared" si="416"/>
        <v>1.0896358060149449</v>
      </c>
      <c r="CT373" s="18">
        <f t="shared" si="416"/>
        <v>4.9975002220889033</v>
      </c>
      <c r="CU373" s="56">
        <f t="shared" ref="CU373:CU404" si="430">MATCH(MIN(CP373:CT373),CP373:CT373,0)</f>
        <v>2</v>
      </c>
      <c r="CW373" s="18">
        <f t="shared" si="417"/>
        <v>7.5390473912889027</v>
      </c>
      <c r="CX373" s="18">
        <f t="shared" si="417"/>
        <v>0.4036507072257382</v>
      </c>
      <c r="CY373" s="18">
        <f t="shared" si="417"/>
        <v>2.8022935539569067</v>
      </c>
      <c r="CZ373" s="18">
        <f t="shared" si="417"/>
        <v>1.0896358060149449</v>
      </c>
      <c r="DA373" s="18">
        <f t="shared" si="417"/>
        <v>4.9975002220889033</v>
      </c>
      <c r="DB373" s="56">
        <f t="shared" ref="DB373:DB404" si="431">MATCH(MIN(CW373:DA373),CW373:DA373,0)</f>
        <v>2</v>
      </c>
    </row>
    <row r="374" spans="1:106" x14ac:dyDescent="0.25">
      <c r="A374" s="36" t="str">
        <f>KMeans_Data!A102</f>
        <v>Tank</v>
      </c>
      <c r="B374" s="18">
        <f>KMeans_Data!H102</f>
        <v>-0.9361484674096654</v>
      </c>
      <c r="C374" s="18">
        <f>KMeans_Data!I102</f>
        <v>-0.67265054538827607</v>
      </c>
      <c r="D374" s="18">
        <f>KMeans_Data!J102</f>
        <v>-3.44812518432112E-2</v>
      </c>
      <c r="E374" s="56">
        <f t="shared" si="418"/>
        <v>4</v>
      </c>
      <c r="F374" s="38">
        <f t="shared" si="419"/>
        <v>0.79508771734636707</v>
      </c>
      <c r="G374" s="18">
        <f>IF(COUNTIF(Distance_Matrix!$E$11:$DQ$11,$E374)&lt;=1,0,SUMIF(Distance_Matrix!$E$11:$DQ$11,$E374,Distance_Matrix!$E$111:$DQ$111)/(COUNTIF(Distance_Matrix!$E$11:$DQ$11,$E374)-1))</f>
        <v>1.0930009492541175</v>
      </c>
      <c r="H374" s="18">
        <f>MIN(IF(1=$E374,1E+99,IF(COUNTIF(Distance_Matrix!$E$11:$DQ$11,1)=0,1E+99,SUMIF(Distance_Matrix!$E$11:$DQ$11,1,Distance_Matrix!$E$111:$DQ$111)/COUNTIF(Distance_Matrix!$E$11:$DQ$11,1))),IF(2=$E374,1E+99,IF(COUNTIF(Distance_Matrix!$E$11:$DQ$11,2)=0,1E+99,SUMIF(Distance_Matrix!$E$11:$DQ$11,2,Distance_Matrix!$E$111:$DQ$111)/COUNTIF(Distance_Matrix!$E$11:$DQ$11,2))),IF(3=$E374,1E+99,IF(COUNTIF(Distance_Matrix!$E$11:$DQ$11,3)=0,1E+99,SUMIF(Distance_Matrix!$E$11:$DQ$11,3,Distance_Matrix!$E$111:$DQ$111)/COUNTIF(Distance_Matrix!$E$11:$DQ$11,3))),IF(4=$E374,1E+99,IF(COUNTIF(Distance_Matrix!$E$11:$DQ$11,4)=0,1E+99,SUMIF(Distance_Matrix!$E$11:$DQ$11,4,Distance_Matrix!$E$111:$DQ$111)/COUNTIF(Distance_Matrix!$E$11:$DQ$11,4))),IF(5=$E374,1E+99,IF(COUNTIF(Distance_Matrix!$E$11:$DQ$11,5)=0,1E+99,SUMIF(Distance_Matrix!$E$11:$DQ$11,5,Distance_Matrix!$E$111:$DQ$111)/COUNTIF(Distance_Matrix!$E$11:$DQ$11,5))))</f>
        <v>1.1632777690475229</v>
      </c>
      <c r="I374" s="18">
        <f>IF(COUNTIF(Distance_Matrix!$E$11:$DQ$11,$E374)&lt;=1,0,(H374-G374)/MAX(G374,H374))</f>
        <v>6.0412759242315067E-2</v>
      </c>
      <c r="X374" s="18">
        <f t="shared" si="406"/>
        <v>7.1226294067257934</v>
      </c>
      <c r="Y374" s="18">
        <f t="shared" si="406"/>
        <v>1.5945155655726664</v>
      </c>
      <c r="Z374" s="18">
        <f t="shared" si="406"/>
        <v>2.6952979135147523</v>
      </c>
      <c r="AA374" s="18">
        <f t="shared" si="406"/>
        <v>2.0032894147356153</v>
      </c>
      <c r="AB374" s="18">
        <f t="shared" si="406"/>
        <v>5.0486834822094453</v>
      </c>
      <c r="AC374" s="56">
        <f t="shared" si="420"/>
        <v>2</v>
      </c>
      <c r="AE374" s="18">
        <f t="shared" si="407"/>
        <v>7.0278438898168121</v>
      </c>
      <c r="AF374" s="18">
        <f t="shared" si="407"/>
        <v>0.9511152694837709</v>
      </c>
      <c r="AG374" s="18">
        <f t="shared" si="407"/>
        <v>2.0864014619912976</v>
      </c>
      <c r="AH374" s="18">
        <f t="shared" si="407"/>
        <v>1.0135448646645304</v>
      </c>
      <c r="AI374" s="18">
        <f t="shared" si="407"/>
        <v>4.7760450912769814</v>
      </c>
      <c r="AJ374" s="56">
        <f t="shared" si="421"/>
        <v>2</v>
      </c>
      <c r="AL374" s="18">
        <f t="shared" si="408"/>
        <v>7.0278438898168121</v>
      </c>
      <c r="AM374" s="18">
        <f t="shared" si="408"/>
        <v>0.99633188827751706</v>
      </c>
      <c r="AN374" s="18">
        <f t="shared" si="408"/>
        <v>2.16329517505919</v>
      </c>
      <c r="AO374" s="18">
        <f t="shared" si="408"/>
        <v>0.94270624099335865</v>
      </c>
      <c r="AP374" s="18">
        <f t="shared" si="408"/>
        <v>4.5026907296520644</v>
      </c>
      <c r="AQ374" s="56">
        <f t="shared" si="422"/>
        <v>4</v>
      </c>
      <c r="AS374" s="18">
        <f t="shared" si="409"/>
        <v>7.0278438898168121</v>
      </c>
      <c r="AT374" s="18">
        <f t="shared" si="409"/>
        <v>1.0943750380658661</v>
      </c>
      <c r="AU374" s="18">
        <f t="shared" si="409"/>
        <v>2.1901779940254658</v>
      </c>
      <c r="AV374" s="18">
        <f t="shared" si="409"/>
        <v>0.89167691309485364</v>
      </c>
      <c r="AW374" s="18">
        <f t="shared" si="409"/>
        <v>4.5026907296520644</v>
      </c>
      <c r="AX374" s="56">
        <f t="shared" si="423"/>
        <v>4</v>
      </c>
      <c r="AZ374" s="18">
        <f t="shared" si="410"/>
        <v>7.0278438898168121</v>
      </c>
      <c r="BA374" s="18">
        <f t="shared" si="410"/>
        <v>1.0943750380658661</v>
      </c>
      <c r="BB374" s="18">
        <f t="shared" si="410"/>
        <v>2.1901779940254658</v>
      </c>
      <c r="BC374" s="18">
        <f t="shared" si="410"/>
        <v>0.89167691309485364</v>
      </c>
      <c r="BD374" s="18">
        <f t="shared" si="410"/>
        <v>4.5026907296520644</v>
      </c>
      <c r="BE374" s="56">
        <f t="shared" si="424"/>
        <v>4</v>
      </c>
      <c r="BG374" s="18">
        <f t="shared" si="411"/>
        <v>7.0278438898168121</v>
      </c>
      <c r="BH374" s="18">
        <f t="shared" si="411"/>
        <v>1.0943750380658661</v>
      </c>
      <c r="BI374" s="18">
        <f t="shared" si="411"/>
        <v>2.1901779940254658</v>
      </c>
      <c r="BJ374" s="18">
        <f t="shared" si="411"/>
        <v>0.89167691309485364</v>
      </c>
      <c r="BK374" s="18">
        <f t="shared" si="411"/>
        <v>4.5026907296520644</v>
      </c>
      <c r="BL374" s="56">
        <f t="shared" si="425"/>
        <v>4</v>
      </c>
      <c r="BN374" s="18">
        <f t="shared" si="412"/>
        <v>7.0278438898168121</v>
      </c>
      <c r="BO374" s="18">
        <f t="shared" si="412"/>
        <v>1.0943750380658661</v>
      </c>
      <c r="BP374" s="18">
        <f t="shared" si="412"/>
        <v>2.1901779940254658</v>
      </c>
      <c r="BQ374" s="18">
        <f t="shared" si="412"/>
        <v>0.89167691309485364</v>
      </c>
      <c r="BR374" s="18">
        <f t="shared" si="412"/>
        <v>4.5026907296520644</v>
      </c>
      <c r="BS374" s="56">
        <f t="shared" si="426"/>
        <v>4</v>
      </c>
      <c r="BU374" s="18">
        <f t="shared" si="413"/>
        <v>7.0278438898168121</v>
      </c>
      <c r="BV374" s="18">
        <f t="shared" si="413"/>
        <v>1.0943750380658661</v>
      </c>
      <c r="BW374" s="18">
        <f t="shared" si="413"/>
        <v>2.1901779940254658</v>
      </c>
      <c r="BX374" s="18">
        <f t="shared" si="413"/>
        <v>0.89167691309485364</v>
      </c>
      <c r="BY374" s="18">
        <f t="shared" si="413"/>
        <v>4.5026907296520644</v>
      </c>
      <c r="BZ374" s="56">
        <f t="shared" si="427"/>
        <v>4</v>
      </c>
      <c r="CB374" s="18">
        <f t="shared" si="414"/>
        <v>7.0278438898168121</v>
      </c>
      <c r="CC374" s="18">
        <f t="shared" si="414"/>
        <v>1.0943750380658661</v>
      </c>
      <c r="CD374" s="18">
        <f t="shared" si="414"/>
        <v>2.1901779940254658</v>
      </c>
      <c r="CE374" s="18">
        <f t="shared" si="414"/>
        <v>0.89167691309485364</v>
      </c>
      <c r="CF374" s="18">
        <f t="shared" si="414"/>
        <v>4.5026907296520644</v>
      </c>
      <c r="CG374" s="56">
        <f t="shared" si="428"/>
        <v>4</v>
      </c>
      <c r="CI374" s="18">
        <f t="shared" si="415"/>
        <v>7.0278438898168121</v>
      </c>
      <c r="CJ374" s="18">
        <f t="shared" si="415"/>
        <v>1.0943750380658661</v>
      </c>
      <c r="CK374" s="18">
        <f t="shared" si="415"/>
        <v>2.1901779940254658</v>
      </c>
      <c r="CL374" s="18">
        <f t="shared" si="415"/>
        <v>0.89167691309485364</v>
      </c>
      <c r="CM374" s="18">
        <f t="shared" si="415"/>
        <v>4.5026907296520644</v>
      </c>
      <c r="CN374" s="56">
        <f t="shared" si="429"/>
        <v>4</v>
      </c>
      <c r="CP374" s="18">
        <f t="shared" si="416"/>
        <v>7.0278438898168121</v>
      </c>
      <c r="CQ374" s="18">
        <f t="shared" si="416"/>
        <v>1.0943750380658661</v>
      </c>
      <c r="CR374" s="18">
        <f t="shared" si="416"/>
        <v>2.1901779940254658</v>
      </c>
      <c r="CS374" s="18">
        <f t="shared" si="416"/>
        <v>0.89167691309485364</v>
      </c>
      <c r="CT374" s="18">
        <f t="shared" si="416"/>
        <v>4.5026907296520644</v>
      </c>
      <c r="CU374" s="56">
        <f t="shared" si="430"/>
        <v>4</v>
      </c>
      <c r="CW374" s="18">
        <f t="shared" si="417"/>
        <v>7.0278438898168121</v>
      </c>
      <c r="CX374" s="18">
        <f t="shared" si="417"/>
        <v>1.0943750380658661</v>
      </c>
      <c r="CY374" s="18">
        <f t="shared" si="417"/>
        <v>2.1901779940254658</v>
      </c>
      <c r="CZ374" s="18">
        <f t="shared" si="417"/>
        <v>0.89167691309485364</v>
      </c>
      <c r="DA374" s="18">
        <f t="shared" si="417"/>
        <v>4.5026907296520644</v>
      </c>
      <c r="DB374" s="56">
        <f t="shared" si="431"/>
        <v>4</v>
      </c>
    </row>
    <row r="375" spans="1:106" x14ac:dyDescent="0.25">
      <c r="A375" s="36" t="str">
        <f>KMeans_Data!A103</f>
        <v>Sahiwal</v>
      </c>
      <c r="B375" s="18">
        <f>KMeans_Data!H103</f>
        <v>-0.9361484674096654</v>
      </c>
      <c r="C375" s="18">
        <f>KMeans_Data!I103</f>
        <v>-0.67265054538827607</v>
      </c>
      <c r="D375" s="18">
        <f>KMeans_Data!J103</f>
        <v>-1.1456441163335547</v>
      </c>
      <c r="E375" s="56">
        <f t="shared" si="418"/>
        <v>2</v>
      </c>
      <c r="F375" s="38">
        <f t="shared" si="419"/>
        <v>0.12243718155194316</v>
      </c>
      <c r="G375" s="18">
        <f>IF(COUNTIF(Distance_Matrix!$E$11:$DQ$11,$E375)&lt;=1,0,SUMIF(Distance_Matrix!$E$11:$DQ$11,$E375,Distance_Matrix!$E$112:$DQ$112)/(COUNTIF(Distance_Matrix!$E$11:$DQ$11,$E375)-1))</f>
        <v>0.49566998948893409</v>
      </c>
      <c r="H375" s="18">
        <f>MIN(IF(1=$E375,1E+99,IF(COUNTIF(Distance_Matrix!$E$11:$DQ$11,1)=0,1E+99,SUMIF(Distance_Matrix!$E$11:$DQ$11,1,Distance_Matrix!$E$112:$DQ$112)/COUNTIF(Distance_Matrix!$E$11:$DQ$11,1))),IF(2=$E375,1E+99,IF(COUNTIF(Distance_Matrix!$E$11:$DQ$11,2)=0,1E+99,SUMIF(Distance_Matrix!$E$11:$DQ$11,2,Distance_Matrix!$E$112:$DQ$112)/COUNTIF(Distance_Matrix!$E$11:$DQ$11,2))),IF(3=$E375,1E+99,IF(COUNTIF(Distance_Matrix!$E$11:$DQ$11,3)=0,1E+99,SUMIF(Distance_Matrix!$E$11:$DQ$11,3,Distance_Matrix!$E$112:$DQ$112)/COUNTIF(Distance_Matrix!$E$11:$DQ$11,3))),IF(4=$E375,1E+99,IF(COUNTIF(Distance_Matrix!$E$11:$DQ$11,4)=0,1E+99,SUMIF(Distance_Matrix!$E$11:$DQ$11,4,Distance_Matrix!$E$112:$DQ$112)/COUNTIF(Distance_Matrix!$E$11:$DQ$11,4))),IF(5=$E375,1E+99,IF(COUNTIF(Distance_Matrix!$E$11:$DQ$11,5)=0,1E+99,SUMIF(Distance_Matrix!$E$11:$DQ$11,5,Distance_Matrix!$E$112:$DQ$112)/COUNTIF(Distance_Matrix!$E$11:$DQ$11,5))))</f>
        <v>1.2947206649707723</v>
      </c>
      <c r="I375" s="18">
        <f>IF(COUNTIF(Distance_Matrix!$E$11:$DQ$11,$E375)&lt;=1,0,(H375-G375)/MAX(G375,H375))</f>
        <v>0.61716067187347823</v>
      </c>
      <c r="X375" s="18">
        <f t="shared" si="406"/>
        <v>7.6988147546876338</v>
      </c>
      <c r="Y375" s="18">
        <f t="shared" si="406"/>
        <v>1.1435895143936632</v>
      </c>
      <c r="Z375" s="18">
        <f t="shared" si="406"/>
        <v>3.4414619554110497</v>
      </c>
      <c r="AA375" s="18">
        <f t="shared" si="406"/>
        <v>1.6668789901397698</v>
      </c>
      <c r="AB375" s="18">
        <f t="shared" si="406"/>
        <v>5.6632731880532097</v>
      </c>
      <c r="AC375" s="56">
        <f t="shared" si="420"/>
        <v>2</v>
      </c>
      <c r="AE375" s="18">
        <f t="shared" si="407"/>
        <v>7.5693250262882046</v>
      </c>
      <c r="AF375" s="18">
        <f t="shared" si="407"/>
        <v>0.37090784549098182</v>
      </c>
      <c r="AG375" s="18">
        <f t="shared" si="407"/>
        <v>2.7467340240143252</v>
      </c>
      <c r="AH375" s="18">
        <f t="shared" si="407"/>
        <v>1.0937886234354441</v>
      </c>
      <c r="AI375" s="18">
        <f t="shared" si="407"/>
        <v>5.3005249613884615</v>
      </c>
      <c r="AJ375" s="56">
        <f t="shared" si="421"/>
        <v>2</v>
      </c>
      <c r="AL375" s="18">
        <f t="shared" si="408"/>
        <v>7.5693250262882046</v>
      </c>
      <c r="AM375" s="18">
        <f t="shared" si="408"/>
        <v>0.33712878531307311</v>
      </c>
      <c r="AN375" s="18">
        <f t="shared" si="408"/>
        <v>2.8048973130415753</v>
      </c>
      <c r="AO375" s="18">
        <f t="shared" si="408"/>
        <v>1.1473012264229709</v>
      </c>
      <c r="AP375" s="18">
        <f t="shared" si="408"/>
        <v>5.0282291878859642</v>
      </c>
      <c r="AQ375" s="56">
        <f t="shared" si="422"/>
        <v>2</v>
      </c>
      <c r="AS375" s="18">
        <f t="shared" si="409"/>
        <v>7.5693250262882046</v>
      </c>
      <c r="AT375" s="18">
        <f t="shared" si="409"/>
        <v>0.34991024785213587</v>
      </c>
      <c r="AU375" s="18">
        <f t="shared" si="409"/>
        <v>2.8320016096690166</v>
      </c>
      <c r="AV375" s="18">
        <f t="shared" si="409"/>
        <v>1.1282096834420572</v>
      </c>
      <c r="AW375" s="18">
        <f t="shared" si="409"/>
        <v>5.0282291878859642</v>
      </c>
      <c r="AX375" s="56">
        <f t="shared" si="423"/>
        <v>2</v>
      </c>
      <c r="AZ375" s="18">
        <f t="shared" si="410"/>
        <v>7.5693250262882046</v>
      </c>
      <c r="BA375" s="18">
        <f t="shared" si="410"/>
        <v>0.34991024785213587</v>
      </c>
      <c r="BB375" s="18">
        <f t="shared" si="410"/>
        <v>2.8320016096690166</v>
      </c>
      <c r="BC375" s="18">
        <f t="shared" si="410"/>
        <v>1.1282096834420572</v>
      </c>
      <c r="BD375" s="18">
        <f t="shared" si="410"/>
        <v>5.0282291878859642</v>
      </c>
      <c r="BE375" s="56">
        <f t="shared" si="424"/>
        <v>2</v>
      </c>
      <c r="BG375" s="18">
        <f t="shared" si="411"/>
        <v>7.5693250262882046</v>
      </c>
      <c r="BH375" s="18">
        <f t="shared" si="411"/>
        <v>0.34991024785213587</v>
      </c>
      <c r="BI375" s="18">
        <f t="shared" si="411"/>
        <v>2.8320016096690166</v>
      </c>
      <c r="BJ375" s="18">
        <f t="shared" si="411"/>
        <v>1.1282096834420572</v>
      </c>
      <c r="BK375" s="18">
        <f t="shared" si="411"/>
        <v>5.0282291878859642</v>
      </c>
      <c r="BL375" s="56">
        <f t="shared" si="425"/>
        <v>2</v>
      </c>
      <c r="BN375" s="18">
        <f t="shared" si="412"/>
        <v>7.5693250262882046</v>
      </c>
      <c r="BO375" s="18">
        <f t="shared" si="412"/>
        <v>0.34991024785213587</v>
      </c>
      <c r="BP375" s="18">
        <f t="shared" si="412"/>
        <v>2.8320016096690166</v>
      </c>
      <c r="BQ375" s="18">
        <f t="shared" si="412"/>
        <v>1.1282096834420572</v>
      </c>
      <c r="BR375" s="18">
        <f t="shared" si="412"/>
        <v>5.0282291878859642</v>
      </c>
      <c r="BS375" s="56">
        <f t="shared" si="426"/>
        <v>2</v>
      </c>
      <c r="BU375" s="18">
        <f t="shared" si="413"/>
        <v>7.5693250262882046</v>
      </c>
      <c r="BV375" s="18">
        <f t="shared" si="413"/>
        <v>0.34991024785213587</v>
      </c>
      <c r="BW375" s="18">
        <f t="shared" si="413"/>
        <v>2.8320016096690166</v>
      </c>
      <c r="BX375" s="18">
        <f t="shared" si="413"/>
        <v>1.1282096834420572</v>
      </c>
      <c r="BY375" s="18">
        <f t="shared" si="413"/>
        <v>5.0282291878859642</v>
      </c>
      <c r="BZ375" s="56">
        <f t="shared" si="427"/>
        <v>2</v>
      </c>
      <c r="CB375" s="18">
        <f t="shared" si="414"/>
        <v>7.5693250262882046</v>
      </c>
      <c r="CC375" s="18">
        <f t="shared" si="414"/>
        <v>0.34991024785213587</v>
      </c>
      <c r="CD375" s="18">
        <f t="shared" si="414"/>
        <v>2.8320016096690166</v>
      </c>
      <c r="CE375" s="18">
        <f t="shared" si="414"/>
        <v>1.1282096834420572</v>
      </c>
      <c r="CF375" s="18">
        <f t="shared" si="414"/>
        <v>5.0282291878859642</v>
      </c>
      <c r="CG375" s="56">
        <f t="shared" si="428"/>
        <v>2</v>
      </c>
      <c r="CI375" s="18">
        <f t="shared" si="415"/>
        <v>7.5693250262882046</v>
      </c>
      <c r="CJ375" s="18">
        <f t="shared" si="415"/>
        <v>0.34991024785213587</v>
      </c>
      <c r="CK375" s="18">
        <f t="shared" si="415"/>
        <v>2.8320016096690166</v>
      </c>
      <c r="CL375" s="18">
        <f t="shared" si="415"/>
        <v>1.1282096834420572</v>
      </c>
      <c r="CM375" s="18">
        <f t="shared" si="415"/>
        <v>5.0282291878859642</v>
      </c>
      <c r="CN375" s="56">
        <f t="shared" si="429"/>
        <v>2</v>
      </c>
      <c r="CP375" s="18">
        <f t="shared" si="416"/>
        <v>7.5693250262882046</v>
      </c>
      <c r="CQ375" s="18">
        <f t="shared" si="416"/>
        <v>0.34991024785213587</v>
      </c>
      <c r="CR375" s="18">
        <f t="shared" si="416"/>
        <v>2.8320016096690166</v>
      </c>
      <c r="CS375" s="18">
        <f t="shared" si="416"/>
        <v>1.1282096834420572</v>
      </c>
      <c r="CT375" s="18">
        <f t="shared" si="416"/>
        <v>5.0282291878859642</v>
      </c>
      <c r="CU375" s="56">
        <f t="shared" si="430"/>
        <v>2</v>
      </c>
      <c r="CW375" s="18">
        <f t="shared" si="417"/>
        <v>7.5693250262882046</v>
      </c>
      <c r="CX375" s="18">
        <f t="shared" si="417"/>
        <v>0.34991024785213587</v>
      </c>
      <c r="CY375" s="18">
        <f t="shared" si="417"/>
        <v>2.8320016096690166</v>
      </c>
      <c r="CZ375" s="18">
        <f t="shared" si="417"/>
        <v>1.1282096834420572</v>
      </c>
      <c r="DA375" s="18">
        <f t="shared" si="417"/>
        <v>5.0282291878859642</v>
      </c>
      <c r="DB375" s="56">
        <f t="shared" si="431"/>
        <v>2</v>
      </c>
    </row>
    <row r="376" spans="1:106" x14ac:dyDescent="0.25">
      <c r="A376" s="36" t="str">
        <f>KMeans_Data!A104</f>
        <v>Chiniot</v>
      </c>
      <c r="B376" s="18">
        <f>KMeans_Data!H104</f>
        <v>-0.9361484674096654</v>
      </c>
      <c r="C376" s="18">
        <f>KMeans_Data!I104</f>
        <v>-0.67265054538827607</v>
      </c>
      <c r="D376" s="18">
        <f>KMeans_Data!J104</f>
        <v>-1.1456441163335547</v>
      </c>
      <c r="E376" s="56">
        <f t="shared" si="418"/>
        <v>2</v>
      </c>
      <c r="F376" s="38">
        <f t="shared" si="419"/>
        <v>0.12243718155194316</v>
      </c>
      <c r="G376" s="18">
        <f>IF(COUNTIF(Distance_Matrix!$E$11:$DQ$11,$E376)&lt;=1,0,SUMIF(Distance_Matrix!$E$11:$DQ$11,$E376,Distance_Matrix!$E$113:$DQ$113)/(COUNTIF(Distance_Matrix!$E$11:$DQ$11,$E376)-1))</f>
        <v>0.49566998948893409</v>
      </c>
      <c r="H376" s="18">
        <f>MIN(IF(1=$E376,1E+99,IF(COUNTIF(Distance_Matrix!$E$11:$DQ$11,1)=0,1E+99,SUMIF(Distance_Matrix!$E$11:$DQ$11,1,Distance_Matrix!$E$113:$DQ$113)/COUNTIF(Distance_Matrix!$E$11:$DQ$11,1))),IF(2=$E376,1E+99,IF(COUNTIF(Distance_Matrix!$E$11:$DQ$11,2)=0,1E+99,SUMIF(Distance_Matrix!$E$11:$DQ$11,2,Distance_Matrix!$E$113:$DQ$113)/COUNTIF(Distance_Matrix!$E$11:$DQ$11,2))),IF(3=$E376,1E+99,IF(COUNTIF(Distance_Matrix!$E$11:$DQ$11,3)=0,1E+99,SUMIF(Distance_Matrix!$E$11:$DQ$11,3,Distance_Matrix!$E$113:$DQ$113)/COUNTIF(Distance_Matrix!$E$11:$DQ$11,3))),IF(4=$E376,1E+99,IF(COUNTIF(Distance_Matrix!$E$11:$DQ$11,4)=0,1E+99,SUMIF(Distance_Matrix!$E$11:$DQ$11,4,Distance_Matrix!$E$113:$DQ$113)/COUNTIF(Distance_Matrix!$E$11:$DQ$11,4))),IF(5=$E376,1E+99,IF(COUNTIF(Distance_Matrix!$E$11:$DQ$11,5)=0,1E+99,SUMIF(Distance_Matrix!$E$11:$DQ$11,5,Distance_Matrix!$E$113:$DQ$113)/COUNTIF(Distance_Matrix!$E$11:$DQ$11,5))))</f>
        <v>1.2947206649707723</v>
      </c>
      <c r="I376" s="18">
        <f>IF(COUNTIF(Distance_Matrix!$E$11:$DQ$11,$E376)&lt;=1,0,(H376-G376)/MAX(G376,H376))</f>
        <v>0.61716067187347823</v>
      </c>
      <c r="X376" s="18">
        <f t="shared" si="406"/>
        <v>7.6988147546876338</v>
      </c>
      <c r="Y376" s="18">
        <f t="shared" si="406"/>
        <v>1.1435895143936632</v>
      </c>
      <c r="Z376" s="18">
        <f t="shared" si="406"/>
        <v>3.4414619554110497</v>
      </c>
      <c r="AA376" s="18">
        <f t="shared" si="406"/>
        <v>1.6668789901397698</v>
      </c>
      <c r="AB376" s="18">
        <f t="shared" si="406"/>
        <v>5.6632731880532097</v>
      </c>
      <c r="AC376" s="56">
        <f t="shared" si="420"/>
        <v>2</v>
      </c>
      <c r="AE376" s="18">
        <f t="shared" si="407"/>
        <v>7.5693250262882046</v>
      </c>
      <c r="AF376" s="18">
        <f t="shared" si="407"/>
        <v>0.37090784549098182</v>
      </c>
      <c r="AG376" s="18">
        <f t="shared" si="407"/>
        <v>2.7467340240143252</v>
      </c>
      <c r="AH376" s="18">
        <f t="shared" si="407"/>
        <v>1.0937886234354441</v>
      </c>
      <c r="AI376" s="18">
        <f t="shared" si="407"/>
        <v>5.3005249613884615</v>
      </c>
      <c r="AJ376" s="56">
        <f t="shared" si="421"/>
        <v>2</v>
      </c>
      <c r="AL376" s="18">
        <f t="shared" si="408"/>
        <v>7.5693250262882046</v>
      </c>
      <c r="AM376" s="18">
        <f t="shared" si="408"/>
        <v>0.33712878531307311</v>
      </c>
      <c r="AN376" s="18">
        <f t="shared" si="408"/>
        <v>2.8048973130415753</v>
      </c>
      <c r="AO376" s="18">
        <f t="shared" si="408"/>
        <v>1.1473012264229709</v>
      </c>
      <c r="AP376" s="18">
        <f t="shared" si="408"/>
        <v>5.0282291878859642</v>
      </c>
      <c r="AQ376" s="56">
        <f t="shared" si="422"/>
        <v>2</v>
      </c>
      <c r="AS376" s="18">
        <f t="shared" si="409"/>
        <v>7.5693250262882046</v>
      </c>
      <c r="AT376" s="18">
        <f t="shared" si="409"/>
        <v>0.34991024785213587</v>
      </c>
      <c r="AU376" s="18">
        <f t="shared" si="409"/>
        <v>2.8320016096690166</v>
      </c>
      <c r="AV376" s="18">
        <f t="shared" si="409"/>
        <v>1.1282096834420572</v>
      </c>
      <c r="AW376" s="18">
        <f t="shared" si="409"/>
        <v>5.0282291878859642</v>
      </c>
      <c r="AX376" s="56">
        <f t="shared" si="423"/>
        <v>2</v>
      </c>
      <c r="AZ376" s="18">
        <f t="shared" si="410"/>
        <v>7.5693250262882046</v>
      </c>
      <c r="BA376" s="18">
        <f t="shared" si="410"/>
        <v>0.34991024785213587</v>
      </c>
      <c r="BB376" s="18">
        <f t="shared" si="410"/>
        <v>2.8320016096690166</v>
      </c>
      <c r="BC376" s="18">
        <f t="shared" si="410"/>
        <v>1.1282096834420572</v>
      </c>
      <c r="BD376" s="18">
        <f t="shared" si="410"/>
        <v>5.0282291878859642</v>
      </c>
      <c r="BE376" s="56">
        <f t="shared" si="424"/>
        <v>2</v>
      </c>
      <c r="BG376" s="18">
        <f t="shared" si="411"/>
        <v>7.5693250262882046</v>
      </c>
      <c r="BH376" s="18">
        <f t="shared" si="411"/>
        <v>0.34991024785213587</v>
      </c>
      <c r="BI376" s="18">
        <f t="shared" si="411"/>
        <v>2.8320016096690166</v>
      </c>
      <c r="BJ376" s="18">
        <f t="shared" si="411"/>
        <v>1.1282096834420572</v>
      </c>
      <c r="BK376" s="18">
        <f t="shared" si="411"/>
        <v>5.0282291878859642</v>
      </c>
      <c r="BL376" s="56">
        <f t="shared" si="425"/>
        <v>2</v>
      </c>
      <c r="BN376" s="18">
        <f t="shared" si="412"/>
        <v>7.5693250262882046</v>
      </c>
      <c r="BO376" s="18">
        <f t="shared" si="412"/>
        <v>0.34991024785213587</v>
      </c>
      <c r="BP376" s="18">
        <f t="shared" si="412"/>
        <v>2.8320016096690166</v>
      </c>
      <c r="BQ376" s="18">
        <f t="shared" si="412"/>
        <v>1.1282096834420572</v>
      </c>
      <c r="BR376" s="18">
        <f t="shared" si="412"/>
        <v>5.0282291878859642</v>
      </c>
      <c r="BS376" s="56">
        <f t="shared" si="426"/>
        <v>2</v>
      </c>
      <c r="BU376" s="18">
        <f t="shared" si="413"/>
        <v>7.5693250262882046</v>
      </c>
      <c r="BV376" s="18">
        <f t="shared" si="413"/>
        <v>0.34991024785213587</v>
      </c>
      <c r="BW376" s="18">
        <f t="shared" si="413"/>
        <v>2.8320016096690166</v>
      </c>
      <c r="BX376" s="18">
        <f t="shared" si="413"/>
        <v>1.1282096834420572</v>
      </c>
      <c r="BY376" s="18">
        <f t="shared" si="413"/>
        <v>5.0282291878859642</v>
      </c>
      <c r="BZ376" s="56">
        <f t="shared" si="427"/>
        <v>2</v>
      </c>
      <c r="CB376" s="18">
        <f t="shared" si="414"/>
        <v>7.5693250262882046</v>
      </c>
      <c r="CC376" s="18">
        <f t="shared" si="414"/>
        <v>0.34991024785213587</v>
      </c>
      <c r="CD376" s="18">
        <f t="shared" si="414"/>
        <v>2.8320016096690166</v>
      </c>
      <c r="CE376" s="18">
        <f t="shared" si="414"/>
        <v>1.1282096834420572</v>
      </c>
      <c r="CF376" s="18">
        <f t="shared" si="414"/>
        <v>5.0282291878859642</v>
      </c>
      <c r="CG376" s="56">
        <f t="shared" si="428"/>
        <v>2</v>
      </c>
      <c r="CI376" s="18">
        <f t="shared" si="415"/>
        <v>7.5693250262882046</v>
      </c>
      <c r="CJ376" s="18">
        <f t="shared" si="415"/>
        <v>0.34991024785213587</v>
      </c>
      <c r="CK376" s="18">
        <f t="shared" si="415"/>
        <v>2.8320016096690166</v>
      </c>
      <c r="CL376" s="18">
        <f t="shared" si="415"/>
        <v>1.1282096834420572</v>
      </c>
      <c r="CM376" s="18">
        <f t="shared" si="415"/>
        <v>5.0282291878859642</v>
      </c>
      <c r="CN376" s="56">
        <f t="shared" si="429"/>
        <v>2</v>
      </c>
      <c r="CP376" s="18">
        <f t="shared" si="416"/>
        <v>7.5693250262882046</v>
      </c>
      <c r="CQ376" s="18">
        <f t="shared" si="416"/>
        <v>0.34991024785213587</v>
      </c>
      <c r="CR376" s="18">
        <f t="shared" si="416"/>
        <v>2.8320016096690166</v>
      </c>
      <c r="CS376" s="18">
        <f t="shared" si="416"/>
        <v>1.1282096834420572</v>
      </c>
      <c r="CT376" s="18">
        <f t="shared" si="416"/>
        <v>5.0282291878859642</v>
      </c>
      <c r="CU376" s="56">
        <f t="shared" si="430"/>
        <v>2</v>
      </c>
      <c r="CW376" s="18">
        <f t="shared" si="417"/>
        <v>7.5693250262882046</v>
      </c>
      <c r="CX376" s="18">
        <f t="shared" si="417"/>
        <v>0.34991024785213587</v>
      </c>
      <c r="CY376" s="18">
        <f t="shared" si="417"/>
        <v>2.8320016096690166</v>
      </c>
      <c r="CZ376" s="18">
        <f t="shared" si="417"/>
        <v>1.1282096834420572</v>
      </c>
      <c r="DA376" s="18">
        <f t="shared" si="417"/>
        <v>5.0282291878859642</v>
      </c>
      <c r="DB376" s="56">
        <f t="shared" si="431"/>
        <v>2</v>
      </c>
    </row>
    <row r="377" spans="1:106" x14ac:dyDescent="0.25">
      <c r="A377" s="36" t="str">
        <f>KMeans_Data!A105</f>
        <v>South Waziristan</v>
      </c>
      <c r="B377" s="18">
        <f>KMeans_Data!H105</f>
        <v>-0.9361484674096654</v>
      </c>
      <c r="C377" s="18">
        <f>KMeans_Data!I105</f>
        <v>-0.67265054538827607</v>
      </c>
      <c r="D377" s="18">
        <f>KMeans_Data!J105</f>
        <v>-0.50324791546397885</v>
      </c>
      <c r="E377" s="56">
        <f t="shared" si="418"/>
        <v>2</v>
      </c>
      <c r="F377" s="38">
        <f t="shared" si="419"/>
        <v>0.44291955829662372</v>
      </c>
      <c r="G377" s="18">
        <f>IF(COUNTIF(Distance_Matrix!$E$11:$DQ$11,$E377)&lt;=1,0,SUMIF(Distance_Matrix!$E$11:$DQ$11,$E377,Distance_Matrix!$E$114:$DQ$114)/(COUNTIF(Distance_Matrix!$E$11:$DQ$11,$E377)-1))</f>
        <v>0.78915235215809576</v>
      </c>
      <c r="H377" s="18">
        <f>MIN(IF(1=$E377,1E+99,IF(COUNTIF(Distance_Matrix!$E$11:$DQ$11,1)=0,1E+99,SUMIF(Distance_Matrix!$E$11:$DQ$11,1,Distance_Matrix!$E$114:$DQ$114)/COUNTIF(Distance_Matrix!$E$11:$DQ$11,1))),IF(2=$E377,1E+99,IF(COUNTIF(Distance_Matrix!$E$11:$DQ$11,2)=0,1E+99,SUMIF(Distance_Matrix!$E$11:$DQ$11,2,Distance_Matrix!$E$114:$DQ$114)/COUNTIF(Distance_Matrix!$E$11:$DQ$11,2))),IF(3=$E377,1E+99,IF(COUNTIF(Distance_Matrix!$E$11:$DQ$11,3)=0,1E+99,SUMIF(Distance_Matrix!$E$11:$DQ$11,3,Distance_Matrix!$E$114:$DQ$114)/COUNTIF(Distance_Matrix!$E$11:$DQ$11,3))),IF(4=$E377,1E+99,IF(COUNTIF(Distance_Matrix!$E$11:$DQ$11,4)=0,1E+99,SUMIF(Distance_Matrix!$E$11:$DQ$11,4,Distance_Matrix!$E$114:$DQ$114)/COUNTIF(Distance_Matrix!$E$11:$DQ$11,4))),IF(5=$E377,1E+99,IF(COUNTIF(Distance_Matrix!$E$11:$DQ$11,5)=0,1E+99,SUMIF(Distance_Matrix!$E$11:$DQ$11,5,Distance_Matrix!$E$114:$DQ$114)/COUNTIF(Distance_Matrix!$E$11:$DQ$11,5))))</f>
        <v>1.0491633946933085</v>
      </c>
      <c r="I377" s="18">
        <f>IF(COUNTIF(Distance_Matrix!$E$11:$DQ$11,$E377)&lt;=1,0,(H377-G377)/MAX(G377,H377))</f>
        <v>0.24782702470402068</v>
      </c>
      <c r="X377" s="18">
        <f t="shared" ref="X377:AB386" si="432">SQRT(($B377-X$270)^2+($C377-X$271)^2+($D377-X$272)^2)</f>
        <v>7.3507445801816038</v>
      </c>
      <c r="Y377" s="18">
        <f t="shared" si="432"/>
        <v>1.3116668236723832</v>
      </c>
      <c r="Z377" s="18">
        <f t="shared" si="432"/>
        <v>2.9824911910641334</v>
      </c>
      <c r="AA377" s="18">
        <f t="shared" si="432"/>
        <v>1.7863813833168558</v>
      </c>
      <c r="AB377" s="18">
        <f t="shared" si="432"/>
        <v>5.2882357000404303</v>
      </c>
      <c r="AC377" s="56">
        <f t="shared" si="420"/>
        <v>2</v>
      </c>
      <c r="AE377" s="18">
        <f t="shared" ref="AE377:AI386" si="433">SQRT(($B377-AE$270)^2+($C377-AE$271)^2+($D377-AE$272)^2)</f>
        <v>7.2404390537183643</v>
      </c>
      <c r="AF377" s="18">
        <f t="shared" si="433"/>
        <v>0.52904790295023363</v>
      </c>
      <c r="AG377" s="18">
        <f t="shared" si="433"/>
        <v>2.3234299078933192</v>
      </c>
      <c r="AH377" s="18">
        <f t="shared" si="433"/>
        <v>0.89301606733880345</v>
      </c>
      <c r="AI377" s="18">
        <f t="shared" si="433"/>
        <v>4.9738355342392788</v>
      </c>
      <c r="AJ377" s="56">
        <f t="shared" si="421"/>
        <v>2</v>
      </c>
      <c r="AL377" s="18">
        <f t="shared" ref="AL377:AP386" si="434">SQRT(($B377-AL$270)^2+($C377-AL$271)^2+($D377-AL$272)^2)</f>
        <v>7.2404390537183643</v>
      </c>
      <c r="AM377" s="18">
        <f t="shared" si="434"/>
        <v>0.56631284521110148</v>
      </c>
      <c r="AN377" s="18">
        <f t="shared" si="434"/>
        <v>2.3923769023105059</v>
      </c>
      <c r="AO377" s="18">
        <f t="shared" si="434"/>
        <v>0.87633043018097678</v>
      </c>
      <c r="AP377" s="18">
        <f t="shared" si="434"/>
        <v>4.6995937572571052</v>
      </c>
      <c r="AQ377" s="56">
        <f t="shared" si="422"/>
        <v>2</v>
      </c>
      <c r="AS377" s="18">
        <f t="shared" ref="AS377:AW386" si="435">SQRT(($B377-AS$270)^2+($C377-AS$271)^2+($D377-AS$272)^2)</f>
        <v>7.2404390537183643</v>
      </c>
      <c r="AT377" s="18">
        <f t="shared" si="435"/>
        <v>0.6655220193927649</v>
      </c>
      <c r="AU377" s="18">
        <f t="shared" si="435"/>
        <v>2.4198311863586031</v>
      </c>
      <c r="AV377" s="18">
        <f t="shared" si="435"/>
        <v>0.83397273616367329</v>
      </c>
      <c r="AW377" s="18">
        <f t="shared" si="435"/>
        <v>4.6995937572571052</v>
      </c>
      <c r="AX377" s="56">
        <f t="shared" si="423"/>
        <v>2</v>
      </c>
      <c r="AZ377" s="18">
        <f t="shared" ref="AZ377:BD386" si="436">SQRT(($B377-AZ$270)^2+($C377-AZ$271)^2+($D377-AZ$272)^2)</f>
        <v>7.2404390537183643</v>
      </c>
      <c r="BA377" s="18">
        <f t="shared" si="436"/>
        <v>0.6655220193927649</v>
      </c>
      <c r="BB377" s="18">
        <f t="shared" si="436"/>
        <v>2.4198311863586031</v>
      </c>
      <c r="BC377" s="18">
        <f t="shared" si="436"/>
        <v>0.83397273616367329</v>
      </c>
      <c r="BD377" s="18">
        <f t="shared" si="436"/>
        <v>4.6995937572571052</v>
      </c>
      <c r="BE377" s="56">
        <f t="shared" si="424"/>
        <v>2</v>
      </c>
      <c r="BG377" s="18">
        <f t="shared" ref="BG377:BK386" si="437">SQRT(($B377-BG$270)^2+($C377-BG$271)^2+($D377-BG$272)^2)</f>
        <v>7.2404390537183643</v>
      </c>
      <c r="BH377" s="18">
        <f t="shared" si="437"/>
        <v>0.6655220193927649</v>
      </c>
      <c r="BI377" s="18">
        <f t="shared" si="437"/>
        <v>2.4198311863586031</v>
      </c>
      <c r="BJ377" s="18">
        <f t="shared" si="437"/>
        <v>0.83397273616367329</v>
      </c>
      <c r="BK377" s="18">
        <f t="shared" si="437"/>
        <v>4.6995937572571052</v>
      </c>
      <c r="BL377" s="56">
        <f t="shared" si="425"/>
        <v>2</v>
      </c>
      <c r="BN377" s="18">
        <f t="shared" ref="BN377:BR386" si="438">SQRT(($B377-BN$270)^2+($C377-BN$271)^2+($D377-BN$272)^2)</f>
        <v>7.2404390537183643</v>
      </c>
      <c r="BO377" s="18">
        <f t="shared" si="438"/>
        <v>0.6655220193927649</v>
      </c>
      <c r="BP377" s="18">
        <f t="shared" si="438"/>
        <v>2.4198311863586031</v>
      </c>
      <c r="BQ377" s="18">
        <f t="shared" si="438"/>
        <v>0.83397273616367329</v>
      </c>
      <c r="BR377" s="18">
        <f t="shared" si="438"/>
        <v>4.6995937572571052</v>
      </c>
      <c r="BS377" s="56">
        <f t="shared" si="426"/>
        <v>2</v>
      </c>
      <c r="BU377" s="18">
        <f t="shared" ref="BU377:BY386" si="439">SQRT(($B377-BU$270)^2+($C377-BU$271)^2+($D377-BU$272)^2)</f>
        <v>7.2404390537183643</v>
      </c>
      <c r="BV377" s="18">
        <f t="shared" si="439"/>
        <v>0.6655220193927649</v>
      </c>
      <c r="BW377" s="18">
        <f t="shared" si="439"/>
        <v>2.4198311863586031</v>
      </c>
      <c r="BX377" s="18">
        <f t="shared" si="439"/>
        <v>0.83397273616367329</v>
      </c>
      <c r="BY377" s="18">
        <f t="shared" si="439"/>
        <v>4.6995937572571052</v>
      </c>
      <c r="BZ377" s="56">
        <f t="shared" si="427"/>
        <v>2</v>
      </c>
      <c r="CB377" s="18">
        <f t="shared" ref="CB377:CF386" si="440">SQRT(($B377-CB$270)^2+($C377-CB$271)^2+($D377-CB$272)^2)</f>
        <v>7.2404390537183643</v>
      </c>
      <c r="CC377" s="18">
        <f t="shared" si="440"/>
        <v>0.6655220193927649</v>
      </c>
      <c r="CD377" s="18">
        <f t="shared" si="440"/>
        <v>2.4198311863586031</v>
      </c>
      <c r="CE377" s="18">
        <f t="shared" si="440"/>
        <v>0.83397273616367329</v>
      </c>
      <c r="CF377" s="18">
        <f t="shared" si="440"/>
        <v>4.6995937572571052</v>
      </c>
      <c r="CG377" s="56">
        <f t="shared" si="428"/>
        <v>2</v>
      </c>
      <c r="CI377" s="18">
        <f t="shared" ref="CI377:CM386" si="441">SQRT(($B377-CI$270)^2+($C377-CI$271)^2+($D377-CI$272)^2)</f>
        <v>7.2404390537183643</v>
      </c>
      <c r="CJ377" s="18">
        <f t="shared" si="441"/>
        <v>0.6655220193927649</v>
      </c>
      <c r="CK377" s="18">
        <f t="shared" si="441"/>
        <v>2.4198311863586031</v>
      </c>
      <c r="CL377" s="18">
        <f t="shared" si="441"/>
        <v>0.83397273616367329</v>
      </c>
      <c r="CM377" s="18">
        <f t="shared" si="441"/>
        <v>4.6995937572571052</v>
      </c>
      <c r="CN377" s="56">
        <f t="shared" si="429"/>
        <v>2</v>
      </c>
      <c r="CP377" s="18">
        <f t="shared" ref="CP377:CT386" si="442">SQRT(($B377-CP$270)^2+($C377-CP$271)^2+($D377-CP$272)^2)</f>
        <v>7.2404390537183643</v>
      </c>
      <c r="CQ377" s="18">
        <f t="shared" si="442"/>
        <v>0.6655220193927649</v>
      </c>
      <c r="CR377" s="18">
        <f t="shared" si="442"/>
        <v>2.4198311863586031</v>
      </c>
      <c r="CS377" s="18">
        <f t="shared" si="442"/>
        <v>0.83397273616367329</v>
      </c>
      <c r="CT377" s="18">
        <f t="shared" si="442"/>
        <v>4.6995937572571052</v>
      </c>
      <c r="CU377" s="56">
        <f t="shared" si="430"/>
        <v>2</v>
      </c>
      <c r="CW377" s="18">
        <f t="shared" ref="CW377:DA386" si="443">SQRT(($B377-CW$270)^2+($C377-CW$271)^2+($D377-CW$272)^2)</f>
        <v>7.2404390537183643</v>
      </c>
      <c r="CX377" s="18">
        <f t="shared" si="443"/>
        <v>0.6655220193927649</v>
      </c>
      <c r="CY377" s="18">
        <f t="shared" si="443"/>
        <v>2.4198311863586031</v>
      </c>
      <c r="CZ377" s="18">
        <f t="shared" si="443"/>
        <v>0.83397273616367329</v>
      </c>
      <c r="DA377" s="18">
        <f t="shared" si="443"/>
        <v>4.6995937572571052</v>
      </c>
      <c r="DB377" s="56">
        <f t="shared" si="431"/>
        <v>2</v>
      </c>
    </row>
    <row r="378" spans="1:106" x14ac:dyDescent="0.25">
      <c r="A378" s="36" t="str">
        <f>KMeans_Data!A106</f>
        <v>Toba Tek Singh</v>
      </c>
      <c r="B378" s="18">
        <f>KMeans_Data!H106</f>
        <v>-0.99745100604838388</v>
      </c>
      <c r="C378" s="18">
        <f>KMeans_Data!I106</f>
        <v>-0.67265054538827607</v>
      </c>
      <c r="D378" s="18">
        <f>KMeans_Data!J106</f>
        <v>-1.1456441163335547</v>
      </c>
      <c r="E378" s="56">
        <f t="shared" si="418"/>
        <v>2</v>
      </c>
      <c r="F378" s="38">
        <f t="shared" si="419"/>
        <v>8.4285357210402423E-2</v>
      </c>
      <c r="G378" s="18">
        <f>IF(COUNTIF(Distance_Matrix!$E$11:$DQ$11,$E378)&lt;=1,0,SUMIF(Distance_Matrix!$E$11:$DQ$11,$E378,Distance_Matrix!$E$115:$DQ$115)/(COUNTIF(Distance_Matrix!$E$11:$DQ$11,$E378)-1))</f>
        <v>0.4768616919795825</v>
      </c>
      <c r="H378" s="18">
        <f>MIN(IF(1=$E378,1E+99,IF(COUNTIF(Distance_Matrix!$E$11:$DQ$11,1)=0,1E+99,SUMIF(Distance_Matrix!$E$11:$DQ$11,1,Distance_Matrix!$E$115:$DQ$115)/COUNTIF(Distance_Matrix!$E$11:$DQ$11,1))),IF(2=$E378,1E+99,IF(COUNTIF(Distance_Matrix!$E$11:$DQ$11,2)=0,1E+99,SUMIF(Distance_Matrix!$E$11:$DQ$11,2,Distance_Matrix!$E$115:$DQ$115)/COUNTIF(Distance_Matrix!$E$11:$DQ$11,2))),IF(3=$E378,1E+99,IF(COUNTIF(Distance_Matrix!$E$11:$DQ$11,3)=0,1E+99,SUMIF(Distance_Matrix!$E$11:$DQ$11,3,Distance_Matrix!$E$115:$DQ$115)/COUNTIF(Distance_Matrix!$E$11:$DQ$11,3))),IF(4=$E378,1E+99,IF(COUNTIF(Distance_Matrix!$E$11:$DQ$11,4)=0,1E+99,SUMIF(Distance_Matrix!$E$11:$DQ$11,4,Distance_Matrix!$E$115:$DQ$115)/COUNTIF(Distance_Matrix!$E$11:$DQ$11,4))),IF(5=$E378,1E+99,IF(COUNTIF(Distance_Matrix!$E$11:$DQ$11,5)=0,1E+99,SUMIF(Distance_Matrix!$E$11:$DQ$11,5,Distance_Matrix!$E$115:$DQ$115)/COUNTIF(Distance_Matrix!$E$11:$DQ$11,5))))</f>
        <v>1.3345978353351842</v>
      </c>
      <c r="I378" s="18">
        <f>IF(COUNTIF(Distance_Matrix!$E$11:$DQ$11,$E378)&lt;=1,0,(H378-G378)/MAX(G378,H378))</f>
        <v>0.64269259296391812</v>
      </c>
      <c r="X378" s="18">
        <f t="shared" si="432"/>
        <v>7.7325112391913207</v>
      </c>
      <c r="Y378" s="18">
        <f t="shared" si="432"/>
        <v>1.0822869757549447</v>
      </c>
      <c r="Z378" s="18">
        <f t="shared" si="432"/>
        <v>3.4769782447328597</v>
      </c>
      <c r="AA378" s="18">
        <f t="shared" si="432"/>
        <v>1.7251617082042925</v>
      </c>
      <c r="AB378" s="18">
        <f t="shared" si="432"/>
        <v>5.6992193655609942</v>
      </c>
      <c r="AC378" s="56">
        <f t="shared" si="420"/>
        <v>2</v>
      </c>
      <c r="AE378" s="18">
        <f t="shared" si="433"/>
        <v>7.6034980030225183</v>
      </c>
      <c r="AF378" s="18">
        <f t="shared" si="433"/>
        <v>0.32241737208560023</v>
      </c>
      <c r="AG378" s="18">
        <f t="shared" si="433"/>
        <v>2.7803341159725585</v>
      </c>
      <c r="AH378" s="18">
        <f t="shared" si="433"/>
        <v>1.1433613789050179</v>
      </c>
      <c r="AI378" s="18">
        <f t="shared" si="433"/>
        <v>5.3358029228727446</v>
      </c>
      <c r="AJ378" s="56">
        <f t="shared" si="421"/>
        <v>2</v>
      </c>
      <c r="AL378" s="18">
        <f t="shared" si="434"/>
        <v>7.6034980030225183</v>
      </c>
      <c r="AM378" s="18">
        <f t="shared" si="434"/>
        <v>0.28479342094009558</v>
      </c>
      <c r="AN378" s="18">
        <f t="shared" si="434"/>
        <v>2.8388933614503209</v>
      </c>
      <c r="AO378" s="18">
        <f t="shared" si="434"/>
        <v>1.1936845047269431</v>
      </c>
      <c r="AP378" s="18">
        <f t="shared" si="434"/>
        <v>5.0630635867369129</v>
      </c>
      <c r="AQ378" s="56">
        <f t="shared" si="422"/>
        <v>2</v>
      </c>
      <c r="AS378" s="18">
        <f t="shared" si="435"/>
        <v>7.6034980030225183</v>
      </c>
      <c r="AT378" s="18">
        <f t="shared" si="435"/>
        <v>0.29031940550091107</v>
      </c>
      <c r="AU378" s="18">
        <f t="shared" si="435"/>
        <v>2.8660900380894025</v>
      </c>
      <c r="AV378" s="18">
        <f t="shared" si="435"/>
        <v>1.1728659374519996</v>
      </c>
      <c r="AW378" s="18">
        <f t="shared" si="435"/>
        <v>5.0630635867369129</v>
      </c>
      <c r="AX378" s="56">
        <f t="shared" si="423"/>
        <v>2</v>
      </c>
      <c r="AZ378" s="18">
        <f t="shared" si="436"/>
        <v>7.6034980030225183</v>
      </c>
      <c r="BA378" s="18">
        <f t="shared" si="436"/>
        <v>0.29031940550091107</v>
      </c>
      <c r="BB378" s="18">
        <f t="shared" si="436"/>
        <v>2.8660900380894025</v>
      </c>
      <c r="BC378" s="18">
        <f t="shared" si="436"/>
        <v>1.1728659374519996</v>
      </c>
      <c r="BD378" s="18">
        <f t="shared" si="436"/>
        <v>5.0630635867369129</v>
      </c>
      <c r="BE378" s="56">
        <f t="shared" si="424"/>
        <v>2</v>
      </c>
      <c r="BG378" s="18">
        <f t="shared" si="437"/>
        <v>7.6034980030225183</v>
      </c>
      <c r="BH378" s="18">
        <f t="shared" si="437"/>
        <v>0.29031940550091107</v>
      </c>
      <c r="BI378" s="18">
        <f t="shared" si="437"/>
        <v>2.8660900380894025</v>
      </c>
      <c r="BJ378" s="18">
        <f t="shared" si="437"/>
        <v>1.1728659374519996</v>
      </c>
      <c r="BK378" s="18">
        <f t="shared" si="437"/>
        <v>5.0630635867369129</v>
      </c>
      <c r="BL378" s="56">
        <f t="shared" si="425"/>
        <v>2</v>
      </c>
      <c r="BN378" s="18">
        <f t="shared" si="438"/>
        <v>7.6034980030225183</v>
      </c>
      <c r="BO378" s="18">
        <f t="shared" si="438"/>
        <v>0.29031940550091107</v>
      </c>
      <c r="BP378" s="18">
        <f t="shared" si="438"/>
        <v>2.8660900380894025</v>
      </c>
      <c r="BQ378" s="18">
        <f t="shared" si="438"/>
        <v>1.1728659374519996</v>
      </c>
      <c r="BR378" s="18">
        <f t="shared" si="438"/>
        <v>5.0630635867369129</v>
      </c>
      <c r="BS378" s="56">
        <f t="shared" si="426"/>
        <v>2</v>
      </c>
      <c r="BU378" s="18">
        <f t="shared" si="439"/>
        <v>7.6034980030225183</v>
      </c>
      <c r="BV378" s="18">
        <f t="shared" si="439"/>
        <v>0.29031940550091107</v>
      </c>
      <c r="BW378" s="18">
        <f t="shared" si="439"/>
        <v>2.8660900380894025</v>
      </c>
      <c r="BX378" s="18">
        <f t="shared" si="439"/>
        <v>1.1728659374519996</v>
      </c>
      <c r="BY378" s="18">
        <f t="shared" si="439"/>
        <v>5.0630635867369129</v>
      </c>
      <c r="BZ378" s="56">
        <f t="shared" si="427"/>
        <v>2</v>
      </c>
      <c r="CB378" s="18">
        <f t="shared" si="440"/>
        <v>7.6034980030225183</v>
      </c>
      <c r="CC378" s="18">
        <f t="shared" si="440"/>
        <v>0.29031940550091107</v>
      </c>
      <c r="CD378" s="18">
        <f t="shared" si="440"/>
        <v>2.8660900380894025</v>
      </c>
      <c r="CE378" s="18">
        <f t="shared" si="440"/>
        <v>1.1728659374519996</v>
      </c>
      <c r="CF378" s="18">
        <f t="shared" si="440"/>
        <v>5.0630635867369129</v>
      </c>
      <c r="CG378" s="56">
        <f t="shared" si="428"/>
        <v>2</v>
      </c>
      <c r="CI378" s="18">
        <f t="shared" si="441"/>
        <v>7.6034980030225183</v>
      </c>
      <c r="CJ378" s="18">
        <f t="shared" si="441"/>
        <v>0.29031940550091107</v>
      </c>
      <c r="CK378" s="18">
        <f t="shared" si="441"/>
        <v>2.8660900380894025</v>
      </c>
      <c r="CL378" s="18">
        <f t="shared" si="441"/>
        <v>1.1728659374519996</v>
      </c>
      <c r="CM378" s="18">
        <f t="shared" si="441"/>
        <v>5.0630635867369129</v>
      </c>
      <c r="CN378" s="56">
        <f t="shared" si="429"/>
        <v>2</v>
      </c>
      <c r="CP378" s="18">
        <f t="shared" si="442"/>
        <v>7.6034980030225183</v>
      </c>
      <c r="CQ378" s="18">
        <f t="shared" si="442"/>
        <v>0.29031940550091107</v>
      </c>
      <c r="CR378" s="18">
        <f t="shared" si="442"/>
        <v>2.8660900380894025</v>
      </c>
      <c r="CS378" s="18">
        <f t="shared" si="442"/>
        <v>1.1728659374519996</v>
      </c>
      <c r="CT378" s="18">
        <f t="shared" si="442"/>
        <v>5.0630635867369129</v>
      </c>
      <c r="CU378" s="56">
        <f t="shared" si="430"/>
        <v>2</v>
      </c>
      <c r="CW378" s="18">
        <f t="shared" si="443"/>
        <v>7.6034980030225183</v>
      </c>
      <c r="CX378" s="18">
        <f t="shared" si="443"/>
        <v>0.29031940550091107</v>
      </c>
      <c r="CY378" s="18">
        <f t="shared" si="443"/>
        <v>2.8660900380894025</v>
      </c>
      <c r="CZ378" s="18">
        <f t="shared" si="443"/>
        <v>1.1728659374519996</v>
      </c>
      <c r="DA378" s="18">
        <f t="shared" si="443"/>
        <v>5.0630635867369129</v>
      </c>
      <c r="DB378" s="56">
        <f t="shared" si="431"/>
        <v>2</v>
      </c>
    </row>
    <row r="379" spans="1:106" x14ac:dyDescent="0.25">
      <c r="A379" s="36" t="str">
        <f>KMeans_Data!A107</f>
        <v>Khanewal</v>
      </c>
      <c r="B379" s="18">
        <f>KMeans_Data!H107</f>
        <v>-0.99745100604838388</v>
      </c>
      <c r="C379" s="18">
        <f>KMeans_Data!I107</f>
        <v>-0.67265054538827607</v>
      </c>
      <c r="D379" s="18">
        <f>KMeans_Data!J107</f>
        <v>-1.1456441163335547</v>
      </c>
      <c r="E379" s="56">
        <f t="shared" si="418"/>
        <v>2</v>
      </c>
      <c r="F379" s="38">
        <f t="shared" si="419"/>
        <v>8.4285357210402423E-2</v>
      </c>
      <c r="G379" s="18">
        <f>IF(COUNTIF(Distance_Matrix!$E$11:$DQ$11,$E379)&lt;=1,0,SUMIF(Distance_Matrix!$E$11:$DQ$11,$E379,Distance_Matrix!$E$116:$DQ$116)/(COUNTIF(Distance_Matrix!$E$11:$DQ$11,$E379)-1))</f>
        <v>0.4768616919795825</v>
      </c>
      <c r="H379" s="18">
        <f>MIN(IF(1=$E379,1E+99,IF(COUNTIF(Distance_Matrix!$E$11:$DQ$11,1)=0,1E+99,SUMIF(Distance_Matrix!$E$11:$DQ$11,1,Distance_Matrix!$E$116:$DQ$116)/COUNTIF(Distance_Matrix!$E$11:$DQ$11,1))),IF(2=$E379,1E+99,IF(COUNTIF(Distance_Matrix!$E$11:$DQ$11,2)=0,1E+99,SUMIF(Distance_Matrix!$E$11:$DQ$11,2,Distance_Matrix!$E$116:$DQ$116)/COUNTIF(Distance_Matrix!$E$11:$DQ$11,2))),IF(3=$E379,1E+99,IF(COUNTIF(Distance_Matrix!$E$11:$DQ$11,3)=0,1E+99,SUMIF(Distance_Matrix!$E$11:$DQ$11,3,Distance_Matrix!$E$116:$DQ$116)/COUNTIF(Distance_Matrix!$E$11:$DQ$11,3))),IF(4=$E379,1E+99,IF(COUNTIF(Distance_Matrix!$E$11:$DQ$11,4)=0,1E+99,SUMIF(Distance_Matrix!$E$11:$DQ$11,4,Distance_Matrix!$E$116:$DQ$116)/COUNTIF(Distance_Matrix!$E$11:$DQ$11,4))),IF(5=$E379,1E+99,IF(COUNTIF(Distance_Matrix!$E$11:$DQ$11,5)=0,1E+99,SUMIF(Distance_Matrix!$E$11:$DQ$11,5,Distance_Matrix!$E$116:$DQ$116)/COUNTIF(Distance_Matrix!$E$11:$DQ$11,5))))</f>
        <v>1.3345978353351842</v>
      </c>
      <c r="I379" s="18">
        <f>IF(COUNTIF(Distance_Matrix!$E$11:$DQ$11,$E379)&lt;=1,0,(H379-G379)/MAX(G379,H379))</f>
        <v>0.64269259296391812</v>
      </c>
      <c r="X379" s="18">
        <f t="shared" si="432"/>
        <v>7.7325112391913207</v>
      </c>
      <c r="Y379" s="18">
        <f t="shared" si="432"/>
        <v>1.0822869757549447</v>
      </c>
      <c r="Z379" s="18">
        <f t="shared" si="432"/>
        <v>3.4769782447328597</v>
      </c>
      <c r="AA379" s="18">
        <f t="shared" si="432"/>
        <v>1.7251617082042925</v>
      </c>
      <c r="AB379" s="18">
        <f t="shared" si="432"/>
        <v>5.6992193655609942</v>
      </c>
      <c r="AC379" s="56">
        <f t="shared" si="420"/>
        <v>2</v>
      </c>
      <c r="AE379" s="18">
        <f t="shared" si="433"/>
        <v>7.6034980030225183</v>
      </c>
      <c r="AF379" s="18">
        <f t="shared" si="433"/>
        <v>0.32241737208560023</v>
      </c>
      <c r="AG379" s="18">
        <f t="shared" si="433"/>
        <v>2.7803341159725585</v>
      </c>
      <c r="AH379" s="18">
        <f t="shared" si="433"/>
        <v>1.1433613789050179</v>
      </c>
      <c r="AI379" s="18">
        <f t="shared" si="433"/>
        <v>5.3358029228727446</v>
      </c>
      <c r="AJ379" s="56">
        <f t="shared" si="421"/>
        <v>2</v>
      </c>
      <c r="AL379" s="18">
        <f t="shared" si="434"/>
        <v>7.6034980030225183</v>
      </c>
      <c r="AM379" s="18">
        <f t="shared" si="434"/>
        <v>0.28479342094009558</v>
      </c>
      <c r="AN379" s="18">
        <f t="shared" si="434"/>
        <v>2.8388933614503209</v>
      </c>
      <c r="AO379" s="18">
        <f t="shared" si="434"/>
        <v>1.1936845047269431</v>
      </c>
      <c r="AP379" s="18">
        <f t="shared" si="434"/>
        <v>5.0630635867369129</v>
      </c>
      <c r="AQ379" s="56">
        <f t="shared" si="422"/>
        <v>2</v>
      </c>
      <c r="AS379" s="18">
        <f t="shared" si="435"/>
        <v>7.6034980030225183</v>
      </c>
      <c r="AT379" s="18">
        <f t="shared" si="435"/>
        <v>0.29031940550091107</v>
      </c>
      <c r="AU379" s="18">
        <f t="shared" si="435"/>
        <v>2.8660900380894025</v>
      </c>
      <c r="AV379" s="18">
        <f t="shared" si="435"/>
        <v>1.1728659374519996</v>
      </c>
      <c r="AW379" s="18">
        <f t="shared" si="435"/>
        <v>5.0630635867369129</v>
      </c>
      <c r="AX379" s="56">
        <f t="shared" si="423"/>
        <v>2</v>
      </c>
      <c r="AZ379" s="18">
        <f t="shared" si="436"/>
        <v>7.6034980030225183</v>
      </c>
      <c r="BA379" s="18">
        <f t="shared" si="436"/>
        <v>0.29031940550091107</v>
      </c>
      <c r="BB379" s="18">
        <f t="shared" si="436"/>
        <v>2.8660900380894025</v>
      </c>
      <c r="BC379" s="18">
        <f t="shared" si="436"/>
        <v>1.1728659374519996</v>
      </c>
      <c r="BD379" s="18">
        <f t="shared" si="436"/>
        <v>5.0630635867369129</v>
      </c>
      <c r="BE379" s="56">
        <f t="shared" si="424"/>
        <v>2</v>
      </c>
      <c r="BG379" s="18">
        <f t="shared" si="437"/>
        <v>7.6034980030225183</v>
      </c>
      <c r="BH379" s="18">
        <f t="shared" si="437"/>
        <v>0.29031940550091107</v>
      </c>
      <c r="BI379" s="18">
        <f t="shared" si="437"/>
        <v>2.8660900380894025</v>
      </c>
      <c r="BJ379" s="18">
        <f t="shared" si="437"/>
        <v>1.1728659374519996</v>
      </c>
      <c r="BK379" s="18">
        <f t="shared" si="437"/>
        <v>5.0630635867369129</v>
      </c>
      <c r="BL379" s="56">
        <f t="shared" si="425"/>
        <v>2</v>
      </c>
      <c r="BN379" s="18">
        <f t="shared" si="438"/>
        <v>7.6034980030225183</v>
      </c>
      <c r="BO379" s="18">
        <f t="shared" si="438"/>
        <v>0.29031940550091107</v>
      </c>
      <c r="BP379" s="18">
        <f t="shared" si="438"/>
        <v>2.8660900380894025</v>
      </c>
      <c r="BQ379" s="18">
        <f t="shared" si="438"/>
        <v>1.1728659374519996</v>
      </c>
      <c r="BR379" s="18">
        <f t="shared" si="438"/>
        <v>5.0630635867369129</v>
      </c>
      <c r="BS379" s="56">
        <f t="shared" si="426"/>
        <v>2</v>
      </c>
      <c r="BU379" s="18">
        <f t="shared" si="439"/>
        <v>7.6034980030225183</v>
      </c>
      <c r="BV379" s="18">
        <f t="shared" si="439"/>
        <v>0.29031940550091107</v>
      </c>
      <c r="BW379" s="18">
        <f t="shared" si="439"/>
        <v>2.8660900380894025</v>
      </c>
      <c r="BX379" s="18">
        <f t="shared" si="439"/>
        <v>1.1728659374519996</v>
      </c>
      <c r="BY379" s="18">
        <f t="shared" si="439"/>
        <v>5.0630635867369129</v>
      </c>
      <c r="BZ379" s="56">
        <f t="shared" si="427"/>
        <v>2</v>
      </c>
      <c r="CB379" s="18">
        <f t="shared" si="440"/>
        <v>7.6034980030225183</v>
      </c>
      <c r="CC379" s="18">
        <f t="shared" si="440"/>
        <v>0.29031940550091107</v>
      </c>
      <c r="CD379" s="18">
        <f t="shared" si="440"/>
        <v>2.8660900380894025</v>
      </c>
      <c r="CE379" s="18">
        <f t="shared" si="440"/>
        <v>1.1728659374519996</v>
      </c>
      <c r="CF379" s="18">
        <f t="shared" si="440"/>
        <v>5.0630635867369129</v>
      </c>
      <c r="CG379" s="56">
        <f t="shared" si="428"/>
        <v>2</v>
      </c>
      <c r="CI379" s="18">
        <f t="shared" si="441"/>
        <v>7.6034980030225183</v>
      </c>
      <c r="CJ379" s="18">
        <f t="shared" si="441"/>
        <v>0.29031940550091107</v>
      </c>
      <c r="CK379" s="18">
        <f t="shared" si="441"/>
        <v>2.8660900380894025</v>
      </c>
      <c r="CL379" s="18">
        <f t="shared" si="441"/>
        <v>1.1728659374519996</v>
      </c>
      <c r="CM379" s="18">
        <f t="shared" si="441"/>
        <v>5.0630635867369129</v>
      </c>
      <c r="CN379" s="56">
        <f t="shared" si="429"/>
        <v>2</v>
      </c>
      <c r="CP379" s="18">
        <f t="shared" si="442"/>
        <v>7.6034980030225183</v>
      </c>
      <c r="CQ379" s="18">
        <f t="shared" si="442"/>
        <v>0.29031940550091107</v>
      </c>
      <c r="CR379" s="18">
        <f t="shared" si="442"/>
        <v>2.8660900380894025</v>
      </c>
      <c r="CS379" s="18">
        <f t="shared" si="442"/>
        <v>1.1728659374519996</v>
      </c>
      <c r="CT379" s="18">
        <f t="shared" si="442"/>
        <v>5.0630635867369129</v>
      </c>
      <c r="CU379" s="56">
        <f t="shared" si="430"/>
        <v>2</v>
      </c>
      <c r="CW379" s="18">
        <f t="shared" si="443"/>
        <v>7.6034980030225183</v>
      </c>
      <c r="CX379" s="18">
        <f t="shared" si="443"/>
        <v>0.29031940550091107</v>
      </c>
      <c r="CY379" s="18">
        <f t="shared" si="443"/>
        <v>2.8660900380894025</v>
      </c>
      <c r="CZ379" s="18">
        <f t="shared" si="443"/>
        <v>1.1728659374519996</v>
      </c>
      <c r="DA379" s="18">
        <f t="shared" si="443"/>
        <v>5.0630635867369129</v>
      </c>
      <c r="DB379" s="56">
        <f t="shared" si="431"/>
        <v>2</v>
      </c>
    </row>
    <row r="380" spans="1:106" x14ac:dyDescent="0.25">
      <c r="A380" s="36" t="str">
        <f>KMeans_Data!A108</f>
        <v>Tharparkar</v>
      </c>
      <c r="B380" s="18">
        <f>KMeans_Data!H108</f>
        <v>-0.99745100604838388</v>
      </c>
      <c r="C380" s="18">
        <f>KMeans_Data!I108</f>
        <v>-0.67265054538827607</v>
      </c>
      <c r="D380" s="18">
        <f>KMeans_Data!J108</f>
        <v>-0.63655717184154814</v>
      </c>
      <c r="E380" s="56">
        <f t="shared" si="418"/>
        <v>2</v>
      </c>
      <c r="F380" s="38">
        <f t="shared" si="419"/>
        <v>0.27039562984979842</v>
      </c>
      <c r="G380" s="18">
        <f>IF(COUNTIF(Distance_Matrix!$E$11:$DQ$11,$E380)&lt;=1,0,SUMIF(Distance_Matrix!$E$11:$DQ$11,$E380,Distance_Matrix!$E$117:$DQ$117)/(COUNTIF(Distance_Matrix!$E$11:$DQ$11,$E380)-1))</f>
        <v>0.67033201787461927</v>
      </c>
      <c r="H380" s="18">
        <f>MIN(IF(1=$E380,1E+99,IF(COUNTIF(Distance_Matrix!$E$11:$DQ$11,1)=0,1E+99,SUMIF(Distance_Matrix!$E$11:$DQ$11,1,Distance_Matrix!$E$117:$DQ$117)/COUNTIF(Distance_Matrix!$E$11:$DQ$11,1))),IF(2=$E380,1E+99,IF(COUNTIF(Distance_Matrix!$E$11:$DQ$11,2)=0,1E+99,SUMIF(Distance_Matrix!$E$11:$DQ$11,2,Distance_Matrix!$E$117:$DQ$117)/COUNTIF(Distance_Matrix!$E$11:$DQ$11,2))),IF(3=$E380,1E+99,IF(COUNTIF(Distance_Matrix!$E$11:$DQ$11,3)=0,1E+99,SUMIF(Distance_Matrix!$E$11:$DQ$11,3,Distance_Matrix!$E$117:$DQ$117)/COUNTIF(Distance_Matrix!$E$11:$DQ$11,3))),IF(4=$E380,1E+99,IF(COUNTIF(Distance_Matrix!$E$11:$DQ$11,4)=0,1E+99,SUMIF(Distance_Matrix!$E$11:$DQ$11,4,Distance_Matrix!$E$117:$DQ$117)/COUNTIF(Distance_Matrix!$E$11:$DQ$11,4))),IF(5=$E380,1E+99,IF(COUNTIF(Distance_Matrix!$E$11:$DQ$11,5)=0,1E+99,SUMIF(Distance_Matrix!$E$11:$DQ$11,5,Distance_Matrix!$E$117:$DQ$117)/COUNTIF(Distance_Matrix!$E$11:$DQ$11,5))))</f>
        <v>1.1237503936027238</v>
      </c>
      <c r="I380" s="18">
        <f>IF(COUNTIF(Distance_Matrix!$E$11:$DQ$11,$E380)&lt;=1,0,(H380-G380)/MAX(G380,H380))</f>
        <v>0.4034867336281443</v>
      </c>
      <c r="X380" s="18">
        <f t="shared" si="432"/>
        <v>7.454703706650184</v>
      </c>
      <c r="Y380" s="18">
        <f t="shared" si="432"/>
        <v>1.1960412262714826</v>
      </c>
      <c r="Z380" s="18">
        <f t="shared" si="432"/>
        <v>3.1120659850710299</v>
      </c>
      <c r="AA380" s="18">
        <f t="shared" si="432"/>
        <v>1.7987085468486994</v>
      </c>
      <c r="AB380" s="18">
        <f t="shared" si="432"/>
        <v>5.39984587511535</v>
      </c>
      <c r="AC380" s="56">
        <f t="shared" si="420"/>
        <v>2</v>
      </c>
      <c r="AE380" s="18">
        <f t="shared" si="433"/>
        <v>7.3406647315733045</v>
      </c>
      <c r="AF380" s="18">
        <f t="shared" si="433"/>
        <v>0.38583952817465145</v>
      </c>
      <c r="AG380" s="18">
        <f t="shared" si="433"/>
        <v>2.4416289000070215</v>
      </c>
      <c r="AH380" s="18">
        <f t="shared" si="433"/>
        <v>0.96088071781038464</v>
      </c>
      <c r="AI380" s="18">
        <f t="shared" si="433"/>
        <v>5.0737504614180757</v>
      </c>
      <c r="AJ380" s="56">
        <f t="shared" si="421"/>
        <v>2</v>
      </c>
      <c r="AL380" s="18">
        <f t="shared" si="434"/>
        <v>7.3406647315733045</v>
      </c>
      <c r="AM380" s="18">
        <f t="shared" si="434"/>
        <v>0.4211033565160468</v>
      </c>
      <c r="AN380" s="18">
        <f t="shared" si="434"/>
        <v>2.5084625215606464</v>
      </c>
      <c r="AO380" s="18">
        <f t="shared" si="434"/>
        <v>0.96044963385557003</v>
      </c>
      <c r="AP380" s="18">
        <f t="shared" si="434"/>
        <v>4.7992976361850639</v>
      </c>
      <c r="AQ380" s="56">
        <f t="shared" si="422"/>
        <v>2</v>
      </c>
      <c r="AS380" s="18">
        <f t="shared" si="435"/>
        <v>7.3406647315733045</v>
      </c>
      <c r="AT380" s="18">
        <f t="shared" si="435"/>
        <v>0.51999579791552009</v>
      </c>
      <c r="AU380" s="18">
        <f t="shared" si="435"/>
        <v>2.5359734717831954</v>
      </c>
      <c r="AV380" s="18">
        <f t="shared" si="435"/>
        <v>0.92206950789701636</v>
      </c>
      <c r="AW380" s="18">
        <f t="shared" si="435"/>
        <v>4.7992976361850639</v>
      </c>
      <c r="AX380" s="56">
        <f t="shared" si="423"/>
        <v>2</v>
      </c>
      <c r="AZ380" s="18">
        <f t="shared" si="436"/>
        <v>7.3406647315733045</v>
      </c>
      <c r="BA380" s="18">
        <f t="shared" si="436"/>
        <v>0.51999579791552009</v>
      </c>
      <c r="BB380" s="18">
        <f t="shared" si="436"/>
        <v>2.5359734717831954</v>
      </c>
      <c r="BC380" s="18">
        <f t="shared" si="436"/>
        <v>0.92206950789701636</v>
      </c>
      <c r="BD380" s="18">
        <f t="shared" si="436"/>
        <v>4.7992976361850639</v>
      </c>
      <c r="BE380" s="56">
        <f t="shared" si="424"/>
        <v>2</v>
      </c>
      <c r="BG380" s="18">
        <f t="shared" si="437"/>
        <v>7.3406647315733045</v>
      </c>
      <c r="BH380" s="18">
        <f t="shared" si="437"/>
        <v>0.51999579791552009</v>
      </c>
      <c r="BI380" s="18">
        <f t="shared" si="437"/>
        <v>2.5359734717831954</v>
      </c>
      <c r="BJ380" s="18">
        <f t="shared" si="437"/>
        <v>0.92206950789701636</v>
      </c>
      <c r="BK380" s="18">
        <f t="shared" si="437"/>
        <v>4.7992976361850639</v>
      </c>
      <c r="BL380" s="56">
        <f t="shared" si="425"/>
        <v>2</v>
      </c>
      <c r="BN380" s="18">
        <f t="shared" si="438"/>
        <v>7.3406647315733045</v>
      </c>
      <c r="BO380" s="18">
        <f t="shared" si="438"/>
        <v>0.51999579791552009</v>
      </c>
      <c r="BP380" s="18">
        <f t="shared" si="438"/>
        <v>2.5359734717831954</v>
      </c>
      <c r="BQ380" s="18">
        <f t="shared" si="438"/>
        <v>0.92206950789701636</v>
      </c>
      <c r="BR380" s="18">
        <f t="shared" si="438"/>
        <v>4.7992976361850639</v>
      </c>
      <c r="BS380" s="56">
        <f t="shared" si="426"/>
        <v>2</v>
      </c>
      <c r="BU380" s="18">
        <f t="shared" si="439"/>
        <v>7.3406647315733045</v>
      </c>
      <c r="BV380" s="18">
        <f t="shared" si="439"/>
        <v>0.51999579791552009</v>
      </c>
      <c r="BW380" s="18">
        <f t="shared" si="439"/>
        <v>2.5359734717831954</v>
      </c>
      <c r="BX380" s="18">
        <f t="shared" si="439"/>
        <v>0.92206950789701636</v>
      </c>
      <c r="BY380" s="18">
        <f t="shared" si="439"/>
        <v>4.7992976361850639</v>
      </c>
      <c r="BZ380" s="56">
        <f t="shared" si="427"/>
        <v>2</v>
      </c>
      <c r="CB380" s="18">
        <f t="shared" si="440"/>
        <v>7.3406647315733045</v>
      </c>
      <c r="CC380" s="18">
        <f t="shared" si="440"/>
        <v>0.51999579791552009</v>
      </c>
      <c r="CD380" s="18">
        <f t="shared" si="440"/>
        <v>2.5359734717831954</v>
      </c>
      <c r="CE380" s="18">
        <f t="shared" si="440"/>
        <v>0.92206950789701636</v>
      </c>
      <c r="CF380" s="18">
        <f t="shared" si="440"/>
        <v>4.7992976361850639</v>
      </c>
      <c r="CG380" s="56">
        <f t="shared" si="428"/>
        <v>2</v>
      </c>
      <c r="CI380" s="18">
        <f t="shared" si="441"/>
        <v>7.3406647315733045</v>
      </c>
      <c r="CJ380" s="18">
        <f t="shared" si="441"/>
        <v>0.51999579791552009</v>
      </c>
      <c r="CK380" s="18">
        <f t="shared" si="441"/>
        <v>2.5359734717831954</v>
      </c>
      <c r="CL380" s="18">
        <f t="shared" si="441"/>
        <v>0.92206950789701636</v>
      </c>
      <c r="CM380" s="18">
        <f t="shared" si="441"/>
        <v>4.7992976361850639</v>
      </c>
      <c r="CN380" s="56">
        <f t="shared" si="429"/>
        <v>2</v>
      </c>
      <c r="CP380" s="18">
        <f t="shared" si="442"/>
        <v>7.3406647315733045</v>
      </c>
      <c r="CQ380" s="18">
        <f t="shared" si="442"/>
        <v>0.51999579791552009</v>
      </c>
      <c r="CR380" s="18">
        <f t="shared" si="442"/>
        <v>2.5359734717831954</v>
      </c>
      <c r="CS380" s="18">
        <f t="shared" si="442"/>
        <v>0.92206950789701636</v>
      </c>
      <c r="CT380" s="18">
        <f t="shared" si="442"/>
        <v>4.7992976361850639</v>
      </c>
      <c r="CU380" s="56">
        <f t="shared" si="430"/>
        <v>2</v>
      </c>
      <c r="CW380" s="18">
        <f t="shared" si="443"/>
        <v>7.3406647315733045</v>
      </c>
      <c r="CX380" s="18">
        <f t="shared" si="443"/>
        <v>0.51999579791552009</v>
      </c>
      <c r="CY380" s="18">
        <f t="shared" si="443"/>
        <v>2.5359734717831954</v>
      </c>
      <c r="CZ380" s="18">
        <f t="shared" si="443"/>
        <v>0.92206950789701636</v>
      </c>
      <c r="DA380" s="18">
        <f t="shared" si="443"/>
        <v>4.7992976361850639</v>
      </c>
      <c r="DB380" s="56">
        <f t="shared" si="431"/>
        <v>2</v>
      </c>
    </row>
    <row r="381" spans="1:106" x14ac:dyDescent="0.25">
      <c r="A381" s="36" t="str">
        <f>KMeans_Data!A109</f>
        <v>Chakwal</v>
      </c>
      <c r="B381" s="18">
        <f>KMeans_Data!H109</f>
        <v>-1.1471808993548489</v>
      </c>
      <c r="C381" s="18">
        <f>KMeans_Data!I109</f>
        <v>-0.67265054538827607</v>
      </c>
      <c r="D381" s="18">
        <f>KMeans_Data!J109</f>
        <v>-0.82444601589876665</v>
      </c>
      <c r="E381" s="56">
        <f t="shared" si="418"/>
        <v>2</v>
      </c>
      <c r="F381" s="38">
        <f t="shared" si="419"/>
        <v>7.9771327627015304E-2</v>
      </c>
      <c r="G381" s="18">
        <f>IF(COUNTIF(Distance_Matrix!$E$11:$DQ$11,$E381)&lt;=1,0,SUMIF(Distance_Matrix!$E$11:$DQ$11,$E381,Distance_Matrix!$E$118:$DQ$118)/(COUNTIF(Distance_Matrix!$E$11:$DQ$11,$E381)-1))</f>
        <v>0.52756115246643198</v>
      </c>
      <c r="H381" s="18">
        <f>MIN(IF(1=$E381,1E+99,IF(COUNTIF(Distance_Matrix!$E$11:$DQ$11,1)=0,1E+99,SUMIF(Distance_Matrix!$E$11:$DQ$11,1,Distance_Matrix!$E$118:$DQ$118)/COUNTIF(Distance_Matrix!$E$11:$DQ$11,1))),IF(2=$E381,1E+99,IF(COUNTIF(Distance_Matrix!$E$11:$DQ$11,2)=0,1E+99,SUMIF(Distance_Matrix!$E$11:$DQ$11,2,Distance_Matrix!$E$118:$DQ$118)/COUNTIF(Distance_Matrix!$E$11:$DQ$11,2))),IF(3=$E381,1E+99,IF(COUNTIF(Distance_Matrix!$E$11:$DQ$11,3)=0,1E+99,SUMIF(Distance_Matrix!$E$11:$DQ$11,3,Distance_Matrix!$E$118:$DQ$118)/COUNTIF(Distance_Matrix!$E$11:$DQ$11,3))),IF(4=$E381,1E+99,IF(COUNTIF(Distance_Matrix!$E$11:$DQ$11,4)=0,1E+99,SUMIF(Distance_Matrix!$E$11:$DQ$11,4,Distance_Matrix!$E$118:$DQ$118)/COUNTIF(Distance_Matrix!$E$11:$DQ$11,4))),IF(5=$E381,1E+99,IF(COUNTIF(Distance_Matrix!$E$11:$DQ$11,5)=0,1E+99,SUMIF(Distance_Matrix!$E$11:$DQ$11,5,Distance_Matrix!$E$118:$DQ$118)/COUNTIF(Distance_Matrix!$E$11:$DQ$11,5))))</f>
        <v>1.296217051055067</v>
      </c>
      <c r="I381" s="18">
        <f>IF(COUNTIF(Distance_Matrix!$E$11:$DQ$11,$E381)&lt;=1,0,(H381-G381)/MAX(G381,H381))</f>
        <v>0.59299937303168548</v>
      </c>
      <c r="X381" s="18">
        <f t="shared" si="432"/>
        <v>7.6400948807562985</v>
      </c>
      <c r="Y381" s="18">
        <f t="shared" si="432"/>
        <v>0.98632192095062787</v>
      </c>
      <c r="Z381" s="18">
        <f t="shared" si="432"/>
        <v>3.3382274243213987</v>
      </c>
      <c r="AA381" s="18">
        <f t="shared" si="432"/>
        <v>1.8957372607825711</v>
      </c>
      <c r="AB381" s="18">
        <f t="shared" si="432"/>
        <v>5.5994211927358934</v>
      </c>
      <c r="AC381" s="56">
        <f t="shared" si="420"/>
        <v>2</v>
      </c>
      <c r="AE381" s="18">
        <f t="shared" si="433"/>
        <v>7.5214808424228226</v>
      </c>
      <c r="AF381" s="18">
        <f t="shared" si="433"/>
        <v>0.14637946380068356</v>
      </c>
      <c r="AG381" s="18">
        <f t="shared" si="433"/>
        <v>2.6531431851933376</v>
      </c>
      <c r="AH381" s="18">
        <f t="shared" si="433"/>
        <v>1.1432985257520787</v>
      </c>
      <c r="AI381" s="18">
        <f t="shared" si="433"/>
        <v>5.2571327524198388</v>
      </c>
      <c r="AJ381" s="56">
        <f t="shared" si="421"/>
        <v>2</v>
      </c>
      <c r="AL381" s="18">
        <f t="shared" si="434"/>
        <v>7.5214808424228226</v>
      </c>
      <c r="AM381" s="18">
        <f t="shared" si="434"/>
        <v>0.18320808022536844</v>
      </c>
      <c r="AN381" s="18">
        <f t="shared" si="434"/>
        <v>2.7174222278439819</v>
      </c>
      <c r="AO381" s="18">
        <f t="shared" si="434"/>
        <v>1.1594610921324688</v>
      </c>
      <c r="AP381" s="18">
        <f t="shared" si="434"/>
        <v>4.9822863840392859</v>
      </c>
      <c r="AQ381" s="56">
        <f t="shared" si="422"/>
        <v>2</v>
      </c>
      <c r="AS381" s="18">
        <f t="shared" si="435"/>
        <v>7.5214808424228226</v>
      </c>
      <c r="AT381" s="18">
        <f t="shared" si="435"/>
        <v>0.2824381837270154</v>
      </c>
      <c r="AU381" s="18">
        <f t="shared" si="435"/>
        <v>2.7449955325570472</v>
      </c>
      <c r="AV381" s="18">
        <f t="shared" si="435"/>
        <v>1.125323620156317</v>
      </c>
      <c r="AW381" s="18">
        <f t="shared" si="435"/>
        <v>4.9822863840392859</v>
      </c>
      <c r="AX381" s="56">
        <f t="shared" si="423"/>
        <v>2</v>
      </c>
      <c r="AZ381" s="18">
        <f t="shared" si="436"/>
        <v>7.5214808424228226</v>
      </c>
      <c r="BA381" s="18">
        <f t="shared" si="436"/>
        <v>0.2824381837270154</v>
      </c>
      <c r="BB381" s="18">
        <f t="shared" si="436"/>
        <v>2.7449955325570472</v>
      </c>
      <c r="BC381" s="18">
        <f t="shared" si="436"/>
        <v>1.125323620156317</v>
      </c>
      <c r="BD381" s="18">
        <f t="shared" si="436"/>
        <v>4.9822863840392859</v>
      </c>
      <c r="BE381" s="56">
        <f t="shared" si="424"/>
        <v>2</v>
      </c>
      <c r="BG381" s="18">
        <f t="shared" si="437"/>
        <v>7.5214808424228226</v>
      </c>
      <c r="BH381" s="18">
        <f t="shared" si="437"/>
        <v>0.2824381837270154</v>
      </c>
      <c r="BI381" s="18">
        <f t="shared" si="437"/>
        <v>2.7449955325570472</v>
      </c>
      <c r="BJ381" s="18">
        <f t="shared" si="437"/>
        <v>1.125323620156317</v>
      </c>
      <c r="BK381" s="18">
        <f t="shared" si="437"/>
        <v>4.9822863840392859</v>
      </c>
      <c r="BL381" s="56">
        <f t="shared" si="425"/>
        <v>2</v>
      </c>
      <c r="BN381" s="18">
        <f t="shared" si="438"/>
        <v>7.5214808424228226</v>
      </c>
      <c r="BO381" s="18">
        <f t="shared" si="438"/>
        <v>0.2824381837270154</v>
      </c>
      <c r="BP381" s="18">
        <f t="shared" si="438"/>
        <v>2.7449955325570472</v>
      </c>
      <c r="BQ381" s="18">
        <f t="shared" si="438"/>
        <v>1.125323620156317</v>
      </c>
      <c r="BR381" s="18">
        <f t="shared" si="438"/>
        <v>4.9822863840392859</v>
      </c>
      <c r="BS381" s="56">
        <f t="shared" si="426"/>
        <v>2</v>
      </c>
      <c r="BU381" s="18">
        <f t="shared" si="439"/>
        <v>7.5214808424228226</v>
      </c>
      <c r="BV381" s="18">
        <f t="shared" si="439"/>
        <v>0.2824381837270154</v>
      </c>
      <c r="BW381" s="18">
        <f t="shared" si="439"/>
        <v>2.7449955325570472</v>
      </c>
      <c r="BX381" s="18">
        <f t="shared" si="439"/>
        <v>1.125323620156317</v>
      </c>
      <c r="BY381" s="18">
        <f t="shared" si="439"/>
        <v>4.9822863840392859</v>
      </c>
      <c r="BZ381" s="56">
        <f t="shared" si="427"/>
        <v>2</v>
      </c>
      <c r="CB381" s="18">
        <f t="shared" si="440"/>
        <v>7.5214808424228226</v>
      </c>
      <c r="CC381" s="18">
        <f t="shared" si="440"/>
        <v>0.2824381837270154</v>
      </c>
      <c r="CD381" s="18">
        <f t="shared" si="440"/>
        <v>2.7449955325570472</v>
      </c>
      <c r="CE381" s="18">
        <f t="shared" si="440"/>
        <v>1.125323620156317</v>
      </c>
      <c r="CF381" s="18">
        <f t="shared" si="440"/>
        <v>4.9822863840392859</v>
      </c>
      <c r="CG381" s="56">
        <f t="shared" si="428"/>
        <v>2</v>
      </c>
      <c r="CI381" s="18">
        <f t="shared" si="441"/>
        <v>7.5214808424228226</v>
      </c>
      <c r="CJ381" s="18">
        <f t="shared" si="441"/>
        <v>0.2824381837270154</v>
      </c>
      <c r="CK381" s="18">
        <f t="shared" si="441"/>
        <v>2.7449955325570472</v>
      </c>
      <c r="CL381" s="18">
        <f t="shared" si="441"/>
        <v>1.125323620156317</v>
      </c>
      <c r="CM381" s="18">
        <f t="shared" si="441"/>
        <v>4.9822863840392859</v>
      </c>
      <c r="CN381" s="56">
        <f t="shared" si="429"/>
        <v>2</v>
      </c>
      <c r="CP381" s="18">
        <f t="shared" si="442"/>
        <v>7.5214808424228226</v>
      </c>
      <c r="CQ381" s="18">
        <f t="shared" si="442"/>
        <v>0.2824381837270154</v>
      </c>
      <c r="CR381" s="18">
        <f t="shared" si="442"/>
        <v>2.7449955325570472</v>
      </c>
      <c r="CS381" s="18">
        <f t="shared" si="442"/>
        <v>1.125323620156317</v>
      </c>
      <c r="CT381" s="18">
        <f t="shared" si="442"/>
        <v>4.9822863840392859</v>
      </c>
      <c r="CU381" s="56">
        <f t="shared" si="430"/>
        <v>2</v>
      </c>
      <c r="CW381" s="18">
        <f t="shared" si="443"/>
        <v>7.5214808424228226</v>
      </c>
      <c r="CX381" s="18">
        <f t="shared" si="443"/>
        <v>0.2824381837270154</v>
      </c>
      <c r="CY381" s="18">
        <f t="shared" si="443"/>
        <v>2.7449955325570472</v>
      </c>
      <c r="CZ381" s="18">
        <f t="shared" si="443"/>
        <v>1.125323620156317</v>
      </c>
      <c r="DA381" s="18">
        <f t="shared" si="443"/>
        <v>4.9822863840392859</v>
      </c>
      <c r="DB381" s="56">
        <f t="shared" si="431"/>
        <v>2</v>
      </c>
    </row>
    <row r="382" spans="1:106" x14ac:dyDescent="0.25">
      <c r="A382" s="36" t="str">
        <f>KMeans_Data!A110</f>
        <v>Pishin</v>
      </c>
      <c r="B382" s="18">
        <f>KMeans_Data!H110</f>
        <v>-1.3582133313000322</v>
      </c>
      <c r="C382" s="18">
        <f>KMeans_Data!I110</f>
        <v>-0.67265054538827607</v>
      </c>
      <c r="D382" s="18">
        <f>KMeans_Data!J110</f>
        <v>-1.1456441163335547</v>
      </c>
      <c r="E382" s="56">
        <f t="shared" si="418"/>
        <v>2</v>
      </c>
      <c r="F382" s="38">
        <f t="shared" si="419"/>
        <v>1.2028911068635975E-2</v>
      </c>
      <c r="G382" s="18">
        <f>IF(COUNTIF(Distance_Matrix!$E$11:$DQ$11,$E382)&lt;=1,0,SUMIF(Distance_Matrix!$E$11:$DQ$11,$E382,Distance_Matrix!$E$119:$DQ$119)/(COUNTIF(Distance_Matrix!$E$11:$DQ$11,$E382)-1))</f>
        <v>0.44927921488844991</v>
      </c>
      <c r="H382" s="18">
        <f>MIN(IF(1=$E382,1E+99,IF(COUNTIF(Distance_Matrix!$E$11:$DQ$11,1)=0,1E+99,SUMIF(Distance_Matrix!$E$11:$DQ$11,1,Distance_Matrix!$E$119:$DQ$119)/COUNTIF(Distance_Matrix!$E$11:$DQ$11,1))),IF(2=$E382,1E+99,IF(COUNTIF(Distance_Matrix!$E$11:$DQ$11,2)=0,1E+99,SUMIF(Distance_Matrix!$E$11:$DQ$11,2,Distance_Matrix!$E$119:$DQ$119)/COUNTIF(Distance_Matrix!$E$11:$DQ$11,2))),IF(3=$E382,1E+99,IF(COUNTIF(Distance_Matrix!$E$11:$DQ$11,3)=0,1E+99,SUMIF(Distance_Matrix!$E$11:$DQ$11,3,Distance_Matrix!$E$119:$DQ$119)/COUNTIF(Distance_Matrix!$E$11:$DQ$11,3))),IF(4=$E382,1E+99,IF(COUNTIF(Distance_Matrix!$E$11:$DQ$11,4)=0,1E+99,SUMIF(Distance_Matrix!$E$11:$DQ$11,4,Distance_Matrix!$E$119:$DQ$119)/COUNTIF(Distance_Matrix!$E$11:$DQ$11,4))),IF(5=$E382,1E+99,IF(COUNTIF(Distance_Matrix!$E$11:$DQ$11,5)=0,1E+99,SUMIF(Distance_Matrix!$E$11:$DQ$11,5,Distance_Matrix!$E$119:$DQ$119)/COUNTIF(Distance_Matrix!$E$11:$DQ$11,5))))</f>
        <v>1.5950148698570066</v>
      </c>
      <c r="I382" s="18">
        <f>IF(COUNTIF(Distance_Matrix!$E$11:$DQ$11,$E382)&lt;=1,0,(H382-G382)/MAX(G382,H382))</f>
        <v>0.71832286746723062</v>
      </c>
      <c r="X382" s="18">
        <f t="shared" si="432"/>
        <v>7.9375096538498271</v>
      </c>
      <c r="Y382" s="18">
        <f t="shared" si="432"/>
        <v>0.72152465050329639</v>
      </c>
      <c r="Z382" s="18">
        <f t="shared" si="432"/>
        <v>3.6996860383442045</v>
      </c>
      <c r="AA382" s="18">
        <f t="shared" si="432"/>
        <v>2.0716869674950886</v>
      </c>
      <c r="AB382" s="18">
        <f t="shared" si="432"/>
        <v>5.9192063980105338</v>
      </c>
      <c r="AC382" s="56">
        <f t="shared" si="420"/>
        <v>2</v>
      </c>
      <c r="AE382" s="18">
        <f t="shared" si="433"/>
        <v>7.8113248715802506</v>
      </c>
      <c r="AF382" s="18">
        <f t="shared" si="433"/>
        <v>0.24159475437256622</v>
      </c>
      <c r="AG382" s="18">
        <f t="shared" si="433"/>
        <v>2.9958999982465655</v>
      </c>
      <c r="AH382" s="18">
        <f t="shared" si="433"/>
        <v>1.4533379357739618</v>
      </c>
      <c r="AI382" s="18">
        <f t="shared" si="433"/>
        <v>5.5525899763606423</v>
      </c>
      <c r="AJ382" s="56">
        <f t="shared" si="421"/>
        <v>2</v>
      </c>
      <c r="AL382" s="18">
        <f t="shared" si="434"/>
        <v>7.8113248715802506</v>
      </c>
      <c r="AM382" s="18">
        <f t="shared" si="434"/>
        <v>0.20451400142744805</v>
      </c>
      <c r="AN382" s="18">
        <f t="shared" si="434"/>
        <v>3.0562568118801012</v>
      </c>
      <c r="AO382" s="18">
        <f t="shared" si="434"/>
        <v>1.4886741885275259</v>
      </c>
      <c r="AP382" s="18">
        <f t="shared" si="434"/>
        <v>5.2778385306892259</v>
      </c>
      <c r="AQ382" s="56">
        <f t="shared" si="422"/>
        <v>2</v>
      </c>
      <c r="AS382" s="18">
        <f t="shared" si="435"/>
        <v>7.8113248715802506</v>
      </c>
      <c r="AT382" s="18">
        <f t="shared" si="435"/>
        <v>0.10967639248551156</v>
      </c>
      <c r="AU382" s="18">
        <f t="shared" si="435"/>
        <v>3.0838002190728631</v>
      </c>
      <c r="AV382" s="18">
        <f t="shared" si="435"/>
        <v>1.4603430383339193</v>
      </c>
      <c r="AW382" s="18">
        <f t="shared" si="435"/>
        <v>5.2778385306892259</v>
      </c>
      <c r="AX382" s="56">
        <f t="shared" si="423"/>
        <v>2</v>
      </c>
      <c r="AZ382" s="18">
        <f t="shared" si="436"/>
        <v>7.8113248715802506</v>
      </c>
      <c r="BA382" s="18">
        <f t="shared" si="436"/>
        <v>0.10967639248551156</v>
      </c>
      <c r="BB382" s="18">
        <f t="shared" si="436"/>
        <v>3.0838002190728631</v>
      </c>
      <c r="BC382" s="18">
        <f t="shared" si="436"/>
        <v>1.4603430383339193</v>
      </c>
      <c r="BD382" s="18">
        <f t="shared" si="436"/>
        <v>5.2778385306892259</v>
      </c>
      <c r="BE382" s="56">
        <f t="shared" si="424"/>
        <v>2</v>
      </c>
      <c r="BG382" s="18">
        <f t="shared" si="437"/>
        <v>7.8113248715802506</v>
      </c>
      <c r="BH382" s="18">
        <f t="shared" si="437"/>
        <v>0.10967639248551156</v>
      </c>
      <c r="BI382" s="18">
        <f t="shared" si="437"/>
        <v>3.0838002190728631</v>
      </c>
      <c r="BJ382" s="18">
        <f t="shared" si="437"/>
        <v>1.4603430383339193</v>
      </c>
      <c r="BK382" s="18">
        <f t="shared" si="437"/>
        <v>5.2778385306892259</v>
      </c>
      <c r="BL382" s="56">
        <f t="shared" si="425"/>
        <v>2</v>
      </c>
      <c r="BN382" s="18">
        <f t="shared" si="438"/>
        <v>7.8113248715802506</v>
      </c>
      <c r="BO382" s="18">
        <f t="shared" si="438"/>
        <v>0.10967639248551156</v>
      </c>
      <c r="BP382" s="18">
        <f t="shared" si="438"/>
        <v>3.0838002190728631</v>
      </c>
      <c r="BQ382" s="18">
        <f t="shared" si="438"/>
        <v>1.4603430383339193</v>
      </c>
      <c r="BR382" s="18">
        <f t="shared" si="438"/>
        <v>5.2778385306892259</v>
      </c>
      <c r="BS382" s="56">
        <f t="shared" si="426"/>
        <v>2</v>
      </c>
      <c r="BU382" s="18">
        <f t="shared" si="439"/>
        <v>7.8113248715802506</v>
      </c>
      <c r="BV382" s="18">
        <f t="shared" si="439"/>
        <v>0.10967639248551156</v>
      </c>
      <c r="BW382" s="18">
        <f t="shared" si="439"/>
        <v>3.0838002190728631</v>
      </c>
      <c r="BX382" s="18">
        <f t="shared" si="439"/>
        <v>1.4603430383339193</v>
      </c>
      <c r="BY382" s="18">
        <f t="shared" si="439"/>
        <v>5.2778385306892259</v>
      </c>
      <c r="BZ382" s="56">
        <f t="shared" si="427"/>
        <v>2</v>
      </c>
      <c r="CB382" s="18">
        <f t="shared" si="440"/>
        <v>7.8113248715802506</v>
      </c>
      <c r="CC382" s="18">
        <f t="shared" si="440"/>
        <v>0.10967639248551156</v>
      </c>
      <c r="CD382" s="18">
        <f t="shared" si="440"/>
        <v>3.0838002190728631</v>
      </c>
      <c r="CE382" s="18">
        <f t="shared" si="440"/>
        <v>1.4603430383339193</v>
      </c>
      <c r="CF382" s="18">
        <f t="shared" si="440"/>
        <v>5.2778385306892259</v>
      </c>
      <c r="CG382" s="56">
        <f t="shared" si="428"/>
        <v>2</v>
      </c>
      <c r="CI382" s="18">
        <f t="shared" si="441"/>
        <v>7.8113248715802506</v>
      </c>
      <c r="CJ382" s="18">
        <f t="shared" si="441"/>
        <v>0.10967639248551156</v>
      </c>
      <c r="CK382" s="18">
        <f t="shared" si="441"/>
        <v>3.0838002190728631</v>
      </c>
      <c r="CL382" s="18">
        <f t="shared" si="441"/>
        <v>1.4603430383339193</v>
      </c>
      <c r="CM382" s="18">
        <f t="shared" si="441"/>
        <v>5.2778385306892259</v>
      </c>
      <c r="CN382" s="56">
        <f t="shared" si="429"/>
        <v>2</v>
      </c>
      <c r="CP382" s="18">
        <f t="shared" si="442"/>
        <v>7.8113248715802506</v>
      </c>
      <c r="CQ382" s="18">
        <f t="shared" si="442"/>
        <v>0.10967639248551156</v>
      </c>
      <c r="CR382" s="18">
        <f t="shared" si="442"/>
        <v>3.0838002190728631</v>
      </c>
      <c r="CS382" s="18">
        <f t="shared" si="442"/>
        <v>1.4603430383339193</v>
      </c>
      <c r="CT382" s="18">
        <f t="shared" si="442"/>
        <v>5.2778385306892259</v>
      </c>
      <c r="CU382" s="56">
        <f t="shared" si="430"/>
        <v>2</v>
      </c>
      <c r="CW382" s="18">
        <f t="shared" si="443"/>
        <v>7.8113248715802506</v>
      </c>
      <c r="CX382" s="18">
        <f t="shared" si="443"/>
        <v>0.10967639248551156</v>
      </c>
      <c r="CY382" s="18">
        <f t="shared" si="443"/>
        <v>3.0838002190728631</v>
      </c>
      <c r="CZ382" s="18">
        <f t="shared" si="443"/>
        <v>1.4603430383339193</v>
      </c>
      <c r="DA382" s="18">
        <f t="shared" si="443"/>
        <v>5.2778385306892259</v>
      </c>
      <c r="DB382" s="56">
        <f t="shared" si="431"/>
        <v>2</v>
      </c>
    </row>
    <row r="383" spans="1:106" x14ac:dyDescent="0.25">
      <c r="A383" s="36" t="str">
        <f>KMeans_Data!A111</f>
        <v>Kohistan Lower</v>
      </c>
      <c r="B383" s="18">
        <f>KMeans_Data!H111</f>
        <v>-1.507943224606497</v>
      </c>
      <c r="C383" s="18">
        <f>KMeans_Data!I111</f>
        <v>-0.67265054538827607</v>
      </c>
      <c r="D383" s="18">
        <f>KMeans_Data!J111</f>
        <v>-1.1456441163335547</v>
      </c>
      <c r="E383" s="56">
        <f t="shared" si="418"/>
        <v>2</v>
      </c>
      <c r="F383" s="38">
        <f t="shared" si="419"/>
        <v>5.847572177366759E-2</v>
      </c>
      <c r="G383" s="18">
        <f>IF(COUNTIF(Distance_Matrix!$E$11:$DQ$11,$E383)&lt;=1,0,SUMIF(Distance_Matrix!$E$11:$DQ$11,$E383,Distance_Matrix!$E$120:$DQ$120)/(COUNTIF(Distance_Matrix!$E$11:$DQ$11,$E383)-1))</f>
        <v>0.45915490897819988</v>
      </c>
      <c r="H383" s="18">
        <f>MIN(IF(1=$E383,1E+99,IF(COUNTIF(Distance_Matrix!$E$11:$DQ$11,1)=0,1E+99,SUMIF(Distance_Matrix!$E$11:$DQ$11,1,Distance_Matrix!$E$120:$DQ$120)/COUNTIF(Distance_Matrix!$E$11:$DQ$11,1))),IF(2=$E383,1E+99,IF(COUNTIF(Distance_Matrix!$E$11:$DQ$11,2)=0,1E+99,SUMIF(Distance_Matrix!$E$11:$DQ$11,2,Distance_Matrix!$E$120:$DQ$120)/COUNTIF(Distance_Matrix!$E$11:$DQ$11,2))),IF(3=$E383,1E+99,IF(COUNTIF(Distance_Matrix!$E$11:$DQ$11,3)=0,1E+99,SUMIF(Distance_Matrix!$E$11:$DQ$11,3,Distance_Matrix!$E$120:$DQ$120)/COUNTIF(Distance_Matrix!$E$11:$DQ$11,3))),IF(4=$E383,1E+99,IF(COUNTIF(Distance_Matrix!$E$11:$DQ$11,4)=0,1E+99,SUMIF(Distance_Matrix!$E$11:$DQ$11,4,Distance_Matrix!$E$120:$DQ$120)/COUNTIF(Distance_Matrix!$E$11:$DQ$11,4))),IF(5=$E383,1E+99,IF(COUNTIF(Distance_Matrix!$E$11:$DQ$11,5)=0,1E+99,SUMIF(Distance_Matrix!$E$11:$DQ$11,5,Distance_Matrix!$E$120:$DQ$120)/COUNTIF(Distance_Matrix!$E$11:$DQ$11,5))))</f>
        <v>1.7132835686006376</v>
      </c>
      <c r="I383" s="18">
        <f>IF(COUNTIF(Distance_Matrix!$E$11:$DQ$11,$E383)&lt;=1,0,(H383-G383)/MAX(G383,H383))</f>
        <v>0.73200296938981047</v>
      </c>
      <c r="X383" s="18">
        <f t="shared" si="432"/>
        <v>8.0258166331110399</v>
      </c>
      <c r="Y383" s="18">
        <f t="shared" si="432"/>
        <v>0.57179475719683159</v>
      </c>
      <c r="Z383" s="18">
        <f t="shared" si="432"/>
        <v>3.7983505335880898</v>
      </c>
      <c r="AA383" s="18">
        <f t="shared" si="432"/>
        <v>2.2168421962261942</v>
      </c>
      <c r="AB383" s="18">
        <f t="shared" si="432"/>
        <v>6.0145021339637186</v>
      </c>
      <c r="AC383" s="56">
        <f t="shared" si="420"/>
        <v>2</v>
      </c>
      <c r="AE383" s="18">
        <f t="shared" si="433"/>
        <v>7.9008133942326788</v>
      </c>
      <c r="AF383" s="18">
        <f t="shared" si="433"/>
        <v>0.34041814392956793</v>
      </c>
      <c r="AG383" s="18">
        <f t="shared" si="433"/>
        <v>3.0933219075524376</v>
      </c>
      <c r="AH383" s="18">
        <f t="shared" si="433"/>
        <v>1.5883001569450095</v>
      </c>
      <c r="AI383" s="18">
        <f t="shared" si="433"/>
        <v>5.6468904621384244</v>
      </c>
      <c r="AJ383" s="56">
        <f t="shared" si="421"/>
        <v>2</v>
      </c>
      <c r="AL383" s="18">
        <f t="shared" si="434"/>
        <v>7.9008133942326788</v>
      </c>
      <c r="AM383" s="18">
        <f t="shared" si="434"/>
        <v>0.31930972911503241</v>
      </c>
      <c r="AN383" s="18">
        <f t="shared" si="434"/>
        <v>3.154198253521431</v>
      </c>
      <c r="AO383" s="18">
        <f t="shared" si="434"/>
        <v>1.6189480338287254</v>
      </c>
      <c r="AP383" s="18">
        <f t="shared" si="434"/>
        <v>5.3715733221524369</v>
      </c>
      <c r="AQ383" s="56">
        <f t="shared" si="422"/>
        <v>2</v>
      </c>
      <c r="AS383" s="18">
        <f t="shared" si="435"/>
        <v>7.9008133942326788</v>
      </c>
      <c r="AT383" s="18">
        <f t="shared" si="435"/>
        <v>0.24181753818461471</v>
      </c>
      <c r="AU383" s="18">
        <f t="shared" si="435"/>
        <v>3.1818044032411135</v>
      </c>
      <c r="AV383" s="18">
        <f t="shared" si="435"/>
        <v>1.588463359253752</v>
      </c>
      <c r="AW383" s="18">
        <f t="shared" si="435"/>
        <v>5.3715733221524369</v>
      </c>
      <c r="AX383" s="56">
        <f t="shared" si="423"/>
        <v>2</v>
      </c>
      <c r="AZ383" s="18">
        <f t="shared" si="436"/>
        <v>7.9008133942326788</v>
      </c>
      <c r="BA383" s="18">
        <f t="shared" si="436"/>
        <v>0.24181753818461471</v>
      </c>
      <c r="BB383" s="18">
        <f t="shared" si="436"/>
        <v>3.1818044032411135</v>
      </c>
      <c r="BC383" s="18">
        <f t="shared" si="436"/>
        <v>1.588463359253752</v>
      </c>
      <c r="BD383" s="18">
        <f t="shared" si="436"/>
        <v>5.3715733221524369</v>
      </c>
      <c r="BE383" s="56">
        <f t="shared" si="424"/>
        <v>2</v>
      </c>
      <c r="BG383" s="18">
        <f t="shared" si="437"/>
        <v>7.9008133942326788</v>
      </c>
      <c r="BH383" s="18">
        <f t="shared" si="437"/>
        <v>0.24181753818461471</v>
      </c>
      <c r="BI383" s="18">
        <f t="shared" si="437"/>
        <v>3.1818044032411135</v>
      </c>
      <c r="BJ383" s="18">
        <f t="shared" si="437"/>
        <v>1.588463359253752</v>
      </c>
      <c r="BK383" s="18">
        <f t="shared" si="437"/>
        <v>5.3715733221524369</v>
      </c>
      <c r="BL383" s="56">
        <f t="shared" si="425"/>
        <v>2</v>
      </c>
      <c r="BN383" s="18">
        <f t="shared" si="438"/>
        <v>7.9008133942326788</v>
      </c>
      <c r="BO383" s="18">
        <f t="shared" si="438"/>
        <v>0.24181753818461471</v>
      </c>
      <c r="BP383" s="18">
        <f t="shared" si="438"/>
        <v>3.1818044032411135</v>
      </c>
      <c r="BQ383" s="18">
        <f t="shared" si="438"/>
        <v>1.588463359253752</v>
      </c>
      <c r="BR383" s="18">
        <f t="shared" si="438"/>
        <v>5.3715733221524369</v>
      </c>
      <c r="BS383" s="56">
        <f t="shared" si="426"/>
        <v>2</v>
      </c>
      <c r="BU383" s="18">
        <f t="shared" si="439"/>
        <v>7.9008133942326788</v>
      </c>
      <c r="BV383" s="18">
        <f t="shared" si="439"/>
        <v>0.24181753818461471</v>
      </c>
      <c r="BW383" s="18">
        <f t="shared" si="439"/>
        <v>3.1818044032411135</v>
      </c>
      <c r="BX383" s="18">
        <f t="shared" si="439"/>
        <v>1.588463359253752</v>
      </c>
      <c r="BY383" s="18">
        <f t="shared" si="439"/>
        <v>5.3715733221524369</v>
      </c>
      <c r="BZ383" s="56">
        <f t="shared" si="427"/>
        <v>2</v>
      </c>
      <c r="CB383" s="18">
        <f t="shared" si="440"/>
        <v>7.9008133942326788</v>
      </c>
      <c r="CC383" s="18">
        <f t="shared" si="440"/>
        <v>0.24181753818461471</v>
      </c>
      <c r="CD383" s="18">
        <f t="shared" si="440"/>
        <v>3.1818044032411135</v>
      </c>
      <c r="CE383" s="18">
        <f t="shared" si="440"/>
        <v>1.588463359253752</v>
      </c>
      <c r="CF383" s="18">
        <f t="shared" si="440"/>
        <v>5.3715733221524369</v>
      </c>
      <c r="CG383" s="56">
        <f t="shared" si="428"/>
        <v>2</v>
      </c>
      <c r="CI383" s="18">
        <f t="shared" si="441"/>
        <v>7.9008133942326788</v>
      </c>
      <c r="CJ383" s="18">
        <f t="shared" si="441"/>
        <v>0.24181753818461471</v>
      </c>
      <c r="CK383" s="18">
        <f t="shared" si="441"/>
        <v>3.1818044032411135</v>
      </c>
      <c r="CL383" s="18">
        <f t="shared" si="441"/>
        <v>1.588463359253752</v>
      </c>
      <c r="CM383" s="18">
        <f t="shared" si="441"/>
        <v>5.3715733221524369</v>
      </c>
      <c r="CN383" s="56">
        <f t="shared" si="429"/>
        <v>2</v>
      </c>
      <c r="CP383" s="18">
        <f t="shared" si="442"/>
        <v>7.9008133942326788</v>
      </c>
      <c r="CQ383" s="18">
        <f t="shared" si="442"/>
        <v>0.24181753818461471</v>
      </c>
      <c r="CR383" s="18">
        <f t="shared" si="442"/>
        <v>3.1818044032411135</v>
      </c>
      <c r="CS383" s="18">
        <f t="shared" si="442"/>
        <v>1.588463359253752</v>
      </c>
      <c r="CT383" s="18">
        <f t="shared" si="442"/>
        <v>5.3715733221524369</v>
      </c>
      <c r="CU383" s="56">
        <f t="shared" si="430"/>
        <v>2</v>
      </c>
      <c r="CW383" s="18">
        <f t="shared" si="443"/>
        <v>7.9008133942326788</v>
      </c>
      <c r="CX383" s="18">
        <f t="shared" si="443"/>
        <v>0.24181753818461471</v>
      </c>
      <c r="CY383" s="18">
        <f t="shared" si="443"/>
        <v>3.1818044032411135</v>
      </c>
      <c r="CZ383" s="18">
        <f t="shared" si="443"/>
        <v>1.588463359253752</v>
      </c>
      <c r="DA383" s="18">
        <f t="shared" si="443"/>
        <v>5.3715733221524369</v>
      </c>
      <c r="DB383" s="56">
        <f t="shared" si="431"/>
        <v>2</v>
      </c>
    </row>
    <row r="384" spans="1:106" x14ac:dyDescent="0.25">
      <c r="A384" s="36" t="str">
        <f>KMeans_Data!A112</f>
        <v>Bhambore</v>
      </c>
      <c r="B384" s="18">
        <f>KMeans_Data!H112</f>
        <v>-1.507943224606497</v>
      </c>
      <c r="C384" s="18">
        <f>KMeans_Data!I112</f>
        <v>-0.67265054538827607</v>
      </c>
      <c r="D384" s="18">
        <f>KMeans_Data!J112</f>
        <v>-1.1456441163335547</v>
      </c>
      <c r="E384" s="56">
        <f t="shared" si="418"/>
        <v>2</v>
      </c>
      <c r="F384" s="38">
        <f t="shared" si="419"/>
        <v>5.847572177366759E-2</v>
      </c>
      <c r="G384" s="18">
        <f>IF(COUNTIF(Distance_Matrix!$E$11:$DQ$11,$E384)&lt;=1,0,SUMIF(Distance_Matrix!$E$11:$DQ$11,$E384,Distance_Matrix!$E$121:$DQ$121)/(COUNTIF(Distance_Matrix!$E$11:$DQ$11,$E384)-1))</f>
        <v>0.45915490897819988</v>
      </c>
      <c r="H384" s="18">
        <f>MIN(IF(1=$E384,1E+99,IF(COUNTIF(Distance_Matrix!$E$11:$DQ$11,1)=0,1E+99,SUMIF(Distance_Matrix!$E$11:$DQ$11,1,Distance_Matrix!$E$121:$DQ$121)/COUNTIF(Distance_Matrix!$E$11:$DQ$11,1))),IF(2=$E384,1E+99,IF(COUNTIF(Distance_Matrix!$E$11:$DQ$11,2)=0,1E+99,SUMIF(Distance_Matrix!$E$11:$DQ$11,2,Distance_Matrix!$E$121:$DQ$121)/COUNTIF(Distance_Matrix!$E$11:$DQ$11,2))),IF(3=$E384,1E+99,IF(COUNTIF(Distance_Matrix!$E$11:$DQ$11,3)=0,1E+99,SUMIF(Distance_Matrix!$E$11:$DQ$11,3,Distance_Matrix!$E$121:$DQ$121)/COUNTIF(Distance_Matrix!$E$11:$DQ$11,3))),IF(4=$E384,1E+99,IF(COUNTIF(Distance_Matrix!$E$11:$DQ$11,4)=0,1E+99,SUMIF(Distance_Matrix!$E$11:$DQ$11,4,Distance_Matrix!$E$121:$DQ$121)/COUNTIF(Distance_Matrix!$E$11:$DQ$11,4))),IF(5=$E384,1E+99,IF(COUNTIF(Distance_Matrix!$E$11:$DQ$11,5)=0,1E+99,SUMIF(Distance_Matrix!$E$11:$DQ$11,5,Distance_Matrix!$E$121:$DQ$121)/COUNTIF(Distance_Matrix!$E$11:$DQ$11,5))))</f>
        <v>1.7132835686006376</v>
      </c>
      <c r="I384" s="18">
        <f>IF(COUNTIF(Distance_Matrix!$E$11:$DQ$11,$E384)&lt;=1,0,(H384-G384)/MAX(G384,H384))</f>
        <v>0.73200296938981047</v>
      </c>
      <c r="X384" s="18">
        <f t="shared" si="432"/>
        <v>8.0258166331110399</v>
      </c>
      <c r="Y384" s="18">
        <f t="shared" si="432"/>
        <v>0.57179475719683159</v>
      </c>
      <c r="Z384" s="18">
        <f t="shared" si="432"/>
        <v>3.7983505335880898</v>
      </c>
      <c r="AA384" s="18">
        <f t="shared" si="432"/>
        <v>2.2168421962261942</v>
      </c>
      <c r="AB384" s="18">
        <f t="shared" si="432"/>
        <v>6.0145021339637186</v>
      </c>
      <c r="AC384" s="56">
        <f t="shared" si="420"/>
        <v>2</v>
      </c>
      <c r="AE384" s="18">
        <f t="shared" si="433"/>
        <v>7.9008133942326788</v>
      </c>
      <c r="AF384" s="18">
        <f t="shared" si="433"/>
        <v>0.34041814392956793</v>
      </c>
      <c r="AG384" s="18">
        <f t="shared" si="433"/>
        <v>3.0933219075524376</v>
      </c>
      <c r="AH384" s="18">
        <f t="shared" si="433"/>
        <v>1.5883001569450095</v>
      </c>
      <c r="AI384" s="18">
        <f t="shared" si="433"/>
        <v>5.6468904621384244</v>
      </c>
      <c r="AJ384" s="56">
        <f t="shared" si="421"/>
        <v>2</v>
      </c>
      <c r="AL384" s="18">
        <f t="shared" si="434"/>
        <v>7.9008133942326788</v>
      </c>
      <c r="AM384" s="18">
        <f t="shared" si="434"/>
        <v>0.31930972911503241</v>
      </c>
      <c r="AN384" s="18">
        <f t="shared" si="434"/>
        <v>3.154198253521431</v>
      </c>
      <c r="AO384" s="18">
        <f t="shared" si="434"/>
        <v>1.6189480338287254</v>
      </c>
      <c r="AP384" s="18">
        <f t="shared" si="434"/>
        <v>5.3715733221524369</v>
      </c>
      <c r="AQ384" s="56">
        <f t="shared" si="422"/>
        <v>2</v>
      </c>
      <c r="AS384" s="18">
        <f t="shared" si="435"/>
        <v>7.9008133942326788</v>
      </c>
      <c r="AT384" s="18">
        <f t="shared" si="435"/>
        <v>0.24181753818461471</v>
      </c>
      <c r="AU384" s="18">
        <f t="shared" si="435"/>
        <v>3.1818044032411135</v>
      </c>
      <c r="AV384" s="18">
        <f t="shared" si="435"/>
        <v>1.588463359253752</v>
      </c>
      <c r="AW384" s="18">
        <f t="shared" si="435"/>
        <v>5.3715733221524369</v>
      </c>
      <c r="AX384" s="56">
        <f t="shared" si="423"/>
        <v>2</v>
      </c>
      <c r="AZ384" s="18">
        <f t="shared" si="436"/>
        <v>7.9008133942326788</v>
      </c>
      <c r="BA384" s="18">
        <f t="shared" si="436"/>
        <v>0.24181753818461471</v>
      </c>
      <c r="BB384" s="18">
        <f t="shared" si="436"/>
        <v>3.1818044032411135</v>
      </c>
      <c r="BC384" s="18">
        <f t="shared" si="436"/>
        <v>1.588463359253752</v>
      </c>
      <c r="BD384" s="18">
        <f t="shared" si="436"/>
        <v>5.3715733221524369</v>
      </c>
      <c r="BE384" s="56">
        <f t="shared" si="424"/>
        <v>2</v>
      </c>
      <c r="BG384" s="18">
        <f t="shared" si="437"/>
        <v>7.9008133942326788</v>
      </c>
      <c r="BH384" s="18">
        <f t="shared" si="437"/>
        <v>0.24181753818461471</v>
      </c>
      <c r="BI384" s="18">
        <f t="shared" si="437"/>
        <v>3.1818044032411135</v>
      </c>
      <c r="BJ384" s="18">
        <f t="shared" si="437"/>
        <v>1.588463359253752</v>
      </c>
      <c r="BK384" s="18">
        <f t="shared" si="437"/>
        <v>5.3715733221524369</v>
      </c>
      <c r="BL384" s="56">
        <f t="shared" si="425"/>
        <v>2</v>
      </c>
      <c r="BN384" s="18">
        <f t="shared" si="438"/>
        <v>7.9008133942326788</v>
      </c>
      <c r="BO384" s="18">
        <f t="shared" si="438"/>
        <v>0.24181753818461471</v>
      </c>
      <c r="BP384" s="18">
        <f t="shared" si="438"/>
        <v>3.1818044032411135</v>
      </c>
      <c r="BQ384" s="18">
        <f t="shared" si="438"/>
        <v>1.588463359253752</v>
      </c>
      <c r="BR384" s="18">
        <f t="shared" si="438"/>
        <v>5.3715733221524369</v>
      </c>
      <c r="BS384" s="56">
        <f t="shared" si="426"/>
        <v>2</v>
      </c>
      <c r="BU384" s="18">
        <f t="shared" si="439"/>
        <v>7.9008133942326788</v>
      </c>
      <c r="BV384" s="18">
        <f t="shared" si="439"/>
        <v>0.24181753818461471</v>
      </c>
      <c r="BW384" s="18">
        <f t="shared" si="439"/>
        <v>3.1818044032411135</v>
      </c>
      <c r="BX384" s="18">
        <f t="shared" si="439"/>
        <v>1.588463359253752</v>
      </c>
      <c r="BY384" s="18">
        <f t="shared" si="439"/>
        <v>5.3715733221524369</v>
      </c>
      <c r="BZ384" s="56">
        <f t="shared" si="427"/>
        <v>2</v>
      </c>
      <c r="CB384" s="18">
        <f t="shared" si="440"/>
        <v>7.9008133942326788</v>
      </c>
      <c r="CC384" s="18">
        <f t="shared" si="440"/>
        <v>0.24181753818461471</v>
      </c>
      <c r="CD384" s="18">
        <f t="shared" si="440"/>
        <v>3.1818044032411135</v>
      </c>
      <c r="CE384" s="18">
        <f t="shared" si="440"/>
        <v>1.588463359253752</v>
      </c>
      <c r="CF384" s="18">
        <f t="shared" si="440"/>
        <v>5.3715733221524369</v>
      </c>
      <c r="CG384" s="56">
        <f t="shared" si="428"/>
        <v>2</v>
      </c>
      <c r="CI384" s="18">
        <f t="shared" si="441"/>
        <v>7.9008133942326788</v>
      </c>
      <c r="CJ384" s="18">
        <f t="shared" si="441"/>
        <v>0.24181753818461471</v>
      </c>
      <c r="CK384" s="18">
        <f t="shared" si="441"/>
        <v>3.1818044032411135</v>
      </c>
      <c r="CL384" s="18">
        <f t="shared" si="441"/>
        <v>1.588463359253752</v>
      </c>
      <c r="CM384" s="18">
        <f t="shared" si="441"/>
        <v>5.3715733221524369</v>
      </c>
      <c r="CN384" s="56">
        <f t="shared" si="429"/>
        <v>2</v>
      </c>
      <c r="CP384" s="18">
        <f t="shared" si="442"/>
        <v>7.9008133942326788</v>
      </c>
      <c r="CQ384" s="18">
        <f t="shared" si="442"/>
        <v>0.24181753818461471</v>
      </c>
      <c r="CR384" s="18">
        <f t="shared" si="442"/>
        <v>3.1818044032411135</v>
      </c>
      <c r="CS384" s="18">
        <f t="shared" si="442"/>
        <v>1.588463359253752</v>
      </c>
      <c r="CT384" s="18">
        <f t="shared" si="442"/>
        <v>5.3715733221524369</v>
      </c>
      <c r="CU384" s="56">
        <f t="shared" si="430"/>
        <v>2</v>
      </c>
      <c r="CW384" s="18">
        <f t="shared" si="443"/>
        <v>7.9008133942326788</v>
      </c>
      <c r="CX384" s="18">
        <f t="shared" si="443"/>
        <v>0.24181753818461471</v>
      </c>
      <c r="CY384" s="18">
        <f t="shared" si="443"/>
        <v>3.1818044032411135</v>
      </c>
      <c r="CZ384" s="18">
        <f t="shared" si="443"/>
        <v>1.588463359253752</v>
      </c>
      <c r="DA384" s="18">
        <f t="shared" si="443"/>
        <v>5.3715733221524369</v>
      </c>
      <c r="DB384" s="56">
        <f t="shared" si="431"/>
        <v>2</v>
      </c>
    </row>
    <row r="385" spans="1:117" x14ac:dyDescent="0.25">
      <c r="A385" s="36" t="str">
        <f>KMeans_Data!A113</f>
        <v>Jhang</v>
      </c>
      <c r="B385" s="18">
        <f>KMeans_Data!H113</f>
        <v>-1.507943224606497</v>
      </c>
      <c r="C385" s="18">
        <f>KMeans_Data!I113</f>
        <v>-0.67265054538827607</v>
      </c>
      <c r="D385" s="18">
        <f>KMeans_Data!J113</f>
        <v>-1.1456441163335547</v>
      </c>
      <c r="E385" s="56">
        <f t="shared" si="418"/>
        <v>2</v>
      </c>
      <c r="F385" s="38">
        <f t="shared" si="419"/>
        <v>5.847572177366759E-2</v>
      </c>
      <c r="G385" s="18">
        <f>IF(COUNTIF(Distance_Matrix!$E$11:$DQ$11,$E385)&lt;=1,0,SUMIF(Distance_Matrix!$E$11:$DQ$11,$E385,Distance_Matrix!$E$122:$DQ$122)/(COUNTIF(Distance_Matrix!$E$11:$DQ$11,$E385)-1))</f>
        <v>0.45915490897819988</v>
      </c>
      <c r="H385" s="18">
        <f>MIN(IF(1=$E385,1E+99,IF(COUNTIF(Distance_Matrix!$E$11:$DQ$11,1)=0,1E+99,SUMIF(Distance_Matrix!$E$11:$DQ$11,1,Distance_Matrix!$E$122:$DQ$122)/COUNTIF(Distance_Matrix!$E$11:$DQ$11,1))),IF(2=$E385,1E+99,IF(COUNTIF(Distance_Matrix!$E$11:$DQ$11,2)=0,1E+99,SUMIF(Distance_Matrix!$E$11:$DQ$11,2,Distance_Matrix!$E$122:$DQ$122)/COUNTIF(Distance_Matrix!$E$11:$DQ$11,2))),IF(3=$E385,1E+99,IF(COUNTIF(Distance_Matrix!$E$11:$DQ$11,3)=0,1E+99,SUMIF(Distance_Matrix!$E$11:$DQ$11,3,Distance_Matrix!$E$122:$DQ$122)/COUNTIF(Distance_Matrix!$E$11:$DQ$11,3))),IF(4=$E385,1E+99,IF(COUNTIF(Distance_Matrix!$E$11:$DQ$11,4)=0,1E+99,SUMIF(Distance_Matrix!$E$11:$DQ$11,4,Distance_Matrix!$E$122:$DQ$122)/COUNTIF(Distance_Matrix!$E$11:$DQ$11,4))),IF(5=$E385,1E+99,IF(COUNTIF(Distance_Matrix!$E$11:$DQ$11,5)=0,1E+99,SUMIF(Distance_Matrix!$E$11:$DQ$11,5,Distance_Matrix!$E$122:$DQ$122)/COUNTIF(Distance_Matrix!$E$11:$DQ$11,5))))</f>
        <v>1.7132835686006376</v>
      </c>
      <c r="I385" s="18">
        <f>IF(COUNTIF(Distance_Matrix!$E$11:$DQ$11,$E385)&lt;=1,0,(H385-G385)/MAX(G385,H385))</f>
        <v>0.73200296938981047</v>
      </c>
      <c r="X385" s="18">
        <f t="shared" si="432"/>
        <v>8.0258166331110399</v>
      </c>
      <c r="Y385" s="18">
        <f t="shared" si="432"/>
        <v>0.57179475719683159</v>
      </c>
      <c r="Z385" s="18">
        <f t="shared" si="432"/>
        <v>3.7983505335880898</v>
      </c>
      <c r="AA385" s="18">
        <f t="shared" si="432"/>
        <v>2.2168421962261942</v>
      </c>
      <c r="AB385" s="18">
        <f t="shared" si="432"/>
        <v>6.0145021339637186</v>
      </c>
      <c r="AC385" s="56">
        <f t="shared" si="420"/>
        <v>2</v>
      </c>
      <c r="AE385" s="18">
        <f t="shared" si="433"/>
        <v>7.9008133942326788</v>
      </c>
      <c r="AF385" s="18">
        <f t="shared" si="433"/>
        <v>0.34041814392956793</v>
      </c>
      <c r="AG385" s="18">
        <f t="shared" si="433"/>
        <v>3.0933219075524376</v>
      </c>
      <c r="AH385" s="18">
        <f t="shared" si="433"/>
        <v>1.5883001569450095</v>
      </c>
      <c r="AI385" s="18">
        <f t="shared" si="433"/>
        <v>5.6468904621384244</v>
      </c>
      <c r="AJ385" s="56">
        <f t="shared" si="421"/>
        <v>2</v>
      </c>
      <c r="AL385" s="18">
        <f t="shared" si="434"/>
        <v>7.9008133942326788</v>
      </c>
      <c r="AM385" s="18">
        <f t="shared" si="434"/>
        <v>0.31930972911503241</v>
      </c>
      <c r="AN385" s="18">
        <f t="shared" si="434"/>
        <v>3.154198253521431</v>
      </c>
      <c r="AO385" s="18">
        <f t="shared" si="434"/>
        <v>1.6189480338287254</v>
      </c>
      <c r="AP385" s="18">
        <f t="shared" si="434"/>
        <v>5.3715733221524369</v>
      </c>
      <c r="AQ385" s="56">
        <f t="shared" si="422"/>
        <v>2</v>
      </c>
      <c r="AS385" s="18">
        <f t="shared" si="435"/>
        <v>7.9008133942326788</v>
      </c>
      <c r="AT385" s="18">
        <f t="shared" si="435"/>
        <v>0.24181753818461471</v>
      </c>
      <c r="AU385" s="18">
        <f t="shared" si="435"/>
        <v>3.1818044032411135</v>
      </c>
      <c r="AV385" s="18">
        <f t="shared" si="435"/>
        <v>1.588463359253752</v>
      </c>
      <c r="AW385" s="18">
        <f t="shared" si="435"/>
        <v>5.3715733221524369</v>
      </c>
      <c r="AX385" s="56">
        <f t="shared" si="423"/>
        <v>2</v>
      </c>
      <c r="AZ385" s="18">
        <f t="shared" si="436"/>
        <v>7.9008133942326788</v>
      </c>
      <c r="BA385" s="18">
        <f t="shared" si="436"/>
        <v>0.24181753818461471</v>
      </c>
      <c r="BB385" s="18">
        <f t="shared" si="436"/>
        <v>3.1818044032411135</v>
      </c>
      <c r="BC385" s="18">
        <f t="shared" si="436"/>
        <v>1.588463359253752</v>
      </c>
      <c r="BD385" s="18">
        <f t="shared" si="436"/>
        <v>5.3715733221524369</v>
      </c>
      <c r="BE385" s="56">
        <f t="shared" si="424"/>
        <v>2</v>
      </c>
      <c r="BG385" s="18">
        <f t="shared" si="437"/>
        <v>7.9008133942326788</v>
      </c>
      <c r="BH385" s="18">
        <f t="shared" si="437"/>
        <v>0.24181753818461471</v>
      </c>
      <c r="BI385" s="18">
        <f t="shared" si="437"/>
        <v>3.1818044032411135</v>
      </c>
      <c r="BJ385" s="18">
        <f t="shared" si="437"/>
        <v>1.588463359253752</v>
      </c>
      <c r="BK385" s="18">
        <f t="shared" si="437"/>
        <v>5.3715733221524369</v>
      </c>
      <c r="BL385" s="56">
        <f t="shared" si="425"/>
        <v>2</v>
      </c>
      <c r="BN385" s="18">
        <f t="shared" si="438"/>
        <v>7.9008133942326788</v>
      </c>
      <c r="BO385" s="18">
        <f t="shared" si="438"/>
        <v>0.24181753818461471</v>
      </c>
      <c r="BP385" s="18">
        <f t="shared" si="438"/>
        <v>3.1818044032411135</v>
      </c>
      <c r="BQ385" s="18">
        <f t="shared" si="438"/>
        <v>1.588463359253752</v>
      </c>
      <c r="BR385" s="18">
        <f t="shared" si="438"/>
        <v>5.3715733221524369</v>
      </c>
      <c r="BS385" s="56">
        <f t="shared" si="426"/>
        <v>2</v>
      </c>
      <c r="BU385" s="18">
        <f t="shared" si="439"/>
        <v>7.9008133942326788</v>
      </c>
      <c r="BV385" s="18">
        <f t="shared" si="439"/>
        <v>0.24181753818461471</v>
      </c>
      <c r="BW385" s="18">
        <f t="shared" si="439"/>
        <v>3.1818044032411135</v>
      </c>
      <c r="BX385" s="18">
        <f t="shared" si="439"/>
        <v>1.588463359253752</v>
      </c>
      <c r="BY385" s="18">
        <f t="shared" si="439"/>
        <v>5.3715733221524369</v>
      </c>
      <c r="BZ385" s="56">
        <f t="shared" si="427"/>
        <v>2</v>
      </c>
      <c r="CB385" s="18">
        <f t="shared" si="440"/>
        <v>7.9008133942326788</v>
      </c>
      <c r="CC385" s="18">
        <f t="shared" si="440"/>
        <v>0.24181753818461471</v>
      </c>
      <c r="CD385" s="18">
        <f t="shared" si="440"/>
        <v>3.1818044032411135</v>
      </c>
      <c r="CE385" s="18">
        <f t="shared" si="440"/>
        <v>1.588463359253752</v>
      </c>
      <c r="CF385" s="18">
        <f t="shared" si="440"/>
        <v>5.3715733221524369</v>
      </c>
      <c r="CG385" s="56">
        <f t="shared" si="428"/>
        <v>2</v>
      </c>
      <c r="CI385" s="18">
        <f t="shared" si="441"/>
        <v>7.9008133942326788</v>
      </c>
      <c r="CJ385" s="18">
        <f t="shared" si="441"/>
        <v>0.24181753818461471</v>
      </c>
      <c r="CK385" s="18">
        <f t="shared" si="441"/>
        <v>3.1818044032411135</v>
      </c>
      <c r="CL385" s="18">
        <f t="shared" si="441"/>
        <v>1.588463359253752</v>
      </c>
      <c r="CM385" s="18">
        <f t="shared" si="441"/>
        <v>5.3715733221524369</v>
      </c>
      <c r="CN385" s="56">
        <f t="shared" si="429"/>
        <v>2</v>
      </c>
      <c r="CP385" s="18">
        <f t="shared" si="442"/>
        <v>7.9008133942326788</v>
      </c>
      <c r="CQ385" s="18">
        <f t="shared" si="442"/>
        <v>0.24181753818461471</v>
      </c>
      <c r="CR385" s="18">
        <f t="shared" si="442"/>
        <v>3.1818044032411135</v>
      </c>
      <c r="CS385" s="18">
        <f t="shared" si="442"/>
        <v>1.588463359253752</v>
      </c>
      <c r="CT385" s="18">
        <f t="shared" si="442"/>
        <v>5.3715733221524369</v>
      </c>
      <c r="CU385" s="56">
        <f t="shared" si="430"/>
        <v>2</v>
      </c>
      <c r="CW385" s="18">
        <f t="shared" si="443"/>
        <v>7.9008133942326788</v>
      </c>
      <c r="CX385" s="18">
        <f t="shared" si="443"/>
        <v>0.24181753818461471</v>
      </c>
      <c r="CY385" s="18">
        <f t="shared" si="443"/>
        <v>3.1818044032411135</v>
      </c>
      <c r="CZ385" s="18">
        <f t="shared" si="443"/>
        <v>1.588463359253752</v>
      </c>
      <c r="DA385" s="18">
        <f t="shared" si="443"/>
        <v>5.3715733221524369</v>
      </c>
      <c r="DB385" s="56">
        <f t="shared" si="431"/>
        <v>2</v>
      </c>
    </row>
    <row r="386" spans="1:117" x14ac:dyDescent="0.25">
      <c r="A386" s="36" t="str">
        <f>KMeans_Data!A114</f>
        <v>Tor Ghar</v>
      </c>
      <c r="B386" s="18">
        <f>KMeans_Data!H114</f>
        <v>-1.507943224606497</v>
      </c>
      <c r="C386" s="18">
        <f>KMeans_Data!I114</f>
        <v>-0.67265054538827607</v>
      </c>
      <c r="D386" s="18">
        <f>KMeans_Data!J114</f>
        <v>-1.1456441163335547</v>
      </c>
      <c r="E386" s="56">
        <f t="shared" si="418"/>
        <v>2</v>
      </c>
      <c r="F386" s="38">
        <f t="shared" si="419"/>
        <v>5.847572177366759E-2</v>
      </c>
      <c r="G386" s="18">
        <f>IF(COUNTIF(Distance_Matrix!$E$11:$DQ$11,$E386)&lt;=1,0,SUMIF(Distance_Matrix!$E$11:$DQ$11,$E386,Distance_Matrix!$E$123:$DQ$123)/(COUNTIF(Distance_Matrix!$E$11:$DQ$11,$E386)-1))</f>
        <v>0.45915490897819988</v>
      </c>
      <c r="H386" s="18">
        <f>MIN(IF(1=$E386,1E+99,IF(COUNTIF(Distance_Matrix!$E$11:$DQ$11,1)=0,1E+99,SUMIF(Distance_Matrix!$E$11:$DQ$11,1,Distance_Matrix!$E$123:$DQ$123)/COUNTIF(Distance_Matrix!$E$11:$DQ$11,1))),IF(2=$E386,1E+99,IF(COUNTIF(Distance_Matrix!$E$11:$DQ$11,2)=0,1E+99,SUMIF(Distance_Matrix!$E$11:$DQ$11,2,Distance_Matrix!$E$123:$DQ$123)/COUNTIF(Distance_Matrix!$E$11:$DQ$11,2))),IF(3=$E386,1E+99,IF(COUNTIF(Distance_Matrix!$E$11:$DQ$11,3)=0,1E+99,SUMIF(Distance_Matrix!$E$11:$DQ$11,3,Distance_Matrix!$E$123:$DQ$123)/COUNTIF(Distance_Matrix!$E$11:$DQ$11,3))),IF(4=$E386,1E+99,IF(COUNTIF(Distance_Matrix!$E$11:$DQ$11,4)=0,1E+99,SUMIF(Distance_Matrix!$E$11:$DQ$11,4,Distance_Matrix!$E$123:$DQ$123)/COUNTIF(Distance_Matrix!$E$11:$DQ$11,4))),IF(5=$E386,1E+99,IF(COUNTIF(Distance_Matrix!$E$11:$DQ$11,5)=0,1E+99,SUMIF(Distance_Matrix!$E$11:$DQ$11,5,Distance_Matrix!$E$123:$DQ$123)/COUNTIF(Distance_Matrix!$E$11:$DQ$11,5))))</f>
        <v>1.7132835686006376</v>
      </c>
      <c r="I386" s="18">
        <f>IF(COUNTIF(Distance_Matrix!$E$11:$DQ$11,$E386)&lt;=1,0,(H386-G386)/MAX(G386,H386))</f>
        <v>0.73200296938981047</v>
      </c>
      <c r="X386" s="18">
        <f t="shared" si="432"/>
        <v>8.0258166331110399</v>
      </c>
      <c r="Y386" s="18">
        <f t="shared" si="432"/>
        <v>0.57179475719683159</v>
      </c>
      <c r="Z386" s="18">
        <f t="shared" si="432"/>
        <v>3.7983505335880898</v>
      </c>
      <c r="AA386" s="18">
        <f t="shared" si="432"/>
        <v>2.2168421962261942</v>
      </c>
      <c r="AB386" s="18">
        <f t="shared" si="432"/>
        <v>6.0145021339637186</v>
      </c>
      <c r="AC386" s="56">
        <f t="shared" si="420"/>
        <v>2</v>
      </c>
      <c r="AE386" s="18">
        <f t="shared" si="433"/>
        <v>7.9008133942326788</v>
      </c>
      <c r="AF386" s="18">
        <f t="shared" si="433"/>
        <v>0.34041814392956793</v>
      </c>
      <c r="AG386" s="18">
        <f t="shared" si="433"/>
        <v>3.0933219075524376</v>
      </c>
      <c r="AH386" s="18">
        <f t="shared" si="433"/>
        <v>1.5883001569450095</v>
      </c>
      <c r="AI386" s="18">
        <f t="shared" si="433"/>
        <v>5.6468904621384244</v>
      </c>
      <c r="AJ386" s="56">
        <f t="shared" si="421"/>
        <v>2</v>
      </c>
      <c r="AL386" s="18">
        <f t="shared" si="434"/>
        <v>7.9008133942326788</v>
      </c>
      <c r="AM386" s="18">
        <f t="shared" si="434"/>
        <v>0.31930972911503241</v>
      </c>
      <c r="AN386" s="18">
        <f t="shared" si="434"/>
        <v>3.154198253521431</v>
      </c>
      <c r="AO386" s="18">
        <f t="shared" si="434"/>
        <v>1.6189480338287254</v>
      </c>
      <c r="AP386" s="18">
        <f t="shared" si="434"/>
        <v>5.3715733221524369</v>
      </c>
      <c r="AQ386" s="56">
        <f t="shared" si="422"/>
        <v>2</v>
      </c>
      <c r="AS386" s="18">
        <f t="shared" si="435"/>
        <v>7.9008133942326788</v>
      </c>
      <c r="AT386" s="18">
        <f t="shared" si="435"/>
        <v>0.24181753818461471</v>
      </c>
      <c r="AU386" s="18">
        <f t="shared" si="435"/>
        <v>3.1818044032411135</v>
      </c>
      <c r="AV386" s="18">
        <f t="shared" si="435"/>
        <v>1.588463359253752</v>
      </c>
      <c r="AW386" s="18">
        <f t="shared" si="435"/>
        <v>5.3715733221524369</v>
      </c>
      <c r="AX386" s="56">
        <f t="shared" si="423"/>
        <v>2</v>
      </c>
      <c r="AZ386" s="18">
        <f t="shared" si="436"/>
        <v>7.9008133942326788</v>
      </c>
      <c r="BA386" s="18">
        <f t="shared" si="436"/>
        <v>0.24181753818461471</v>
      </c>
      <c r="BB386" s="18">
        <f t="shared" si="436"/>
        <v>3.1818044032411135</v>
      </c>
      <c r="BC386" s="18">
        <f t="shared" si="436"/>
        <v>1.588463359253752</v>
      </c>
      <c r="BD386" s="18">
        <f t="shared" si="436"/>
        <v>5.3715733221524369</v>
      </c>
      <c r="BE386" s="56">
        <f t="shared" si="424"/>
        <v>2</v>
      </c>
      <c r="BG386" s="18">
        <f t="shared" si="437"/>
        <v>7.9008133942326788</v>
      </c>
      <c r="BH386" s="18">
        <f t="shared" si="437"/>
        <v>0.24181753818461471</v>
      </c>
      <c r="BI386" s="18">
        <f t="shared" si="437"/>
        <v>3.1818044032411135</v>
      </c>
      <c r="BJ386" s="18">
        <f t="shared" si="437"/>
        <v>1.588463359253752</v>
      </c>
      <c r="BK386" s="18">
        <f t="shared" si="437"/>
        <v>5.3715733221524369</v>
      </c>
      <c r="BL386" s="56">
        <f t="shared" si="425"/>
        <v>2</v>
      </c>
      <c r="BN386" s="18">
        <f t="shared" si="438"/>
        <v>7.9008133942326788</v>
      </c>
      <c r="BO386" s="18">
        <f t="shared" si="438"/>
        <v>0.24181753818461471</v>
      </c>
      <c r="BP386" s="18">
        <f t="shared" si="438"/>
        <v>3.1818044032411135</v>
      </c>
      <c r="BQ386" s="18">
        <f t="shared" si="438"/>
        <v>1.588463359253752</v>
      </c>
      <c r="BR386" s="18">
        <f t="shared" si="438"/>
        <v>5.3715733221524369</v>
      </c>
      <c r="BS386" s="56">
        <f t="shared" si="426"/>
        <v>2</v>
      </c>
      <c r="BU386" s="18">
        <f t="shared" si="439"/>
        <v>7.9008133942326788</v>
      </c>
      <c r="BV386" s="18">
        <f t="shared" si="439"/>
        <v>0.24181753818461471</v>
      </c>
      <c r="BW386" s="18">
        <f t="shared" si="439"/>
        <v>3.1818044032411135</v>
      </c>
      <c r="BX386" s="18">
        <f t="shared" si="439"/>
        <v>1.588463359253752</v>
      </c>
      <c r="BY386" s="18">
        <f t="shared" si="439"/>
        <v>5.3715733221524369</v>
      </c>
      <c r="BZ386" s="56">
        <f t="shared" si="427"/>
        <v>2</v>
      </c>
      <c r="CB386" s="18">
        <f t="shared" si="440"/>
        <v>7.9008133942326788</v>
      </c>
      <c r="CC386" s="18">
        <f t="shared" si="440"/>
        <v>0.24181753818461471</v>
      </c>
      <c r="CD386" s="18">
        <f t="shared" si="440"/>
        <v>3.1818044032411135</v>
      </c>
      <c r="CE386" s="18">
        <f t="shared" si="440"/>
        <v>1.588463359253752</v>
      </c>
      <c r="CF386" s="18">
        <f t="shared" si="440"/>
        <v>5.3715733221524369</v>
      </c>
      <c r="CG386" s="56">
        <f t="shared" si="428"/>
        <v>2</v>
      </c>
      <c r="CI386" s="18">
        <f t="shared" si="441"/>
        <v>7.9008133942326788</v>
      </c>
      <c r="CJ386" s="18">
        <f t="shared" si="441"/>
        <v>0.24181753818461471</v>
      </c>
      <c r="CK386" s="18">
        <f t="shared" si="441"/>
        <v>3.1818044032411135</v>
      </c>
      <c r="CL386" s="18">
        <f t="shared" si="441"/>
        <v>1.588463359253752</v>
      </c>
      <c r="CM386" s="18">
        <f t="shared" si="441"/>
        <v>5.3715733221524369</v>
      </c>
      <c r="CN386" s="56">
        <f t="shared" si="429"/>
        <v>2</v>
      </c>
      <c r="CP386" s="18">
        <f t="shared" si="442"/>
        <v>7.9008133942326788</v>
      </c>
      <c r="CQ386" s="18">
        <f t="shared" si="442"/>
        <v>0.24181753818461471</v>
      </c>
      <c r="CR386" s="18">
        <f t="shared" si="442"/>
        <v>3.1818044032411135</v>
      </c>
      <c r="CS386" s="18">
        <f t="shared" si="442"/>
        <v>1.588463359253752</v>
      </c>
      <c r="CT386" s="18">
        <f t="shared" si="442"/>
        <v>5.3715733221524369</v>
      </c>
      <c r="CU386" s="56">
        <f t="shared" si="430"/>
        <v>2</v>
      </c>
      <c r="CW386" s="18">
        <f t="shared" si="443"/>
        <v>7.9008133942326788</v>
      </c>
      <c r="CX386" s="18">
        <f t="shared" si="443"/>
        <v>0.24181753818461471</v>
      </c>
      <c r="CY386" s="18">
        <f t="shared" si="443"/>
        <v>3.1818044032411135</v>
      </c>
      <c r="CZ386" s="18">
        <f t="shared" si="443"/>
        <v>1.588463359253752</v>
      </c>
      <c r="DA386" s="18">
        <f t="shared" si="443"/>
        <v>5.3715733221524369</v>
      </c>
      <c r="DB386" s="56">
        <f t="shared" si="431"/>
        <v>2</v>
      </c>
    </row>
    <row r="387" spans="1:117" x14ac:dyDescent="0.25">
      <c r="A387" s="36" t="str">
        <f>KMeans_Data!A115</f>
        <v>Trarkhel</v>
      </c>
      <c r="B387" s="18">
        <f>KMeans_Data!H115</f>
        <v>-1.7189756565516803</v>
      </c>
      <c r="C387" s="18">
        <f>KMeans_Data!I115</f>
        <v>-0.67265054538827607</v>
      </c>
      <c r="D387" s="18">
        <f>KMeans_Data!J115</f>
        <v>-1.1456441163335547</v>
      </c>
      <c r="E387" s="56">
        <f t="shared" si="418"/>
        <v>2</v>
      </c>
      <c r="F387" s="38">
        <f t="shared" si="419"/>
        <v>0.20007137556882149</v>
      </c>
      <c r="G387" s="18">
        <f>IF(COUNTIF(Distance_Matrix!$E$11:$DQ$11,$E387)&lt;=1,0,SUMIF(Distance_Matrix!$E$11:$DQ$11,$E387,Distance_Matrix!$E$124:$DQ$124)/(COUNTIF(Distance_Matrix!$E$11:$DQ$11,$E387)-1))</f>
        <v>0.54773175436393096</v>
      </c>
      <c r="H387" s="18">
        <f>MIN(IF(1=$E387,1E+99,IF(COUNTIF(Distance_Matrix!$E$11:$DQ$11,1)=0,1E+99,SUMIF(Distance_Matrix!$E$11:$DQ$11,1,Distance_Matrix!$E$124:$DQ$124)/COUNTIF(Distance_Matrix!$E$11:$DQ$11,1))),IF(2=$E387,1E+99,IF(COUNTIF(Distance_Matrix!$E$11:$DQ$11,2)=0,1E+99,SUMIF(Distance_Matrix!$E$11:$DQ$11,2,Distance_Matrix!$E$124:$DQ$124)/COUNTIF(Distance_Matrix!$E$11:$DQ$11,2))),IF(3=$E387,1E+99,IF(COUNTIF(Distance_Matrix!$E$11:$DQ$11,3)=0,1E+99,SUMIF(Distance_Matrix!$E$11:$DQ$11,3,Distance_Matrix!$E$124:$DQ$124)/COUNTIF(Distance_Matrix!$E$11:$DQ$11,3))),IF(4=$E387,1E+99,IF(COUNTIF(Distance_Matrix!$E$11:$DQ$11,4)=0,1E+99,SUMIF(Distance_Matrix!$E$11:$DQ$11,4,Distance_Matrix!$E$124:$DQ$124)/COUNTIF(Distance_Matrix!$E$11:$DQ$11,4))),IF(5=$E387,1E+99,IF(COUNTIF(Distance_Matrix!$E$11:$DQ$11,5)=0,1E+99,SUMIF(Distance_Matrix!$E$11:$DQ$11,5,Distance_Matrix!$E$124:$DQ$124)/COUNTIF(Distance_Matrix!$E$11:$DQ$11,5))))</f>
        <v>1.8873561387472708</v>
      </c>
      <c r="I387" s="18">
        <f>IF(COUNTIF(Distance_Matrix!$E$11:$DQ$11,$E387)&lt;=1,0,(H387-G387)/MAX(G387,H387))</f>
        <v>0.70978887178787209</v>
      </c>
      <c r="X387" s="18">
        <f t="shared" ref="X387:AB393" si="444">SQRT(($B387-X$270)^2+($C387-X$271)^2+($D387-X$272)^2)</f>
        <v>8.153323730623006</v>
      </c>
      <c r="Y387" s="18">
        <f t="shared" si="444"/>
        <v>0.36076232525164831</v>
      </c>
      <c r="Z387" s="18">
        <f t="shared" si="444"/>
        <v>3.9428764577316429</v>
      </c>
      <c r="AA387" s="18">
        <f t="shared" si="444"/>
        <v>2.4223727569813844</v>
      </c>
      <c r="AB387" s="18">
        <f t="shared" si="444"/>
        <v>6.1524959405394304</v>
      </c>
      <c r="AC387" s="56">
        <f t="shared" si="420"/>
        <v>2</v>
      </c>
      <c r="AE387" s="18">
        <f t="shared" ref="AE387:AI393" si="445">SQRT(($B387-AE$270)^2+($C387-AE$271)^2+($D387-AE$272)^2)</f>
        <v>8.0299881399296584</v>
      </c>
      <c r="AF387" s="18">
        <f t="shared" si="445"/>
        <v>0.52257248253237443</v>
      </c>
      <c r="AG387" s="18">
        <f t="shared" si="445"/>
        <v>3.2374179083319752</v>
      </c>
      <c r="AH387" s="18">
        <f t="shared" si="445"/>
        <v>1.7825279742516824</v>
      </c>
      <c r="AI387" s="18">
        <f t="shared" si="445"/>
        <v>5.7837718635909194</v>
      </c>
      <c r="AJ387" s="56">
        <f t="shared" si="421"/>
        <v>2</v>
      </c>
      <c r="AL387" s="18">
        <f t="shared" ref="AL387:AP393" si="446">SQRT(($B387-AL$270)^2+($C387-AL$271)^2+($D387-AL$272)^2)</f>
        <v>8.0299881399296584</v>
      </c>
      <c r="AM387" s="18">
        <f t="shared" si="446"/>
        <v>0.51268272019926897</v>
      </c>
      <c r="AN387" s="18">
        <f t="shared" si="446"/>
        <v>3.2988474946990634</v>
      </c>
      <c r="AO387" s="18">
        <f t="shared" si="446"/>
        <v>1.8076830178416015</v>
      </c>
      <c r="AP387" s="18">
        <f t="shared" si="446"/>
        <v>5.507889354313166</v>
      </c>
      <c r="AQ387" s="56">
        <f t="shared" si="422"/>
        <v>2</v>
      </c>
      <c r="AS387" s="18">
        <f t="shared" ref="AS387:AW393" si="447">SQRT(($B387-AS$270)^2+($C387-AS$271)^2+($D387-AS$272)^2)</f>
        <v>8.0299881399296584</v>
      </c>
      <c r="AT387" s="18">
        <f t="shared" si="447"/>
        <v>0.44729338869339608</v>
      </c>
      <c r="AU387" s="18">
        <f t="shared" si="447"/>
        <v>3.3264807810228385</v>
      </c>
      <c r="AV387" s="18">
        <f t="shared" si="447"/>
        <v>1.7747923773296637</v>
      </c>
      <c r="AW387" s="18">
        <f t="shared" si="447"/>
        <v>5.507889354313166</v>
      </c>
      <c r="AX387" s="56">
        <f t="shared" si="423"/>
        <v>2</v>
      </c>
      <c r="AZ387" s="18">
        <f t="shared" ref="AZ387:BD393" si="448">SQRT(($B387-AZ$270)^2+($C387-AZ$271)^2+($D387-AZ$272)^2)</f>
        <v>8.0299881399296584</v>
      </c>
      <c r="BA387" s="18">
        <f t="shared" si="448"/>
        <v>0.44729338869339608</v>
      </c>
      <c r="BB387" s="18">
        <f t="shared" si="448"/>
        <v>3.3264807810228385</v>
      </c>
      <c r="BC387" s="18">
        <f t="shared" si="448"/>
        <v>1.7747923773296637</v>
      </c>
      <c r="BD387" s="18">
        <f t="shared" si="448"/>
        <v>5.507889354313166</v>
      </c>
      <c r="BE387" s="56">
        <f t="shared" si="424"/>
        <v>2</v>
      </c>
      <c r="BG387" s="18">
        <f t="shared" ref="BG387:BK393" si="449">SQRT(($B387-BG$270)^2+($C387-BG$271)^2+($D387-BG$272)^2)</f>
        <v>8.0299881399296584</v>
      </c>
      <c r="BH387" s="18">
        <f t="shared" si="449"/>
        <v>0.44729338869339608</v>
      </c>
      <c r="BI387" s="18">
        <f t="shared" si="449"/>
        <v>3.3264807810228385</v>
      </c>
      <c r="BJ387" s="18">
        <f t="shared" si="449"/>
        <v>1.7747923773296637</v>
      </c>
      <c r="BK387" s="18">
        <f t="shared" si="449"/>
        <v>5.507889354313166</v>
      </c>
      <c r="BL387" s="56">
        <f t="shared" si="425"/>
        <v>2</v>
      </c>
      <c r="BN387" s="18">
        <f t="shared" ref="BN387:BR393" si="450">SQRT(($B387-BN$270)^2+($C387-BN$271)^2+($D387-BN$272)^2)</f>
        <v>8.0299881399296584</v>
      </c>
      <c r="BO387" s="18">
        <f t="shared" si="450"/>
        <v>0.44729338869339608</v>
      </c>
      <c r="BP387" s="18">
        <f t="shared" si="450"/>
        <v>3.3264807810228385</v>
      </c>
      <c r="BQ387" s="18">
        <f t="shared" si="450"/>
        <v>1.7747923773296637</v>
      </c>
      <c r="BR387" s="18">
        <f t="shared" si="450"/>
        <v>5.507889354313166</v>
      </c>
      <c r="BS387" s="56">
        <f t="shared" si="426"/>
        <v>2</v>
      </c>
      <c r="BU387" s="18">
        <f t="shared" ref="BU387:BY393" si="451">SQRT(($B387-BU$270)^2+($C387-BU$271)^2+($D387-BU$272)^2)</f>
        <v>8.0299881399296584</v>
      </c>
      <c r="BV387" s="18">
        <f t="shared" si="451"/>
        <v>0.44729338869339608</v>
      </c>
      <c r="BW387" s="18">
        <f t="shared" si="451"/>
        <v>3.3264807810228385</v>
      </c>
      <c r="BX387" s="18">
        <f t="shared" si="451"/>
        <v>1.7747923773296637</v>
      </c>
      <c r="BY387" s="18">
        <f t="shared" si="451"/>
        <v>5.507889354313166</v>
      </c>
      <c r="BZ387" s="56">
        <f t="shared" si="427"/>
        <v>2</v>
      </c>
      <c r="CB387" s="18">
        <f t="shared" ref="CB387:CF393" si="452">SQRT(($B387-CB$270)^2+($C387-CB$271)^2+($D387-CB$272)^2)</f>
        <v>8.0299881399296584</v>
      </c>
      <c r="CC387" s="18">
        <f t="shared" si="452"/>
        <v>0.44729338869339608</v>
      </c>
      <c r="CD387" s="18">
        <f t="shared" si="452"/>
        <v>3.3264807810228385</v>
      </c>
      <c r="CE387" s="18">
        <f t="shared" si="452"/>
        <v>1.7747923773296637</v>
      </c>
      <c r="CF387" s="18">
        <f t="shared" si="452"/>
        <v>5.507889354313166</v>
      </c>
      <c r="CG387" s="56">
        <f t="shared" si="428"/>
        <v>2</v>
      </c>
      <c r="CI387" s="18">
        <f t="shared" ref="CI387:CM393" si="453">SQRT(($B387-CI$270)^2+($C387-CI$271)^2+($D387-CI$272)^2)</f>
        <v>8.0299881399296584</v>
      </c>
      <c r="CJ387" s="18">
        <f t="shared" si="453"/>
        <v>0.44729338869339608</v>
      </c>
      <c r="CK387" s="18">
        <f t="shared" si="453"/>
        <v>3.3264807810228385</v>
      </c>
      <c r="CL387" s="18">
        <f t="shared" si="453"/>
        <v>1.7747923773296637</v>
      </c>
      <c r="CM387" s="18">
        <f t="shared" si="453"/>
        <v>5.507889354313166</v>
      </c>
      <c r="CN387" s="56">
        <f t="shared" si="429"/>
        <v>2</v>
      </c>
      <c r="CP387" s="18">
        <f t="shared" ref="CP387:CT393" si="454">SQRT(($B387-CP$270)^2+($C387-CP$271)^2+($D387-CP$272)^2)</f>
        <v>8.0299881399296584</v>
      </c>
      <c r="CQ387" s="18">
        <f t="shared" si="454"/>
        <v>0.44729338869339608</v>
      </c>
      <c r="CR387" s="18">
        <f t="shared" si="454"/>
        <v>3.3264807810228385</v>
      </c>
      <c r="CS387" s="18">
        <f t="shared" si="454"/>
        <v>1.7747923773296637</v>
      </c>
      <c r="CT387" s="18">
        <f t="shared" si="454"/>
        <v>5.507889354313166</v>
      </c>
      <c r="CU387" s="56">
        <f t="shared" si="430"/>
        <v>2</v>
      </c>
      <c r="CW387" s="18">
        <f t="shared" ref="CW387:DA393" si="455">SQRT(($B387-CW$270)^2+($C387-CW$271)^2+($D387-CW$272)^2)</f>
        <v>8.0299881399296584</v>
      </c>
      <c r="CX387" s="18">
        <f t="shared" si="455"/>
        <v>0.44729338869339608</v>
      </c>
      <c r="CY387" s="18">
        <f t="shared" si="455"/>
        <v>3.3264807810228385</v>
      </c>
      <c r="CZ387" s="18">
        <f t="shared" si="455"/>
        <v>1.7747923773296637</v>
      </c>
      <c r="DA387" s="18">
        <f t="shared" si="455"/>
        <v>5.507889354313166</v>
      </c>
      <c r="DB387" s="56">
        <f t="shared" si="431"/>
        <v>2</v>
      </c>
    </row>
    <row r="388" spans="1:117" x14ac:dyDescent="0.25">
      <c r="A388" s="36" t="str">
        <f>KMeans_Data!A116</f>
        <v>Kohistan Upper</v>
      </c>
      <c r="B388" s="18">
        <f>KMeans_Data!H116</f>
        <v>-1.7189756565516803</v>
      </c>
      <c r="C388" s="18">
        <f>KMeans_Data!I116</f>
        <v>-0.67265054538827607</v>
      </c>
      <c r="D388" s="18">
        <f>KMeans_Data!J116</f>
        <v>-1.1456441163335547</v>
      </c>
      <c r="E388" s="56">
        <f t="shared" si="418"/>
        <v>2</v>
      </c>
      <c r="F388" s="38">
        <f t="shared" si="419"/>
        <v>0.20007137556882149</v>
      </c>
      <c r="G388" s="18">
        <f>IF(COUNTIF(Distance_Matrix!$E$11:$DQ$11,$E388)&lt;=1,0,SUMIF(Distance_Matrix!$E$11:$DQ$11,$E388,Distance_Matrix!$E$125:$DQ$125)/(COUNTIF(Distance_Matrix!$E$11:$DQ$11,$E388)-1))</f>
        <v>0.54773175436393096</v>
      </c>
      <c r="H388" s="18">
        <f>MIN(IF(1=$E388,1E+99,IF(COUNTIF(Distance_Matrix!$E$11:$DQ$11,1)=0,1E+99,SUMIF(Distance_Matrix!$E$11:$DQ$11,1,Distance_Matrix!$E$125:$DQ$125)/COUNTIF(Distance_Matrix!$E$11:$DQ$11,1))),IF(2=$E388,1E+99,IF(COUNTIF(Distance_Matrix!$E$11:$DQ$11,2)=0,1E+99,SUMIF(Distance_Matrix!$E$11:$DQ$11,2,Distance_Matrix!$E$125:$DQ$125)/COUNTIF(Distance_Matrix!$E$11:$DQ$11,2))),IF(3=$E388,1E+99,IF(COUNTIF(Distance_Matrix!$E$11:$DQ$11,3)=0,1E+99,SUMIF(Distance_Matrix!$E$11:$DQ$11,3,Distance_Matrix!$E$125:$DQ$125)/COUNTIF(Distance_Matrix!$E$11:$DQ$11,3))),IF(4=$E388,1E+99,IF(COUNTIF(Distance_Matrix!$E$11:$DQ$11,4)=0,1E+99,SUMIF(Distance_Matrix!$E$11:$DQ$11,4,Distance_Matrix!$E$125:$DQ$125)/COUNTIF(Distance_Matrix!$E$11:$DQ$11,4))),IF(5=$E388,1E+99,IF(COUNTIF(Distance_Matrix!$E$11:$DQ$11,5)=0,1E+99,SUMIF(Distance_Matrix!$E$11:$DQ$11,5,Distance_Matrix!$E$125:$DQ$125)/COUNTIF(Distance_Matrix!$E$11:$DQ$11,5))))</f>
        <v>1.8873561387472708</v>
      </c>
      <c r="I388" s="18">
        <f>IF(COUNTIF(Distance_Matrix!$E$11:$DQ$11,$E388)&lt;=1,0,(H388-G388)/MAX(G388,H388))</f>
        <v>0.70978887178787209</v>
      </c>
      <c r="X388" s="18">
        <f t="shared" si="444"/>
        <v>8.153323730623006</v>
      </c>
      <c r="Y388" s="18">
        <f t="shared" si="444"/>
        <v>0.36076232525164831</v>
      </c>
      <c r="Z388" s="18">
        <f t="shared" si="444"/>
        <v>3.9428764577316429</v>
      </c>
      <c r="AA388" s="18">
        <f t="shared" si="444"/>
        <v>2.4223727569813844</v>
      </c>
      <c r="AB388" s="18">
        <f t="shared" si="444"/>
        <v>6.1524959405394304</v>
      </c>
      <c r="AC388" s="56">
        <f t="shared" si="420"/>
        <v>2</v>
      </c>
      <c r="AE388" s="18">
        <f t="shared" si="445"/>
        <v>8.0299881399296584</v>
      </c>
      <c r="AF388" s="18">
        <f t="shared" si="445"/>
        <v>0.52257248253237443</v>
      </c>
      <c r="AG388" s="18">
        <f t="shared" si="445"/>
        <v>3.2374179083319752</v>
      </c>
      <c r="AH388" s="18">
        <f t="shared" si="445"/>
        <v>1.7825279742516824</v>
      </c>
      <c r="AI388" s="18">
        <f t="shared" si="445"/>
        <v>5.7837718635909194</v>
      </c>
      <c r="AJ388" s="56">
        <f t="shared" si="421"/>
        <v>2</v>
      </c>
      <c r="AL388" s="18">
        <f t="shared" si="446"/>
        <v>8.0299881399296584</v>
      </c>
      <c r="AM388" s="18">
        <f t="shared" si="446"/>
        <v>0.51268272019926897</v>
      </c>
      <c r="AN388" s="18">
        <f t="shared" si="446"/>
        <v>3.2988474946990634</v>
      </c>
      <c r="AO388" s="18">
        <f t="shared" si="446"/>
        <v>1.8076830178416015</v>
      </c>
      <c r="AP388" s="18">
        <f t="shared" si="446"/>
        <v>5.507889354313166</v>
      </c>
      <c r="AQ388" s="56">
        <f t="shared" si="422"/>
        <v>2</v>
      </c>
      <c r="AS388" s="18">
        <f t="shared" si="447"/>
        <v>8.0299881399296584</v>
      </c>
      <c r="AT388" s="18">
        <f t="shared" si="447"/>
        <v>0.44729338869339608</v>
      </c>
      <c r="AU388" s="18">
        <f t="shared" si="447"/>
        <v>3.3264807810228385</v>
      </c>
      <c r="AV388" s="18">
        <f t="shared" si="447"/>
        <v>1.7747923773296637</v>
      </c>
      <c r="AW388" s="18">
        <f t="shared" si="447"/>
        <v>5.507889354313166</v>
      </c>
      <c r="AX388" s="56">
        <f t="shared" si="423"/>
        <v>2</v>
      </c>
      <c r="AZ388" s="18">
        <f t="shared" si="448"/>
        <v>8.0299881399296584</v>
      </c>
      <c r="BA388" s="18">
        <f t="shared" si="448"/>
        <v>0.44729338869339608</v>
      </c>
      <c r="BB388" s="18">
        <f t="shared" si="448"/>
        <v>3.3264807810228385</v>
      </c>
      <c r="BC388" s="18">
        <f t="shared" si="448"/>
        <v>1.7747923773296637</v>
      </c>
      <c r="BD388" s="18">
        <f t="shared" si="448"/>
        <v>5.507889354313166</v>
      </c>
      <c r="BE388" s="56">
        <f t="shared" si="424"/>
        <v>2</v>
      </c>
      <c r="BG388" s="18">
        <f t="shared" si="449"/>
        <v>8.0299881399296584</v>
      </c>
      <c r="BH388" s="18">
        <f t="shared" si="449"/>
        <v>0.44729338869339608</v>
      </c>
      <c r="BI388" s="18">
        <f t="shared" si="449"/>
        <v>3.3264807810228385</v>
      </c>
      <c r="BJ388" s="18">
        <f t="shared" si="449"/>
        <v>1.7747923773296637</v>
      </c>
      <c r="BK388" s="18">
        <f t="shared" si="449"/>
        <v>5.507889354313166</v>
      </c>
      <c r="BL388" s="56">
        <f t="shared" si="425"/>
        <v>2</v>
      </c>
      <c r="BN388" s="18">
        <f t="shared" si="450"/>
        <v>8.0299881399296584</v>
      </c>
      <c r="BO388" s="18">
        <f t="shared" si="450"/>
        <v>0.44729338869339608</v>
      </c>
      <c r="BP388" s="18">
        <f t="shared" si="450"/>
        <v>3.3264807810228385</v>
      </c>
      <c r="BQ388" s="18">
        <f t="shared" si="450"/>
        <v>1.7747923773296637</v>
      </c>
      <c r="BR388" s="18">
        <f t="shared" si="450"/>
        <v>5.507889354313166</v>
      </c>
      <c r="BS388" s="56">
        <f t="shared" si="426"/>
        <v>2</v>
      </c>
      <c r="BU388" s="18">
        <f t="shared" si="451"/>
        <v>8.0299881399296584</v>
      </c>
      <c r="BV388" s="18">
        <f t="shared" si="451"/>
        <v>0.44729338869339608</v>
      </c>
      <c r="BW388" s="18">
        <f t="shared" si="451"/>
        <v>3.3264807810228385</v>
      </c>
      <c r="BX388" s="18">
        <f t="shared" si="451"/>
        <v>1.7747923773296637</v>
      </c>
      <c r="BY388" s="18">
        <f t="shared" si="451"/>
        <v>5.507889354313166</v>
      </c>
      <c r="BZ388" s="56">
        <f t="shared" si="427"/>
        <v>2</v>
      </c>
      <c r="CB388" s="18">
        <f t="shared" si="452"/>
        <v>8.0299881399296584</v>
      </c>
      <c r="CC388" s="18">
        <f t="shared" si="452"/>
        <v>0.44729338869339608</v>
      </c>
      <c r="CD388" s="18">
        <f t="shared" si="452"/>
        <v>3.3264807810228385</v>
      </c>
      <c r="CE388" s="18">
        <f t="shared" si="452"/>
        <v>1.7747923773296637</v>
      </c>
      <c r="CF388" s="18">
        <f t="shared" si="452"/>
        <v>5.507889354313166</v>
      </c>
      <c r="CG388" s="56">
        <f t="shared" si="428"/>
        <v>2</v>
      </c>
      <c r="CI388" s="18">
        <f t="shared" si="453"/>
        <v>8.0299881399296584</v>
      </c>
      <c r="CJ388" s="18">
        <f t="shared" si="453"/>
        <v>0.44729338869339608</v>
      </c>
      <c r="CK388" s="18">
        <f t="shared" si="453"/>
        <v>3.3264807810228385</v>
      </c>
      <c r="CL388" s="18">
        <f t="shared" si="453"/>
        <v>1.7747923773296637</v>
      </c>
      <c r="CM388" s="18">
        <f t="shared" si="453"/>
        <v>5.507889354313166</v>
      </c>
      <c r="CN388" s="56">
        <f t="shared" si="429"/>
        <v>2</v>
      </c>
      <c r="CP388" s="18">
        <f t="shared" si="454"/>
        <v>8.0299881399296584</v>
      </c>
      <c r="CQ388" s="18">
        <f t="shared" si="454"/>
        <v>0.44729338869339608</v>
      </c>
      <c r="CR388" s="18">
        <f t="shared" si="454"/>
        <v>3.3264807810228385</v>
      </c>
      <c r="CS388" s="18">
        <f t="shared" si="454"/>
        <v>1.7747923773296637</v>
      </c>
      <c r="CT388" s="18">
        <f t="shared" si="454"/>
        <v>5.507889354313166</v>
      </c>
      <c r="CU388" s="56">
        <f t="shared" si="430"/>
        <v>2</v>
      </c>
      <c r="CW388" s="18">
        <f t="shared" si="455"/>
        <v>8.0299881399296584</v>
      </c>
      <c r="CX388" s="18">
        <f t="shared" si="455"/>
        <v>0.44729338869339608</v>
      </c>
      <c r="CY388" s="18">
        <f t="shared" si="455"/>
        <v>3.3264807810228385</v>
      </c>
      <c r="CZ388" s="18">
        <f t="shared" si="455"/>
        <v>1.7747923773296637</v>
      </c>
      <c r="DA388" s="18">
        <f t="shared" si="455"/>
        <v>5.507889354313166</v>
      </c>
      <c r="DB388" s="56">
        <f t="shared" si="431"/>
        <v>2</v>
      </c>
    </row>
    <row r="389" spans="1:117" x14ac:dyDescent="0.25">
      <c r="A389" s="36" t="str">
        <f>KMeans_Data!A117</f>
        <v>Okara</v>
      </c>
      <c r="B389" s="18">
        <f>KMeans_Data!H117</f>
        <v>-1.7189756565516803</v>
      </c>
      <c r="C389" s="18">
        <f>KMeans_Data!I117</f>
        <v>-0.67265054538827607</v>
      </c>
      <c r="D389" s="18">
        <f>KMeans_Data!J117</f>
        <v>-1.1456441163335547</v>
      </c>
      <c r="E389" s="56">
        <f t="shared" si="418"/>
        <v>2</v>
      </c>
      <c r="F389" s="38">
        <f t="shared" si="419"/>
        <v>0.20007137556882149</v>
      </c>
      <c r="G389" s="18">
        <f>IF(COUNTIF(Distance_Matrix!$E$11:$DQ$11,$E389)&lt;=1,0,SUMIF(Distance_Matrix!$E$11:$DQ$11,$E389,Distance_Matrix!$E$126:$DQ$126)/(COUNTIF(Distance_Matrix!$E$11:$DQ$11,$E389)-1))</f>
        <v>0.54773175436393096</v>
      </c>
      <c r="H389" s="18">
        <f>MIN(IF(1=$E389,1E+99,IF(COUNTIF(Distance_Matrix!$E$11:$DQ$11,1)=0,1E+99,SUMIF(Distance_Matrix!$E$11:$DQ$11,1,Distance_Matrix!$E$126:$DQ$126)/COUNTIF(Distance_Matrix!$E$11:$DQ$11,1))),IF(2=$E389,1E+99,IF(COUNTIF(Distance_Matrix!$E$11:$DQ$11,2)=0,1E+99,SUMIF(Distance_Matrix!$E$11:$DQ$11,2,Distance_Matrix!$E$126:$DQ$126)/COUNTIF(Distance_Matrix!$E$11:$DQ$11,2))),IF(3=$E389,1E+99,IF(COUNTIF(Distance_Matrix!$E$11:$DQ$11,3)=0,1E+99,SUMIF(Distance_Matrix!$E$11:$DQ$11,3,Distance_Matrix!$E$126:$DQ$126)/COUNTIF(Distance_Matrix!$E$11:$DQ$11,3))),IF(4=$E389,1E+99,IF(COUNTIF(Distance_Matrix!$E$11:$DQ$11,4)=0,1E+99,SUMIF(Distance_Matrix!$E$11:$DQ$11,4,Distance_Matrix!$E$126:$DQ$126)/COUNTIF(Distance_Matrix!$E$11:$DQ$11,4))),IF(5=$E389,1E+99,IF(COUNTIF(Distance_Matrix!$E$11:$DQ$11,5)=0,1E+99,SUMIF(Distance_Matrix!$E$11:$DQ$11,5,Distance_Matrix!$E$126:$DQ$126)/COUNTIF(Distance_Matrix!$E$11:$DQ$11,5))))</f>
        <v>1.8873561387472708</v>
      </c>
      <c r="I389" s="18">
        <f>IF(COUNTIF(Distance_Matrix!$E$11:$DQ$11,$E389)&lt;=1,0,(H389-G389)/MAX(G389,H389))</f>
        <v>0.70978887178787209</v>
      </c>
      <c r="X389" s="18">
        <f t="shared" si="444"/>
        <v>8.153323730623006</v>
      </c>
      <c r="Y389" s="18">
        <f t="shared" si="444"/>
        <v>0.36076232525164831</v>
      </c>
      <c r="Z389" s="18">
        <f t="shared" si="444"/>
        <v>3.9428764577316429</v>
      </c>
      <c r="AA389" s="18">
        <f t="shared" si="444"/>
        <v>2.4223727569813844</v>
      </c>
      <c r="AB389" s="18">
        <f t="shared" si="444"/>
        <v>6.1524959405394304</v>
      </c>
      <c r="AC389" s="56">
        <f t="shared" si="420"/>
        <v>2</v>
      </c>
      <c r="AE389" s="18">
        <f t="shared" si="445"/>
        <v>8.0299881399296584</v>
      </c>
      <c r="AF389" s="18">
        <f t="shared" si="445"/>
        <v>0.52257248253237443</v>
      </c>
      <c r="AG389" s="18">
        <f t="shared" si="445"/>
        <v>3.2374179083319752</v>
      </c>
      <c r="AH389" s="18">
        <f t="shared" si="445"/>
        <v>1.7825279742516824</v>
      </c>
      <c r="AI389" s="18">
        <f t="shared" si="445"/>
        <v>5.7837718635909194</v>
      </c>
      <c r="AJ389" s="56">
        <f t="shared" si="421"/>
        <v>2</v>
      </c>
      <c r="AL389" s="18">
        <f t="shared" si="446"/>
        <v>8.0299881399296584</v>
      </c>
      <c r="AM389" s="18">
        <f t="shared" si="446"/>
        <v>0.51268272019926897</v>
      </c>
      <c r="AN389" s="18">
        <f t="shared" si="446"/>
        <v>3.2988474946990634</v>
      </c>
      <c r="AO389" s="18">
        <f t="shared" si="446"/>
        <v>1.8076830178416015</v>
      </c>
      <c r="AP389" s="18">
        <f t="shared" si="446"/>
        <v>5.507889354313166</v>
      </c>
      <c r="AQ389" s="56">
        <f t="shared" si="422"/>
        <v>2</v>
      </c>
      <c r="AS389" s="18">
        <f t="shared" si="447"/>
        <v>8.0299881399296584</v>
      </c>
      <c r="AT389" s="18">
        <f t="shared" si="447"/>
        <v>0.44729338869339608</v>
      </c>
      <c r="AU389" s="18">
        <f t="shared" si="447"/>
        <v>3.3264807810228385</v>
      </c>
      <c r="AV389" s="18">
        <f t="shared" si="447"/>
        <v>1.7747923773296637</v>
      </c>
      <c r="AW389" s="18">
        <f t="shared" si="447"/>
        <v>5.507889354313166</v>
      </c>
      <c r="AX389" s="56">
        <f t="shared" si="423"/>
        <v>2</v>
      </c>
      <c r="AZ389" s="18">
        <f t="shared" si="448"/>
        <v>8.0299881399296584</v>
      </c>
      <c r="BA389" s="18">
        <f t="shared" si="448"/>
        <v>0.44729338869339608</v>
      </c>
      <c r="BB389" s="18">
        <f t="shared" si="448"/>
        <v>3.3264807810228385</v>
      </c>
      <c r="BC389" s="18">
        <f t="shared" si="448"/>
        <v>1.7747923773296637</v>
      </c>
      <c r="BD389" s="18">
        <f t="shared" si="448"/>
        <v>5.507889354313166</v>
      </c>
      <c r="BE389" s="56">
        <f t="shared" si="424"/>
        <v>2</v>
      </c>
      <c r="BG389" s="18">
        <f t="shared" si="449"/>
        <v>8.0299881399296584</v>
      </c>
      <c r="BH389" s="18">
        <f t="shared" si="449"/>
        <v>0.44729338869339608</v>
      </c>
      <c r="BI389" s="18">
        <f t="shared" si="449"/>
        <v>3.3264807810228385</v>
      </c>
      <c r="BJ389" s="18">
        <f t="shared" si="449"/>
        <v>1.7747923773296637</v>
      </c>
      <c r="BK389" s="18">
        <f t="shared" si="449"/>
        <v>5.507889354313166</v>
      </c>
      <c r="BL389" s="56">
        <f t="shared" si="425"/>
        <v>2</v>
      </c>
      <c r="BN389" s="18">
        <f t="shared" si="450"/>
        <v>8.0299881399296584</v>
      </c>
      <c r="BO389" s="18">
        <f t="shared" si="450"/>
        <v>0.44729338869339608</v>
      </c>
      <c r="BP389" s="18">
        <f t="shared" si="450"/>
        <v>3.3264807810228385</v>
      </c>
      <c r="BQ389" s="18">
        <f t="shared" si="450"/>
        <v>1.7747923773296637</v>
      </c>
      <c r="BR389" s="18">
        <f t="shared" si="450"/>
        <v>5.507889354313166</v>
      </c>
      <c r="BS389" s="56">
        <f t="shared" si="426"/>
        <v>2</v>
      </c>
      <c r="BU389" s="18">
        <f t="shared" si="451"/>
        <v>8.0299881399296584</v>
      </c>
      <c r="BV389" s="18">
        <f t="shared" si="451"/>
        <v>0.44729338869339608</v>
      </c>
      <c r="BW389" s="18">
        <f t="shared" si="451"/>
        <v>3.3264807810228385</v>
      </c>
      <c r="BX389" s="18">
        <f t="shared" si="451"/>
        <v>1.7747923773296637</v>
      </c>
      <c r="BY389" s="18">
        <f t="shared" si="451"/>
        <v>5.507889354313166</v>
      </c>
      <c r="BZ389" s="56">
        <f t="shared" si="427"/>
        <v>2</v>
      </c>
      <c r="CB389" s="18">
        <f t="shared" si="452"/>
        <v>8.0299881399296584</v>
      </c>
      <c r="CC389" s="18">
        <f t="shared" si="452"/>
        <v>0.44729338869339608</v>
      </c>
      <c r="CD389" s="18">
        <f t="shared" si="452"/>
        <v>3.3264807810228385</v>
      </c>
      <c r="CE389" s="18">
        <f t="shared" si="452"/>
        <v>1.7747923773296637</v>
      </c>
      <c r="CF389" s="18">
        <f t="shared" si="452"/>
        <v>5.507889354313166</v>
      </c>
      <c r="CG389" s="56">
        <f t="shared" si="428"/>
        <v>2</v>
      </c>
      <c r="CI389" s="18">
        <f t="shared" si="453"/>
        <v>8.0299881399296584</v>
      </c>
      <c r="CJ389" s="18">
        <f t="shared" si="453"/>
        <v>0.44729338869339608</v>
      </c>
      <c r="CK389" s="18">
        <f t="shared" si="453"/>
        <v>3.3264807810228385</v>
      </c>
      <c r="CL389" s="18">
        <f t="shared" si="453"/>
        <v>1.7747923773296637</v>
      </c>
      <c r="CM389" s="18">
        <f t="shared" si="453"/>
        <v>5.507889354313166</v>
      </c>
      <c r="CN389" s="56">
        <f t="shared" si="429"/>
        <v>2</v>
      </c>
      <c r="CP389" s="18">
        <f t="shared" si="454"/>
        <v>8.0299881399296584</v>
      </c>
      <c r="CQ389" s="18">
        <f t="shared" si="454"/>
        <v>0.44729338869339608</v>
      </c>
      <c r="CR389" s="18">
        <f t="shared" si="454"/>
        <v>3.3264807810228385</v>
      </c>
      <c r="CS389" s="18">
        <f t="shared" si="454"/>
        <v>1.7747923773296637</v>
      </c>
      <c r="CT389" s="18">
        <f t="shared" si="454"/>
        <v>5.507889354313166</v>
      </c>
      <c r="CU389" s="56">
        <f t="shared" si="430"/>
        <v>2</v>
      </c>
      <c r="CW389" s="18">
        <f t="shared" si="455"/>
        <v>8.0299881399296584</v>
      </c>
      <c r="CX389" s="18">
        <f t="shared" si="455"/>
        <v>0.44729338869339608</v>
      </c>
      <c r="CY389" s="18">
        <f t="shared" si="455"/>
        <v>3.3264807810228385</v>
      </c>
      <c r="CZ389" s="18">
        <f t="shared" si="455"/>
        <v>1.7747923773296637</v>
      </c>
      <c r="DA389" s="18">
        <f t="shared" si="455"/>
        <v>5.507889354313166</v>
      </c>
      <c r="DB389" s="56">
        <f t="shared" si="431"/>
        <v>2</v>
      </c>
    </row>
    <row r="390" spans="1:117" x14ac:dyDescent="0.25">
      <c r="A390" s="36" t="str">
        <f>KMeans_Data!A118</f>
        <v>Ziarat</v>
      </c>
      <c r="B390" s="18">
        <f>KMeans_Data!H118</f>
        <v>-1.7189756565516803</v>
      </c>
      <c r="C390" s="18">
        <f>KMeans_Data!I118</f>
        <v>-0.67265054538827607</v>
      </c>
      <c r="D390" s="18">
        <f>KMeans_Data!J118</f>
        <v>-1.1456441163335547</v>
      </c>
      <c r="E390" s="56">
        <f t="shared" si="418"/>
        <v>2</v>
      </c>
      <c r="F390" s="38">
        <f t="shared" si="419"/>
        <v>0.20007137556882149</v>
      </c>
      <c r="G390" s="18">
        <f>IF(COUNTIF(Distance_Matrix!$E$11:$DQ$11,$E390)&lt;=1,0,SUMIF(Distance_Matrix!$E$11:$DQ$11,$E390,Distance_Matrix!$E$127:$DQ$127)/(COUNTIF(Distance_Matrix!$E$11:$DQ$11,$E390)-1))</f>
        <v>0.54773175436393096</v>
      </c>
      <c r="H390" s="18">
        <f>MIN(IF(1=$E390,1E+99,IF(COUNTIF(Distance_Matrix!$E$11:$DQ$11,1)=0,1E+99,SUMIF(Distance_Matrix!$E$11:$DQ$11,1,Distance_Matrix!$E$127:$DQ$127)/COUNTIF(Distance_Matrix!$E$11:$DQ$11,1))),IF(2=$E390,1E+99,IF(COUNTIF(Distance_Matrix!$E$11:$DQ$11,2)=0,1E+99,SUMIF(Distance_Matrix!$E$11:$DQ$11,2,Distance_Matrix!$E$127:$DQ$127)/COUNTIF(Distance_Matrix!$E$11:$DQ$11,2))),IF(3=$E390,1E+99,IF(COUNTIF(Distance_Matrix!$E$11:$DQ$11,3)=0,1E+99,SUMIF(Distance_Matrix!$E$11:$DQ$11,3,Distance_Matrix!$E$127:$DQ$127)/COUNTIF(Distance_Matrix!$E$11:$DQ$11,3))),IF(4=$E390,1E+99,IF(COUNTIF(Distance_Matrix!$E$11:$DQ$11,4)=0,1E+99,SUMIF(Distance_Matrix!$E$11:$DQ$11,4,Distance_Matrix!$E$127:$DQ$127)/COUNTIF(Distance_Matrix!$E$11:$DQ$11,4))),IF(5=$E390,1E+99,IF(COUNTIF(Distance_Matrix!$E$11:$DQ$11,5)=0,1E+99,SUMIF(Distance_Matrix!$E$11:$DQ$11,5,Distance_Matrix!$E$127:$DQ$127)/COUNTIF(Distance_Matrix!$E$11:$DQ$11,5))))</f>
        <v>1.8873561387472708</v>
      </c>
      <c r="I390" s="18">
        <f>IF(COUNTIF(Distance_Matrix!$E$11:$DQ$11,$E390)&lt;=1,0,(H390-G390)/MAX(G390,H390))</f>
        <v>0.70978887178787209</v>
      </c>
      <c r="X390" s="18">
        <f t="shared" si="444"/>
        <v>8.153323730623006</v>
      </c>
      <c r="Y390" s="18">
        <f t="shared" si="444"/>
        <v>0.36076232525164831</v>
      </c>
      <c r="Z390" s="18">
        <f t="shared" si="444"/>
        <v>3.9428764577316429</v>
      </c>
      <c r="AA390" s="18">
        <f t="shared" si="444"/>
        <v>2.4223727569813844</v>
      </c>
      <c r="AB390" s="18">
        <f t="shared" si="444"/>
        <v>6.1524959405394304</v>
      </c>
      <c r="AC390" s="56">
        <f t="shared" si="420"/>
        <v>2</v>
      </c>
      <c r="AE390" s="18">
        <f t="shared" si="445"/>
        <v>8.0299881399296584</v>
      </c>
      <c r="AF390" s="18">
        <f t="shared" si="445"/>
        <v>0.52257248253237443</v>
      </c>
      <c r="AG390" s="18">
        <f t="shared" si="445"/>
        <v>3.2374179083319752</v>
      </c>
      <c r="AH390" s="18">
        <f t="shared" si="445"/>
        <v>1.7825279742516824</v>
      </c>
      <c r="AI390" s="18">
        <f t="shared" si="445"/>
        <v>5.7837718635909194</v>
      </c>
      <c r="AJ390" s="56">
        <f t="shared" si="421"/>
        <v>2</v>
      </c>
      <c r="AL390" s="18">
        <f t="shared" si="446"/>
        <v>8.0299881399296584</v>
      </c>
      <c r="AM390" s="18">
        <f t="shared" si="446"/>
        <v>0.51268272019926897</v>
      </c>
      <c r="AN390" s="18">
        <f t="shared" si="446"/>
        <v>3.2988474946990634</v>
      </c>
      <c r="AO390" s="18">
        <f t="shared" si="446"/>
        <v>1.8076830178416015</v>
      </c>
      <c r="AP390" s="18">
        <f t="shared" si="446"/>
        <v>5.507889354313166</v>
      </c>
      <c r="AQ390" s="56">
        <f t="shared" si="422"/>
        <v>2</v>
      </c>
      <c r="AS390" s="18">
        <f t="shared" si="447"/>
        <v>8.0299881399296584</v>
      </c>
      <c r="AT390" s="18">
        <f t="shared" si="447"/>
        <v>0.44729338869339608</v>
      </c>
      <c r="AU390" s="18">
        <f t="shared" si="447"/>
        <v>3.3264807810228385</v>
      </c>
      <c r="AV390" s="18">
        <f t="shared" si="447"/>
        <v>1.7747923773296637</v>
      </c>
      <c r="AW390" s="18">
        <f t="shared" si="447"/>
        <v>5.507889354313166</v>
      </c>
      <c r="AX390" s="56">
        <f t="shared" si="423"/>
        <v>2</v>
      </c>
      <c r="AZ390" s="18">
        <f t="shared" si="448"/>
        <v>8.0299881399296584</v>
      </c>
      <c r="BA390" s="18">
        <f t="shared" si="448"/>
        <v>0.44729338869339608</v>
      </c>
      <c r="BB390" s="18">
        <f t="shared" si="448"/>
        <v>3.3264807810228385</v>
      </c>
      <c r="BC390" s="18">
        <f t="shared" si="448"/>
        <v>1.7747923773296637</v>
      </c>
      <c r="BD390" s="18">
        <f t="shared" si="448"/>
        <v>5.507889354313166</v>
      </c>
      <c r="BE390" s="56">
        <f t="shared" si="424"/>
        <v>2</v>
      </c>
      <c r="BG390" s="18">
        <f t="shared" si="449"/>
        <v>8.0299881399296584</v>
      </c>
      <c r="BH390" s="18">
        <f t="shared" si="449"/>
        <v>0.44729338869339608</v>
      </c>
      <c r="BI390" s="18">
        <f t="shared" si="449"/>
        <v>3.3264807810228385</v>
      </c>
      <c r="BJ390" s="18">
        <f t="shared" si="449"/>
        <v>1.7747923773296637</v>
      </c>
      <c r="BK390" s="18">
        <f t="shared" si="449"/>
        <v>5.507889354313166</v>
      </c>
      <c r="BL390" s="56">
        <f t="shared" si="425"/>
        <v>2</v>
      </c>
      <c r="BN390" s="18">
        <f t="shared" si="450"/>
        <v>8.0299881399296584</v>
      </c>
      <c r="BO390" s="18">
        <f t="shared" si="450"/>
        <v>0.44729338869339608</v>
      </c>
      <c r="BP390" s="18">
        <f t="shared" si="450"/>
        <v>3.3264807810228385</v>
      </c>
      <c r="BQ390" s="18">
        <f t="shared" si="450"/>
        <v>1.7747923773296637</v>
      </c>
      <c r="BR390" s="18">
        <f t="shared" si="450"/>
        <v>5.507889354313166</v>
      </c>
      <c r="BS390" s="56">
        <f t="shared" si="426"/>
        <v>2</v>
      </c>
      <c r="BU390" s="18">
        <f t="shared" si="451"/>
        <v>8.0299881399296584</v>
      </c>
      <c r="BV390" s="18">
        <f t="shared" si="451"/>
        <v>0.44729338869339608</v>
      </c>
      <c r="BW390" s="18">
        <f t="shared" si="451"/>
        <v>3.3264807810228385</v>
      </c>
      <c r="BX390" s="18">
        <f t="shared" si="451"/>
        <v>1.7747923773296637</v>
      </c>
      <c r="BY390" s="18">
        <f t="shared" si="451"/>
        <v>5.507889354313166</v>
      </c>
      <c r="BZ390" s="56">
        <f t="shared" si="427"/>
        <v>2</v>
      </c>
      <c r="CB390" s="18">
        <f t="shared" si="452"/>
        <v>8.0299881399296584</v>
      </c>
      <c r="CC390" s="18">
        <f t="shared" si="452"/>
        <v>0.44729338869339608</v>
      </c>
      <c r="CD390" s="18">
        <f t="shared" si="452"/>
        <v>3.3264807810228385</v>
      </c>
      <c r="CE390" s="18">
        <f t="shared" si="452"/>
        <v>1.7747923773296637</v>
      </c>
      <c r="CF390" s="18">
        <f t="shared" si="452"/>
        <v>5.507889354313166</v>
      </c>
      <c r="CG390" s="56">
        <f t="shared" si="428"/>
        <v>2</v>
      </c>
      <c r="CI390" s="18">
        <f t="shared" si="453"/>
        <v>8.0299881399296584</v>
      </c>
      <c r="CJ390" s="18">
        <f t="shared" si="453"/>
        <v>0.44729338869339608</v>
      </c>
      <c r="CK390" s="18">
        <f t="shared" si="453"/>
        <v>3.3264807810228385</v>
      </c>
      <c r="CL390" s="18">
        <f t="shared" si="453"/>
        <v>1.7747923773296637</v>
      </c>
      <c r="CM390" s="18">
        <f t="shared" si="453"/>
        <v>5.507889354313166</v>
      </c>
      <c r="CN390" s="56">
        <f t="shared" si="429"/>
        <v>2</v>
      </c>
      <c r="CP390" s="18">
        <f t="shared" si="454"/>
        <v>8.0299881399296584</v>
      </c>
      <c r="CQ390" s="18">
        <f t="shared" si="454"/>
        <v>0.44729338869339608</v>
      </c>
      <c r="CR390" s="18">
        <f t="shared" si="454"/>
        <v>3.3264807810228385</v>
      </c>
      <c r="CS390" s="18">
        <f t="shared" si="454"/>
        <v>1.7747923773296637</v>
      </c>
      <c r="CT390" s="18">
        <f t="shared" si="454"/>
        <v>5.507889354313166</v>
      </c>
      <c r="CU390" s="56">
        <f t="shared" si="430"/>
        <v>2</v>
      </c>
      <c r="CW390" s="18">
        <f t="shared" si="455"/>
        <v>8.0299881399296584</v>
      </c>
      <c r="CX390" s="18">
        <f t="shared" si="455"/>
        <v>0.44729338869339608</v>
      </c>
      <c r="CY390" s="18">
        <f t="shared" si="455"/>
        <v>3.3264807810228385</v>
      </c>
      <c r="CZ390" s="18">
        <f t="shared" si="455"/>
        <v>1.7747923773296637</v>
      </c>
      <c r="DA390" s="18">
        <f t="shared" si="455"/>
        <v>5.507889354313166</v>
      </c>
      <c r="DB390" s="56">
        <f t="shared" si="431"/>
        <v>2</v>
      </c>
    </row>
    <row r="391" spans="1:117" x14ac:dyDescent="0.25">
      <c r="A391" s="36" t="str">
        <f>KMeans_Data!A119</f>
        <v>Pakpatan</v>
      </c>
      <c r="B391" s="18">
        <f>KMeans_Data!H119</f>
        <v>-1.7189756565516803</v>
      </c>
      <c r="C391" s="18">
        <f>KMeans_Data!I119</f>
        <v>-0.67265054538827607</v>
      </c>
      <c r="D391" s="18">
        <f>KMeans_Data!J119</f>
        <v>-1.1456441163335547</v>
      </c>
      <c r="E391" s="56">
        <f t="shared" si="418"/>
        <v>2</v>
      </c>
      <c r="F391" s="38">
        <f t="shared" si="419"/>
        <v>0.20007137556882149</v>
      </c>
      <c r="G391" s="18">
        <f>IF(COUNTIF(Distance_Matrix!$E$11:$DQ$11,$E391)&lt;=1,0,SUMIF(Distance_Matrix!$E$11:$DQ$11,$E391,Distance_Matrix!$E$128:$DQ$128)/(COUNTIF(Distance_Matrix!$E$11:$DQ$11,$E391)-1))</f>
        <v>0.54773175436393096</v>
      </c>
      <c r="H391" s="18">
        <f>MIN(IF(1=$E391,1E+99,IF(COUNTIF(Distance_Matrix!$E$11:$DQ$11,1)=0,1E+99,SUMIF(Distance_Matrix!$E$11:$DQ$11,1,Distance_Matrix!$E$128:$DQ$128)/COUNTIF(Distance_Matrix!$E$11:$DQ$11,1))),IF(2=$E391,1E+99,IF(COUNTIF(Distance_Matrix!$E$11:$DQ$11,2)=0,1E+99,SUMIF(Distance_Matrix!$E$11:$DQ$11,2,Distance_Matrix!$E$128:$DQ$128)/COUNTIF(Distance_Matrix!$E$11:$DQ$11,2))),IF(3=$E391,1E+99,IF(COUNTIF(Distance_Matrix!$E$11:$DQ$11,3)=0,1E+99,SUMIF(Distance_Matrix!$E$11:$DQ$11,3,Distance_Matrix!$E$128:$DQ$128)/COUNTIF(Distance_Matrix!$E$11:$DQ$11,3))),IF(4=$E391,1E+99,IF(COUNTIF(Distance_Matrix!$E$11:$DQ$11,4)=0,1E+99,SUMIF(Distance_Matrix!$E$11:$DQ$11,4,Distance_Matrix!$E$128:$DQ$128)/COUNTIF(Distance_Matrix!$E$11:$DQ$11,4))),IF(5=$E391,1E+99,IF(COUNTIF(Distance_Matrix!$E$11:$DQ$11,5)=0,1E+99,SUMIF(Distance_Matrix!$E$11:$DQ$11,5,Distance_Matrix!$E$128:$DQ$128)/COUNTIF(Distance_Matrix!$E$11:$DQ$11,5))))</f>
        <v>1.8873561387472708</v>
      </c>
      <c r="I391" s="18">
        <f>IF(COUNTIF(Distance_Matrix!$E$11:$DQ$11,$E391)&lt;=1,0,(H391-G391)/MAX(G391,H391))</f>
        <v>0.70978887178787209</v>
      </c>
      <c r="X391" s="18">
        <f t="shared" si="444"/>
        <v>8.153323730623006</v>
      </c>
      <c r="Y391" s="18">
        <f t="shared" si="444"/>
        <v>0.36076232525164831</v>
      </c>
      <c r="Z391" s="18">
        <f t="shared" si="444"/>
        <v>3.9428764577316429</v>
      </c>
      <c r="AA391" s="18">
        <f t="shared" si="444"/>
        <v>2.4223727569813844</v>
      </c>
      <c r="AB391" s="18">
        <f t="shared" si="444"/>
        <v>6.1524959405394304</v>
      </c>
      <c r="AC391" s="56">
        <f t="shared" si="420"/>
        <v>2</v>
      </c>
      <c r="AE391" s="18">
        <f t="shared" si="445"/>
        <v>8.0299881399296584</v>
      </c>
      <c r="AF391" s="18">
        <f t="shared" si="445"/>
        <v>0.52257248253237443</v>
      </c>
      <c r="AG391" s="18">
        <f t="shared" si="445"/>
        <v>3.2374179083319752</v>
      </c>
      <c r="AH391" s="18">
        <f t="shared" si="445"/>
        <v>1.7825279742516824</v>
      </c>
      <c r="AI391" s="18">
        <f t="shared" si="445"/>
        <v>5.7837718635909194</v>
      </c>
      <c r="AJ391" s="56">
        <f t="shared" si="421"/>
        <v>2</v>
      </c>
      <c r="AL391" s="18">
        <f t="shared" si="446"/>
        <v>8.0299881399296584</v>
      </c>
      <c r="AM391" s="18">
        <f t="shared" si="446"/>
        <v>0.51268272019926897</v>
      </c>
      <c r="AN391" s="18">
        <f t="shared" si="446"/>
        <v>3.2988474946990634</v>
      </c>
      <c r="AO391" s="18">
        <f t="shared" si="446"/>
        <v>1.8076830178416015</v>
      </c>
      <c r="AP391" s="18">
        <f t="shared" si="446"/>
        <v>5.507889354313166</v>
      </c>
      <c r="AQ391" s="56">
        <f t="shared" si="422"/>
        <v>2</v>
      </c>
      <c r="AS391" s="18">
        <f t="shared" si="447"/>
        <v>8.0299881399296584</v>
      </c>
      <c r="AT391" s="18">
        <f t="shared" si="447"/>
        <v>0.44729338869339608</v>
      </c>
      <c r="AU391" s="18">
        <f t="shared" si="447"/>
        <v>3.3264807810228385</v>
      </c>
      <c r="AV391" s="18">
        <f t="shared" si="447"/>
        <v>1.7747923773296637</v>
      </c>
      <c r="AW391" s="18">
        <f t="shared" si="447"/>
        <v>5.507889354313166</v>
      </c>
      <c r="AX391" s="56">
        <f t="shared" si="423"/>
        <v>2</v>
      </c>
      <c r="AZ391" s="18">
        <f t="shared" si="448"/>
        <v>8.0299881399296584</v>
      </c>
      <c r="BA391" s="18">
        <f t="shared" si="448"/>
        <v>0.44729338869339608</v>
      </c>
      <c r="BB391" s="18">
        <f t="shared" si="448"/>
        <v>3.3264807810228385</v>
      </c>
      <c r="BC391" s="18">
        <f t="shared" si="448"/>
        <v>1.7747923773296637</v>
      </c>
      <c r="BD391" s="18">
        <f t="shared" si="448"/>
        <v>5.507889354313166</v>
      </c>
      <c r="BE391" s="56">
        <f t="shared" si="424"/>
        <v>2</v>
      </c>
      <c r="BG391" s="18">
        <f t="shared" si="449"/>
        <v>8.0299881399296584</v>
      </c>
      <c r="BH391" s="18">
        <f t="shared" si="449"/>
        <v>0.44729338869339608</v>
      </c>
      <c r="BI391" s="18">
        <f t="shared" si="449"/>
        <v>3.3264807810228385</v>
      </c>
      <c r="BJ391" s="18">
        <f t="shared" si="449"/>
        <v>1.7747923773296637</v>
      </c>
      <c r="BK391" s="18">
        <f t="shared" si="449"/>
        <v>5.507889354313166</v>
      </c>
      <c r="BL391" s="56">
        <f t="shared" si="425"/>
        <v>2</v>
      </c>
      <c r="BN391" s="18">
        <f t="shared" si="450"/>
        <v>8.0299881399296584</v>
      </c>
      <c r="BO391" s="18">
        <f t="shared" si="450"/>
        <v>0.44729338869339608</v>
      </c>
      <c r="BP391" s="18">
        <f t="shared" si="450"/>
        <v>3.3264807810228385</v>
      </c>
      <c r="BQ391" s="18">
        <f t="shared" si="450"/>
        <v>1.7747923773296637</v>
      </c>
      <c r="BR391" s="18">
        <f t="shared" si="450"/>
        <v>5.507889354313166</v>
      </c>
      <c r="BS391" s="56">
        <f t="shared" si="426"/>
        <v>2</v>
      </c>
      <c r="BU391" s="18">
        <f t="shared" si="451"/>
        <v>8.0299881399296584</v>
      </c>
      <c r="BV391" s="18">
        <f t="shared" si="451"/>
        <v>0.44729338869339608</v>
      </c>
      <c r="BW391" s="18">
        <f t="shared" si="451"/>
        <v>3.3264807810228385</v>
      </c>
      <c r="BX391" s="18">
        <f t="shared" si="451"/>
        <v>1.7747923773296637</v>
      </c>
      <c r="BY391" s="18">
        <f t="shared" si="451"/>
        <v>5.507889354313166</v>
      </c>
      <c r="BZ391" s="56">
        <f t="shared" si="427"/>
        <v>2</v>
      </c>
      <c r="CB391" s="18">
        <f t="shared" si="452"/>
        <v>8.0299881399296584</v>
      </c>
      <c r="CC391" s="18">
        <f t="shared" si="452"/>
        <v>0.44729338869339608</v>
      </c>
      <c r="CD391" s="18">
        <f t="shared" si="452"/>
        <v>3.3264807810228385</v>
      </c>
      <c r="CE391" s="18">
        <f t="shared" si="452"/>
        <v>1.7747923773296637</v>
      </c>
      <c r="CF391" s="18">
        <f t="shared" si="452"/>
        <v>5.507889354313166</v>
      </c>
      <c r="CG391" s="56">
        <f t="shared" si="428"/>
        <v>2</v>
      </c>
      <c r="CI391" s="18">
        <f t="shared" si="453"/>
        <v>8.0299881399296584</v>
      </c>
      <c r="CJ391" s="18">
        <f t="shared" si="453"/>
        <v>0.44729338869339608</v>
      </c>
      <c r="CK391" s="18">
        <f t="shared" si="453"/>
        <v>3.3264807810228385</v>
      </c>
      <c r="CL391" s="18">
        <f t="shared" si="453"/>
        <v>1.7747923773296637</v>
      </c>
      <c r="CM391" s="18">
        <f t="shared" si="453"/>
        <v>5.507889354313166</v>
      </c>
      <c r="CN391" s="56">
        <f t="shared" si="429"/>
        <v>2</v>
      </c>
      <c r="CP391" s="18">
        <f t="shared" si="454"/>
        <v>8.0299881399296584</v>
      </c>
      <c r="CQ391" s="18">
        <f t="shared" si="454"/>
        <v>0.44729338869339608</v>
      </c>
      <c r="CR391" s="18">
        <f t="shared" si="454"/>
        <v>3.3264807810228385</v>
      </c>
      <c r="CS391" s="18">
        <f t="shared" si="454"/>
        <v>1.7747923773296637</v>
      </c>
      <c r="CT391" s="18">
        <f t="shared" si="454"/>
        <v>5.507889354313166</v>
      </c>
      <c r="CU391" s="56">
        <f t="shared" si="430"/>
        <v>2</v>
      </c>
      <c r="CW391" s="18">
        <f t="shared" si="455"/>
        <v>8.0299881399296584</v>
      </c>
      <c r="CX391" s="18">
        <f t="shared" si="455"/>
        <v>0.44729338869339608</v>
      </c>
      <c r="CY391" s="18">
        <f t="shared" si="455"/>
        <v>3.3264807810228385</v>
      </c>
      <c r="CZ391" s="18">
        <f t="shared" si="455"/>
        <v>1.7747923773296637</v>
      </c>
      <c r="DA391" s="18">
        <f t="shared" si="455"/>
        <v>5.507889354313166</v>
      </c>
      <c r="DB391" s="56">
        <f t="shared" si="431"/>
        <v>2</v>
      </c>
    </row>
    <row r="392" spans="1:117" x14ac:dyDescent="0.25">
      <c r="A392" s="36" t="str">
        <f>KMeans_Data!A120</f>
        <v>Chitral</v>
      </c>
      <c r="B392" s="18">
        <f>KMeans_Data!H120</f>
        <v>-2.0797379818033286</v>
      </c>
      <c r="C392" s="18">
        <f>KMeans_Data!I120</f>
        <v>-0.67265054538827607</v>
      </c>
      <c r="D392" s="18">
        <f>KMeans_Data!J120</f>
        <v>-1.1456441163335547</v>
      </c>
      <c r="E392" s="56">
        <f t="shared" si="418"/>
        <v>2</v>
      </c>
      <c r="F392" s="38">
        <f t="shared" si="419"/>
        <v>0.64841275071095916</v>
      </c>
      <c r="G392" s="18">
        <f>IF(COUNTIF(Distance_Matrix!$E$11:$DQ$11,$E392)&lt;=1,0,SUMIF(Distance_Matrix!$E$11:$DQ$11,$E392,Distance_Matrix!$E$129:$DQ$129)/(COUNTIF(Distance_Matrix!$E$11:$DQ$11,$E392)-1))</f>
        <v>0.85536246433214513</v>
      </c>
      <c r="H392" s="18">
        <f>MIN(IF(1=$E392,1E+99,IF(COUNTIF(Distance_Matrix!$E$11:$DQ$11,1)=0,1E+99,SUMIF(Distance_Matrix!$E$11:$DQ$11,1,Distance_Matrix!$E$129:$DQ$129)/COUNTIF(Distance_Matrix!$E$11:$DQ$11,1))),IF(2=$E392,1E+99,IF(COUNTIF(Distance_Matrix!$E$11:$DQ$11,2)=0,1E+99,SUMIF(Distance_Matrix!$E$11:$DQ$11,2,Distance_Matrix!$E$129:$DQ$129)/COUNTIF(Distance_Matrix!$E$11:$DQ$11,2))),IF(3=$E392,1E+99,IF(COUNTIF(Distance_Matrix!$E$11:$DQ$11,3)=0,1E+99,SUMIF(Distance_Matrix!$E$11:$DQ$11,3,Distance_Matrix!$E$129:$DQ$129)/COUNTIF(Distance_Matrix!$E$11:$DQ$11,3))),IF(4=$E392,1E+99,IF(COUNTIF(Distance_Matrix!$E$11:$DQ$11,4)=0,1E+99,SUMIF(Distance_Matrix!$E$11:$DQ$11,4,Distance_Matrix!$E$129:$DQ$129)/COUNTIF(Distance_Matrix!$E$11:$DQ$11,4))),IF(5=$E392,1E+99,IF(COUNTIF(Distance_Matrix!$E$11:$DQ$11,5)=0,1E+99,SUMIF(Distance_Matrix!$E$11:$DQ$11,5,Distance_Matrix!$E$129:$DQ$129)/COUNTIF(Distance_Matrix!$E$11:$DQ$11,5))))</f>
        <v>2.1997228229154717</v>
      </c>
      <c r="I392" s="18">
        <f>IF(COUNTIF(Distance_Matrix!$E$11:$DQ$11,$E392)&lt;=1,0,(H392-G392)/MAX(G392,H392))</f>
        <v>0.61114988878532273</v>
      </c>
      <c r="X392" s="18">
        <f t="shared" si="444"/>
        <v>8.3791178007212217</v>
      </c>
      <c r="Y392" s="18">
        <f t="shared" si="444"/>
        <v>0</v>
      </c>
      <c r="Z392" s="18">
        <f t="shared" si="444"/>
        <v>4.2029955567656474</v>
      </c>
      <c r="AA392" s="18">
        <f t="shared" si="444"/>
        <v>2.7756425502726647</v>
      </c>
      <c r="AB392" s="18">
        <f t="shared" si="444"/>
        <v>6.3976329314131073</v>
      </c>
      <c r="AC392" s="56">
        <f t="shared" si="420"/>
        <v>2</v>
      </c>
      <c r="AE392" s="18">
        <f t="shared" si="445"/>
        <v>8.2586271084300478</v>
      </c>
      <c r="AF392" s="18">
        <f t="shared" si="445"/>
        <v>0.86492478534362116</v>
      </c>
      <c r="AG392" s="18">
        <f t="shared" si="445"/>
        <v>3.4995187579902098</v>
      </c>
      <c r="AH392" s="18">
        <f t="shared" si="445"/>
        <v>2.1220084149366247</v>
      </c>
      <c r="AI392" s="18">
        <f t="shared" si="445"/>
        <v>6.0276925440165936</v>
      </c>
      <c r="AJ392" s="56">
        <f t="shared" si="421"/>
        <v>2</v>
      </c>
      <c r="AL392" s="18">
        <f t="shared" si="446"/>
        <v>8.2586271084300478</v>
      </c>
      <c r="AM392" s="18">
        <f t="shared" si="446"/>
        <v>0.86264713356269251</v>
      </c>
      <c r="AN392" s="18">
        <f t="shared" si="446"/>
        <v>3.5615141158000494</v>
      </c>
      <c r="AO392" s="18">
        <f t="shared" si="446"/>
        <v>2.1399962282769809</v>
      </c>
      <c r="AP392" s="18">
        <f t="shared" si="446"/>
        <v>5.7513832799881071</v>
      </c>
      <c r="AQ392" s="56">
        <f t="shared" si="422"/>
        <v>2</v>
      </c>
      <c r="AS392" s="18">
        <f t="shared" si="447"/>
        <v>8.2586271084300478</v>
      </c>
      <c r="AT392" s="18">
        <f t="shared" si="447"/>
        <v>0.80524080293472411</v>
      </c>
      <c r="AU392" s="18">
        <f t="shared" si="447"/>
        <v>3.5890700595720815</v>
      </c>
      <c r="AV392" s="18">
        <f t="shared" si="447"/>
        <v>2.1041561458899785</v>
      </c>
      <c r="AW392" s="18">
        <f t="shared" si="447"/>
        <v>5.7513832799881071</v>
      </c>
      <c r="AX392" s="56">
        <f t="shared" si="423"/>
        <v>2</v>
      </c>
      <c r="AZ392" s="18">
        <f t="shared" si="448"/>
        <v>8.2586271084300478</v>
      </c>
      <c r="BA392" s="18">
        <f t="shared" si="448"/>
        <v>0.80524080293472411</v>
      </c>
      <c r="BB392" s="18">
        <f t="shared" si="448"/>
        <v>3.5890700595720815</v>
      </c>
      <c r="BC392" s="18">
        <f t="shared" si="448"/>
        <v>2.1041561458899785</v>
      </c>
      <c r="BD392" s="18">
        <f t="shared" si="448"/>
        <v>5.7513832799881071</v>
      </c>
      <c r="BE392" s="56">
        <f t="shared" si="424"/>
        <v>2</v>
      </c>
      <c r="BG392" s="18">
        <f t="shared" si="449"/>
        <v>8.2586271084300478</v>
      </c>
      <c r="BH392" s="18">
        <f t="shared" si="449"/>
        <v>0.80524080293472411</v>
      </c>
      <c r="BI392" s="18">
        <f t="shared" si="449"/>
        <v>3.5890700595720815</v>
      </c>
      <c r="BJ392" s="18">
        <f t="shared" si="449"/>
        <v>2.1041561458899785</v>
      </c>
      <c r="BK392" s="18">
        <f t="shared" si="449"/>
        <v>5.7513832799881071</v>
      </c>
      <c r="BL392" s="56">
        <f t="shared" si="425"/>
        <v>2</v>
      </c>
      <c r="BN392" s="18">
        <f t="shared" si="450"/>
        <v>8.2586271084300478</v>
      </c>
      <c r="BO392" s="18">
        <f t="shared" si="450"/>
        <v>0.80524080293472411</v>
      </c>
      <c r="BP392" s="18">
        <f t="shared" si="450"/>
        <v>3.5890700595720815</v>
      </c>
      <c r="BQ392" s="18">
        <f t="shared" si="450"/>
        <v>2.1041561458899785</v>
      </c>
      <c r="BR392" s="18">
        <f t="shared" si="450"/>
        <v>5.7513832799881071</v>
      </c>
      <c r="BS392" s="56">
        <f t="shared" si="426"/>
        <v>2</v>
      </c>
      <c r="BU392" s="18">
        <f t="shared" si="451"/>
        <v>8.2586271084300478</v>
      </c>
      <c r="BV392" s="18">
        <f t="shared" si="451"/>
        <v>0.80524080293472411</v>
      </c>
      <c r="BW392" s="18">
        <f t="shared" si="451"/>
        <v>3.5890700595720815</v>
      </c>
      <c r="BX392" s="18">
        <f t="shared" si="451"/>
        <v>2.1041561458899785</v>
      </c>
      <c r="BY392" s="18">
        <f t="shared" si="451"/>
        <v>5.7513832799881071</v>
      </c>
      <c r="BZ392" s="56">
        <f t="shared" si="427"/>
        <v>2</v>
      </c>
      <c r="CB392" s="18">
        <f t="shared" si="452"/>
        <v>8.2586271084300478</v>
      </c>
      <c r="CC392" s="18">
        <f t="shared" si="452"/>
        <v>0.80524080293472411</v>
      </c>
      <c r="CD392" s="18">
        <f t="shared" si="452"/>
        <v>3.5890700595720815</v>
      </c>
      <c r="CE392" s="18">
        <f t="shared" si="452"/>
        <v>2.1041561458899785</v>
      </c>
      <c r="CF392" s="18">
        <f t="shared" si="452"/>
        <v>5.7513832799881071</v>
      </c>
      <c r="CG392" s="56">
        <f t="shared" si="428"/>
        <v>2</v>
      </c>
      <c r="CI392" s="18">
        <f t="shared" si="453"/>
        <v>8.2586271084300478</v>
      </c>
      <c r="CJ392" s="18">
        <f t="shared" si="453"/>
        <v>0.80524080293472411</v>
      </c>
      <c r="CK392" s="18">
        <f t="shared" si="453"/>
        <v>3.5890700595720815</v>
      </c>
      <c r="CL392" s="18">
        <f t="shared" si="453"/>
        <v>2.1041561458899785</v>
      </c>
      <c r="CM392" s="18">
        <f t="shared" si="453"/>
        <v>5.7513832799881071</v>
      </c>
      <c r="CN392" s="56">
        <f t="shared" si="429"/>
        <v>2</v>
      </c>
      <c r="CP392" s="18">
        <f t="shared" si="454"/>
        <v>8.2586271084300478</v>
      </c>
      <c r="CQ392" s="18">
        <f t="shared" si="454"/>
        <v>0.80524080293472411</v>
      </c>
      <c r="CR392" s="18">
        <f t="shared" si="454"/>
        <v>3.5890700595720815</v>
      </c>
      <c r="CS392" s="18">
        <f t="shared" si="454"/>
        <v>2.1041561458899785</v>
      </c>
      <c r="CT392" s="18">
        <f t="shared" si="454"/>
        <v>5.7513832799881071</v>
      </c>
      <c r="CU392" s="56">
        <f t="shared" si="430"/>
        <v>2</v>
      </c>
      <c r="CW392" s="18">
        <f t="shared" si="455"/>
        <v>8.2586271084300478</v>
      </c>
      <c r="CX392" s="18">
        <f t="shared" si="455"/>
        <v>0.80524080293472411</v>
      </c>
      <c r="CY392" s="18">
        <f t="shared" si="455"/>
        <v>3.5890700595720815</v>
      </c>
      <c r="CZ392" s="18">
        <f t="shared" si="455"/>
        <v>2.1041561458899785</v>
      </c>
      <c r="DA392" s="18">
        <f t="shared" si="455"/>
        <v>5.7513832799881071</v>
      </c>
      <c r="DB392" s="56">
        <f t="shared" si="431"/>
        <v>2</v>
      </c>
    </row>
    <row r="393" spans="1:117" x14ac:dyDescent="0.25">
      <c r="A393" s="36" t="str">
        <f>KMeans_Data!A121</f>
        <v>Kolai Pallas</v>
      </c>
      <c r="B393" s="18">
        <f>KMeans_Data!H121</f>
        <v>-2.0797379818033286</v>
      </c>
      <c r="C393" s="18">
        <f>KMeans_Data!I121</f>
        <v>-0.67265054538827607</v>
      </c>
      <c r="D393" s="18">
        <f>KMeans_Data!J121</f>
        <v>-1.1456441163335547</v>
      </c>
      <c r="E393" s="56">
        <f t="shared" si="418"/>
        <v>2</v>
      </c>
      <c r="F393" s="38">
        <f t="shared" si="419"/>
        <v>0.64841275071095916</v>
      </c>
      <c r="G393" s="18">
        <f>IF(COUNTIF(Distance_Matrix!$E$11:$DQ$11,$E393)&lt;=1,0,SUMIF(Distance_Matrix!$E$11:$DQ$11,$E393,Distance_Matrix!$E$130:$DQ$130)/(COUNTIF(Distance_Matrix!$E$11:$DQ$11,$E393)-1))</f>
        <v>0.85536246433214513</v>
      </c>
      <c r="H393" s="18">
        <f>MIN(IF(1=$E393,1E+99,IF(COUNTIF(Distance_Matrix!$E$11:$DQ$11,1)=0,1E+99,SUMIF(Distance_Matrix!$E$11:$DQ$11,1,Distance_Matrix!$E$130:$DQ$130)/COUNTIF(Distance_Matrix!$E$11:$DQ$11,1))),IF(2=$E393,1E+99,IF(COUNTIF(Distance_Matrix!$E$11:$DQ$11,2)=0,1E+99,SUMIF(Distance_Matrix!$E$11:$DQ$11,2,Distance_Matrix!$E$130:$DQ$130)/COUNTIF(Distance_Matrix!$E$11:$DQ$11,2))),IF(3=$E393,1E+99,IF(COUNTIF(Distance_Matrix!$E$11:$DQ$11,3)=0,1E+99,SUMIF(Distance_Matrix!$E$11:$DQ$11,3,Distance_Matrix!$E$130:$DQ$130)/COUNTIF(Distance_Matrix!$E$11:$DQ$11,3))),IF(4=$E393,1E+99,IF(COUNTIF(Distance_Matrix!$E$11:$DQ$11,4)=0,1E+99,SUMIF(Distance_Matrix!$E$11:$DQ$11,4,Distance_Matrix!$E$130:$DQ$130)/COUNTIF(Distance_Matrix!$E$11:$DQ$11,4))),IF(5=$E393,1E+99,IF(COUNTIF(Distance_Matrix!$E$11:$DQ$11,5)=0,1E+99,SUMIF(Distance_Matrix!$E$11:$DQ$11,5,Distance_Matrix!$E$130:$DQ$130)/COUNTIF(Distance_Matrix!$E$11:$DQ$11,5))))</f>
        <v>2.1997228229154717</v>
      </c>
      <c r="I393" s="18">
        <f>IF(COUNTIF(Distance_Matrix!$E$11:$DQ$11,$E393)&lt;=1,0,(H393-G393)/MAX(G393,H393))</f>
        <v>0.61114988878532273</v>
      </c>
      <c r="X393" s="18">
        <f t="shared" si="444"/>
        <v>8.3791178007212217</v>
      </c>
      <c r="Y393" s="18">
        <f t="shared" si="444"/>
        <v>0</v>
      </c>
      <c r="Z393" s="18">
        <f t="shared" si="444"/>
        <v>4.2029955567656474</v>
      </c>
      <c r="AA393" s="18">
        <f t="shared" si="444"/>
        <v>2.7756425502726647</v>
      </c>
      <c r="AB393" s="18">
        <f t="shared" si="444"/>
        <v>6.3976329314131073</v>
      </c>
      <c r="AC393" s="56">
        <f t="shared" si="420"/>
        <v>2</v>
      </c>
      <c r="AE393" s="18">
        <f t="shared" si="445"/>
        <v>8.2586271084300478</v>
      </c>
      <c r="AF393" s="18">
        <f t="shared" si="445"/>
        <v>0.86492478534362116</v>
      </c>
      <c r="AG393" s="18">
        <f t="shared" si="445"/>
        <v>3.4995187579902098</v>
      </c>
      <c r="AH393" s="18">
        <f t="shared" si="445"/>
        <v>2.1220084149366247</v>
      </c>
      <c r="AI393" s="18">
        <f t="shared" si="445"/>
        <v>6.0276925440165936</v>
      </c>
      <c r="AJ393" s="56">
        <f t="shared" si="421"/>
        <v>2</v>
      </c>
      <c r="AL393" s="18">
        <f t="shared" si="446"/>
        <v>8.2586271084300478</v>
      </c>
      <c r="AM393" s="18">
        <f t="shared" si="446"/>
        <v>0.86264713356269251</v>
      </c>
      <c r="AN393" s="18">
        <f t="shared" si="446"/>
        <v>3.5615141158000494</v>
      </c>
      <c r="AO393" s="18">
        <f t="shared" si="446"/>
        <v>2.1399962282769809</v>
      </c>
      <c r="AP393" s="18">
        <f t="shared" si="446"/>
        <v>5.7513832799881071</v>
      </c>
      <c r="AQ393" s="56">
        <f t="shared" si="422"/>
        <v>2</v>
      </c>
      <c r="AS393" s="18">
        <f t="shared" si="447"/>
        <v>8.2586271084300478</v>
      </c>
      <c r="AT393" s="18">
        <f t="shared" si="447"/>
        <v>0.80524080293472411</v>
      </c>
      <c r="AU393" s="18">
        <f t="shared" si="447"/>
        <v>3.5890700595720815</v>
      </c>
      <c r="AV393" s="18">
        <f t="shared" si="447"/>
        <v>2.1041561458899785</v>
      </c>
      <c r="AW393" s="18">
        <f t="shared" si="447"/>
        <v>5.7513832799881071</v>
      </c>
      <c r="AX393" s="56">
        <f t="shared" si="423"/>
        <v>2</v>
      </c>
      <c r="AZ393" s="18">
        <f t="shared" si="448"/>
        <v>8.2586271084300478</v>
      </c>
      <c r="BA393" s="18">
        <f t="shared" si="448"/>
        <v>0.80524080293472411</v>
      </c>
      <c r="BB393" s="18">
        <f t="shared" si="448"/>
        <v>3.5890700595720815</v>
      </c>
      <c r="BC393" s="18">
        <f t="shared" si="448"/>
        <v>2.1041561458899785</v>
      </c>
      <c r="BD393" s="18">
        <f t="shared" si="448"/>
        <v>5.7513832799881071</v>
      </c>
      <c r="BE393" s="56">
        <f t="shared" si="424"/>
        <v>2</v>
      </c>
      <c r="BG393" s="18">
        <f t="shared" si="449"/>
        <v>8.2586271084300478</v>
      </c>
      <c r="BH393" s="18">
        <f t="shared" si="449"/>
        <v>0.80524080293472411</v>
      </c>
      <c r="BI393" s="18">
        <f t="shared" si="449"/>
        <v>3.5890700595720815</v>
      </c>
      <c r="BJ393" s="18">
        <f t="shared" si="449"/>
        <v>2.1041561458899785</v>
      </c>
      <c r="BK393" s="18">
        <f t="shared" si="449"/>
        <v>5.7513832799881071</v>
      </c>
      <c r="BL393" s="56">
        <f t="shared" si="425"/>
        <v>2</v>
      </c>
      <c r="BN393" s="18">
        <f t="shared" si="450"/>
        <v>8.2586271084300478</v>
      </c>
      <c r="BO393" s="18">
        <f t="shared" si="450"/>
        <v>0.80524080293472411</v>
      </c>
      <c r="BP393" s="18">
        <f t="shared" si="450"/>
        <v>3.5890700595720815</v>
      </c>
      <c r="BQ393" s="18">
        <f t="shared" si="450"/>
        <v>2.1041561458899785</v>
      </c>
      <c r="BR393" s="18">
        <f t="shared" si="450"/>
        <v>5.7513832799881071</v>
      </c>
      <c r="BS393" s="56">
        <f t="shared" si="426"/>
        <v>2</v>
      </c>
      <c r="BU393" s="18">
        <f t="shared" si="451"/>
        <v>8.2586271084300478</v>
      </c>
      <c r="BV393" s="18">
        <f t="shared" si="451"/>
        <v>0.80524080293472411</v>
      </c>
      <c r="BW393" s="18">
        <f t="shared" si="451"/>
        <v>3.5890700595720815</v>
      </c>
      <c r="BX393" s="18">
        <f t="shared" si="451"/>
        <v>2.1041561458899785</v>
      </c>
      <c r="BY393" s="18">
        <f t="shared" si="451"/>
        <v>5.7513832799881071</v>
      </c>
      <c r="BZ393" s="56">
        <f t="shared" si="427"/>
        <v>2</v>
      </c>
      <c r="CB393" s="18">
        <f t="shared" si="452"/>
        <v>8.2586271084300478</v>
      </c>
      <c r="CC393" s="18">
        <f t="shared" si="452"/>
        <v>0.80524080293472411</v>
      </c>
      <c r="CD393" s="18">
        <f t="shared" si="452"/>
        <v>3.5890700595720815</v>
      </c>
      <c r="CE393" s="18">
        <f t="shared" si="452"/>
        <v>2.1041561458899785</v>
      </c>
      <c r="CF393" s="18">
        <f t="shared" si="452"/>
        <v>5.7513832799881071</v>
      </c>
      <c r="CG393" s="56">
        <f t="shared" si="428"/>
        <v>2</v>
      </c>
      <c r="CI393" s="18">
        <f t="shared" si="453"/>
        <v>8.2586271084300478</v>
      </c>
      <c r="CJ393" s="18">
        <f t="shared" si="453"/>
        <v>0.80524080293472411</v>
      </c>
      <c r="CK393" s="18">
        <f t="shared" si="453"/>
        <v>3.5890700595720815</v>
      </c>
      <c r="CL393" s="18">
        <f t="shared" si="453"/>
        <v>2.1041561458899785</v>
      </c>
      <c r="CM393" s="18">
        <f t="shared" si="453"/>
        <v>5.7513832799881071</v>
      </c>
      <c r="CN393" s="56">
        <f t="shared" si="429"/>
        <v>2</v>
      </c>
      <c r="CP393" s="18">
        <f t="shared" si="454"/>
        <v>8.2586271084300478</v>
      </c>
      <c r="CQ393" s="18">
        <f t="shared" si="454"/>
        <v>0.80524080293472411</v>
      </c>
      <c r="CR393" s="18">
        <f t="shared" si="454"/>
        <v>3.5890700595720815</v>
      </c>
      <c r="CS393" s="18">
        <f t="shared" si="454"/>
        <v>2.1041561458899785</v>
      </c>
      <c r="CT393" s="18">
        <f t="shared" si="454"/>
        <v>5.7513832799881071</v>
      </c>
      <c r="CU393" s="56">
        <f t="shared" si="430"/>
        <v>2</v>
      </c>
      <c r="CW393" s="18">
        <f t="shared" si="455"/>
        <v>8.2586271084300478</v>
      </c>
      <c r="CX393" s="18">
        <f t="shared" si="455"/>
        <v>0.80524080293472411</v>
      </c>
      <c r="CY393" s="18">
        <f t="shared" si="455"/>
        <v>3.5890700595720815</v>
      </c>
      <c r="CZ393" s="18">
        <f t="shared" si="455"/>
        <v>2.1041561458899785</v>
      </c>
      <c r="DA393" s="18">
        <f t="shared" si="455"/>
        <v>5.7513832799881071</v>
      </c>
      <c r="DB393" s="56">
        <f t="shared" si="431"/>
        <v>2</v>
      </c>
    </row>
    <row r="397" spans="1:117" x14ac:dyDescent="0.25">
      <c r="A397" s="54" t="s">
        <v>507</v>
      </c>
      <c r="B397" s="55"/>
    </row>
    <row r="398" spans="1:117" x14ac:dyDescent="0.25">
      <c r="A398" s="48" t="s">
        <v>499</v>
      </c>
    </row>
    <row r="399" spans="1:117" x14ac:dyDescent="0.25">
      <c r="A399" s="48" t="s">
        <v>458</v>
      </c>
      <c r="B399" s="32" t="s">
        <v>91</v>
      </c>
    </row>
    <row r="400" spans="1:117" x14ac:dyDescent="0.25">
      <c r="A400" s="48" t="s">
        <v>459</v>
      </c>
      <c r="B400" s="32" t="s">
        <v>435</v>
      </c>
      <c r="L400" s="54" t="s">
        <v>462</v>
      </c>
      <c r="M400" s="55"/>
      <c r="N400" s="55"/>
      <c r="O400" s="55"/>
      <c r="P400" s="55"/>
      <c r="Q400" s="55"/>
      <c r="X400" s="54" t="s">
        <v>463</v>
      </c>
      <c r="Y400" s="55"/>
      <c r="Z400" s="55"/>
      <c r="AA400" s="55"/>
      <c r="AB400" s="55"/>
      <c r="AC400" s="55"/>
      <c r="AF400" s="54" t="s">
        <v>464</v>
      </c>
      <c r="AG400" s="55"/>
      <c r="AH400" s="55"/>
      <c r="AI400" s="55"/>
      <c r="AJ400" s="55"/>
      <c r="AK400" s="55"/>
      <c r="AN400" s="54" t="s">
        <v>465</v>
      </c>
      <c r="AO400" s="55"/>
      <c r="AP400" s="55"/>
      <c r="AQ400" s="55"/>
      <c r="AR400" s="55"/>
      <c r="AS400" s="55"/>
      <c r="AV400" s="54" t="s">
        <v>466</v>
      </c>
      <c r="AW400" s="55"/>
      <c r="AX400" s="55"/>
      <c r="AY400" s="55"/>
      <c r="AZ400" s="55"/>
      <c r="BA400" s="55"/>
      <c r="BD400" s="54" t="s">
        <v>467</v>
      </c>
      <c r="BE400" s="55"/>
      <c r="BF400" s="55"/>
      <c r="BG400" s="55"/>
      <c r="BH400" s="55"/>
      <c r="BI400" s="55"/>
      <c r="BL400" s="54" t="s">
        <v>468</v>
      </c>
      <c r="BM400" s="55"/>
      <c r="BN400" s="55"/>
      <c r="BO400" s="55"/>
      <c r="BP400" s="55"/>
      <c r="BQ400" s="55"/>
      <c r="BT400" s="54" t="s">
        <v>469</v>
      </c>
      <c r="BU400" s="55"/>
      <c r="BV400" s="55"/>
      <c r="BW400" s="55"/>
      <c r="BX400" s="55"/>
      <c r="BY400" s="55"/>
      <c r="CB400" s="54" t="s">
        <v>470</v>
      </c>
      <c r="CC400" s="55"/>
      <c r="CD400" s="55"/>
      <c r="CE400" s="55"/>
      <c r="CF400" s="55"/>
      <c r="CG400" s="55"/>
      <c r="CJ400" s="54" t="s">
        <v>471</v>
      </c>
      <c r="CK400" s="55"/>
      <c r="CL400" s="55"/>
      <c r="CM400" s="55"/>
      <c r="CN400" s="55"/>
      <c r="CO400" s="55"/>
      <c r="CR400" s="54" t="s">
        <v>472</v>
      </c>
      <c r="CS400" s="55"/>
      <c r="CT400" s="55"/>
      <c r="CU400" s="55"/>
      <c r="CV400" s="55"/>
      <c r="CW400" s="55"/>
      <c r="CZ400" s="54" t="s">
        <v>473</v>
      </c>
      <c r="DA400" s="55"/>
      <c r="DB400" s="55"/>
      <c r="DC400" s="55"/>
      <c r="DD400" s="55"/>
      <c r="DE400" s="55"/>
      <c r="DH400" s="54" t="s">
        <v>474</v>
      </c>
      <c r="DI400" s="55"/>
      <c r="DJ400" s="55"/>
      <c r="DK400" s="55"/>
      <c r="DL400" s="55"/>
      <c r="DM400" s="55"/>
    </row>
    <row r="401" spans="1:118" x14ac:dyDescent="0.25">
      <c r="A401" s="48" t="s">
        <v>460</v>
      </c>
      <c r="B401" s="32" t="s">
        <v>104</v>
      </c>
      <c r="K401" s="40" t="s">
        <v>445</v>
      </c>
      <c r="L401" s="18">
        <f>IFERROR(AVERAGEIF($E$408:$E$524,1,$B$408:$B$524),0)</f>
        <v>3.2622300872253209</v>
      </c>
      <c r="M401" s="18">
        <f>IFERROR(AVERAGEIF($E$408:$E$524,2,$B$408:$B$524),0)</f>
        <v>-1.2432418890111663</v>
      </c>
      <c r="N401" s="18">
        <f>IFERROR(AVERAGEIF($E$408:$E$524,3,$B$408:$B$524),0)</f>
        <v>0.74230468717600706</v>
      </c>
      <c r="O401" s="18">
        <f>IFERROR(AVERAGEIF($E$408:$E$524,4,$B$408:$B$524),0)</f>
        <v>0.13816659229790415</v>
      </c>
      <c r="P401" s="18">
        <f>IFERROR(AVERAGEIF($E$408:$E$524,5,$B$408:$B$524),0)</f>
        <v>2.0936605131029435</v>
      </c>
      <c r="Q401" s="18">
        <f>IFERROR(AVERAGEIF($E$408:$E$524,6,$B$408:$B$524),0)</f>
        <v>-0.1886324617036565</v>
      </c>
      <c r="W401" s="40" t="s">
        <v>445</v>
      </c>
      <c r="X401" s="18">
        <f>INDEX($B$408:$B$524,MATCH($B$399,$A$408:$A$524,0))</f>
        <v>3.2743087782752069</v>
      </c>
      <c r="Y401" s="18">
        <f>INDEX($B$408:$B$524,MATCH($B$400,$A$408:$A$524,0))</f>
        <v>-2.0797379818033286</v>
      </c>
      <c r="Z401" s="18">
        <f>INDEX($B$408:$B$524,MATCH($B$401,$A$408:$A$524,0))</f>
        <v>1.0373368721320242</v>
      </c>
      <c r="AA401" s="18">
        <f>INDEX($B$408:$B$524,MATCH($B$402,$A$408:$A$524,0))</f>
        <v>0.64567305864807512</v>
      </c>
      <c r="AB401" s="18">
        <f>INDEX($B$408:$B$524,MATCH($B$403,$A$408:$A$524,0))</f>
        <v>2.3645319122764876</v>
      </c>
      <c r="AC401" s="18">
        <f>INDEX($B$408:$B$524,MATCH($B$404,$A$408:$A$524,0))</f>
        <v>-0.70618776706351938</v>
      </c>
      <c r="AF401" s="18">
        <f>IFERROR(AVERAGEIF($AD$408:$AD$524,1,$B$408:$B$524),X401)</f>
        <v>3.2622300872253209</v>
      </c>
      <c r="AG401" s="18">
        <f>IFERROR(AVERAGEIF($AD$408:$AD$524,2,$B$408:$B$524),Y401)</f>
        <v>-1.320720430172923</v>
      </c>
      <c r="AH401" s="18">
        <f>IFERROR(AVERAGEIF($AD$408:$AD$524,3,$B$408:$B$524),Z401)</f>
        <v>0.77000630549005433</v>
      </c>
      <c r="AI401" s="18">
        <f>IFERROR(AVERAGEIF($AD$408:$AD$524,4,$B$408:$B$524),AA401)</f>
        <v>0.1438145425516161</v>
      </c>
      <c r="AJ401" s="18">
        <f>IFERROR(AVERAGEIF($AD$408:$AD$524,5,$B$408:$B$524),AB401)</f>
        <v>2.0936605131029435</v>
      </c>
      <c r="AK401" s="18">
        <f>IFERROR(AVERAGEIF($AD$408:$AD$524,6,$B$408:$B$524),AC401)</f>
        <v>-0.26484049744015503</v>
      </c>
      <c r="AN401" s="18">
        <f>IFERROR(AVERAGEIF($AL$408:$AL$524,1,$B$408:$B$524),AF401)</f>
        <v>3.2622300872253209</v>
      </c>
      <c r="AO401" s="18">
        <f>IFERROR(AVERAGEIF($AL$408:$AL$524,2,$B$408:$B$524),AG401)</f>
        <v>-1.2779762816873452</v>
      </c>
      <c r="AP401" s="18">
        <f>IFERROR(AVERAGEIF($AL$408:$AL$524,3,$B$408:$B$524),AH401)</f>
        <v>0.74230468717600706</v>
      </c>
      <c r="AQ401" s="18">
        <f>IFERROR(AVERAGEIF($AL$408:$AL$524,4,$B$408:$B$524),AI401)</f>
        <v>0.13816659229790415</v>
      </c>
      <c r="AR401" s="18">
        <f>IFERROR(AVERAGEIF($AL$408:$AL$524,5,$B$408:$B$524),AJ401)</f>
        <v>2.0936605131029435</v>
      </c>
      <c r="AS401" s="18">
        <f>IFERROR(AVERAGEIF($AL$408:$AL$524,6,$B$408:$B$524),AK401)</f>
        <v>-0.22512831575396686</v>
      </c>
      <c r="AV401" s="18">
        <f>IFERROR(AVERAGEIF($AT$408:$AT$524,1,$B$408:$B$524),AN401)</f>
        <v>3.2622300872253209</v>
      </c>
      <c r="AW401" s="18">
        <f>IFERROR(AVERAGEIF($AT$408:$AT$524,2,$B$408:$B$524),AO401)</f>
        <v>-1.2590702160110321</v>
      </c>
      <c r="AX401" s="18">
        <f>IFERROR(AVERAGEIF($AT$408:$AT$524,3,$B$408:$B$524),AP401)</f>
        <v>0.74230468717600706</v>
      </c>
      <c r="AY401" s="18">
        <f>IFERROR(AVERAGEIF($AT$408:$AT$524,4,$B$408:$B$524),AQ401)</f>
        <v>0.13816659229790415</v>
      </c>
      <c r="AZ401" s="18">
        <f>IFERROR(AVERAGEIF($AT$408:$AT$524,5,$B$408:$B$524),AR401)</f>
        <v>2.0936605131029435</v>
      </c>
      <c r="BA401" s="18">
        <f>IFERROR(AVERAGEIF($AT$408:$AT$524,6,$B$408:$B$524),AS401)</f>
        <v>-0.20811952004641432</v>
      </c>
      <c r="BD401" s="18">
        <f>IFERROR(AVERAGEIF($BB$408:$BB$524,1,$B$408:$B$524),AV401)</f>
        <v>3.2622300872253209</v>
      </c>
      <c r="BE401" s="18">
        <f>IFERROR(AVERAGEIF($BB$408:$BB$524,2,$B$408:$B$524),AW401)</f>
        <v>-1.2432418890111663</v>
      </c>
      <c r="BF401" s="18">
        <f>IFERROR(AVERAGEIF($BB$408:$BB$524,3,$B$408:$B$524),AX401)</f>
        <v>0.74230468717600706</v>
      </c>
      <c r="BG401" s="18">
        <f>IFERROR(AVERAGEIF($BB$408:$BB$524,4,$B$408:$B$524),AY401)</f>
        <v>0.13816659229790415</v>
      </c>
      <c r="BH401" s="18">
        <f>IFERROR(AVERAGEIF($BB$408:$BB$524,5,$B$408:$B$524),AZ401)</f>
        <v>2.0936605131029435</v>
      </c>
      <c r="BI401" s="18">
        <f>IFERROR(AVERAGEIF($BB$408:$BB$524,6,$B$408:$B$524),BA401)</f>
        <v>-0.1886324617036565</v>
      </c>
      <c r="BL401" s="18">
        <f>IFERROR(AVERAGEIF($BJ$408:$BJ$524,1,$B$408:$B$524),BD401)</f>
        <v>3.2622300872253209</v>
      </c>
      <c r="BM401" s="18">
        <f>IFERROR(AVERAGEIF($BJ$408:$BJ$524,2,$B$408:$B$524),BE401)</f>
        <v>-1.2432418890111663</v>
      </c>
      <c r="BN401" s="18">
        <f>IFERROR(AVERAGEIF($BJ$408:$BJ$524,3,$B$408:$B$524),BF401)</f>
        <v>0.74230468717600706</v>
      </c>
      <c r="BO401" s="18">
        <f>IFERROR(AVERAGEIF($BJ$408:$BJ$524,4,$B$408:$B$524),BG401)</f>
        <v>0.13816659229790415</v>
      </c>
      <c r="BP401" s="18">
        <f>IFERROR(AVERAGEIF($BJ$408:$BJ$524,5,$B$408:$B$524),BH401)</f>
        <v>2.0936605131029435</v>
      </c>
      <c r="BQ401" s="18">
        <f>IFERROR(AVERAGEIF($BJ$408:$BJ$524,6,$B$408:$B$524),BI401)</f>
        <v>-0.1886324617036565</v>
      </c>
      <c r="BT401" s="18">
        <f>IFERROR(AVERAGEIF($BR$408:$BR$524,1,$B$408:$B$524),BL401)</f>
        <v>3.2622300872253209</v>
      </c>
      <c r="BU401" s="18">
        <f>IFERROR(AVERAGEIF($BR$408:$BR$524,2,$B$408:$B$524),BM401)</f>
        <v>-1.2432418890111663</v>
      </c>
      <c r="BV401" s="18">
        <f>IFERROR(AVERAGEIF($BR$408:$BR$524,3,$B$408:$B$524),BN401)</f>
        <v>0.74230468717600706</v>
      </c>
      <c r="BW401" s="18">
        <f>IFERROR(AVERAGEIF($BR$408:$BR$524,4,$B$408:$B$524),BO401)</f>
        <v>0.13816659229790415</v>
      </c>
      <c r="BX401" s="18">
        <f>IFERROR(AVERAGEIF($BR$408:$BR$524,5,$B$408:$B$524),BP401)</f>
        <v>2.0936605131029435</v>
      </c>
      <c r="BY401" s="18">
        <f>IFERROR(AVERAGEIF($BR$408:$BR$524,6,$B$408:$B$524),BQ401)</f>
        <v>-0.1886324617036565</v>
      </c>
      <c r="CB401" s="18">
        <f>IFERROR(AVERAGEIF($BZ$408:$BZ$524,1,$B$408:$B$524),BT401)</f>
        <v>3.2622300872253209</v>
      </c>
      <c r="CC401" s="18">
        <f>IFERROR(AVERAGEIF($BZ$408:$BZ$524,2,$B$408:$B$524),BU401)</f>
        <v>-1.2432418890111663</v>
      </c>
      <c r="CD401" s="18">
        <f>IFERROR(AVERAGEIF($BZ$408:$BZ$524,3,$B$408:$B$524),BV401)</f>
        <v>0.74230468717600706</v>
      </c>
      <c r="CE401" s="18">
        <f>IFERROR(AVERAGEIF($BZ$408:$BZ$524,4,$B$408:$B$524),BW401)</f>
        <v>0.13816659229790415</v>
      </c>
      <c r="CF401" s="18">
        <f>IFERROR(AVERAGEIF($BZ$408:$BZ$524,5,$B$408:$B$524),BX401)</f>
        <v>2.0936605131029435</v>
      </c>
      <c r="CG401" s="18">
        <f>IFERROR(AVERAGEIF($BZ$408:$BZ$524,6,$B$408:$B$524),BY401)</f>
        <v>-0.1886324617036565</v>
      </c>
      <c r="CJ401" s="18">
        <f>IFERROR(AVERAGEIF($CH$408:$CH$524,1,$B$408:$B$524),CB401)</f>
        <v>3.2622300872253209</v>
      </c>
      <c r="CK401" s="18">
        <f>IFERROR(AVERAGEIF($CH$408:$CH$524,2,$B$408:$B$524),CC401)</f>
        <v>-1.2432418890111663</v>
      </c>
      <c r="CL401" s="18">
        <f>IFERROR(AVERAGEIF($CH$408:$CH$524,3,$B$408:$B$524),CD401)</f>
        <v>0.74230468717600706</v>
      </c>
      <c r="CM401" s="18">
        <f>IFERROR(AVERAGEIF($CH$408:$CH$524,4,$B$408:$B$524),CE401)</f>
        <v>0.13816659229790415</v>
      </c>
      <c r="CN401" s="18">
        <f>IFERROR(AVERAGEIF($CH$408:$CH$524,5,$B$408:$B$524),CF401)</f>
        <v>2.0936605131029435</v>
      </c>
      <c r="CO401" s="18">
        <f>IFERROR(AVERAGEIF($CH$408:$CH$524,6,$B$408:$B$524),CG401)</f>
        <v>-0.1886324617036565</v>
      </c>
      <c r="CR401" s="18">
        <f>IFERROR(AVERAGEIF($CP$408:$CP$524,1,$B$408:$B$524),CJ401)</f>
        <v>3.2622300872253209</v>
      </c>
      <c r="CS401" s="18">
        <f>IFERROR(AVERAGEIF($CP$408:$CP$524,2,$B$408:$B$524),CK401)</f>
        <v>-1.2432418890111663</v>
      </c>
      <c r="CT401" s="18">
        <f>IFERROR(AVERAGEIF($CP$408:$CP$524,3,$B$408:$B$524),CL401)</f>
        <v>0.74230468717600706</v>
      </c>
      <c r="CU401" s="18">
        <f>IFERROR(AVERAGEIF($CP$408:$CP$524,4,$B$408:$B$524),CM401)</f>
        <v>0.13816659229790415</v>
      </c>
      <c r="CV401" s="18">
        <f>IFERROR(AVERAGEIF($CP$408:$CP$524,5,$B$408:$B$524),CN401)</f>
        <v>2.0936605131029435</v>
      </c>
      <c r="CW401" s="18">
        <f>IFERROR(AVERAGEIF($CP$408:$CP$524,6,$B$408:$B$524),CO401)</f>
        <v>-0.1886324617036565</v>
      </c>
      <c r="CZ401" s="18">
        <f>IFERROR(AVERAGEIF($CX$408:$CX$524,1,$B$408:$B$524),CR401)</f>
        <v>3.2622300872253209</v>
      </c>
      <c r="DA401" s="18">
        <f>IFERROR(AVERAGEIF($CX$408:$CX$524,2,$B$408:$B$524),CS401)</f>
        <v>-1.2432418890111663</v>
      </c>
      <c r="DB401" s="18">
        <f>IFERROR(AVERAGEIF($CX$408:$CX$524,3,$B$408:$B$524),CT401)</f>
        <v>0.74230468717600706</v>
      </c>
      <c r="DC401" s="18">
        <f>IFERROR(AVERAGEIF($CX$408:$CX$524,4,$B$408:$B$524),CU401)</f>
        <v>0.13816659229790415</v>
      </c>
      <c r="DD401" s="18">
        <f>IFERROR(AVERAGEIF($CX$408:$CX$524,5,$B$408:$B$524),CV401)</f>
        <v>2.0936605131029435</v>
      </c>
      <c r="DE401" s="18">
        <f>IFERROR(AVERAGEIF($CX$408:$CX$524,6,$B$408:$B$524),CW401)</f>
        <v>-0.1886324617036565</v>
      </c>
      <c r="DH401" s="18">
        <f>IFERROR(AVERAGEIF($DF$408:$DF$524,1,$B$408:$B$524),CZ401)</f>
        <v>3.2622300872253209</v>
      </c>
      <c r="DI401" s="18">
        <f>IFERROR(AVERAGEIF($DF$408:$DF$524,2,$B$408:$B$524),DA401)</f>
        <v>-1.2432418890111663</v>
      </c>
      <c r="DJ401" s="18">
        <f>IFERROR(AVERAGEIF($DF$408:$DF$524,3,$B$408:$B$524),DB401)</f>
        <v>0.74230468717600706</v>
      </c>
      <c r="DK401" s="18">
        <f>IFERROR(AVERAGEIF($DF$408:$DF$524,4,$B$408:$B$524),DC401)</f>
        <v>0.13816659229790415</v>
      </c>
      <c r="DL401" s="18">
        <f>IFERROR(AVERAGEIF($DF$408:$DF$524,5,$B$408:$B$524),DD401)</f>
        <v>2.0936605131029435</v>
      </c>
      <c r="DM401" s="18">
        <f>IFERROR(AVERAGEIF($DF$408:$DF$524,6,$B$408:$B$524),DE401)</f>
        <v>-0.1886324617036565</v>
      </c>
    </row>
    <row r="402" spans="1:118" x14ac:dyDescent="0.25">
      <c r="A402" s="48" t="s">
        <v>502</v>
      </c>
      <c r="B402" s="32" t="s">
        <v>346</v>
      </c>
      <c r="K402" s="40" t="s">
        <v>446</v>
      </c>
      <c r="L402" s="18">
        <f>IFERROR(AVERAGEIF($E$408:$E$524,1,$C$408:$C$524),0)</f>
        <v>4.0978464170012394</v>
      </c>
      <c r="M402" s="18">
        <f>IFERROR(AVERAGEIF($E$408:$E$524,2,$C$408:$C$524),0)</f>
        <v>-0.65318138200091491</v>
      </c>
      <c r="N402" s="18">
        <f>IFERROR(AVERAGEIF($E$408:$E$524,3,$C$408:$C$524),0)</f>
        <v>0.82977053727608974</v>
      </c>
      <c r="O402" s="18">
        <f>IFERROR(AVERAGEIF($E$408:$E$524,4,$C$408:$C$524),0)</f>
        <v>-0.56786074671916675</v>
      </c>
      <c r="P402" s="18">
        <f>IFERROR(AVERAGEIF($E$408:$E$524,5,$C$408:$C$524),0)</f>
        <v>2.5381462350269857</v>
      </c>
      <c r="Q402" s="18">
        <f>IFERROR(AVERAGEIF($E$408:$E$524,6,$C$408:$C$524),0)</f>
        <v>-0.36609152707973441</v>
      </c>
      <c r="W402" s="40" t="s">
        <v>446</v>
      </c>
      <c r="X402" s="18">
        <f>INDEX($C$408:$C$524,MATCH($B$399,$A$408:$A$524,0))</f>
        <v>4.0388517969113016</v>
      </c>
      <c r="Y402" s="18">
        <f>INDEX($C$408:$C$524,MATCH($B$400,$A$408:$A$524,0))</f>
        <v>-0.67265054538827607</v>
      </c>
      <c r="Z402" s="18">
        <f>INDEX($C$408:$C$524,MATCH($B$401,$A$408:$A$524,0))</f>
        <v>0.37868427752921691</v>
      </c>
      <c r="AA402" s="18">
        <f>INDEX($C$408:$C$524,MATCH($B$402,$A$408:$A$524,0))</f>
        <v>-0.14698313392952958</v>
      </c>
      <c r="AB402" s="18">
        <f>INDEX($C$408:$C$524,MATCH($B$403,$A$408:$A$524,0))</f>
        <v>2.2941407285360271</v>
      </c>
      <c r="AC402" s="18">
        <f>INDEX($C$408:$C$524,MATCH($B$404,$A$408:$A$524,0))</f>
        <v>-0.14698313392952958</v>
      </c>
      <c r="AF402" s="18">
        <f>IFERROR(AVERAGEIF($AD$408:$AD$524,1,$C$408:$C$524),X402)</f>
        <v>4.0978464170012394</v>
      </c>
      <c r="AG402" s="18">
        <f>IFERROR(AVERAGEIF($AD$408:$AD$524,2,$C$408:$C$524),Y402)</f>
        <v>-0.64979544054224347</v>
      </c>
      <c r="AH402" s="18">
        <f>IFERROR(AVERAGEIF($AD$408:$AD$524,3,$C$408:$C$524),Z402)</f>
        <v>0.83983693554150352</v>
      </c>
      <c r="AI402" s="18">
        <f>IFERROR(AVERAGEIF($AD$408:$AD$524,4,$C$408:$C$524),AA402)</f>
        <v>-0.53751185770482668</v>
      </c>
      <c r="AJ402" s="18">
        <f>IFERROR(AVERAGEIF($AD$408:$AD$524,5,$C$408:$C$524),AB402)</f>
        <v>2.5381462350269857</v>
      </c>
      <c r="AK402" s="18">
        <f>IFERROR(AVERAGEIF($AD$408:$AD$524,6,$C$408:$C$524),AC402)</f>
        <v>-0.38939256255236382</v>
      </c>
      <c r="AN402" s="18">
        <f>IFERROR(AVERAGEIF($AL$408:$AL$524,1,$C$408:$C$524),AF402)</f>
        <v>4.0978464170012394</v>
      </c>
      <c r="AO402" s="18">
        <f>IFERROR(AVERAGEIF($AL$408:$AL$524,2,$C$408:$C$524),AG402)</f>
        <v>-0.65162384892992609</v>
      </c>
      <c r="AP402" s="18">
        <f>IFERROR(AVERAGEIF($AL$408:$AL$524,3,$C$408:$C$524),AH402)</f>
        <v>0.82977053727608974</v>
      </c>
      <c r="AQ402" s="18">
        <f>IFERROR(AVERAGEIF($AL$408:$AL$524,4,$C$408:$C$524),AI402)</f>
        <v>-0.56786074671916675</v>
      </c>
      <c r="AR402" s="18">
        <f>IFERROR(AVERAGEIF($AL$408:$AL$524,5,$C$408:$C$524),AJ402)</f>
        <v>2.5381462350269857</v>
      </c>
      <c r="AS402" s="18">
        <f>IFERROR(AVERAGEIF($AL$408:$AL$524,6,$C$408:$C$524),AK402)</f>
        <v>-0.38412441050964863</v>
      </c>
      <c r="AV402" s="18">
        <f>IFERROR(AVERAGEIF($AT$408:$AT$524,1,$C$408:$C$524),AN402)</f>
        <v>4.0978464170012394</v>
      </c>
      <c r="AW402" s="18">
        <f>IFERROR(AVERAGEIF($AT$408:$AT$524,2,$C$408:$C$524),AO402)</f>
        <v>-0.65243256802447802</v>
      </c>
      <c r="AX402" s="18">
        <f>IFERROR(AVERAGEIF($AT$408:$AT$524,3,$C$408:$C$524),AP402)</f>
        <v>0.82977053727608974</v>
      </c>
      <c r="AY402" s="18">
        <f>IFERROR(AVERAGEIF($AT$408:$AT$524,4,$C$408:$C$524),AQ402)</f>
        <v>-0.56786074671916675</v>
      </c>
      <c r="AZ402" s="18">
        <f>IFERROR(AVERAGEIF($AT$408:$AT$524,5,$C$408:$C$524),AR402)</f>
        <v>2.5381462350269857</v>
      </c>
      <c r="BA402" s="18">
        <f>IFERROR(AVERAGEIF($AT$408:$AT$524,6,$C$408:$C$524),AS402)</f>
        <v>-0.37538119430120537</v>
      </c>
      <c r="BD402" s="18">
        <f>IFERROR(AVERAGEIF($BB$408:$BB$524,1,$C$408:$C$524),AV402)</f>
        <v>4.0978464170012394</v>
      </c>
      <c r="BE402" s="18">
        <f>IFERROR(AVERAGEIF($BB$408:$BB$524,2,$C$408:$C$524),AW402)</f>
        <v>-0.65318138200091491</v>
      </c>
      <c r="BF402" s="18">
        <f>IFERROR(AVERAGEIF($BB$408:$BB$524,3,$C$408:$C$524),AX402)</f>
        <v>0.82977053727608974</v>
      </c>
      <c r="BG402" s="18">
        <f>IFERROR(AVERAGEIF($BB$408:$BB$524,4,$C$408:$C$524),AY402)</f>
        <v>-0.56786074671916675</v>
      </c>
      <c r="BH402" s="18">
        <f>IFERROR(AVERAGEIF($BB$408:$BB$524,5,$C$408:$C$524),AZ402)</f>
        <v>2.5381462350269857</v>
      </c>
      <c r="BI402" s="18">
        <f>IFERROR(AVERAGEIF($BB$408:$BB$524,6,$C$408:$C$524),BA402)</f>
        <v>-0.36609152707973441</v>
      </c>
      <c r="BL402" s="18">
        <f>IFERROR(AVERAGEIF($BJ$408:$BJ$524,1,$C$408:$C$524),BD402)</f>
        <v>4.0978464170012394</v>
      </c>
      <c r="BM402" s="18">
        <f>IFERROR(AVERAGEIF($BJ$408:$BJ$524,2,$C$408:$C$524),BE402)</f>
        <v>-0.65318138200091491</v>
      </c>
      <c r="BN402" s="18">
        <f>IFERROR(AVERAGEIF($BJ$408:$BJ$524,3,$C$408:$C$524),BF402)</f>
        <v>0.82977053727608974</v>
      </c>
      <c r="BO402" s="18">
        <f>IFERROR(AVERAGEIF($BJ$408:$BJ$524,4,$C$408:$C$524),BG402)</f>
        <v>-0.56786074671916675</v>
      </c>
      <c r="BP402" s="18">
        <f>IFERROR(AVERAGEIF($BJ$408:$BJ$524,5,$C$408:$C$524),BH402)</f>
        <v>2.5381462350269857</v>
      </c>
      <c r="BQ402" s="18">
        <f>IFERROR(AVERAGEIF($BJ$408:$BJ$524,6,$C$408:$C$524),BI402)</f>
        <v>-0.36609152707973441</v>
      </c>
      <c r="BT402" s="18">
        <f>IFERROR(AVERAGEIF($BR$408:$BR$524,1,$C$408:$C$524),BL402)</f>
        <v>4.0978464170012394</v>
      </c>
      <c r="BU402" s="18">
        <f>IFERROR(AVERAGEIF($BR$408:$BR$524,2,$C$408:$C$524),BM402)</f>
        <v>-0.65318138200091491</v>
      </c>
      <c r="BV402" s="18">
        <f>IFERROR(AVERAGEIF($BR$408:$BR$524,3,$C$408:$C$524),BN402)</f>
        <v>0.82977053727608974</v>
      </c>
      <c r="BW402" s="18">
        <f>IFERROR(AVERAGEIF($BR$408:$BR$524,4,$C$408:$C$524),BO402)</f>
        <v>-0.56786074671916675</v>
      </c>
      <c r="BX402" s="18">
        <f>IFERROR(AVERAGEIF($BR$408:$BR$524,5,$C$408:$C$524),BP402)</f>
        <v>2.5381462350269857</v>
      </c>
      <c r="BY402" s="18">
        <f>IFERROR(AVERAGEIF($BR$408:$BR$524,6,$C$408:$C$524),BQ402)</f>
        <v>-0.36609152707973441</v>
      </c>
      <c r="CB402" s="18">
        <f>IFERROR(AVERAGEIF($BZ$408:$BZ$524,1,$C$408:$C$524),BT402)</f>
        <v>4.0978464170012394</v>
      </c>
      <c r="CC402" s="18">
        <f>IFERROR(AVERAGEIF($BZ$408:$BZ$524,2,$C$408:$C$524),BU402)</f>
        <v>-0.65318138200091491</v>
      </c>
      <c r="CD402" s="18">
        <f>IFERROR(AVERAGEIF($BZ$408:$BZ$524,3,$C$408:$C$524),BV402)</f>
        <v>0.82977053727608974</v>
      </c>
      <c r="CE402" s="18">
        <f>IFERROR(AVERAGEIF($BZ$408:$BZ$524,4,$C$408:$C$524),BW402)</f>
        <v>-0.56786074671916675</v>
      </c>
      <c r="CF402" s="18">
        <f>IFERROR(AVERAGEIF($BZ$408:$BZ$524,5,$C$408:$C$524),BX402)</f>
        <v>2.5381462350269857</v>
      </c>
      <c r="CG402" s="18">
        <f>IFERROR(AVERAGEIF($BZ$408:$BZ$524,6,$C$408:$C$524),BY402)</f>
        <v>-0.36609152707973441</v>
      </c>
      <c r="CJ402" s="18">
        <f>IFERROR(AVERAGEIF($CH$408:$CH$524,1,$C$408:$C$524),CB402)</f>
        <v>4.0978464170012394</v>
      </c>
      <c r="CK402" s="18">
        <f>IFERROR(AVERAGEIF($CH$408:$CH$524,2,$C$408:$C$524),CC402)</f>
        <v>-0.65318138200091491</v>
      </c>
      <c r="CL402" s="18">
        <f>IFERROR(AVERAGEIF($CH$408:$CH$524,3,$C$408:$C$524),CD402)</f>
        <v>0.82977053727608974</v>
      </c>
      <c r="CM402" s="18">
        <f>IFERROR(AVERAGEIF($CH$408:$CH$524,4,$C$408:$C$524),CE402)</f>
        <v>-0.56786074671916675</v>
      </c>
      <c r="CN402" s="18">
        <f>IFERROR(AVERAGEIF($CH$408:$CH$524,5,$C$408:$C$524),CF402)</f>
        <v>2.5381462350269857</v>
      </c>
      <c r="CO402" s="18">
        <f>IFERROR(AVERAGEIF($CH$408:$CH$524,6,$C$408:$C$524),CG402)</f>
        <v>-0.36609152707973441</v>
      </c>
      <c r="CR402" s="18">
        <f>IFERROR(AVERAGEIF($CP$408:$CP$524,1,$C$408:$C$524),CJ402)</f>
        <v>4.0978464170012394</v>
      </c>
      <c r="CS402" s="18">
        <f>IFERROR(AVERAGEIF($CP$408:$CP$524,2,$C$408:$C$524),CK402)</f>
        <v>-0.65318138200091491</v>
      </c>
      <c r="CT402" s="18">
        <f>IFERROR(AVERAGEIF($CP$408:$CP$524,3,$C$408:$C$524),CL402)</f>
        <v>0.82977053727608974</v>
      </c>
      <c r="CU402" s="18">
        <f>IFERROR(AVERAGEIF($CP$408:$CP$524,4,$C$408:$C$524),CM402)</f>
        <v>-0.56786074671916675</v>
      </c>
      <c r="CV402" s="18">
        <f>IFERROR(AVERAGEIF($CP$408:$CP$524,5,$C$408:$C$524),CN402)</f>
        <v>2.5381462350269857</v>
      </c>
      <c r="CW402" s="18">
        <f>IFERROR(AVERAGEIF($CP$408:$CP$524,6,$C$408:$C$524),CO402)</f>
        <v>-0.36609152707973441</v>
      </c>
      <c r="CZ402" s="18">
        <f>IFERROR(AVERAGEIF($CX$408:$CX$524,1,$C$408:$C$524),CR402)</f>
        <v>4.0978464170012394</v>
      </c>
      <c r="DA402" s="18">
        <f>IFERROR(AVERAGEIF($CX$408:$CX$524,2,$C$408:$C$524),CS402)</f>
        <v>-0.65318138200091491</v>
      </c>
      <c r="DB402" s="18">
        <f>IFERROR(AVERAGEIF($CX$408:$CX$524,3,$C$408:$C$524),CT402)</f>
        <v>0.82977053727608974</v>
      </c>
      <c r="DC402" s="18">
        <f>IFERROR(AVERAGEIF($CX$408:$CX$524,4,$C$408:$C$524),CU402)</f>
        <v>-0.56786074671916675</v>
      </c>
      <c r="DD402" s="18">
        <f>IFERROR(AVERAGEIF($CX$408:$CX$524,5,$C$408:$C$524),CV402)</f>
        <v>2.5381462350269857</v>
      </c>
      <c r="DE402" s="18">
        <f>IFERROR(AVERAGEIF($CX$408:$CX$524,6,$C$408:$C$524),CW402)</f>
        <v>-0.36609152707973441</v>
      </c>
      <c r="DH402" s="18">
        <f>IFERROR(AVERAGEIF($DF$408:$DF$524,1,$C$408:$C$524),CZ402)</f>
        <v>4.0978464170012394</v>
      </c>
      <c r="DI402" s="18">
        <f>IFERROR(AVERAGEIF($DF$408:$DF$524,2,$C$408:$C$524),DA402)</f>
        <v>-0.65318138200091491</v>
      </c>
      <c r="DJ402" s="18">
        <f>IFERROR(AVERAGEIF($DF$408:$DF$524,3,$C$408:$C$524),DB402)</f>
        <v>0.82977053727608974</v>
      </c>
      <c r="DK402" s="18">
        <f>IFERROR(AVERAGEIF($DF$408:$DF$524,4,$C$408:$C$524),DC402)</f>
        <v>-0.56786074671916675</v>
      </c>
      <c r="DL402" s="18">
        <f>IFERROR(AVERAGEIF($DF$408:$DF$524,5,$C$408:$C$524),DD402)</f>
        <v>2.5381462350269857</v>
      </c>
      <c r="DM402" s="18">
        <f>IFERROR(AVERAGEIF($DF$408:$DF$524,6,$C$408:$C$524),DE402)</f>
        <v>-0.36609152707973441</v>
      </c>
    </row>
    <row r="403" spans="1:118" x14ac:dyDescent="0.25">
      <c r="A403" s="48" t="s">
        <v>505</v>
      </c>
      <c r="B403" s="32" t="s">
        <v>93</v>
      </c>
      <c r="K403" s="40" t="s">
        <v>447</v>
      </c>
      <c r="L403" s="18">
        <f>IFERROR(AVERAGEIF($E$408:$E$524,1,$D$408:$D$524),0)</f>
        <v>2.9666128792111524</v>
      </c>
      <c r="M403" s="18">
        <f>IFERROR(AVERAGEIF($E$408:$E$524,2,$D$408:$D$524),0)</f>
        <v>-1.0208306613490381</v>
      </c>
      <c r="N403" s="18">
        <f>IFERROR(AVERAGEIF($E$408:$E$524,3,$D$408:$D$524),0)</f>
        <v>0.92997199481827497</v>
      </c>
      <c r="O403" s="18">
        <f>IFERROR(AVERAGEIF($E$408:$E$524,4,$D$408:$D$524),0)</f>
        <v>-0.861340481686241</v>
      </c>
      <c r="P403" s="18">
        <f>IFERROR(AVERAGEIF($E$408:$E$524,5,$D$408:$D$524),0)</f>
        <v>1.7880577162974114</v>
      </c>
      <c r="Q403" s="18">
        <f>IFERROR(AVERAGEIF($E$408:$E$524,6,$D$408:$D$524),0)</f>
        <v>0.22870670193330114</v>
      </c>
      <c r="W403" s="40" t="s">
        <v>447</v>
      </c>
      <c r="X403" s="18">
        <f>INDEX($D$408:$D$524,MATCH($B$399,$A$408:$A$524,0))</f>
        <v>3.2527128596020467</v>
      </c>
      <c r="Y403" s="18">
        <f>INDEX($D$408:$D$524,MATCH($B$400,$A$408:$A$524,0))</f>
        <v>-1.1456441163335547</v>
      </c>
      <c r="Z403" s="18">
        <f>INDEX($D$408:$D$524,MATCH($B$401,$A$408:$A$524,0))</f>
        <v>1.4704046399545831</v>
      </c>
      <c r="AA403" s="18">
        <f>INDEX($D$408:$D$524,MATCH($B$402,$A$408:$A$524,0))</f>
        <v>-1.1456441163335547</v>
      </c>
      <c r="AB403" s="18">
        <f>INDEX($D$408:$D$524,MATCH($B$403,$A$408:$A$524,0))</f>
        <v>2.3723555668164944</v>
      </c>
      <c r="AC403" s="18">
        <f>INDEX($D$408:$D$524,MATCH($B$404,$A$408:$A$524,0))</f>
        <v>0.62851349158581915</v>
      </c>
      <c r="AF403" s="18">
        <f>IFERROR(AVERAGEIF($AD$408:$AD$524,1,$D$408:$D$524),X403)</f>
        <v>2.9666128792111524</v>
      </c>
      <c r="AG403" s="18">
        <f>IFERROR(AVERAGEIF($AD$408:$AD$524,2,$D$408:$D$524),Y403)</f>
        <v>-1.0955796317526159</v>
      </c>
      <c r="AH403" s="18">
        <f>IFERROR(AVERAGEIF($AD$408:$AD$524,3,$D$408:$D$524),Z403)</f>
        <v>0.9452612858724424</v>
      </c>
      <c r="AI403" s="18">
        <f>IFERROR(AVERAGEIF($AD$408:$AD$524,4,$D$408:$D$524),AA403)</f>
        <v>-0.85549476675532887</v>
      </c>
      <c r="AJ403" s="18">
        <f>IFERROR(AVERAGEIF($AD$408:$AD$524,5,$D$408:$D$524),AB403)</f>
        <v>1.7880577162974114</v>
      </c>
      <c r="AK403" s="18">
        <f>IFERROR(AVERAGEIF($AD$408:$AD$524,6,$D$408:$D$524),AC403)</f>
        <v>0.17159536956660329</v>
      </c>
      <c r="AN403" s="18">
        <f>IFERROR(AVERAGEIF($AL$408:$AL$524,1,$D$408:$D$524),AF403)</f>
        <v>2.9666128792111524</v>
      </c>
      <c r="AO403" s="18">
        <f>IFERROR(AVERAGEIF($AL$408:$AL$524,2,$D$408:$D$524),AG403)</f>
        <v>-1.0738889424843081</v>
      </c>
      <c r="AP403" s="18">
        <f>IFERROR(AVERAGEIF($AL$408:$AL$524,3,$D$408:$D$524),AH403)</f>
        <v>0.92997199481827497</v>
      </c>
      <c r="AQ403" s="18">
        <f>IFERROR(AVERAGEIF($AL$408:$AL$524,4,$D$408:$D$524),AI403)</f>
        <v>-0.861340481686241</v>
      </c>
      <c r="AR403" s="18">
        <f>IFERROR(AVERAGEIF($AL$408:$AL$524,5,$D$408:$D$524),AJ403)</f>
        <v>1.7880577162974114</v>
      </c>
      <c r="AS403" s="18">
        <f>IFERROR(AVERAGEIF($AL$408:$AL$524,6,$D$408:$D$524),AK403)</f>
        <v>0.19421794610439139</v>
      </c>
      <c r="AV403" s="18">
        <f>IFERROR(AVERAGEIF($AT$408:$AT$524,1,$D$408:$D$524),AN403)</f>
        <v>2.9666128792111524</v>
      </c>
      <c r="AW403" s="18">
        <f>IFERROR(AVERAGEIF($AT$408:$AT$524,2,$D$408:$D$524),AO403)</f>
        <v>-1.0479641840391256</v>
      </c>
      <c r="AX403" s="18">
        <f>IFERROR(AVERAGEIF($AT$408:$AT$524,3,$D$408:$D$524),AP403)</f>
        <v>0.92997199481827497</v>
      </c>
      <c r="AY403" s="18">
        <f>IFERROR(AVERAGEIF($AT$408:$AT$524,4,$D$408:$D$524),AQ403)</f>
        <v>-0.861340481686241</v>
      </c>
      <c r="AZ403" s="18">
        <f>IFERROR(AVERAGEIF($AT$408:$AT$524,5,$D$408:$D$524),AR403)</f>
        <v>1.7880577162974114</v>
      </c>
      <c r="BA403" s="18">
        <f>IFERROR(AVERAGEIF($AT$408:$AT$524,6,$D$408:$D$524),AS403)</f>
        <v>0.21221986031693563</v>
      </c>
      <c r="BD403" s="18">
        <f>IFERROR(AVERAGEIF($BB$408:$BB$524,1,$D$408:$D$524),AV403)</f>
        <v>2.9666128792111524</v>
      </c>
      <c r="BE403" s="18">
        <f>IFERROR(AVERAGEIF($BB$408:$BB$524,2,$D$408:$D$524),AW403)</f>
        <v>-1.0208306613490381</v>
      </c>
      <c r="BF403" s="18">
        <f>IFERROR(AVERAGEIF($BB$408:$BB$524,3,$D$408:$D$524),AX403)</f>
        <v>0.92997199481827497</v>
      </c>
      <c r="BG403" s="18">
        <f>IFERROR(AVERAGEIF($BB$408:$BB$524,4,$D$408:$D$524),AY403)</f>
        <v>-0.861340481686241</v>
      </c>
      <c r="BH403" s="18">
        <f>IFERROR(AVERAGEIF($BB$408:$BB$524,5,$D$408:$D$524),AZ403)</f>
        <v>1.7880577162974114</v>
      </c>
      <c r="BI403" s="18">
        <f>IFERROR(AVERAGEIF($BB$408:$BB$524,6,$D$408:$D$524),BA403)</f>
        <v>0.22870670193330114</v>
      </c>
      <c r="BL403" s="18">
        <f>IFERROR(AVERAGEIF($BJ$408:$BJ$524,1,$D$408:$D$524),BD403)</f>
        <v>2.9666128792111524</v>
      </c>
      <c r="BM403" s="18">
        <f>IFERROR(AVERAGEIF($BJ$408:$BJ$524,2,$D$408:$D$524),BE403)</f>
        <v>-1.0208306613490381</v>
      </c>
      <c r="BN403" s="18">
        <f>IFERROR(AVERAGEIF($BJ$408:$BJ$524,3,$D$408:$D$524),BF403)</f>
        <v>0.92997199481827497</v>
      </c>
      <c r="BO403" s="18">
        <f>IFERROR(AVERAGEIF($BJ$408:$BJ$524,4,$D$408:$D$524),BG403)</f>
        <v>-0.861340481686241</v>
      </c>
      <c r="BP403" s="18">
        <f>IFERROR(AVERAGEIF($BJ$408:$BJ$524,5,$D$408:$D$524),BH403)</f>
        <v>1.7880577162974114</v>
      </c>
      <c r="BQ403" s="18">
        <f>IFERROR(AVERAGEIF($BJ$408:$BJ$524,6,$D$408:$D$524),BI403)</f>
        <v>0.22870670193330114</v>
      </c>
      <c r="BT403" s="18">
        <f>IFERROR(AVERAGEIF($BR$408:$BR$524,1,$D$408:$D$524),BL403)</f>
        <v>2.9666128792111524</v>
      </c>
      <c r="BU403" s="18">
        <f>IFERROR(AVERAGEIF($BR$408:$BR$524,2,$D$408:$D$524),BM403)</f>
        <v>-1.0208306613490381</v>
      </c>
      <c r="BV403" s="18">
        <f>IFERROR(AVERAGEIF($BR$408:$BR$524,3,$D$408:$D$524),BN403)</f>
        <v>0.92997199481827497</v>
      </c>
      <c r="BW403" s="18">
        <f>IFERROR(AVERAGEIF($BR$408:$BR$524,4,$D$408:$D$524),BO403)</f>
        <v>-0.861340481686241</v>
      </c>
      <c r="BX403" s="18">
        <f>IFERROR(AVERAGEIF($BR$408:$BR$524,5,$D$408:$D$524),BP403)</f>
        <v>1.7880577162974114</v>
      </c>
      <c r="BY403" s="18">
        <f>IFERROR(AVERAGEIF($BR$408:$BR$524,6,$D$408:$D$524),BQ403)</f>
        <v>0.22870670193330114</v>
      </c>
      <c r="CB403" s="18">
        <f>IFERROR(AVERAGEIF($BZ$408:$BZ$524,1,$D$408:$D$524),BT403)</f>
        <v>2.9666128792111524</v>
      </c>
      <c r="CC403" s="18">
        <f>IFERROR(AVERAGEIF($BZ$408:$BZ$524,2,$D$408:$D$524),BU403)</f>
        <v>-1.0208306613490381</v>
      </c>
      <c r="CD403" s="18">
        <f>IFERROR(AVERAGEIF($BZ$408:$BZ$524,3,$D$408:$D$524),BV403)</f>
        <v>0.92997199481827497</v>
      </c>
      <c r="CE403" s="18">
        <f>IFERROR(AVERAGEIF($BZ$408:$BZ$524,4,$D$408:$D$524),BW403)</f>
        <v>-0.861340481686241</v>
      </c>
      <c r="CF403" s="18">
        <f>IFERROR(AVERAGEIF($BZ$408:$BZ$524,5,$D$408:$D$524),BX403)</f>
        <v>1.7880577162974114</v>
      </c>
      <c r="CG403" s="18">
        <f>IFERROR(AVERAGEIF($BZ$408:$BZ$524,6,$D$408:$D$524),BY403)</f>
        <v>0.22870670193330114</v>
      </c>
      <c r="CJ403" s="18">
        <f>IFERROR(AVERAGEIF($CH$408:$CH$524,1,$D$408:$D$524),CB403)</f>
        <v>2.9666128792111524</v>
      </c>
      <c r="CK403" s="18">
        <f>IFERROR(AVERAGEIF($CH$408:$CH$524,2,$D$408:$D$524),CC403)</f>
        <v>-1.0208306613490381</v>
      </c>
      <c r="CL403" s="18">
        <f>IFERROR(AVERAGEIF($CH$408:$CH$524,3,$D$408:$D$524),CD403)</f>
        <v>0.92997199481827497</v>
      </c>
      <c r="CM403" s="18">
        <f>IFERROR(AVERAGEIF($CH$408:$CH$524,4,$D$408:$D$524),CE403)</f>
        <v>-0.861340481686241</v>
      </c>
      <c r="CN403" s="18">
        <f>IFERROR(AVERAGEIF($CH$408:$CH$524,5,$D$408:$D$524),CF403)</f>
        <v>1.7880577162974114</v>
      </c>
      <c r="CO403" s="18">
        <f>IFERROR(AVERAGEIF($CH$408:$CH$524,6,$D$408:$D$524),CG403)</f>
        <v>0.22870670193330114</v>
      </c>
      <c r="CR403" s="18">
        <f>IFERROR(AVERAGEIF($CP$408:$CP$524,1,$D$408:$D$524),CJ403)</f>
        <v>2.9666128792111524</v>
      </c>
      <c r="CS403" s="18">
        <f>IFERROR(AVERAGEIF($CP$408:$CP$524,2,$D$408:$D$524),CK403)</f>
        <v>-1.0208306613490381</v>
      </c>
      <c r="CT403" s="18">
        <f>IFERROR(AVERAGEIF($CP$408:$CP$524,3,$D$408:$D$524),CL403)</f>
        <v>0.92997199481827497</v>
      </c>
      <c r="CU403" s="18">
        <f>IFERROR(AVERAGEIF($CP$408:$CP$524,4,$D$408:$D$524),CM403)</f>
        <v>-0.861340481686241</v>
      </c>
      <c r="CV403" s="18">
        <f>IFERROR(AVERAGEIF($CP$408:$CP$524,5,$D$408:$D$524),CN403)</f>
        <v>1.7880577162974114</v>
      </c>
      <c r="CW403" s="18">
        <f>IFERROR(AVERAGEIF($CP$408:$CP$524,6,$D$408:$D$524),CO403)</f>
        <v>0.22870670193330114</v>
      </c>
      <c r="CZ403" s="18">
        <f>IFERROR(AVERAGEIF($CX$408:$CX$524,1,$D$408:$D$524),CR403)</f>
        <v>2.9666128792111524</v>
      </c>
      <c r="DA403" s="18">
        <f>IFERROR(AVERAGEIF($CX$408:$CX$524,2,$D$408:$D$524),CS403)</f>
        <v>-1.0208306613490381</v>
      </c>
      <c r="DB403" s="18">
        <f>IFERROR(AVERAGEIF($CX$408:$CX$524,3,$D$408:$D$524),CT403)</f>
        <v>0.92997199481827497</v>
      </c>
      <c r="DC403" s="18">
        <f>IFERROR(AVERAGEIF($CX$408:$CX$524,4,$D$408:$D$524),CU403)</f>
        <v>-0.861340481686241</v>
      </c>
      <c r="DD403" s="18">
        <f>IFERROR(AVERAGEIF($CX$408:$CX$524,5,$D$408:$D$524),CV403)</f>
        <v>1.7880577162974114</v>
      </c>
      <c r="DE403" s="18">
        <f>IFERROR(AVERAGEIF($CX$408:$CX$524,6,$D$408:$D$524),CW403)</f>
        <v>0.22870670193330114</v>
      </c>
      <c r="DH403" s="18">
        <f>IFERROR(AVERAGEIF($DF$408:$DF$524,1,$D$408:$D$524),CZ403)</f>
        <v>2.9666128792111524</v>
      </c>
      <c r="DI403" s="18">
        <f>IFERROR(AVERAGEIF($DF$408:$DF$524,2,$D$408:$D$524),DA403)</f>
        <v>-1.0208306613490381</v>
      </c>
      <c r="DJ403" s="18">
        <f>IFERROR(AVERAGEIF($DF$408:$DF$524,3,$D$408:$D$524),DB403)</f>
        <v>0.92997199481827497</v>
      </c>
      <c r="DK403" s="18">
        <f>IFERROR(AVERAGEIF($DF$408:$DF$524,4,$D$408:$D$524),DC403)</f>
        <v>-0.861340481686241</v>
      </c>
      <c r="DL403" s="18">
        <f>IFERROR(AVERAGEIF($DF$408:$DF$524,5,$D$408:$D$524),DD403)</f>
        <v>1.7880577162974114</v>
      </c>
      <c r="DM403" s="18">
        <f>IFERROR(AVERAGEIF($DF$408:$DF$524,6,$D$408:$D$524),DE403)</f>
        <v>0.22870670193330114</v>
      </c>
    </row>
    <row r="404" spans="1:118" x14ac:dyDescent="0.25">
      <c r="A404" s="48" t="s">
        <v>508</v>
      </c>
      <c r="B404" s="32" t="s">
        <v>407</v>
      </c>
      <c r="K404" s="40" t="s">
        <v>475</v>
      </c>
      <c r="L404" s="16">
        <f>COUNTIF($E$408:$E$524,1)</f>
        <v>2</v>
      </c>
      <c r="M404" s="16">
        <f>COUNTIF($E$408:$E$524,2)</f>
        <v>27</v>
      </c>
      <c r="N404" s="16">
        <f>COUNTIF($E$408:$E$524,3)</f>
        <v>29</v>
      </c>
      <c r="O404" s="16">
        <f>COUNTIF($E$408:$E$524,4)</f>
        <v>23</v>
      </c>
      <c r="P404" s="16">
        <f>COUNTIF($E$408:$E$524,5)</f>
        <v>4</v>
      </c>
      <c r="Q404" s="16">
        <f>COUNTIF($E$408:$E$524,6)</f>
        <v>32</v>
      </c>
      <c r="W404" s="40" t="s">
        <v>475</v>
      </c>
      <c r="X404" s="16">
        <f>COUNTIF($AD$408:$AD$524,1)</f>
        <v>2</v>
      </c>
      <c r="Y404" s="16">
        <f>COUNTIF($AD$408:$AD$524,2)</f>
        <v>23</v>
      </c>
      <c r="Z404" s="16">
        <f>COUNTIF($AD$408:$AD$524,3)</f>
        <v>28</v>
      </c>
      <c r="AA404" s="16">
        <f>COUNTIF($AD$408:$AD$524,4)</f>
        <v>24</v>
      </c>
      <c r="AB404" s="16">
        <f>COUNTIF($AD$408:$AD$524,5)</f>
        <v>4</v>
      </c>
      <c r="AC404" s="16">
        <f>COUNTIF($AD$408:$AD$524,6)</f>
        <v>36</v>
      </c>
      <c r="AF404" s="16">
        <f>COUNTIF($AL$408:$AL$524,1)</f>
        <v>2</v>
      </c>
      <c r="AG404" s="16">
        <f>COUNTIF($AL$408:$AL$524,2)</f>
        <v>25</v>
      </c>
      <c r="AH404" s="16">
        <f>COUNTIF($AL$408:$AL$524,3)</f>
        <v>29</v>
      </c>
      <c r="AI404" s="16">
        <f>COUNTIF($AL$408:$AL$524,4)</f>
        <v>23</v>
      </c>
      <c r="AJ404" s="16">
        <f>COUNTIF($AL$408:$AL$524,5)</f>
        <v>4</v>
      </c>
      <c r="AK404" s="16">
        <f>COUNTIF($AL$408:$AL$524,6)</f>
        <v>34</v>
      </c>
      <c r="AN404" s="16">
        <f>COUNTIF($AT$408:$AT$524,1)</f>
        <v>2</v>
      </c>
      <c r="AO404" s="16">
        <f>COUNTIF($AT$408:$AT$524,2)</f>
        <v>26</v>
      </c>
      <c r="AP404" s="16">
        <f>COUNTIF($AT$408:$AT$524,3)</f>
        <v>29</v>
      </c>
      <c r="AQ404" s="16">
        <f>COUNTIF($AT$408:$AT$524,4)</f>
        <v>23</v>
      </c>
      <c r="AR404" s="16">
        <f>COUNTIF($AT$408:$AT$524,5)</f>
        <v>4</v>
      </c>
      <c r="AS404" s="16">
        <f>COUNTIF($AT$408:$AT$524,6)</f>
        <v>33</v>
      </c>
      <c r="AV404" s="16">
        <f>COUNTIF($BB$408:$BB$524,1)</f>
        <v>2</v>
      </c>
      <c r="AW404" s="16">
        <f>COUNTIF($BB$408:$BB$524,2)</f>
        <v>27</v>
      </c>
      <c r="AX404" s="16">
        <f>COUNTIF($BB$408:$BB$524,3)</f>
        <v>29</v>
      </c>
      <c r="AY404" s="16">
        <f>COUNTIF($BB$408:$BB$524,4)</f>
        <v>23</v>
      </c>
      <c r="AZ404" s="16">
        <f>COUNTIF($BB$408:$BB$524,5)</f>
        <v>4</v>
      </c>
      <c r="BA404" s="16">
        <f>COUNTIF($BB$408:$BB$524,6)</f>
        <v>32</v>
      </c>
      <c r="BD404" s="16">
        <f>COUNTIF($BJ$408:$BJ$524,1)</f>
        <v>2</v>
      </c>
      <c r="BE404" s="16">
        <f>COUNTIF($BJ$408:$BJ$524,2)</f>
        <v>27</v>
      </c>
      <c r="BF404" s="16">
        <f>COUNTIF($BJ$408:$BJ$524,3)</f>
        <v>29</v>
      </c>
      <c r="BG404" s="16">
        <f>COUNTIF($BJ$408:$BJ$524,4)</f>
        <v>23</v>
      </c>
      <c r="BH404" s="16">
        <f>COUNTIF($BJ$408:$BJ$524,5)</f>
        <v>4</v>
      </c>
      <c r="BI404" s="16">
        <f>COUNTIF($BJ$408:$BJ$524,6)</f>
        <v>32</v>
      </c>
      <c r="BL404" s="16">
        <f>COUNTIF($BR$408:$BR$524,1)</f>
        <v>2</v>
      </c>
      <c r="BM404" s="16">
        <f>COUNTIF($BR$408:$BR$524,2)</f>
        <v>27</v>
      </c>
      <c r="BN404" s="16">
        <f>COUNTIF($BR$408:$BR$524,3)</f>
        <v>29</v>
      </c>
      <c r="BO404" s="16">
        <f>COUNTIF($BR$408:$BR$524,4)</f>
        <v>23</v>
      </c>
      <c r="BP404" s="16">
        <f>COUNTIF($BR$408:$BR$524,5)</f>
        <v>4</v>
      </c>
      <c r="BQ404" s="16">
        <f>COUNTIF($BR$408:$BR$524,6)</f>
        <v>32</v>
      </c>
      <c r="BT404" s="16">
        <f>COUNTIF($BZ$408:$BZ$524,1)</f>
        <v>2</v>
      </c>
      <c r="BU404" s="16">
        <f>COUNTIF($BZ$408:$BZ$524,2)</f>
        <v>27</v>
      </c>
      <c r="BV404" s="16">
        <f>COUNTIF($BZ$408:$BZ$524,3)</f>
        <v>29</v>
      </c>
      <c r="BW404" s="16">
        <f>COUNTIF($BZ$408:$BZ$524,4)</f>
        <v>23</v>
      </c>
      <c r="BX404" s="16">
        <f>COUNTIF($BZ$408:$BZ$524,5)</f>
        <v>4</v>
      </c>
      <c r="BY404" s="16">
        <f>COUNTIF($BZ$408:$BZ$524,6)</f>
        <v>32</v>
      </c>
      <c r="CB404" s="16">
        <f>COUNTIF($CH$408:$CH$524,1)</f>
        <v>2</v>
      </c>
      <c r="CC404" s="16">
        <f>COUNTIF($CH$408:$CH$524,2)</f>
        <v>27</v>
      </c>
      <c r="CD404" s="16">
        <f>COUNTIF($CH$408:$CH$524,3)</f>
        <v>29</v>
      </c>
      <c r="CE404" s="16">
        <f>COUNTIF($CH$408:$CH$524,4)</f>
        <v>23</v>
      </c>
      <c r="CF404" s="16">
        <f>COUNTIF($CH$408:$CH$524,5)</f>
        <v>4</v>
      </c>
      <c r="CG404" s="16">
        <f>COUNTIF($CH$408:$CH$524,6)</f>
        <v>32</v>
      </c>
      <c r="CJ404" s="16">
        <f>COUNTIF($CP$408:$CP$524,1)</f>
        <v>2</v>
      </c>
      <c r="CK404" s="16">
        <f>COUNTIF($CP$408:$CP$524,2)</f>
        <v>27</v>
      </c>
      <c r="CL404" s="16">
        <f>COUNTIF($CP$408:$CP$524,3)</f>
        <v>29</v>
      </c>
      <c r="CM404" s="16">
        <f>COUNTIF($CP$408:$CP$524,4)</f>
        <v>23</v>
      </c>
      <c r="CN404" s="16">
        <f>COUNTIF($CP$408:$CP$524,5)</f>
        <v>4</v>
      </c>
      <c r="CO404" s="16">
        <f>COUNTIF($CP$408:$CP$524,6)</f>
        <v>32</v>
      </c>
      <c r="CR404" s="16">
        <f>COUNTIF($CX$408:$CX$524,1)</f>
        <v>2</v>
      </c>
      <c r="CS404" s="16">
        <f>COUNTIF($CX$408:$CX$524,2)</f>
        <v>27</v>
      </c>
      <c r="CT404" s="16">
        <f>COUNTIF($CX$408:$CX$524,3)</f>
        <v>29</v>
      </c>
      <c r="CU404" s="16">
        <f>COUNTIF($CX$408:$CX$524,4)</f>
        <v>23</v>
      </c>
      <c r="CV404" s="16">
        <f>COUNTIF($CX$408:$CX$524,5)</f>
        <v>4</v>
      </c>
      <c r="CW404" s="16">
        <f>COUNTIF($CX$408:$CX$524,6)</f>
        <v>32</v>
      </c>
      <c r="CZ404" s="16">
        <f>COUNTIF($DF$408:$DF$524,1)</f>
        <v>2</v>
      </c>
      <c r="DA404" s="16">
        <f>COUNTIF($DF$408:$DF$524,2)</f>
        <v>27</v>
      </c>
      <c r="DB404" s="16">
        <f>COUNTIF($DF$408:$DF$524,3)</f>
        <v>29</v>
      </c>
      <c r="DC404" s="16">
        <f>COUNTIF($DF$408:$DF$524,4)</f>
        <v>23</v>
      </c>
      <c r="DD404" s="16">
        <f>COUNTIF($DF$408:$DF$524,5)</f>
        <v>4</v>
      </c>
      <c r="DE404" s="16">
        <f>COUNTIF($DF$408:$DF$524,6)</f>
        <v>32</v>
      </c>
      <c r="DH404" s="16">
        <f>COUNTIF($DN$408:$DN$524,1)</f>
        <v>2</v>
      </c>
      <c r="DI404" s="16">
        <f>COUNTIF($DN$408:$DN$524,2)</f>
        <v>27</v>
      </c>
      <c r="DJ404" s="16">
        <f>COUNTIF($DN$408:$DN$524,3)</f>
        <v>29</v>
      </c>
      <c r="DK404" s="16">
        <f>COUNTIF($DN$408:$DN$524,4)</f>
        <v>23</v>
      </c>
      <c r="DL404" s="16">
        <f>COUNTIF($DN$408:$DN$524,5)</f>
        <v>4</v>
      </c>
      <c r="DM404" s="16">
        <f>COUNTIF($DN$408:$DN$524,6)</f>
        <v>32</v>
      </c>
    </row>
    <row r="405" spans="1:118" x14ac:dyDescent="0.25">
      <c r="K405" s="40" t="s">
        <v>476</v>
      </c>
      <c r="L405" s="18">
        <f>SUMIF($E$408:$E$524,1,$F$408:$F$524)</f>
        <v>0.17095891751340966</v>
      </c>
      <c r="M405" s="18">
        <f>SUMIF($E$408:$E$524,2,$F$408:$F$524)</f>
        <v>6.8239649077614706</v>
      </c>
      <c r="N405" s="18">
        <f>SUMIF($E$408:$E$524,3,$F$408:$F$524)</f>
        <v>13.486641115190501</v>
      </c>
      <c r="O405" s="18">
        <f>SUMIF($E$408:$E$524,4,$F$408:$F$524)</f>
        <v>8.7680664538622128</v>
      </c>
      <c r="P405" s="18">
        <f>SUMIF($E$408:$E$524,5,$F$408:$F$524)</f>
        <v>2.4178613013729007</v>
      </c>
      <c r="Q405" s="18">
        <f>SUMIF($E$408:$E$524,6,$F$408:$F$524)</f>
        <v>13.334412693904408</v>
      </c>
      <c r="W405" s="40" t="s">
        <v>477</v>
      </c>
      <c r="AD405" s="13" t="s">
        <v>478</v>
      </c>
      <c r="AL405" s="16">
        <f>SUMPRODUCT(--($AL$408:$AL$524&lt;&gt;$AD$408:$AD$524))</f>
        <v>5</v>
      </c>
      <c r="AT405" s="16">
        <f>SUMPRODUCT(--($AT$408:$AT$524&lt;&gt;$AL$408:$AL$524))</f>
        <v>1</v>
      </c>
      <c r="BB405" s="16">
        <f>SUMPRODUCT(--($BB$408:$BB$524&lt;&gt;$AT$408:$AT$524))</f>
        <v>1</v>
      </c>
      <c r="BJ405" s="16">
        <f>SUMPRODUCT(--($BJ$408:$BJ$524&lt;&gt;$BB$408:$BB$524))</f>
        <v>0</v>
      </c>
      <c r="BR405" s="16">
        <f>SUMPRODUCT(--($BR$408:$BR$524&lt;&gt;$BJ$408:$BJ$524))</f>
        <v>0</v>
      </c>
      <c r="BZ405" s="16">
        <f>SUMPRODUCT(--($BZ$408:$BZ$524&lt;&gt;$BR$408:$BR$524))</f>
        <v>0</v>
      </c>
      <c r="CH405" s="16">
        <f>SUMPRODUCT(--($CH$408:$CH$524&lt;&gt;$BZ$408:$BZ$524))</f>
        <v>0</v>
      </c>
      <c r="CP405" s="16">
        <f>SUMPRODUCT(--($CP$408:$CP$524&lt;&gt;$CH$408:$CH$524))</f>
        <v>0</v>
      </c>
      <c r="CX405" s="16">
        <f>SUMPRODUCT(--($CX$408:$CX$524&lt;&gt;$CP$408:$CP$524))</f>
        <v>0</v>
      </c>
      <c r="DF405" s="16">
        <f>SUMPRODUCT(--($DF$408:$DF$524&lt;&gt;$CX$408:$CX$524))</f>
        <v>0</v>
      </c>
      <c r="DN405" s="16">
        <f>SUMPRODUCT(--($DN$408:$DN$524&lt;&gt;$DF$408:$DF$524))</f>
        <v>0</v>
      </c>
    </row>
    <row r="406" spans="1:118" x14ac:dyDescent="0.25">
      <c r="K406" s="40" t="s">
        <v>270</v>
      </c>
      <c r="L406" s="57">
        <f>SUM($F$408:$F$524)</f>
        <v>45.001905389604893</v>
      </c>
      <c r="M406" s="40" t="s">
        <v>52</v>
      </c>
      <c r="N406" s="36" t="str">
        <f>IF(DN405=0,"Converged","Not converged: more iterations needed")</f>
        <v>Converged</v>
      </c>
    </row>
    <row r="407" spans="1:118" ht="31.5" customHeight="1" x14ac:dyDescent="0.25">
      <c r="A407" s="11" t="s">
        <v>89</v>
      </c>
      <c r="B407" s="11" t="s">
        <v>445</v>
      </c>
      <c r="C407" s="11" t="s">
        <v>446</v>
      </c>
      <c r="D407" s="11" t="s">
        <v>447</v>
      </c>
      <c r="E407" s="11" t="s">
        <v>451</v>
      </c>
      <c r="F407" s="11" t="s">
        <v>500</v>
      </c>
      <c r="G407" s="11" t="s">
        <v>481</v>
      </c>
      <c r="H407" s="11" t="s">
        <v>482</v>
      </c>
      <c r="I407" s="11" t="s">
        <v>483</v>
      </c>
      <c r="X407" s="11" t="s">
        <v>484</v>
      </c>
      <c r="Y407" s="11" t="s">
        <v>485</v>
      </c>
      <c r="Z407" s="11" t="s">
        <v>486</v>
      </c>
      <c r="AA407" s="11" t="s">
        <v>503</v>
      </c>
      <c r="AB407" s="11" t="s">
        <v>506</v>
      </c>
      <c r="AC407" s="11" t="s">
        <v>509</v>
      </c>
      <c r="AD407" s="11" t="s">
        <v>451</v>
      </c>
      <c r="AF407" s="11" t="s">
        <v>484</v>
      </c>
      <c r="AG407" s="11" t="s">
        <v>485</v>
      </c>
      <c r="AH407" s="11" t="s">
        <v>486</v>
      </c>
      <c r="AI407" s="11" t="s">
        <v>503</v>
      </c>
      <c r="AJ407" s="11" t="s">
        <v>506</v>
      </c>
      <c r="AK407" s="11" t="s">
        <v>509</v>
      </c>
      <c r="AL407" s="11" t="s">
        <v>451</v>
      </c>
      <c r="AN407" s="11" t="s">
        <v>484</v>
      </c>
      <c r="AO407" s="11" t="s">
        <v>485</v>
      </c>
      <c r="AP407" s="11" t="s">
        <v>486</v>
      </c>
      <c r="AQ407" s="11" t="s">
        <v>503</v>
      </c>
      <c r="AR407" s="11" t="s">
        <v>506</v>
      </c>
      <c r="AS407" s="11" t="s">
        <v>509</v>
      </c>
      <c r="AT407" s="11" t="s">
        <v>451</v>
      </c>
      <c r="AV407" s="11" t="s">
        <v>484</v>
      </c>
      <c r="AW407" s="11" t="s">
        <v>485</v>
      </c>
      <c r="AX407" s="11" t="s">
        <v>486</v>
      </c>
      <c r="AY407" s="11" t="s">
        <v>503</v>
      </c>
      <c r="AZ407" s="11" t="s">
        <v>506</v>
      </c>
      <c r="BA407" s="11" t="s">
        <v>509</v>
      </c>
      <c r="BB407" s="11" t="s">
        <v>451</v>
      </c>
      <c r="BD407" s="11" t="s">
        <v>484</v>
      </c>
      <c r="BE407" s="11" t="s">
        <v>485</v>
      </c>
      <c r="BF407" s="11" t="s">
        <v>486</v>
      </c>
      <c r="BG407" s="11" t="s">
        <v>503</v>
      </c>
      <c r="BH407" s="11" t="s">
        <v>506</v>
      </c>
      <c r="BI407" s="11" t="s">
        <v>509</v>
      </c>
      <c r="BJ407" s="11" t="s">
        <v>451</v>
      </c>
      <c r="BL407" s="11" t="s">
        <v>484</v>
      </c>
      <c r="BM407" s="11" t="s">
        <v>485</v>
      </c>
      <c r="BN407" s="11" t="s">
        <v>486</v>
      </c>
      <c r="BO407" s="11" t="s">
        <v>503</v>
      </c>
      <c r="BP407" s="11" t="s">
        <v>506</v>
      </c>
      <c r="BQ407" s="11" t="s">
        <v>509</v>
      </c>
      <c r="BR407" s="11" t="s">
        <v>451</v>
      </c>
      <c r="BT407" s="11" t="s">
        <v>484</v>
      </c>
      <c r="BU407" s="11" t="s">
        <v>485</v>
      </c>
      <c r="BV407" s="11" t="s">
        <v>486</v>
      </c>
      <c r="BW407" s="11" t="s">
        <v>503</v>
      </c>
      <c r="BX407" s="11" t="s">
        <v>506</v>
      </c>
      <c r="BY407" s="11" t="s">
        <v>509</v>
      </c>
      <c r="BZ407" s="11" t="s">
        <v>451</v>
      </c>
      <c r="CB407" s="11" t="s">
        <v>484</v>
      </c>
      <c r="CC407" s="11" t="s">
        <v>485</v>
      </c>
      <c r="CD407" s="11" t="s">
        <v>486</v>
      </c>
      <c r="CE407" s="11" t="s">
        <v>503</v>
      </c>
      <c r="CF407" s="11" t="s">
        <v>506</v>
      </c>
      <c r="CG407" s="11" t="s">
        <v>509</v>
      </c>
      <c r="CH407" s="11" t="s">
        <v>451</v>
      </c>
      <c r="CJ407" s="11" t="s">
        <v>484</v>
      </c>
      <c r="CK407" s="11" t="s">
        <v>485</v>
      </c>
      <c r="CL407" s="11" t="s">
        <v>486</v>
      </c>
      <c r="CM407" s="11" t="s">
        <v>503</v>
      </c>
      <c r="CN407" s="11" t="s">
        <v>506</v>
      </c>
      <c r="CO407" s="11" t="s">
        <v>509</v>
      </c>
      <c r="CP407" s="11" t="s">
        <v>451</v>
      </c>
      <c r="CR407" s="11" t="s">
        <v>484</v>
      </c>
      <c r="CS407" s="11" t="s">
        <v>485</v>
      </c>
      <c r="CT407" s="11" t="s">
        <v>486</v>
      </c>
      <c r="CU407" s="11" t="s">
        <v>503</v>
      </c>
      <c r="CV407" s="11" t="s">
        <v>506</v>
      </c>
      <c r="CW407" s="11" t="s">
        <v>509</v>
      </c>
      <c r="CX407" s="11" t="s">
        <v>451</v>
      </c>
      <c r="CZ407" s="11" t="s">
        <v>484</v>
      </c>
      <c r="DA407" s="11" t="s">
        <v>485</v>
      </c>
      <c r="DB407" s="11" t="s">
        <v>486</v>
      </c>
      <c r="DC407" s="11" t="s">
        <v>503</v>
      </c>
      <c r="DD407" s="11" t="s">
        <v>506</v>
      </c>
      <c r="DE407" s="11" t="s">
        <v>509</v>
      </c>
      <c r="DF407" s="11" t="s">
        <v>451</v>
      </c>
      <c r="DH407" s="11" t="s">
        <v>484</v>
      </c>
      <c r="DI407" s="11" t="s">
        <v>485</v>
      </c>
      <c r="DJ407" s="11" t="s">
        <v>486</v>
      </c>
      <c r="DK407" s="11" t="s">
        <v>503</v>
      </c>
      <c r="DL407" s="11" t="s">
        <v>506</v>
      </c>
      <c r="DM407" s="11" t="s">
        <v>509</v>
      </c>
      <c r="DN407" s="11" t="s">
        <v>451</v>
      </c>
    </row>
    <row r="408" spans="1:118" x14ac:dyDescent="0.25">
      <c r="A408" s="36" t="str">
        <f>KMeans_Data!A5</f>
        <v>Karachi</v>
      </c>
      <c r="B408" s="18">
        <f>KMeans_Data!H5</f>
        <v>3.2743087782752069</v>
      </c>
      <c r="C408" s="18">
        <f>KMeans_Data!I5</f>
        <v>4.0388517969113016</v>
      </c>
      <c r="D408" s="18">
        <f>KMeans_Data!J5</f>
        <v>3.2527128596020467</v>
      </c>
      <c r="E408" s="56">
        <f t="shared" ref="E408:E439" si="456">DN408</f>
        <v>1</v>
      </c>
      <c r="F408" s="38">
        <f t="shared" ref="F408:F439" si="457">($B408-INDEX($L$401:$Q$401,E408))^2+($C408-INDEX($L$402:$Q$402,E408))^2+($D408-INDEX($L$403:$Q$403,E408))^2</f>
        <v>8.5479458756704832E-2</v>
      </c>
      <c r="G408" s="18">
        <f>IF(COUNTIF(Distance_Matrix!$E$12:$DQ$12,$E408)&lt;=1,0,SUMIF(Distance_Matrix!$E$12:$DQ$12,$E408,Distance_Matrix!$E$14:$DQ$14)/(COUNTIF(Distance_Matrix!$E$12:$DQ$12,$E408)-1))</f>
        <v>0.58473740689887399</v>
      </c>
      <c r="H408" s="18">
        <f>MIN(IF(1=$E408,1E+99,IF(COUNTIF(Distance_Matrix!$E$12:$DQ$12,1)=0,1E+99,SUMIF(Distance_Matrix!$E$12:$DQ$12,1,Distance_Matrix!$E$14:$DQ$14)/COUNTIF(Distance_Matrix!$E$12:$DQ$12,1))),IF(2=$E408,1E+99,IF(COUNTIF(Distance_Matrix!$E$12:$DQ$12,2)=0,1E+99,SUMIF(Distance_Matrix!$E$12:$DQ$12,2,Distance_Matrix!$E$14:$DQ$14)/COUNTIF(Distance_Matrix!$E$12:$DQ$12,2))),IF(3=$E408,1E+99,IF(COUNTIF(Distance_Matrix!$E$12:$DQ$12,3)=0,1E+99,SUMIF(Distance_Matrix!$E$12:$DQ$12,3,Distance_Matrix!$E$14:$DQ$14)/COUNTIF(Distance_Matrix!$E$12:$DQ$12,3))),IF(4=$E408,1E+99,IF(COUNTIF(Distance_Matrix!$E$12:$DQ$12,4)=0,1E+99,SUMIF(Distance_Matrix!$E$12:$DQ$12,4,Distance_Matrix!$E$14:$DQ$14)/COUNTIF(Distance_Matrix!$E$12:$DQ$12,4))),IF(5=$E408,1E+99,IF(COUNTIF(Distance_Matrix!$E$12:$DQ$12,5)=0,1E+99,SUMIF(Distance_Matrix!$E$12:$DQ$12,5,Distance_Matrix!$E$14:$DQ$14)/COUNTIF(Distance_Matrix!$E$12:$DQ$12,5))),IF(6=$E408,1E+99,IF(COUNTIF(Distance_Matrix!$E$12:$DQ$12,6)=0,1E+99,SUMIF(Distance_Matrix!$E$12:$DQ$12,6,Distance_Matrix!$E$14:$DQ$14)/COUNTIF(Distance_Matrix!$E$12:$DQ$12,6))))</f>
        <v>2.4844890984326269</v>
      </c>
      <c r="I408" s="18">
        <f>IF(COUNTIF(Distance_Matrix!$E$12:$DQ$12,$E408)&lt;=1,0,(H408-G408)/MAX(G408,H408))</f>
        <v>0.76464480875856389</v>
      </c>
      <c r="X408" s="18">
        <f t="shared" ref="X408:AC417" si="458">SQRT(($B408-X$401)^2+($C408-X$402)^2+($D408-X$403)^2)</f>
        <v>0</v>
      </c>
      <c r="Y408" s="18">
        <f t="shared" si="458"/>
        <v>8.3791178007212217</v>
      </c>
      <c r="Z408" s="18">
        <f t="shared" si="458"/>
        <v>4.6451579272007946</v>
      </c>
      <c r="AA408" s="18">
        <f t="shared" si="458"/>
        <v>6.6163799696290333</v>
      </c>
      <c r="AB408" s="18">
        <f t="shared" si="458"/>
        <v>2.1556297504391493</v>
      </c>
      <c r="AC408" s="18">
        <f t="shared" si="458"/>
        <v>6.3444455343865602</v>
      </c>
      <c r="AD408" s="56">
        <f t="shared" ref="AD408:AD439" si="459">MATCH(MIN(X408:AC408),X408:AC408,0)</f>
        <v>1</v>
      </c>
      <c r="AF408" s="18">
        <f t="shared" ref="AF408:AK417" si="460">SQRT(($B408-AF$401)^2+($C408-AF$402)^2+($D408-AF$403)^2)</f>
        <v>0.292368703449437</v>
      </c>
      <c r="AG408" s="18">
        <f t="shared" si="460"/>
        <v>7.8743478418306845</v>
      </c>
      <c r="AH408" s="18">
        <f t="shared" si="460"/>
        <v>4.6722114382345632</v>
      </c>
      <c r="AI408" s="18">
        <f t="shared" si="460"/>
        <v>6.9007585351503948</v>
      </c>
      <c r="AJ408" s="18">
        <f t="shared" si="460"/>
        <v>2.4065041446740785</v>
      </c>
      <c r="AK408" s="18">
        <f t="shared" si="460"/>
        <v>6.4519927689296619</v>
      </c>
      <c r="AL408" s="56">
        <f t="shared" ref="AL408:AL439" si="461">MATCH(MIN(AF408:AK408),AF408:AK408,0)</f>
        <v>1</v>
      </c>
      <c r="AN408" s="18">
        <f t="shared" ref="AN408:AS417" si="462">SQRT(($B408-AN$401)^2+($C408-AN$402)^2+($D408-AN$403)^2)</f>
        <v>0.292368703449437</v>
      </c>
      <c r="AO408" s="18">
        <f t="shared" si="462"/>
        <v>7.8385804968249717</v>
      </c>
      <c r="AP408" s="18">
        <f t="shared" si="462"/>
        <v>4.7015287272568553</v>
      </c>
      <c r="AQ408" s="18">
        <f t="shared" si="462"/>
        <v>6.9269490517307917</v>
      </c>
      <c r="AR408" s="18">
        <f t="shared" si="462"/>
        <v>2.4065041446740785</v>
      </c>
      <c r="AS408" s="18">
        <f t="shared" si="462"/>
        <v>6.4158529941364915</v>
      </c>
      <c r="AT408" s="56">
        <f t="shared" ref="AT408:AT439" si="463">MATCH(MIN(AN408:AS408),AN408:AS408,0)</f>
        <v>1</v>
      </c>
      <c r="AV408" s="18">
        <f t="shared" ref="AV408:BA417" si="464">SQRT(($B408-AV$401)^2+($C408-AV$402)^2+($D408-AV$403)^2)</f>
        <v>0.292368703449437</v>
      </c>
      <c r="AW408" s="18">
        <f t="shared" si="464"/>
        <v>7.813801708018242</v>
      </c>
      <c r="AX408" s="18">
        <f t="shared" si="464"/>
        <v>4.7015287272568553</v>
      </c>
      <c r="AY408" s="18">
        <f t="shared" si="464"/>
        <v>6.9269490517307917</v>
      </c>
      <c r="AZ408" s="18">
        <f t="shared" si="464"/>
        <v>2.4065041446740785</v>
      </c>
      <c r="BA408" s="18">
        <f t="shared" si="464"/>
        <v>6.3919760193825752</v>
      </c>
      <c r="BB408" s="56">
        <f t="shared" ref="BB408:BB439" si="465">MATCH(MIN(AV408:BA408),AV408:BA408,0)</f>
        <v>1</v>
      </c>
      <c r="BD408" s="18">
        <f t="shared" ref="BD408:BI417" si="466">SQRT(($B408-BD$401)^2+($C408-BD$402)^2+($D408-BD$403)^2)</f>
        <v>0.292368703449437</v>
      </c>
      <c r="BE408" s="18">
        <f t="shared" si="466"/>
        <v>7.790161333950385</v>
      </c>
      <c r="BF408" s="18">
        <f t="shared" si="466"/>
        <v>4.7015287272568553</v>
      </c>
      <c r="BG408" s="18">
        <f t="shared" si="466"/>
        <v>6.9269490517307917</v>
      </c>
      <c r="BH408" s="18">
        <f t="shared" si="466"/>
        <v>2.4065041446740785</v>
      </c>
      <c r="BI408" s="18">
        <f t="shared" si="466"/>
        <v>6.3671108801981786</v>
      </c>
      <c r="BJ408" s="56">
        <f t="shared" ref="BJ408:BJ439" si="467">MATCH(MIN(BD408:BI408),BD408:BI408,0)</f>
        <v>1</v>
      </c>
      <c r="BL408" s="18">
        <f t="shared" ref="BL408:BQ417" si="468">SQRT(($B408-BL$401)^2+($C408-BL$402)^2+($D408-BL$403)^2)</f>
        <v>0.292368703449437</v>
      </c>
      <c r="BM408" s="18">
        <f t="shared" si="468"/>
        <v>7.790161333950385</v>
      </c>
      <c r="BN408" s="18">
        <f t="shared" si="468"/>
        <v>4.7015287272568553</v>
      </c>
      <c r="BO408" s="18">
        <f t="shared" si="468"/>
        <v>6.9269490517307917</v>
      </c>
      <c r="BP408" s="18">
        <f t="shared" si="468"/>
        <v>2.4065041446740785</v>
      </c>
      <c r="BQ408" s="18">
        <f t="shared" si="468"/>
        <v>6.3671108801981786</v>
      </c>
      <c r="BR408" s="56">
        <f t="shared" ref="BR408:BR439" si="469">MATCH(MIN(BL408:BQ408),BL408:BQ408,0)</f>
        <v>1</v>
      </c>
      <c r="BT408" s="18">
        <f t="shared" ref="BT408:BY417" si="470">SQRT(($B408-BT$401)^2+($C408-BT$402)^2+($D408-BT$403)^2)</f>
        <v>0.292368703449437</v>
      </c>
      <c r="BU408" s="18">
        <f t="shared" si="470"/>
        <v>7.790161333950385</v>
      </c>
      <c r="BV408" s="18">
        <f t="shared" si="470"/>
        <v>4.7015287272568553</v>
      </c>
      <c r="BW408" s="18">
        <f t="shared" si="470"/>
        <v>6.9269490517307917</v>
      </c>
      <c r="BX408" s="18">
        <f t="shared" si="470"/>
        <v>2.4065041446740785</v>
      </c>
      <c r="BY408" s="18">
        <f t="shared" si="470"/>
        <v>6.3671108801981786</v>
      </c>
      <c r="BZ408" s="56">
        <f t="shared" ref="BZ408:BZ439" si="471">MATCH(MIN(BT408:BY408),BT408:BY408,0)</f>
        <v>1</v>
      </c>
      <c r="CB408" s="18">
        <f t="shared" ref="CB408:CG417" si="472">SQRT(($B408-CB$401)^2+($C408-CB$402)^2+($D408-CB$403)^2)</f>
        <v>0.292368703449437</v>
      </c>
      <c r="CC408" s="18">
        <f t="shared" si="472"/>
        <v>7.790161333950385</v>
      </c>
      <c r="CD408" s="18">
        <f t="shared" si="472"/>
        <v>4.7015287272568553</v>
      </c>
      <c r="CE408" s="18">
        <f t="shared" si="472"/>
        <v>6.9269490517307917</v>
      </c>
      <c r="CF408" s="18">
        <f t="shared" si="472"/>
        <v>2.4065041446740785</v>
      </c>
      <c r="CG408" s="18">
        <f t="shared" si="472"/>
        <v>6.3671108801981786</v>
      </c>
      <c r="CH408" s="56">
        <f t="shared" ref="CH408:CH439" si="473">MATCH(MIN(CB408:CG408),CB408:CG408,0)</f>
        <v>1</v>
      </c>
      <c r="CJ408" s="18">
        <f t="shared" ref="CJ408:CO417" si="474">SQRT(($B408-CJ$401)^2+($C408-CJ$402)^2+($D408-CJ$403)^2)</f>
        <v>0.292368703449437</v>
      </c>
      <c r="CK408" s="18">
        <f t="shared" si="474"/>
        <v>7.790161333950385</v>
      </c>
      <c r="CL408" s="18">
        <f t="shared" si="474"/>
        <v>4.7015287272568553</v>
      </c>
      <c r="CM408" s="18">
        <f t="shared" si="474"/>
        <v>6.9269490517307917</v>
      </c>
      <c r="CN408" s="18">
        <f t="shared" si="474"/>
        <v>2.4065041446740785</v>
      </c>
      <c r="CO408" s="18">
        <f t="shared" si="474"/>
        <v>6.3671108801981786</v>
      </c>
      <c r="CP408" s="56">
        <f t="shared" ref="CP408:CP439" si="475">MATCH(MIN(CJ408:CO408),CJ408:CO408,0)</f>
        <v>1</v>
      </c>
      <c r="CR408" s="18">
        <f t="shared" ref="CR408:CW417" si="476">SQRT(($B408-CR$401)^2+($C408-CR$402)^2+($D408-CR$403)^2)</f>
        <v>0.292368703449437</v>
      </c>
      <c r="CS408" s="18">
        <f t="shared" si="476"/>
        <v>7.790161333950385</v>
      </c>
      <c r="CT408" s="18">
        <f t="shared" si="476"/>
        <v>4.7015287272568553</v>
      </c>
      <c r="CU408" s="18">
        <f t="shared" si="476"/>
        <v>6.9269490517307917</v>
      </c>
      <c r="CV408" s="18">
        <f t="shared" si="476"/>
        <v>2.4065041446740785</v>
      </c>
      <c r="CW408" s="18">
        <f t="shared" si="476"/>
        <v>6.3671108801981786</v>
      </c>
      <c r="CX408" s="56">
        <f t="shared" ref="CX408:CX439" si="477">MATCH(MIN(CR408:CW408),CR408:CW408,0)</f>
        <v>1</v>
      </c>
      <c r="CZ408" s="18">
        <f t="shared" ref="CZ408:DE417" si="478">SQRT(($B408-CZ$401)^2+($C408-CZ$402)^2+($D408-CZ$403)^2)</f>
        <v>0.292368703449437</v>
      </c>
      <c r="DA408" s="18">
        <f t="shared" si="478"/>
        <v>7.790161333950385</v>
      </c>
      <c r="DB408" s="18">
        <f t="shared" si="478"/>
        <v>4.7015287272568553</v>
      </c>
      <c r="DC408" s="18">
        <f t="shared" si="478"/>
        <v>6.9269490517307917</v>
      </c>
      <c r="DD408" s="18">
        <f t="shared" si="478"/>
        <v>2.4065041446740785</v>
      </c>
      <c r="DE408" s="18">
        <f t="shared" si="478"/>
        <v>6.3671108801981786</v>
      </c>
      <c r="DF408" s="56">
        <f t="shared" ref="DF408:DF439" si="479">MATCH(MIN(CZ408:DE408),CZ408:DE408,0)</f>
        <v>1</v>
      </c>
      <c r="DH408" s="18">
        <f t="shared" ref="DH408:DM417" si="480">SQRT(($B408-DH$401)^2+($C408-DH$402)^2+($D408-DH$403)^2)</f>
        <v>0.292368703449437</v>
      </c>
      <c r="DI408" s="18">
        <f t="shared" si="480"/>
        <v>7.790161333950385</v>
      </c>
      <c r="DJ408" s="18">
        <f t="shared" si="480"/>
        <v>4.7015287272568553</v>
      </c>
      <c r="DK408" s="18">
        <f t="shared" si="480"/>
        <v>6.9269490517307917</v>
      </c>
      <c r="DL408" s="18">
        <f t="shared" si="480"/>
        <v>2.4065041446740785</v>
      </c>
      <c r="DM408" s="18">
        <f t="shared" si="480"/>
        <v>6.3671108801981786</v>
      </c>
      <c r="DN408" s="56">
        <f t="shared" ref="DN408:DN439" si="481">MATCH(MIN(DH408:DM408),DH408:DM408,0)</f>
        <v>1</v>
      </c>
    </row>
    <row r="409" spans="1:118" x14ac:dyDescent="0.25">
      <c r="A409" s="36" t="str">
        <f>KMeans_Data!A6</f>
        <v>Lahore</v>
      </c>
      <c r="B409" s="18">
        <f>KMeans_Data!H6</f>
        <v>3.2501513961754349</v>
      </c>
      <c r="C409" s="18">
        <f>KMeans_Data!I6</f>
        <v>4.1568410370911772</v>
      </c>
      <c r="D409" s="18">
        <f>KMeans_Data!J6</f>
        <v>2.680512898820258</v>
      </c>
      <c r="E409" s="56">
        <f t="shared" si="456"/>
        <v>1</v>
      </c>
      <c r="F409" s="38">
        <f t="shared" si="457"/>
        <v>8.5479458756704832E-2</v>
      </c>
      <c r="G409" s="18">
        <f>IF(COUNTIF(Distance_Matrix!$E$12:$DQ$12,$E409)&lt;=1,0,SUMIF(Distance_Matrix!$E$12:$DQ$12,$E409,Distance_Matrix!$E$15:$DQ$15)/(COUNTIF(Distance_Matrix!$E$12:$DQ$12,$E409)-1))</f>
        <v>0.58473740689887399</v>
      </c>
      <c r="H409" s="18">
        <f>MIN(IF(1=$E409,1E+99,IF(COUNTIF(Distance_Matrix!$E$12:$DQ$12,1)=0,1E+99,SUMIF(Distance_Matrix!$E$12:$DQ$12,1,Distance_Matrix!$E$15:$DQ$15)/COUNTIF(Distance_Matrix!$E$12:$DQ$12,1))),IF(2=$E409,1E+99,IF(COUNTIF(Distance_Matrix!$E$12:$DQ$12,2)=0,1E+99,SUMIF(Distance_Matrix!$E$12:$DQ$12,2,Distance_Matrix!$E$15:$DQ$15)/COUNTIF(Distance_Matrix!$E$12:$DQ$12,2))),IF(3=$E409,1E+99,IF(COUNTIF(Distance_Matrix!$E$12:$DQ$12,3)=0,1E+99,SUMIF(Distance_Matrix!$E$12:$DQ$12,3,Distance_Matrix!$E$15:$DQ$15)/COUNTIF(Distance_Matrix!$E$12:$DQ$12,3))),IF(4=$E409,1E+99,IF(COUNTIF(Distance_Matrix!$E$12:$DQ$12,4)=0,1E+99,SUMIF(Distance_Matrix!$E$12:$DQ$12,4,Distance_Matrix!$E$15:$DQ$15)/COUNTIF(Distance_Matrix!$E$12:$DQ$12,4))),IF(5=$E409,1E+99,IF(COUNTIF(Distance_Matrix!$E$12:$DQ$12,5)=0,1E+99,SUMIF(Distance_Matrix!$E$12:$DQ$12,5,Distance_Matrix!$E$15:$DQ$15)/COUNTIF(Distance_Matrix!$E$12:$DQ$12,5))),IF(6=$E409,1E+99,IF(COUNTIF(Distance_Matrix!$E$12:$DQ$12,6)=0,1E+99,SUMIF(Distance_Matrix!$E$12:$DQ$12,6,Distance_Matrix!$E$15:$DQ$15)/COUNTIF(Distance_Matrix!$E$12:$DQ$12,6))))</f>
        <v>2.2557697826444318</v>
      </c>
      <c r="I409" s="18">
        <f>IF(COUNTIF(Distance_Matrix!$E$12:$DQ$12,$E409)&lt;=1,0,(H409-G409)/MAX(G409,H409))</f>
        <v>0.74078143461369172</v>
      </c>
      <c r="X409" s="18">
        <f t="shared" si="458"/>
        <v>0.58473740689887399</v>
      </c>
      <c r="Y409" s="18">
        <f t="shared" si="458"/>
        <v>8.1468513691696547</v>
      </c>
      <c r="Z409" s="18">
        <f t="shared" si="458"/>
        <v>4.5426180354302428</v>
      </c>
      <c r="AA409" s="18">
        <f t="shared" si="458"/>
        <v>6.3202600745793749</v>
      </c>
      <c r="AB409" s="18">
        <f t="shared" si="458"/>
        <v>2.0854100918094183</v>
      </c>
      <c r="AC409" s="18">
        <f t="shared" si="458"/>
        <v>6.1956616787015468</v>
      </c>
      <c r="AD409" s="56">
        <f t="shared" si="459"/>
        <v>1</v>
      </c>
      <c r="AF409" s="18">
        <f t="shared" si="460"/>
        <v>0.292368703449437</v>
      </c>
      <c r="AG409" s="18">
        <f t="shared" si="460"/>
        <v>7.6325289570672217</v>
      </c>
      <c r="AH409" s="18">
        <f t="shared" si="460"/>
        <v>4.4905160105255328</v>
      </c>
      <c r="AI409" s="18">
        <f t="shared" si="460"/>
        <v>6.6475279585775686</v>
      </c>
      <c r="AJ409" s="18">
        <f t="shared" si="460"/>
        <v>2.1803945233996784</v>
      </c>
      <c r="AK409" s="18">
        <f t="shared" si="460"/>
        <v>6.2704126756783269</v>
      </c>
      <c r="AL409" s="56">
        <f t="shared" si="461"/>
        <v>1</v>
      </c>
      <c r="AN409" s="18">
        <f t="shared" si="462"/>
        <v>0.292368703449437</v>
      </c>
      <c r="AO409" s="18">
        <f t="shared" si="462"/>
        <v>7.5974211422769002</v>
      </c>
      <c r="AP409" s="18">
        <f t="shared" si="462"/>
        <v>4.5191909323642383</v>
      </c>
      <c r="AQ409" s="18">
        <f t="shared" si="462"/>
        <v>6.6747270906390348</v>
      </c>
      <c r="AR409" s="18">
        <f t="shared" si="462"/>
        <v>2.1803945233996784</v>
      </c>
      <c r="AS409" s="18">
        <f t="shared" si="462"/>
        <v>6.2353507410853055</v>
      </c>
      <c r="AT409" s="56">
        <f t="shared" si="463"/>
        <v>1</v>
      </c>
      <c r="AV409" s="18">
        <f t="shared" si="464"/>
        <v>0.292368703449437</v>
      </c>
      <c r="AW409" s="18">
        <f t="shared" si="464"/>
        <v>7.5738849683685636</v>
      </c>
      <c r="AX409" s="18">
        <f t="shared" si="464"/>
        <v>4.5191909323642383</v>
      </c>
      <c r="AY409" s="18">
        <f t="shared" si="464"/>
        <v>6.6747270906390348</v>
      </c>
      <c r="AZ409" s="18">
        <f t="shared" si="464"/>
        <v>2.1803945233996784</v>
      </c>
      <c r="BA409" s="18">
        <f t="shared" si="464"/>
        <v>6.2123382561349008</v>
      </c>
      <c r="BB409" s="56">
        <f t="shared" si="465"/>
        <v>1</v>
      </c>
      <c r="BD409" s="18">
        <f t="shared" si="466"/>
        <v>0.292368703449437</v>
      </c>
      <c r="BE409" s="18">
        <f t="shared" si="466"/>
        <v>7.551611949639315</v>
      </c>
      <c r="BF409" s="18">
        <f t="shared" si="466"/>
        <v>4.5191909323642383</v>
      </c>
      <c r="BG409" s="18">
        <f t="shared" si="466"/>
        <v>6.6747270906390348</v>
      </c>
      <c r="BH409" s="18">
        <f t="shared" si="466"/>
        <v>2.1803945233996784</v>
      </c>
      <c r="BI409" s="18">
        <f t="shared" si="466"/>
        <v>6.1881747735774848</v>
      </c>
      <c r="BJ409" s="56">
        <f t="shared" si="467"/>
        <v>1</v>
      </c>
      <c r="BL409" s="18">
        <f t="shared" si="468"/>
        <v>0.292368703449437</v>
      </c>
      <c r="BM409" s="18">
        <f t="shared" si="468"/>
        <v>7.551611949639315</v>
      </c>
      <c r="BN409" s="18">
        <f t="shared" si="468"/>
        <v>4.5191909323642383</v>
      </c>
      <c r="BO409" s="18">
        <f t="shared" si="468"/>
        <v>6.6747270906390348</v>
      </c>
      <c r="BP409" s="18">
        <f t="shared" si="468"/>
        <v>2.1803945233996784</v>
      </c>
      <c r="BQ409" s="18">
        <f t="shared" si="468"/>
        <v>6.1881747735774848</v>
      </c>
      <c r="BR409" s="56">
        <f t="shared" si="469"/>
        <v>1</v>
      </c>
      <c r="BT409" s="18">
        <f t="shared" si="470"/>
        <v>0.292368703449437</v>
      </c>
      <c r="BU409" s="18">
        <f t="shared" si="470"/>
        <v>7.551611949639315</v>
      </c>
      <c r="BV409" s="18">
        <f t="shared" si="470"/>
        <v>4.5191909323642383</v>
      </c>
      <c r="BW409" s="18">
        <f t="shared" si="470"/>
        <v>6.6747270906390348</v>
      </c>
      <c r="BX409" s="18">
        <f t="shared" si="470"/>
        <v>2.1803945233996784</v>
      </c>
      <c r="BY409" s="18">
        <f t="shared" si="470"/>
        <v>6.1881747735774848</v>
      </c>
      <c r="BZ409" s="56">
        <f t="shared" si="471"/>
        <v>1</v>
      </c>
      <c r="CB409" s="18">
        <f t="shared" si="472"/>
        <v>0.292368703449437</v>
      </c>
      <c r="CC409" s="18">
        <f t="shared" si="472"/>
        <v>7.551611949639315</v>
      </c>
      <c r="CD409" s="18">
        <f t="shared" si="472"/>
        <v>4.5191909323642383</v>
      </c>
      <c r="CE409" s="18">
        <f t="shared" si="472"/>
        <v>6.6747270906390348</v>
      </c>
      <c r="CF409" s="18">
        <f t="shared" si="472"/>
        <v>2.1803945233996784</v>
      </c>
      <c r="CG409" s="18">
        <f t="shared" si="472"/>
        <v>6.1881747735774848</v>
      </c>
      <c r="CH409" s="56">
        <f t="shared" si="473"/>
        <v>1</v>
      </c>
      <c r="CJ409" s="18">
        <f t="shared" si="474"/>
        <v>0.292368703449437</v>
      </c>
      <c r="CK409" s="18">
        <f t="shared" si="474"/>
        <v>7.551611949639315</v>
      </c>
      <c r="CL409" s="18">
        <f t="shared" si="474"/>
        <v>4.5191909323642383</v>
      </c>
      <c r="CM409" s="18">
        <f t="shared" si="474"/>
        <v>6.6747270906390348</v>
      </c>
      <c r="CN409" s="18">
        <f t="shared" si="474"/>
        <v>2.1803945233996784</v>
      </c>
      <c r="CO409" s="18">
        <f t="shared" si="474"/>
        <v>6.1881747735774848</v>
      </c>
      <c r="CP409" s="56">
        <f t="shared" si="475"/>
        <v>1</v>
      </c>
      <c r="CR409" s="18">
        <f t="shared" si="476"/>
        <v>0.292368703449437</v>
      </c>
      <c r="CS409" s="18">
        <f t="shared" si="476"/>
        <v>7.551611949639315</v>
      </c>
      <c r="CT409" s="18">
        <f t="shared" si="476"/>
        <v>4.5191909323642383</v>
      </c>
      <c r="CU409" s="18">
        <f t="shared" si="476"/>
        <v>6.6747270906390348</v>
      </c>
      <c r="CV409" s="18">
        <f t="shared" si="476"/>
        <v>2.1803945233996784</v>
      </c>
      <c r="CW409" s="18">
        <f t="shared" si="476"/>
        <v>6.1881747735774848</v>
      </c>
      <c r="CX409" s="56">
        <f t="shared" si="477"/>
        <v>1</v>
      </c>
      <c r="CZ409" s="18">
        <f t="shared" si="478"/>
        <v>0.292368703449437</v>
      </c>
      <c r="DA409" s="18">
        <f t="shared" si="478"/>
        <v>7.551611949639315</v>
      </c>
      <c r="DB409" s="18">
        <f t="shared" si="478"/>
        <v>4.5191909323642383</v>
      </c>
      <c r="DC409" s="18">
        <f t="shared" si="478"/>
        <v>6.6747270906390348</v>
      </c>
      <c r="DD409" s="18">
        <f t="shared" si="478"/>
        <v>2.1803945233996784</v>
      </c>
      <c r="DE409" s="18">
        <f t="shared" si="478"/>
        <v>6.1881747735774848</v>
      </c>
      <c r="DF409" s="56">
        <f t="shared" si="479"/>
        <v>1</v>
      </c>
      <c r="DH409" s="18">
        <f t="shared" si="480"/>
        <v>0.292368703449437</v>
      </c>
      <c r="DI409" s="18">
        <f t="shared" si="480"/>
        <v>7.551611949639315</v>
      </c>
      <c r="DJ409" s="18">
        <f t="shared" si="480"/>
        <v>4.5191909323642383</v>
      </c>
      <c r="DK409" s="18">
        <f t="shared" si="480"/>
        <v>6.6747270906390348</v>
      </c>
      <c r="DL409" s="18">
        <f t="shared" si="480"/>
        <v>2.1803945233996784</v>
      </c>
      <c r="DM409" s="18">
        <f t="shared" si="480"/>
        <v>6.1881747735774848</v>
      </c>
      <c r="DN409" s="56">
        <f t="shared" si="481"/>
        <v>1</v>
      </c>
    </row>
    <row r="410" spans="1:118" x14ac:dyDescent="0.25">
      <c r="A410" s="36" t="str">
        <f>KMeans_Data!A7</f>
        <v>Quetta</v>
      </c>
      <c r="B410" s="18">
        <f>KMeans_Data!H7</f>
        <v>2.3645319122764876</v>
      </c>
      <c r="C410" s="18">
        <f>KMeans_Data!I7</f>
        <v>2.2941407285360271</v>
      </c>
      <c r="D410" s="18">
        <f>KMeans_Data!J7</f>
        <v>2.3723555668164944</v>
      </c>
      <c r="E410" s="56">
        <f t="shared" si="456"/>
        <v>5</v>
      </c>
      <c r="F410" s="38">
        <f t="shared" si="457"/>
        <v>0.47431398020936338</v>
      </c>
      <c r="G410" s="18">
        <f>IF(COUNTIF(Distance_Matrix!$E$12:$DQ$12,$E410)&lt;=1,0,SUMIF(Distance_Matrix!$E$12:$DQ$12,$E410,Distance_Matrix!$E$16:$DQ$16)/(COUNTIF(Distance_Matrix!$E$12:$DQ$12,$E410)-1))</f>
        <v>1.1593548295077289</v>
      </c>
      <c r="H410" s="18">
        <f>MIN(IF(1=$E410,1E+99,IF(COUNTIF(Distance_Matrix!$E$12:$DQ$12,1)=0,1E+99,SUMIF(Distance_Matrix!$E$12:$DQ$12,1,Distance_Matrix!$E$16:$DQ$16)/COUNTIF(Distance_Matrix!$E$12:$DQ$12,1))),IF(2=$E410,1E+99,IF(COUNTIF(Distance_Matrix!$E$12:$DQ$12,2)=0,1E+99,SUMIF(Distance_Matrix!$E$12:$DQ$12,2,Distance_Matrix!$E$16:$DQ$16)/COUNTIF(Distance_Matrix!$E$12:$DQ$12,2))),IF(3=$E410,1E+99,IF(COUNTIF(Distance_Matrix!$E$12:$DQ$12,3)=0,1E+99,SUMIF(Distance_Matrix!$E$12:$DQ$12,3,Distance_Matrix!$E$16:$DQ$16)/COUNTIF(Distance_Matrix!$E$12:$DQ$12,3))),IF(4=$E410,1E+99,IF(COUNTIF(Distance_Matrix!$E$12:$DQ$12,4)=0,1E+99,SUMIF(Distance_Matrix!$E$12:$DQ$12,4,Distance_Matrix!$E$16:$DQ$16)/COUNTIF(Distance_Matrix!$E$12:$DQ$12,4))),IF(5=$E410,1E+99,IF(COUNTIF(Distance_Matrix!$E$12:$DQ$12,5)=0,1E+99,SUMIF(Distance_Matrix!$E$12:$DQ$12,5,Distance_Matrix!$E$16:$DQ$16)/COUNTIF(Distance_Matrix!$E$12:$DQ$12,5))),IF(6=$E410,1E+99,IF(COUNTIF(Distance_Matrix!$E$12:$DQ$12,6)=0,1E+99,SUMIF(Distance_Matrix!$E$12:$DQ$12,6,Distance_Matrix!$E$16:$DQ$16)/COUNTIF(Distance_Matrix!$E$12:$DQ$12,6))))</f>
        <v>2.1205199211242838</v>
      </c>
      <c r="I410" s="18">
        <f>IF(COUNTIF(Distance_Matrix!$E$12:$DQ$12,$E410)&lt;=1,0,(H410-G410)/MAX(G410,H410))</f>
        <v>0.45326859797051672</v>
      </c>
      <c r="X410" s="18">
        <f t="shared" si="458"/>
        <v>2.1556297504391493</v>
      </c>
      <c r="Y410" s="18">
        <f t="shared" si="458"/>
        <v>6.3976329314131073</v>
      </c>
      <c r="Z410" s="18">
        <f t="shared" si="458"/>
        <v>2.4987868185891187</v>
      </c>
      <c r="AA410" s="18">
        <f t="shared" si="458"/>
        <v>4.6140961456431953</v>
      </c>
      <c r="AB410" s="18">
        <f t="shared" si="458"/>
        <v>0</v>
      </c>
      <c r="AC410" s="18">
        <f t="shared" si="458"/>
        <v>4.2929465690047417</v>
      </c>
      <c r="AD410" s="56">
        <f t="shared" si="459"/>
        <v>5</v>
      </c>
      <c r="AF410" s="18">
        <f t="shared" si="460"/>
        <v>2.1005613481264369</v>
      </c>
      <c r="AG410" s="18">
        <f t="shared" si="460"/>
        <v>5.8544358854300116</v>
      </c>
      <c r="AH410" s="18">
        <f t="shared" si="460"/>
        <v>2.5872977253727725</v>
      </c>
      <c r="AI410" s="18">
        <f t="shared" si="460"/>
        <v>4.8341348534460638</v>
      </c>
      <c r="AJ410" s="18">
        <f t="shared" si="460"/>
        <v>0.68870456671156421</v>
      </c>
      <c r="AK410" s="18">
        <f t="shared" si="460"/>
        <v>4.3541124973016228</v>
      </c>
      <c r="AL410" s="56">
        <f t="shared" si="461"/>
        <v>5</v>
      </c>
      <c r="AN410" s="18">
        <f t="shared" si="462"/>
        <v>2.1005613481264369</v>
      </c>
      <c r="AO410" s="18">
        <f t="shared" si="462"/>
        <v>5.8156681565261916</v>
      </c>
      <c r="AP410" s="18">
        <f t="shared" si="462"/>
        <v>2.6184865085919791</v>
      </c>
      <c r="AQ410" s="18">
        <f t="shared" si="462"/>
        <v>4.8584508967847411</v>
      </c>
      <c r="AR410" s="18">
        <f t="shared" si="462"/>
        <v>0.68870456671156421</v>
      </c>
      <c r="AS410" s="18">
        <f t="shared" si="462"/>
        <v>4.3155217235499439</v>
      </c>
      <c r="AT410" s="56">
        <f t="shared" si="463"/>
        <v>5</v>
      </c>
      <c r="AV410" s="18">
        <f t="shared" si="464"/>
        <v>2.1005613481264369</v>
      </c>
      <c r="AW410" s="18">
        <f t="shared" si="464"/>
        <v>5.7889009124553459</v>
      </c>
      <c r="AX410" s="18">
        <f t="shared" si="464"/>
        <v>2.6184865085919791</v>
      </c>
      <c r="AY410" s="18">
        <f t="shared" si="464"/>
        <v>4.8584508967847411</v>
      </c>
      <c r="AZ410" s="18">
        <f t="shared" si="464"/>
        <v>0.68870456671156421</v>
      </c>
      <c r="BA410" s="18">
        <f t="shared" si="464"/>
        <v>4.290812156135015</v>
      </c>
      <c r="BB410" s="56">
        <f t="shared" si="465"/>
        <v>5</v>
      </c>
      <c r="BD410" s="18">
        <f t="shared" si="466"/>
        <v>2.1005613481264369</v>
      </c>
      <c r="BE410" s="18">
        <f t="shared" si="466"/>
        <v>5.7633716003334143</v>
      </c>
      <c r="BF410" s="18">
        <f t="shared" si="466"/>
        <v>2.6184865085919791</v>
      </c>
      <c r="BG410" s="18">
        <f t="shared" si="466"/>
        <v>4.8584508967847411</v>
      </c>
      <c r="BH410" s="18">
        <f t="shared" si="466"/>
        <v>0.68870456671156421</v>
      </c>
      <c r="BI410" s="18">
        <f t="shared" si="466"/>
        <v>4.2650573771398372</v>
      </c>
      <c r="BJ410" s="56">
        <f t="shared" si="467"/>
        <v>5</v>
      </c>
      <c r="BL410" s="18">
        <f t="shared" si="468"/>
        <v>2.1005613481264369</v>
      </c>
      <c r="BM410" s="18">
        <f t="shared" si="468"/>
        <v>5.7633716003334143</v>
      </c>
      <c r="BN410" s="18">
        <f t="shared" si="468"/>
        <v>2.6184865085919791</v>
      </c>
      <c r="BO410" s="18">
        <f t="shared" si="468"/>
        <v>4.8584508967847411</v>
      </c>
      <c r="BP410" s="18">
        <f t="shared" si="468"/>
        <v>0.68870456671156421</v>
      </c>
      <c r="BQ410" s="18">
        <f t="shared" si="468"/>
        <v>4.2650573771398372</v>
      </c>
      <c r="BR410" s="56">
        <f t="shared" si="469"/>
        <v>5</v>
      </c>
      <c r="BT410" s="18">
        <f t="shared" si="470"/>
        <v>2.1005613481264369</v>
      </c>
      <c r="BU410" s="18">
        <f t="shared" si="470"/>
        <v>5.7633716003334143</v>
      </c>
      <c r="BV410" s="18">
        <f t="shared" si="470"/>
        <v>2.6184865085919791</v>
      </c>
      <c r="BW410" s="18">
        <f t="shared" si="470"/>
        <v>4.8584508967847411</v>
      </c>
      <c r="BX410" s="18">
        <f t="shared" si="470"/>
        <v>0.68870456671156421</v>
      </c>
      <c r="BY410" s="18">
        <f t="shared" si="470"/>
        <v>4.2650573771398372</v>
      </c>
      <c r="BZ410" s="56">
        <f t="shared" si="471"/>
        <v>5</v>
      </c>
      <c r="CB410" s="18">
        <f t="shared" si="472"/>
        <v>2.1005613481264369</v>
      </c>
      <c r="CC410" s="18">
        <f t="shared" si="472"/>
        <v>5.7633716003334143</v>
      </c>
      <c r="CD410" s="18">
        <f t="shared" si="472"/>
        <v>2.6184865085919791</v>
      </c>
      <c r="CE410" s="18">
        <f t="shared" si="472"/>
        <v>4.8584508967847411</v>
      </c>
      <c r="CF410" s="18">
        <f t="shared" si="472"/>
        <v>0.68870456671156421</v>
      </c>
      <c r="CG410" s="18">
        <f t="shared" si="472"/>
        <v>4.2650573771398372</v>
      </c>
      <c r="CH410" s="56">
        <f t="shared" si="473"/>
        <v>5</v>
      </c>
      <c r="CJ410" s="18">
        <f t="shared" si="474"/>
        <v>2.1005613481264369</v>
      </c>
      <c r="CK410" s="18">
        <f t="shared" si="474"/>
        <v>5.7633716003334143</v>
      </c>
      <c r="CL410" s="18">
        <f t="shared" si="474"/>
        <v>2.6184865085919791</v>
      </c>
      <c r="CM410" s="18">
        <f t="shared" si="474"/>
        <v>4.8584508967847411</v>
      </c>
      <c r="CN410" s="18">
        <f t="shared" si="474"/>
        <v>0.68870456671156421</v>
      </c>
      <c r="CO410" s="18">
        <f t="shared" si="474"/>
        <v>4.2650573771398372</v>
      </c>
      <c r="CP410" s="56">
        <f t="shared" si="475"/>
        <v>5</v>
      </c>
      <c r="CR410" s="18">
        <f t="shared" si="476"/>
        <v>2.1005613481264369</v>
      </c>
      <c r="CS410" s="18">
        <f t="shared" si="476"/>
        <v>5.7633716003334143</v>
      </c>
      <c r="CT410" s="18">
        <f t="shared" si="476"/>
        <v>2.6184865085919791</v>
      </c>
      <c r="CU410" s="18">
        <f t="shared" si="476"/>
        <v>4.8584508967847411</v>
      </c>
      <c r="CV410" s="18">
        <f t="shared" si="476"/>
        <v>0.68870456671156421</v>
      </c>
      <c r="CW410" s="18">
        <f t="shared" si="476"/>
        <v>4.2650573771398372</v>
      </c>
      <c r="CX410" s="56">
        <f t="shared" si="477"/>
        <v>5</v>
      </c>
      <c r="CZ410" s="18">
        <f t="shared" si="478"/>
        <v>2.1005613481264369</v>
      </c>
      <c r="DA410" s="18">
        <f t="shared" si="478"/>
        <v>5.7633716003334143</v>
      </c>
      <c r="DB410" s="18">
        <f t="shared" si="478"/>
        <v>2.6184865085919791</v>
      </c>
      <c r="DC410" s="18">
        <f t="shared" si="478"/>
        <v>4.8584508967847411</v>
      </c>
      <c r="DD410" s="18">
        <f t="shared" si="478"/>
        <v>0.68870456671156421</v>
      </c>
      <c r="DE410" s="18">
        <f t="shared" si="478"/>
        <v>4.2650573771398372</v>
      </c>
      <c r="DF410" s="56">
        <f t="shared" si="479"/>
        <v>5</v>
      </c>
      <c r="DH410" s="18">
        <f t="shared" si="480"/>
        <v>2.1005613481264369</v>
      </c>
      <c r="DI410" s="18">
        <f t="shared" si="480"/>
        <v>5.7633716003334143</v>
      </c>
      <c r="DJ410" s="18">
        <f t="shared" si="480"/>
        <v>2.6184865085919791</v>
      </c>
      <c r="DK410" s="18">
        <f t="shared" si="480"/>
        <v>4.8584508967847411</v>
      </c>
      <c r="DL410" s="18">
        <f t="shared" si="480"/>
        <v>0.68870456671156421</v>
      </c>
      <c r="DM410" s="18">
        <f t="shared" si="480"/>
        <v>4.2650573771398372</v>
      </c>
      <c r="DN410" s="56">
        <f t="shared" si="481"/>
        <v>5</v>
      </c>
    </row>
    <row r="411" spans="1:118" x14ac:dyDescent="0.25">
      <c r="A411" s="36" t="str">
        <f>KMeans_Data!A8</f>
        <v>Peshawar</v>
      </c>
      <c r="B411" s="18">
        <f>KMeans_Data!H8</f>
        <v>2.3452338230080074</v>
      </c>
      <c r="C411" s="18">
        <f>KMeans_Data!I8</f>
        <v>3.5617489210507416</v>
      </c>
      <c r="D411" s="18">
        <f>KMeans_Data!J8</f>
        <v>1.6399224296702051</v>
      </c>
      <c r="E411" s="56">
        <f t="shared" si="456"/>
        <v>5</v>
      </c>
      <c r="F411" s="38">
        <f t="shared" si="457"/>
        <v>1.1329956522357616</v>
      </c>
      <c r="G411" s="18">
        <f>IF(COUNTIF(Distance_Matrix!$E$12:$DQ$12,$E411)&lt;=1,0,SUMIF(Distance_Matrix!$E$12:$DQ$12,$E411,Distance_Matrix!$E$17:$DQ$17)/(COUNTIF(Distance_Matrix!$E$12:$DQ$12,$E411)-1))</f>
        <v>1.5211138291292494</v>
      </c>
      <c r="H411" s="18">
        <f>MIN(IF(1=$E411,1E+99,IF(COUNTIF(Distance_Matrix!$E$12:$DQ$12,1)=0,1E+99,SUMIF(Distance_Matrix!$E$12:$DQ$12,1,Distance_Matrix!$E$17:$DQ$17)/COUNTIF(Distance_Matrix!$E$12:$DQ$12,1))),IF(2=$E411,1E+99,IF(COUNTIF(Distance_Matrix!$E$12:$DQ$12,2)=0,1E+99,SUMIF(Distance_Matrix!$E$12:$DQ$12,2,Distance_Matrix!$E$17:$DQ$17)/COUNTIF(Distance_Matrix!$E$12:$DQ$12,2))),IF(3=$E411,1E+99,IF(COUNTIF(Distance_Matrix!$E$12:$DQ$12,3)=0,1E+99,SUMIF(Distance_Matrix!$E$12:$DQ$12,3,Distance_Matrix!$E$17:$DQ$17)/COUNTIF(Distance_Matrix!$E$12:$DQ$12,3))),IF(4=$E411,1E+99,IF(COUNTIF(Distance_Matrix!$E$12:$DQ$12,4)=0,1E+99,SUMIF(Distance_Matrix!$E$12:$DQ$12,4,Distance_Matrix!$E$17:$DQ$17)/COUNTIF(Distance_Matrix!$E$12:$DQ$12,4))),IF(5=$E411,1E+99,IF(COUNTIF(Distance_Matrix!$E$12:$DQ$12,5)=0,1E+99,SUMIF(Distance_Matrix!$E$12:$DQ$12,5,Distance_Matrix!$E$17:$DQ$17)/COUNTIF(Distance_Matrix!$E$12:$DQ$12,5))),IF(6=$E411,1E+99,IF(COUNTIF(Distance_Matrix!$E$12:$DQ$12,6)=0,1E+99,SUMIF(Distance_Matrix!$E$12:$DQ$12,6,Distance_Matrix!$E$17:$DQ$17)/COUNTIF(Distance_Matrix!$E$12:$DQ$12,6))))</f>
        <v>1.7116884609772076</v>
      </c>
      <c r="I411" s="18">
        <f>IF(COUNTIF(Distance_Matrix!$E$12:$DQ$12,$E411)&lt;=1,0,(H411-G411)/MAX(G411,H411))</f>
        <v>0.11133721830382534</v>
      </c>
      <c r="X411" s="18">
        <f t="shared" si="458"/>
        <v>1.9214318612792127</v>
      </c>
      <c r="Y411" s="18">
        <f t="shared" si="458"/>
        <v>6.7282906668016098</v>
      </c>
      <c r="Z411" s="18">
        <f t="shared" si="458"/>
        <v>3.4454653154512496</v>
      </c>
      <c r="AA411" s="18">
        <f t="shared" si="458"/>
        <v>4.939896884511378</v>
      </c>
      <c r="AB411" s="18">
        <f t="shared" si="458"/>
        <v>1.4641247372986328</v>
      </c>
      <c r="AC411" s="18">
        <f t="shared" si="458"/>
        <v>4.9080357798237184</v>
      </c>
      <c r="AD411" s="56">
        <f t="shared" si="459"/>
        <v>5</v>
      </c>
      <c r="AF411" s="18">
        <f t="shared" si="460"/>
        <v>1.6995264701251533</v>
      </c>
      <c r="AG411" s="18">
        <f t="shared" si="460"/>
        <v>6.2176601727763732</v>
      </c>
      <c r="AH411" s="18">
        <f t="shared" si="460"/>
        <v>3.2206677403152026</v>
      </c>
      <c r="AI411" s="18">
        <f t="shared" si="460"/>
        <v>5.2798951471430868</v>
      </c>
      <c r="AJ411" s="18">
        <f t="shared" si="460"/>
        <v>1.0644226849498095</v>
      </c>
      <c r="AK411" s="18">
        <f t="shared" si="460"/>
        <v>4.9578212288408272</v>
      </c>
      <c r="AL411" s="56">
        <f t="shared" si="461"/>
        <v>5</v>
      </c>
      <c r="AN411" s="18">
        <f t="shared" si="462"/>
        <v>1.6995264701251533</v>
      </c>
      <c r="AO411" s="18">
        <f t="shared" si="462"/>
        <v>6.1842488408226446</v>
      </c>
      <c r="AP411" s="18">
        <f t="shared" si="462"/>
        <v>3.2460926240416379</v>
      </c>
      <c r="AQ411" s="18">
        <f t="shared" si="462"/>
        <v>5.3085909543625966</v>
      </c>
      <c r="AR411" s="18">
        <f t="shared" si="462"/>
        <v>1.0644226849498095</v>
      </c>
      <c r="AS411" s="18">
        <f t="shared" si="462"/>
        <v>4.9261282288327433</v>
      </c>
      <c r="AT411" s="56">
        <f t="shared" si="463"/>
        <v>5</v>
      </c>
      <c r="AV411" s="18">
        <f t="shared" si="464"/>
        <v>1.6995264701251533</v>
      </c>
      <c r="AW411" s="18">
        <f t="shared" si="464"/>
        <v>6.1623913926909095</v>
      </c>
      <c r="AX411" s="18">
        <f t="shared" si="464"/>
        <v>3.2460926240416379</v>
      </c>
      <c r="AY411" s="18">
        <f t="shared" si="464"/>
        <v>5.3085909543625966</v>
      </c>
      <c r="AZ411" s="18">
        <f t="shared" si="464"/>
        <v>1.0644226849498095</v>
      </c>
      <c r="BA411" s="18">
        <f t="shared" si="464"/>
        <v>4.9049914848281189</v>
      </c>
      <c r="BB411" s="56">
        <f t="shared" si="465"/>
        <v>5</v>
      </c>
      <c r="BD411" s="18">
        <f t="shared" si="466"/>
        <v>1.6995264701251533</v>
      </c>
      <c r="BE411" s="18">
        <f t="shared" si="466"/>
        <v>6.1418565928148388</v>
      </c>
      <c r="BF411" s="18">
        <f t="shared" si="466"/>
        <v>3.2460926240416379</v>
      </c>
      <c r="BG411" s="18">
        <f t="shared" si="466"/>
        <v>5.3085909543625966</v>
      </c>
      <c r="BH411" s="18">
        <f t="shared" si="466"/>
        <v>1.0644226849498095</v>
      </c>
      <c r="BI411" s="18">
        <f t="shared" si="466"/>
        <v>4.8826159755791059</v>
      </c>
      <c r="BJ411" s="56">
        <f t="shared" si="467"/>
        <v>5</v>
      </c>
      <c r="BL411" s="18">
        <f t="shared" si="468"/>
        <v>1.6995264701251533</v>
      </c>
      <c r="BM411" s="18">
        <f t="shared" si="468"/>
        <v>6.1418565928148388</v>
      </c>
      <c r="BN411" s="18">
        <f t="shared" si="468"/>
        <v>3.2460926240416379</v>
      </c>
      <c r="BO411" s="18">
        <f t="shared" si="468"/>
        <v>5.3085909543625966</v>
      </c>
      <c r="BP411" s="18">
        <f t="shared" si="468"/>
        <v>1.0644226849498095</v>
      </c>
      <c r="BQ411" s="18">
        <f t="shared" si="468"/>
        <v>4.8826159755791059</v>
      </c>
      <c r="BR411" s="56">
        <f t="shared" si="469"/>
        <v>5</v>
      </c>
      <c r="BT411" s="18">
        <f t="shared" si="470"/>
        <v>1.6995264701251533</v>
      </c>
      <c r="BU411" s="18">
        <f t="shared" si="470"/>
        <v>6.1418565928148388</v>
      </c>
      <c r="BV411" s="18">
        <f t="shared" si="470"/>
        <v>3.2460926240416379</v>
      </c>
      <c r="BW411" s="18">
        <f t="shared" si="470"/>
        <v>5.3085909543625966</v>
      </c>
      <c r="BX411" s="18">
        <f t="shared" si="470"/>
        <v>1.0644226849498095</v>
      </c>
      <c r="BY411" s="18">
        <f t="shared" si="470"/>
        <v>4.8826159755791059</v>
      </c>
      <c r="BZ411" s="56">
        <f t="shared" si="471"/>
        <v>5</v>
      </c>
      <c r="CB411" s="18">
        <f t="shared" si="472"/>
        <v>1.6995264701251533</v>
      </c>
      <c r="CC411" s="18">
        <f t="shared" si="472"/>
        <v>6.1418565928148388</v>
      </c>
      <c r="CD411" s="18">
        <f t="shared" si="472"/>
        <v>3.2460926240416379</v>
      </c>
      <c r="CE411" s="18">
        <f t="shared" si="472"/>
        <v>5.3085909543625966</v>
      </c>
      <c r="CF411" s="18">
        <f t="shared" si="472"/>
        <v>1.0644226849498095</v>
      </c>
      <c r="CG411" s="18">
        <f t="shared" si="472"/>
        <v>4.8826159755791059</v>
      </c>
      <c r="CH411" s="56">
        <f t="shared" si="473"/>
        <v>5</v>
      </c>
      <c r="CJ411" s="18">
        <f t="shared" si="474"/>
        <v>1.6995264701251533</v>
      </c>
      <c r="CK411" s="18">
        <f t="shared" si="474"/>
        <v>6.1418565928148388</v>
      </c>
      <c r="CL411" s="18">
        <f t="shared" si="474"/>
        <v>3.2460926240416379</v>
      </c>
      <c r="CM411" s="18">
        <f t="shared" si="474"/>
        <v>5.3085909543625966</v>
      </c>
      <c r="CN411" s="18">
        <f t="shared" si="474"/>
        <v>1.0644226849498095</v>
      </c>
      <c r="CO411" s="18">
        <f t="shared" si="474"/>
        <v>4.8826159755791059</v>
      </c>
      <c r="CP411" s="56">
        <f t="shared" si="475"/>
        <v>5</v>
      </c>
      <c r="CR411" s="18">
        <f t="shared" si="476"/>
        <v>1.6995264701251533</v>
      </c>
      <c r="CS411" s="18">
        <f t="shared" si="476"/>
        <v>6.1418565928148388</v>
      </c>
      <c r="CT411" s="18">
        <f t="shared" si="476"/>
        <v>3.2460926240416379</v>
      </c>
      <c r="CU411" s="18">
        <f t="shared" si="476"/>
        <v>5.3085909543625966</v>
      </c>
      <c r="CV411" s="18">
        <f t="shared" si="476"/>
        <v>1.0644226849498095</v>
      </c>
      <c r="CW411" s="18">
        <f t="shared" si="476"/>
        <v>4.8826159755791059</v>
      </c>
      <c r="CX411" s="56">
        <f t="shared" si="477"/>
        <v>5</v>
      </c>
      <c r="CZ411" s="18">
        <f t="shared" si="478"/>
        <v>1.6995264701251533</v>
      </c>
      <c r="DA411" s="18">
        <f t="shared" si="478"/>
        <v>6.1418565928148388</v>
      </c>
      <c r="DB411" s="18">
        <f t="shared" si="478"/>
        <v>3.2460926240416379</v>
      </c>
      <c r="DC411" s="18">
        <f t="shared" si="478"/>
        <v>5.3085909543625966</v>
      </c>
      <c r="DD411" s="18">
        <f t="shared" si="478"/>
        <v>1.0644226849498095</v>
      </c>
      <c r="DE411" s="18">
        <f t="shared" si="478"/>
        <v>4.8826159755791059</v>
      </c>
      <c r="DF411" s="56">
        <f t="shared" si="479"/>
        <v>5</v>
      </c>
      <c r="DH411" s="18">
        <f t="shared" si="480"/>
        <v>1.6995264701251533</v>
      </c>
      <c r="DI411" s="18">
        <f t="shared" si="480"/>
        <v>6.1418565928148388</v>
      </c>
      <c r="DJ411" s="18">
        <f t="shared" si="480"/>
        <v>3.2460926240416379</v>
      </c>
      <c r="DK411" s="18">
        <f t="shared" si="480"/>
        <v>5.3085909543625966</v>
      </c>
      <c r="DL411" s="18">
        <f t="shared" si="480"/>
        <v>1.0644226849498095</v>
      </c>
      <c r="DM411" s="18">
        <f t="shared" si="480"/>
        <v>4.8826159755791059</v>
      </c>
      <c r="DN411" s="56">
        <f t="shared" si="481"/>
        <v>5</v>
      </c>
    </row>
    <row r="412" spans="1:118" x14ac:dyDescent="0.25">
      <c r="A412" s="36" t="str">
        <f>KMeans_Data!A9</f>
        <v>Islamabad</v>
      </c>
      <c r="B412" s="18">
        <f>KMeans_Data!H9</f>
        <v>2.1711238504828065</v>
      </c>
      <c r="C412" s="18">
        <f>KMeans_Data!I9</f>
        <v>2.0657893204369486</v>
      </c>
      <c r="D412" s="18">
        <f>KMeans_Data!J9</f>
        <v>1.6965167635960359</v>
      </c>
      <c r="E412" s="56">
        <f t="shared" si="456"/>
        <v>5</v>
      </c>
      <c r="F412" s="38">
        <f t="shared" si="457"/>
        <v>0.2375013694205215</v>
      </c>
      <c r="G412" s="18">
        <f>IF(COUNTIF(Distance_Matrix!$E$12:$DQ$12,$E412)&lt;=1,0,SUMIF(Distance_Matrix!$E$12:$DQ$12,$E412,Distance_Matrix!$E$18:$DQ$18)/(COUNTIF(Distance_Matrix!$E$12:$DQ$12,$E412)-1))</f>
        <v>0.99598854520332691</v>
      </c>
      <c r="H412" s="18">
        <f>MIN(IF(1=$E412,1E+99,IF(COUNTIF(Distance_Matrix!$E$12:$DQ$12,1)=0,1E+99,SUMIF(Distance_Matrix!$E$12:$DQ$12,1,Distance_Matrix!$E$18:$DQ$18)/COUNTIF(Distance_Matrix!$E$12:$DQ$12,1))),IF(2=$E412,1E+99,IF(COUNTIF(Distance_Matrix!$E$12:$DQ$12,2)=0,1E+99,SUMIF(Distance_Matrix!$E$12:$DQ$12,2,Distance_Matrix!$E$18:$DQ$18)/COUNTIF(Distance_Matrix!$E$12:$DQ$12,2))),IF(3=$E412,1E+99,IF(COUNTIF(Distance_Matrix!$E$12:$DQ$12,3)=0,1E+99,SUMIF(Distance_Matrix!$E$12:$DQ$12,3,Distance_Matrix!$E$18:$DQ$18)/COUNTIF(Distance_Matrix!$E$12:$DQ$12,3))),IF(4=$E412,1E+99,IF(COUNTIF(Distance_Matrix!$E$12:$DQ$12,4)=0,1E+99,SUMIF(Distance_Matrix!$E$12:$DQ$12,4,Distance_Matrix!$E$18:$DQ$18)/COUNTIF(Distance_Matrix!$E$12:$DQ$12,4))),IF(5=$E412,1E+99,IF(COUNTIF(Distance_Matrix!$E$12:$DQ$12,5)=0,1E+99,SUMIF(Distance_Matrix!$E$12:$DQ$12,5,Distance_Matrix!$E$18:$DQ$18)/COUNTIF(Distance_Matrix!$E$12:$DQ$12,5))),IF(6=$E412,1E+99,IF(COUNTIF(Distance_Matrix!$E$12:$DQ$12,6)=0,1E+99,SUMIF(Distance_Matrix!$E$12:$DQ$12,6,Distance_Matrix!$E$18:$DQ$18)/COUNTIF(Distance_Matrix!$E$12:$DQ$12,6))))</f>
        <v>2.104128885210621</v>
      </c>
      <c r="I412" s="18">
        <f>IF(COUNTIF(Distance_Matrix!$E$12:$DQ$12,$E412)&lt;=1,0,(H412-G412)/MAX(G412,H412))</f>
        <v>0.52665040996116086</v>
      </c>
      <c r="X412" s="18">
        <f t="shared" si="458"/>
        <v>2.7444013573462209</v>
      </c>
      <c r="Y412" s="18">
        <f t="shared" si="458"/>
        <v>5.8005825296542461</v>
      </c>
      <c r="Z412" s="18">
        <f t="shared" si="458"/>
        <v>2.0452195555832495</v>
      </c>
      <c r="AA412" s="18">
        <f t="shared" si="458"/>
        <v>3.9116800125412099</v>
      </c>
      <c r="AB412" s="18">
        <f t="shared" si="458"/>
        <v>0.73912727718985038</v>
      </c>
      <c r="AC412" s="18">
        <f t="shared" si="458"/>
        <v>3.7836378088150342</v>
      </c>
      <c r="AD412" s="56">
        <f t="shared" si="459"/>
        <v>5</v>
      </c>
      <c r="AF412" s="18">
        <f t="shared" si="460"/>
        <v>2.6330425379124267</v>
      </c>
      <c r="AG412" s="18">
        <f t="shared" si="460"/>
        <v>5.230982637643665</v>
      </c>
      <c r="AH412" s="18">
        <f t="shared" si="460"/>
        <v>2.0076041486625424</v>
      </c>
      <c r="AI412" s="18">
        <f t="shared" si="460"/>
        <v>4.1713214818789881</v>
      </c>
      <c r="AJ412" s="18">
        <f t="shared" si="460"/>
        <v>0.48734112223423287</v>
      </c>
      <c r="AK412" s="18">
        <f t="shared" si="460"/>
        <v>3.7798446583000409</v>
      </c>
      <c r="AL412" s="56">
        <f t="shared" si="461"/>
        <v>5</v>
      </c>
      <c r="AN412" s="18">
        <f t="shared" si="462"/>
        <v>2.6330425379124267</v>
      </c>
      <c r="AO412" s="18">
        <f t="shared" si="462"/>
        <v>5.1918950134866186</v>
      </c>
      <c r="AP412" s="18">
        <f t="shared" si="462"/>
        <v>2.0388372952003166</v>
      </c>
      <c r="AQ412" s="18">
        <f t="shared" si="462"/>
        <v>4.1966250222150094</v>
      </c>
      <c r="AR412" s="18">
        <f t="shared" si="462"/>
        <v>0.48734112223423287</v>
      </c>
      <c r="AS412" s="18">
        <f t="shared" si="462"/>
        <v>3.7417914787320656</v>
      </c>
      <c r="AT412" s="56">
        <f t="shared" si="463"/>
        <v>5</v>
      </c>
      <c r="AV412" s="18">
        <f t="shared" si="464"/>
        <v>2.6330425379124267</v>
      </c>
      <c r="AW412" s="18">
        <f t="shared" si="464"/>
        <v>5.1659594695131652</v>
      </c>
      <c r="AX412" s="18">
        <f t="shared" si="464"/>
        <v>2.0388372952003166</v>
      </c>
      <c r="AY412" s="18">
        <f t="shared" si="464"/>
        <v>4.1966250222150094</v>
      </c>
      <c r="AZ412" s="18">
        <f t="shared" si="464"/>
        <v>0.48734112223423287</v>
      </c>
      <c r="BA412" s="18">
        <f t="shared" si="464"/>
        <v>3.7179631245237115</v>
      </c>
      <c r="BB412" s="56">
        <f t="shared" si="465"/>
        <v>5</v>
      </c>
      <c r="BD412" s="18">
        <f t="shared" si="466"/>
        <v>2.6330425379124267</v>
      </c>
      <c r="BE412" s="18">
        <f t="shared" si="466"/>
        <v>5.1414659496685671</v>
      </c>
      <c r="BF412" s="18">
        <f t="shared" si="466"/>
        <v>2.0388372952003166</v>
      </c>
      <c r="BG412" s="18">
        <f t="shared" si="466"/>
        <v>4.1966250222150094</v>
      </c>
      <c r="BH412" s="18">
        <f t="shared" si="466"/>
        <v>0.48734112223423287</v>
      </c>
      <c r="BI412" s="18">
        <f t="shared" si="466"/>
        <v>3.692825569471252</v>
      </c>
      <c r="BJ412" s="56">
        <f t="shared" si="467"/>
        <v>5</v>
      </c>
      <c r="BL412" s="18">
        <f t="shared" si="468"/>
        <v>2.6330425379124267</v>
      </c>
      <c r="BM412" s="18">
        <f t="shared" si="468"/>
        <v>5.1414659496685671</v>
      </c>
      <c r="BN412" s="18">
        <f t="shared" si="468"/>
        <v>2.0388372952003166</v>
      </c>
      <c r="BO412" s="18">
        <f t="shared" si="468"/>
        <v>4.1966250222150094</v>
      </c>
      <c r="BP412" s="18">
        <f t="shared" si="468"/>
        <v>0.48734112223423287</v>
      </c>
      <c r="BQ412" s="18">
        <f t="shared" si="468"/>
        <v>3.692825569471252</v>
      </c>
      <c r="BR412" s="56">
        <f t="shared" si="469"/>
        <v>5</v>
      </c>
      <c r="BT412" s="18">
        <f t="shared" si="470"/>
        <v>2.6330425379124267</v>
      </c>
      <c r="BU412" s="18">
        <f t="shared" si="470"/>
        <v>5.1414659496685671</v>
      </c>
      <c r="BV412" s="18">
        <f t="shared" si="470"/>
        <v>2.0388372952003166</v>
      </c>
      <c r="BW412" s="18">
        <f t="shared" si="470"/>
        <v>4.1966250222150094</v>
      </c>
      <c r="BX412" s="18">
        <f t="shared" si="470"/>
        <v>0.48734112223423287</v>
      </c>
      <c r="BY412" s="18">
        <f t="shared" si="470"/>
        <v>3.692825569471252</v>
      </c>
      <c r="BZ412" s="56">
        <f t="shared" si="471"/>
        <v>5</v>
      </c>
      <c r="CB412" s="18">
        <f t="shared" si="472"/>
        <v>2.6330425379124267</v>
      </c>
      <c r="CC412" s="18">
        <f t="shared" si="472"/>
        <v>5.1414659496685671</v>
      </c>
      <c r="CD412" s="18">
        <f t="shared" si="472"/>
        <v>2.0388372952003166</v>
      </c>
      <c r="CE412" s="18">
        <f t="shared" si="472"/>
        <v>4.1966250222150094</v>
      </c>
      <c r="CF412" s="18">
        <f t="shared" si="472"/>
        <v>0.48734112223423287</v>
      </c>
      <c r="CG412" s="18">
        <f t="shared" si="472"/>
        <v>3.692825569471252</v>
      </c>
      <c r="CH412" s="56">
        <f t="shared" si="473"/>
        <v>5</v>
      </c>
      <c r="CJ412" s="18">
        <f t="shared" si="474"/>
        <v>2.6330425379124267</v>
      </c>
      <c r="CK412" s="18">
        <f t="shared" si="474"/>
        <v>5.1414659496685671</v>
      </c>
      <c r="CL412" s="18">
        <f t="shared" si="474"/>
        <v>2.0388372952003166</v>
      </c>
      <c r="CM412" s="18">
        <f t="shared" si="474"/>
        <v>4.1966250222150094</v>
      </c>
      <c r="CN412" s="18">
        <f t="shared" si="474"/>
        <v>0.48734112223423287</v>
      </c>
      <c r="CO412" s="18">
        <f t="shared" si="474"/>
        <v>3.692825569471252</v>
      </c>
      <c r="CP412" s="56">
        <f t="shared" si="475"/>
        <v>5</v>
      </c>
      <c r="CR412" s="18">
        <f t="shared" si="476"/>
        <v>2.6330425379124267</v>
      </c>
      <c r="CS412" s="18">
        <f t="shared" si="476"/>
        <v>5.1414659496685671</v>
      </c>
      <c r="CT412" s="18">
        <f t="shared" si="476"/>
        <v>2.0388372952003166</v>
      </c>
      <c r="CU412" s="18">
        <f t="shared" si="476"/>
        <v>4.1966250222150094</v>
      </c>
      <c r="CV412" s="18">
        <f t="shared" si="476"/>
        <v>0.48734112223423287</v>
      </c>
      <c r="CW412" s="18">
        <f t="shared" si="476"/>
        <v>3.692825569471252</v>
      </c>
      <c r="CX412" s="56">
        <f t="shared" si="477"/>
        <v>5</v>
      </c>
      <c r="CZ412" s="18">
        <f t="shared" si="478"/>
        <v>2.6330425379124267</v>
      </c>
      <c r="DA412" s="18">
        <f t="shared" si="478"/>
        <v>5.1414659496685671</v>
      </c>
      <c r="DB412" s="18">
        <f t="shared" si="478"/>
        <v>2.0388372952003166</v>
      </c>
      <c r="DC412" s="18">
        <f t="shared" si="478"/>
        <v>4.1966250222150094</v>
      </c>
      <c r="DD412" s="18">
        <f t="shared" si="478"/>
        <v>0.48734112223423287</v>
      </c>
      <c r="DE412" s="18">
        <f t="shared" si="478"/>
        <v>3.692825569471252</v>
      </c>
      <c r="DF412" s="56">
        <f t="shared" si="479"/>
        <v>5</v>
      </c>
      <c r="DH412" s="18">
        <f t="shared" si="480"/>
        <v>2.6330425379124267</v>
      </c>
      <c r="DI412" s="18">
        <f t="shared" si="480"/>
        <v>5.1414659496685671</v>
      </c>
      <c r="DJ412" s="18">
        <f t="shared" si="480"/>
        <v>2.0388372952003166</v>
      </c>
      <c r="DK412" s="18">
        <f t="shared" si="480"/>
        <v>4.1966250222150094</v>
      </c>
      <c r="DL412" s="18">
        <f t="shared" si="480"/>
        <v>0.48734112223423287</v>
      </c>
      <c r="DM412" s="18">
        <f t="shared" si="480"/>
        <v>3.692825569471252</v>
      </c>
      <c r="DN412" s="56">
        <f t="shared" si="481"/>
        <v>5</v>
      </c>
    </row>
    <row r="413" spans="1:118" x14ac:dyDescent="0.25">
      <c r="A413" s="36" t="str">
        <f>KMeans_Data!A10</f>
        <v>Swat</v>
      </c>
      <c r="B413" s="18">
        <f>KMeans_Data!H10</f>
        <v>1.4937524666444724</v>
      </c>
      <c r="C413" s="18">
        <f>KMeans_Data!I10</f>
        <v>2.2309059700842244</v>
      </c>
      <c r="D413" s="18">
        <f>KMeans_Data!J10</f>
        <v>1.4434361051069102</v>
      </c>
      <c r="E413" s="56">
        <f t="shared" si="456"/>
        <v>5</v>
      </c>
      <c r="F413" s="38">
        <f t="shared" si="457"/>
        <v>0.57305029950725428</v>
      </c>
      <c r="G413" s="18">
        <f>IF(COUNTIF(Distance_Matrix!$E$12:$DQ$12,$E413)&lt;=1,0,SUMIF(Distance_Matrix!$E$12:$DQ$12,$E413,Distance_Matrix!$E$19:$DQ$19)/(COUNTIF(Distance_Matrix!$E$12:$DQ$12,$E413)-1))</f>
        <v>1.2028754995775868</v>
      </c>
      <c r="H413" s="18">
        <f>MIN(IF(1=$E413,1E+99,IF(COUNTIF(Distance_Matrix!$E$12:$DQ$12,1)=0,1E+99,SUMIF(Distance_Matrix!$E$12:$DQ$12,1,Distance_Matrix!$E$19:$DQ$19)/COUNTIF(Distance_Matrix!$E$12:$DQ$12,1))),IF(2=$E413,1E+99,IF(COUNTIF(Distance_Matrix!$E$12:$DQ$12,2)=0,1E+99,SUMIF(Distance_Matrix!$E$12:$DQ$12,2,Distance_Matrix!$E$19:$DQ$19)/COUNTIF(Distance_Matrix!$E$12:$DQ$12,2))),IF(3=$E413,1E+99,IF(COUNTIF(Distance_Matrix!$E$12:$DQ$12,3)=0,1E+99,SUMIF(Distance_Matrix!$E$12:$DQ$12,3,Distance_Matrix!$E$19:$DQ$19)/COUNTIF(Distance_Matrix!$E$12:$DQ$12,3))),IF(4=$E413,1E+99,IF(COUNTIF(Distance_Matrix!$E$12:$DQ$12,4)=0,1E+99,SUMIF(Distance_Matrix!$E$12:$DQ$12,4,Distance_Matrix!$E$19:$DQ$19)/COUNTIF(Distance_Matrix!$E$12:$DQ$12,4))),IF(5=$E413,1E+99,IF(COUNTIF(Distance_Matrix!$E$12:$DQ$12,5)=0,1E+99,SUMIF(Distance_Matrix!$E$12:$DQ$12,5,Distance_Matrix!$E$19:$DQ$19)/COUNTIF(Distance_Matrix!$E$12:$DQ$12,5))),IF(6=$E413,1E+99,IF(COUNTIF(Distance_Matrix!$E$12:$DQ$12,6)=0,1E+99,SUMIF(Distance_Matrix!$E$12:$DQ$12,6,Distance_Matrix!$E$19:$DQ$19)/COUNTIF(Distance_Matrix!$E$12:$DQ$12,6))))</f>
        <v>1.7445294553565878</v>
      </c>
      <c r="I413" s="18">
        <f>IF(COUNTIF(Distance_Matrix!$E$12:$DQ$12,$E413)&lt;=1,0,(H413-G413)/MAX(G413,H413))</f>
        <v>0.31048713686997337</v>
      </c>
      <c r="X413" s="18">
        <f t="shared" si="458"/>
        <v>3.1164934246659244</v>
      </c>
      <c r="Y413" s="18">
        <f t="shared" si="458"/>
        <v>5.2824057792586023</v>
      </c>
      <c r="Z413" s="18">
        <f t="shared" si="458"/>
        <v>1.9078175214514932</v>
      </c>
      <c r="AA413" s="18">
        <f t="shared" si="458"/>
        <v>3.6162040410227214</v>
      </c>
      <c r="AB413" s="18">
        <f t="shared" si="458"/>
        <v>1.2748124740347033</v>
      </c>
      <c r="AC413" s="18">
        <f t="shared" si="458"/>
        <v>3.3403880745959076</v>
      </c>
      <c r="AD413" s="56">
        <f t="shared" si="459"/>
        <v>5</v>
      </c>
      <c r="AF413" s="18">
        <f t="shared" si="460"/>
        <v>2.9888203713171873</v>
      </c>
      <c r="AG413" s="18">
        <f t="shared" si="460"/>
        <v>4.7609136955132199</v>
      </c>
      <c r="AH413" s="18">
        <f t="shared" si="460"/>
        <v>1.645314473032031</v>
      </c>
      <c r="AI413" s="18">
        <f t="shared" si="460"/>
        <v>3.8433777880564453</v>
      </c>
      <c r="AJ413" s="18">
        <f t="shared" si="460"/>
        <v>0.75700085832662978</v>
      </c>
      <c r="AK413" s="18">
        <f t="shared" si="460"/>
        <v>3.4023804123062313</v>
      </c>
      <c r="AL413" s="56">
        <f t="shared" si="461"/>
        <v>5</v>
      </c>
      <c r="AN413" s="18">
        <f t="shared" si="462"/>
        <v>2.9888203713171873</v>
      </c>
      <c r="AO413" s="18">
        <f t="shared" si="462"/>
        <v>4.7252919282373389</v>
      </c>
      <c r="AP413" s="18">
        <f t="shared" si="462"/>
        <v>1.6707781596887799</v>
      </c>
      <c r="AQ413" s="18">
        <f t="shared" si="462"/>
        <v>3.8707497094031114</v>
      </c>
      <c r="AR413" s="18">
        <f t="shared" si="462"/>
        <v>0.75700085832662978</v>
      </c>
      <c r="AS413" s="18">
        <f t="shared" si="462"/>
        <v>3.3694926983611713</v>
      </c>
      <c r="AT413" s="56">
        <f t="shared" si="463"/>
        <v>5</v>
      </c>
      <c r="AV413" s="18">
        <f t="shared" si="464"/>
        <v>2.9888203713171873</v>
      </c>
      <c r="AW413" s="18">
        <f t="shared" si="464"/>
        <v>4.7009306789445882</v>
      </c>
      <c r="AX413" s="18">
        <f t="shared" si="464"/>
        <v>1.6707781596887799</v>
      </c>
      <c r="AY413" s="18">
        <f t="shared" si="464"/>
        <v>3.8707497094031114</v>
      </c>
      <c r="AZ413" s="18">
        <f t="shared" si="464"/>
        <v>0.75700085832662978</v>
      </c>
      <c r="BA413" s="18">
        <f t="shared" si="464"/>
        <v>3.3473862167007495</v>
      </c>
      <c r="BB413" s="56">
        <f t="shared" si="465"/>
        <v>5</v>
      </c>
      <c r="BD413" s="18">
        <f t="shared" si="466"/>
        <v>2.9888203713171873</v>
      </c>
      <c r="BE413" s="18">
        <f t="shared" si="466"/>
        <v>4.6777888637269154</v>
      </c>
      <c r="BF413" s="18">
        <f t="shared" si="466"/>
        <v>1.6707781596887799</v>
      </c>
      <c r="BG413" s="18">
        <f t="shared" si="466"/>
        <v>3.8707497094031114</v>
      </c>
      <c r="BH413" s="18">
        <f t="shared" si="466"/>
        <v>0.75700085832662978</v>
      </c>
      <c r="BI413" s="18">
        <f t="shared" si="466"/>
        <v>3.324211571236602</v>
      </c>
      <c r="BJ413" s="56">
        <f t="shared" si="467"/>
        <v>5</v>
      </c>
      <c r="BL413" s="18">
        <f t="shared" si="468"/>
        <v>2.9888203713171873</v>
      </c>
      <c r="BM413" s="18">
        <f t="shared" si="468"/>
        <v>4.6777888637269154</v>
      </c>
      <c r="BN413" s="18">
        <f t="shared" si="468"/>
        <v>1.6707781596887799</v>
      </c>
      <c r="BO413" s="18">
        <f t="shared" si="468"/>
        <v>3.8707497094031114</v>
      </c>
      <c r="BP413" s="18">
        <f t="shared" si="468"/>
        <v>0.75700085832662978</v>
      </c>
      <c r="BQ413" s="18">
        <f t="shared" si="468"/>
        <v>3.324211571236602</v>
      </c>
      <c r="BR413" s="56">
        <f t="shared" si="469"/>
        <v>5</v>
      </c>
      <c r="BT413" s="18">
        <f t="shared" si="470"/>
        <v>2.9888203713171873</v>
      </c>
      <c r="BU413" s="18">
        <f t="shared" si="470"/>
        <v>4.6777888637269154</v>
      </c>
      <c r="BV413" s="18">
        <f t="shared" si="470"/>
        <v>1.6707781596887799</v>
      </c>
      <c r="BW413" s="18">
        <f t="shared" si="470"/>
        <v>3.8707497094031114</v>
      </c>
      <c r="BX413" s="18">
        <f t="shared" si="470"/>
        <v>0.75700085832662978</v>
      </c>
      <c r="BY413" s="18">
        <f t="shared" si="470"/>
        <v>3.324211571236602</v>
      </c>
      <c r="BZ413" s="56">
        <f t="shared" si="471"/>
        <v>5</v>
      </c>
      <c r="CB413" s="18">
        <f t="shared" si="472"/>
        <v>2.9888203713171873</v>
      </c>
      <c r="CC413" s="18">
        <f t="shared" si="472"/>
        <v>4.6777888637269154</v>
      </c>
      <c r="CD413" s="18">
        <f t="shared" si="472"/>
        <v>1.6707781596887799</v>
      </c>
      <c r="CE413" s="18">
        <f t="shared" si="472"/>
        <v>3.8707497094031114</v>
      </c>
      <c r="CF413" s="18">
        <f t="shared" si="472"/>
        <v>0.75700085832662978</v>
      </c>
      <c r="CG413" s="18">
        <f t="shared" si="472"/>
        <v>3.324211571236602</v>
      </c>
      <c r="CH413" s="56">
        <f t="shared" si="473"/>
        <v>5</v>
      </c>
      <c r="CJ413" s="18">
        <f t="shared" si="474"/>
        <v>2.9888203713171873</v>
      </c>
      <c r="CK413" s="18">
        <f t="shared" si="474"/>
        <v>4.6777888637269154</v>
      </c>
      <c r="CL413" s="18">
        <f t="shared" si="474"/>
        <v>1.6707781596887799</v>
      </c>
      <c r="CM413" s="18">
        <f t="shared" si="474"/>
        <v>3.8707497094031114</v>
      </c>
      <c r="CN413" s="18">
        <f t="shared" si="474"/>
        <v>0.75700085832662978</v>
      </c>
      <c r="CO413" s="18">
        <f t="shared" si="474"/>
        <v>3.324211571236602</v>
      </c>
      <c r="CP413" s="56">
        <f t="shared" si="475"/>
        <v>5</v>
      </c>
      <c r="CR413" s="18">
        <f t="shared" si="476"/>
        <v>2.9888203713171873</v>
      </c>
      <c r="CS413" s="18">
        <f t="shared" si="476"/>
        <v>4.6777888637269154</v>
      </c>
      <c r="CT413" s="18">
        <f t="shared" si="476"/>
        <v>1.6707781596887799</v>
      </c>
      <c r="CU413" s="18">
        <f t="shared" si="476"/>
        <v>3.8707497094031114</v>
      </c>
      <c r="CV413" s="18">
        <f t="shared" si="476"/>
        <v>0.75700085832662978</v>
      </c>
      <c r="CW413" s="18">
        <f t="shared" si="476"/>
        <v>3.324211571236602</v>
      </c>
      <c r="CX413" s="56">
        <f t="shared" si="477"/>
        <v>5</v>
      </c>
      <c r="CZ413" s="18">
        <f t="shared" si="478"/>
        <v>2.9888203713171873</v>
      </c>
      <c r="DA413" s="18">
        <f t="shared" si="478"/>
        <v>4.6777888637269154</v>
      </c>
      <c r="DB413" s="18">
        <f t="shared" si="478"/>
        <v>1.6707781596887799</v>
      </c>
      <c r="DC413" s="18">
        <f t="shared" si="478"/>
        <v>3.8707497094031114</v>
      </c>
      <c r="DD413" s="18">
        <f t="shared" si="478"/>
        <v>0.75700085832662978</v>
      </c>
      <c r="DE413" s="18">
        <f t="shared" si="478"/>
        <v>3.324211571236602</v>
      </c>
      <c r="DF413" s="56">
        <f t="shared" si="479"/>
        <v>5</v>
      </c>
      <c r="DH413" s="18">
        <f t="shared" si="480"/>
        <v>2.9888203713171873</v>
      </c>
      <c r="DI413" s="18">
        <f t="shared" si="480"/>
        <v>4.6777888637269154</v>
      </c>
      <c r="DJ413" s="18">
        <f t="shared" si="480"/>
        <v>1.6707781596887799</v>
      </c>
      <c r="DK413" s="18">
        <f t="shared" si="480"/>
        <v>3.8707497094031114</v>
      </c>
      <c r="DL413" s="18">
        <f t="shared" si="480"/>
        <v>0.75700085832662978</v>
      </c>
      <c r="DM413" s="18">
        <f t="shared" si="480"/>
        <v>3.324211571236602</v>
      </c>
      <c r="DN413" s="56">
        <f t="shared" si="481"/>
        <v>5</v>
      </c>
    </row>
    <row r="414" spans="1:118" x14ac:dyDescent="0.25">
      <c r="A414" s="36" t="str">
        <f>KMeans_Data!A11</f>
        <v>Multan</v>
      </c>
      <c r="B414" s="18">
        <f>KMeans_Data!H11</f>
        <v>1.3394801285719993</v>
      </c>
      <c r="C414" s="18">
        <f>KMeans_Data!I11</f>
        <v>0.16051258962499582</v>
      </c>
      <c r="D414" s="18">
        <f>KMeans_Data!J11</f>
        <v>-0.82444601589876665</v>
      </c>
      <c r="E414" s="56">
        <f t="shared" si="456"/>
        <v>4</v>
      </c>
      <c r="F414" s="38">
        <f t="shared" si="457"/>
        <v>1.9750431311382415</v>
      </c>
      <c r="G414" s="18">
        <f>IF(COUNTIF(Distance_Matrix!$E$12:$DQ$12,$E414)&lt;=1,0,SUMIF(Distance_Matrix!$E$12:$DQ$12,$E414,Distance_Matrix!$E$20:$DQ$20)/(COUNTIF(Distance_Matrix!$E$12:$DQ$12,$E414)-1))</f>
        <v>1.5172731362605256</v>
      </c>
      <c r="H414" s="18">
        <f>MIN(IF(1=$E414,1E+99,IF(COUNTIF(Distance_Matrix!$E$12:$DQ$12,1)=0,1E+99,SUMIF(Distance_Matrix!$E$12:$DQ$12,1,Distance_Matrix!$E$20:$DQ$20)/COUNTIF(Distance_Matrix!$E$12:$DQ$12,1))),IF(2=$E414,1E+99,IF(COUNTIF(Distance_Matrix!$E$12:$DQ$12,2)=0,1E+99,SUMIF(Distance_Matrix!$E$12:$DQ$12,2,Distance_Matrix!$E$20:$DQ$20)/COUNTIF(Distance_Matrix!$E$12:$DQ$12,2))),IF(3=$E414,1E+99,IF(COUNTIF(Distance_Matrix!$E$12:$DQ$12,3)=0,1E+99,SUMIF(Distance_Matrix!$E$12:$DQ$12,3,Distance_Matrix!$E$20:$DQ$20)/COUNTIF(Distance_Matrix!$E$12:$DQ$12,3))),IF(4=$E414,1E+99,IF(COUNTIF(Distance_Matrix!$E$12:$DQ$12,4)=0,1E+99,SUMIF(Distance_Matrix!$E$12:$DQ$12,4,Distance_Matrix!$E$20:$DQ$20)/COUNTIF(Distance_Matrix!$E$12:$DQ$12,4))),IF(5=$E414,1E+99,IF(COUNTIF(Distance_Matrix!$E$12:$DQ$12,5)=0,1E+99,SUMIF(Distance_Matrix!$E$12:$DQ$12,5,Distance_Matrix!$E$20:$DQ$20)/COUNTIF(Distance_Matrix!$E$12:$DQ$12,5))),IF(6=$E414,1E+99,IF(COUNTIF(Distance_Matrix!$E$12:$DQ$12,6)=0,1E+99,SUMIF(Distance_Matrix!$E$12:$DQ$12,6,Distance_Matrix!$E$20:$DQ$20)/COUNTIF(Distance_Matrix!$E$12:$DQ$12,6))))</f>
        <v>2.0140323020492854</v>
      </c>
      <c r="I414" s="18">
        <f>IF(COUNTIF(Distance_Matrix!$E$12:$DQ$12,$E414)&lt;=1,0,(H414-G414)/MAX(G414,H414))</f>
        <v>0.2466490558683222</v>
      </c>
      <c r="X414" s="18">
        <f t="shared" si="458"/>
        <v>5.9504874931858787</v>
      </c>
      <c r="Y414" s="18">
        <f t="shared" si="458"/>
        <v>3.5338904221249825</v>
      </c>
      <c r="Z414" s="18">
        <f t="shared" si="458"/>
        <v>2.3249148297272479</v>
      </c>
      <c r="AA414" s="18">
        <f t="shared" si="458"/>
        <v>0.82406922646320091</v>
      </c>
      <c r="AB414" s="18">
        <f t="shared" si="458"/>
        <v>3.9777682880830931</v>
      </c>
      <c r="AC414" s="18">
        <f t="shared" si="458"/>
        <v>2.5279244628010589</v>
      </c>
      <c r="AD414" s="56">
        <f t="shared" si="459"/>
        <v>4</v>
      </c>
      <c r="AF414" s="18">
        <f t="shared" si="460"/>
        <v>5.7941084402947318</v>
      </c>
      <c r="AG414" s="18">
        <f t="shared" si="460"/>
        <v>2.7940614800226373</v>
      </c>
      <c r="AH414" s="18">
        <f t="shared" si="460"/>
        <v>1.9793044071271075</v>
      </c>
      <c r="AI414" s="18">
        <f t="shared" si="460"/>
        <v>1.3848531862956894</v>
      </c>
      <c r="AJ414" s="18">
        <f t="shared" si="460"/>
        <v>3.6120777337839449</v>
      </c>
      <c r="AK414" s="18">
        <f t="shared" si="460"/>
        <v>1.9668092914665136</v>
      </c>
      <c r="AL414" s="56">
        <f t="shared" si="461"/>
        <v>4</v>
      </c>
      <c r="AN414" s="18">
        <f t="shared" si="462"/>
        <v>5.7941084402947318</v>
      </c>
      <c r="AO414" s="18">
        <f t="shared" si="462"/>
        <v>2.7518839779431046</v>
      </c>
      <c r="AP414" s="18">
        <f t="shared" si="462"/>
        <v>1.9704078929574442</v>
      </c>
      <c r="AQ414" s="18">
        <f t="shared" si="462"/>
        <v>1.4053622775420727</v>
      </c>
      <c r="AR414" s="18">
        <f t="shared" si="462"/>
        <v>3.6120777337839449</v>
      </c>
      <c r="AS414" s="18">
        <f t="shared" si="462"/>
        <v>1.9448149818056615</v>
      </c>
      <c r="AT414" s="56">
        <f t="shared" si="463"/>
        <v>4</v>
      </c>
      <c r="AV414" s="18">
        <f t="shared" si="464"/>
        <v>5.7941084402947318</v>
      </c>
      <c r="AW414" s="18">
        <f t="shared" si="464"/>
        <v>2.7319048472022485</v>
      </c>
      <c r="AX414" s="18">
        <f t="shared" si="464"/>
        <v>1.9704078929574442</v>
      </c>
      <c r="AY414" s="18">
        <f t="shared" si="464"/>
        <v>1.4053622775420727</v>
      </c>
      <c r="AZ414" s="18">
        <f t="shared" si="464"/>
        <v>3.6120777337839449</v>
      </c>
      <c r="BA414" s="18">
        <f t="shared" si="464"/>
        <v>1.9382783491966908</v>
      </c>
      <c r="BB414" s="56">
        <f t="shared" si="465"/>
        <v>4</v>
      </c>
      <c r="BD414" s="18">
        <f t="shared" si="466"/>
        <v>5.7941084402947318</v>
      </c>
      <c r="BE414" s="18">
        <f t="shared" si="466"/>
        <v>2.7149802630107338</v>
      </c>
      <c r="BF414" s="18">
        <f t="shared" si="466"/>
        <v>1.9704078929574442</v>
      </c>
      <c r="BG414" s="18">
        <f t="shared" si="466"/>
        <v>1.4053622775420727</v>
      </c>
      <c r="BH414" s="18">
        <f t="shared" si="466"/>
        <v>3.6120777337839449</v>
      </c>
      <c r="BI414" s="18">
        <f t="shared" si="466"/>
        <v>1.9291372764441661</v>
      </c>
      <c r="BJ414" s="56">
        <f t="shared" si="467"/>
        <v>4</v>
      </c>
      <c r="BL414" s="18">
        <f t="shared" si="468"/>
        <v>5.7941084402947318</v>
      </c>
      <c r="BM414" s="18">
        <f t="shared" si="468"/>
        <v>2.7149802630107338</v>
      </c>
      <c r="BN414" s="18">
        <f t="shared" si="468"/>
        <v>1.9704078929574442</v>
      </c>
      <c r="BO414" s="18">
        <f t="shared" si="468"/>
        <v>1.4053622775420727</v>
      </c>
      <c r="BP414" s="18">
        <f t="shared" si="468"/>
        <v>3.6120777337839449</v>
      </c>
      <c r="BQ414" s="18">
        <f t="shared" si="468"/>
        <v>1.9291372764441661</v>
      </c>
      <c r="BR414" s="56">
        <f t="shared" si="469"/>
        <v>4</v>
      </c>
      <c r="BT414" s="18">
        <f t="shared" si="470"/>
        <v>5.7941084402947318</v>
      </c>
      <c r="BU414" s="18">
        <f t="shared" si="470"/>
        <v>2.7149802630107338</v>
      </c>
      <c r="BV414" s="18">
        <f t="shared" si="470"/>
        <v>1.9704078929574442</v>
      </c>
      <c r="BW414" s="18">
        <f t="shared" si="470"/>
        <v>1.4053622775420727</v>
      </c>
      <c r="BX414" s="18">
        <f t="shared" si="470"/>
        <v>3.6120777337839449</v>
      </c>
      <c r="BY414" s="18">
        <f t="shared" si="470"/>
        <v>1.9291372764441661</v>
      </c>
      <c r="BZ414" s="56">
        <f t="shared" si="471"/>
        <v>4</v>
      </c>
      <c r="CB414" s="18">
        <f t="shared" si="472"/>
        <v>5.7941084402947318</v>
      </c>
      <c r="CC414" s="18">
        <f t="shared" si="472"/>
        <v>2.7149802630107338</v>
      </c>
      <c r="CD414" s="18">
        <f t="shared" si="472"/>
        <v>1.9704078929574442</v>
      </c>
      <c r="CE414" s="18">
        <f t="shared" si="472"/>
        <v>1.4053622775420727</v>
      </c>
      <c r="CF414" s="18">
        <f t="shared" si="472"/>
        <v>3.6120777337839449</v>
      </c>
      <c r="CG414" s="18">
        <f t="shared" si="472"/>
        <v>1.9291372764441661</v>
      </c>
      <c r="CH414" s="56">
        <f t="shared" si="473"/>
        <v>4</v>
      </c>
      <c r="CJ414" s="18">
        <f t="shared" si="474"/>
        <v>5.7941084402947318</v>
      </c>
      <c r="CK414" s="18">
        <f t="shared" si="474"/>
        <v>2.7149802630107338</v>
      </c>
      <c r="CL414" s="18">
        <f t="shared" si="474"/>
        <v>1.9704078929574442</v>
      </c>
      <c r="CM414" s="18">
        <f t="shared" si="474"/>
        <v>1.4053622775420727</v>
      </c>
      <c r="CN414" s="18">
        <f t="shared" si="474"/>
        <v>3.6120777337839449</v>
      </c>
      <c r="CO414" s="18">
        <f t="shared" si="474"/>
        <v>1.9291372764441661</v>
      </c>
      <c r="CP414" s="56">
        <f t="shared" si="475"/>
        <v>4</v>
      </c>
      <c r="CR414" s="18">
        <f t="shared" si="476"/>
        <v>5.7941084402947318</v>
      </c>
      <c r="CS414" s="18">
        <f t="shared" si="476"/>
        <v>2.7149802630107338</v>
      </c>
      <c r="CT414" s="18">
        <f t="shared" si="476"/>
        <v>1.9704078929574442</v>
      </c>
      <c r="CU414" s="18">
        <f t="shared" si="476"/>
        <v>1.4053622775420727</v>
      </c>
      <c r="CV414" s="18">
        <f t="shared" si="476"/>
        <v>3.6120777337839449</v>
      </c>
      <c r="CW414" s="18">
        <f t="shared" si="476"/>
        <v>1.9291372764441661</v>
      </c>
      <c r="CX414" s="56">
        <f t="shared" si="477"/>
        <v>4</v>
      </c>
      <c r="CZ414" s="18">
        <f t="shared" si="478"/>
        <v>5.7941084402947318</v>
      </c>
      <c r="DA414" s="18">
        <f t="shared" si="478"/>
        <v>2.7149802630107338</v>
      </c>
      <c r="DB414" s="18">
        <f t="shared" si="478"/>
        <v>1.9704078929574442</v>
      </c>
      <c r="DC414" s="18">
        <f t="shared" si="478"/>
        <v>1.4053622775420727</v>
      </c>
      <c r="DD414" s="18">
        <f t="shared" si="478"/>
        <v>3.6120777337839449</v>
      </c>
      <c r="DE414" s="18">
        <f t="shared" si="478"/>
        <v>1.9291372764441661</v>
      </c>
      <c r="DF414" s="56">
        <f t="shared" si="479"/>
        <v>4</v>
      </c>
      <c r="DH414" s="18">
        <f t="shared" si="480"/>
        <v>5.7941084402947318</v>
      </c>
      <c r="DI414" s="18">
        <f t="shared" si="480"/>
        <v>2.7149802630107338</v>
      </c>
      <c r="DJ414" s="18">
        <f t="shared" si="480"/>
        <v>1.9704078929574442</v>
      </c>
      <c r="DK414" s="18">
        <f t="shared" si="480"/>
        <v>1.4053622775420727</v>
      </c>
      <c r="DL414" s="18">
        <f t="shared" si="480"/>
        <v>3.6120777337839449</v>
      </c>
      <c r="DM414" s="18">
        <f t="shared" si="480"/>
        <v>1.9291372764441661</v>
      </c>
      <c r="DN414" s="56">
        <f t="shared" si="481"/>
        <v>4</v>
      </c>
    </row>
    <row r="415" spans="1:118" x14ac:dyDescent="0.25">
      <c r="A415" s="36" t="str">
        <f>KMeans_Data!A12</f>
        <v>Sukkur</v>
      </c>
      <c r="B415" s="18">
        <f>KMeans_Data!H12</f>
        <v>1.3163443189252899</v>
      </c>
      <c r="C415" s="18">
        <f>KMeans_Data!I12</f>
        <v>0.68618000108374222</v>
      </c>
      <c r="D415" s="18">
        <f>KMeans_Data!J12</f>
        <v>1.7238403519091188</v>
      </c>
      <c r="E415" s="56">
        <f t="shared" si="456"/>
        <v>3</v>
      </c>
      <c r="F415" s="38">
        <f t="shared" si="457"/>
        <v>0.98036670929297365</v>
      </c>
      <c r="G415" s="18">
        <f>IF(COUNTIF(Distance_Matrix!$E$12:$DQ$12,$E415)&lt;=1,0,SUMIF(Distance_Matrix!$E$12:$DQ$12,$E415,Distance_Matrix!$E$21:$DQ$21)/(COUNTIF(Distance_Matrix!$E$12:$DQ$12,$E415)-1))</f>
        <v>1.1644524664539515</v>
      </c>
      <c r="H415" s="18">
        <f>MIN(IF(1=$E415,1E+99,IF(COUNTIF(Distance_Matrix!$E$12:$DQ$12,1)=0,1E+99,SUMIF(Distance_Matrix!$E$12:$DQ$12,1,Distance_Matrix!$E$21:$DQ$21)/COUNTIF(Distance_Matrix!$E$12:$DQ$12,1))),IF(2=$E415,1E+99,IF(COUNTIF(Distance_Matrix!$E$12:$DQ$12,2)=0,1E+99,SUMIF(Distance_Matrix!$E$12:$DQ$12,2,Distance_Matrix!$E$21:$DQ$21)/COUNTIF(Distance_Matrix!$E$12:$DQ$12,2))),IF(3=$E415,1E+99,IF(COUNTIF(Distance_Matrix!$E$12:$DQ$12,3)=0,1E+99,SUMIF(Distance_Matrix!$E$12:$DQ$12,3,Distance_Matrix!$E$21:$DQ$21)/COUNTIF(Distance_Matrix!$E$12:$DQ$12,3))),IF(4=$E415,1E+99,IF(COUNTIF(Distance_Matrix!$E$12:$DQ$12,4)=0,1E+99,SUMIF(Distance_Matrix!$E$12:$DQ$12,4,Distance_Matrix!$E$21:$DQ$21)/COUNTIF(Distance_Matrix!$E$12:$DQ$12,4))),IF(5=$E415,1E+99,IF(COUNTIF(Distance_Matrix!$E$12:$DQ$12,5)=0,1E+99,SUMIF(Distance_Matrix!$E$12:$DQ$12,5,Distance_Matrix!$E$21:$DQ$21)/COUNTIF(Distance_Matrix!$E$12:$DQ$12,5))),IF(6=$E415,1E+99,IF(COUNTIF(Distance_Matrix!$E$12:$DQ$12,6)=0,1E+99,SUMIF(Distance_Matrix!$E$12:$DQ$12,6,Distance_Matrix!$E$21:$DQ$21)/COUNTIF(Distance_Matrix!$E$12:$DQ$12,6))))</f>
        <v>2.0711062062308785</v>
      </c>
      <c r="I415" s="18">
        <f>IF(COUNTIF(Distance_Matrix!$E$12:$DQ$12,$E415)&lt;=1,0,(H415-G415)/MAX(G415,H415))</f>
        <v>0.43776303554558366</v>
      </c>
      <c r="X415" s="18">
        <f t="shared" si="458"/>
        <v>4.1727070517104679</v>
      </c>
      <c r="Y415" s="18">
        <f t="shared" si="458"/>
        <v>4.6490575992165946</v>
      </c>
      <c r="Z415" s="18">
        <f t="shared" si="458"/>
        <v>0.48644468900823695</v>
      </c>
      <c r="AA415" s="18">
        <f t="shared" si="458"/>
        <v>3.0623360139594267</v>
      </c>
      <c r="AB415" s="18">
        <f t="shared" si="458"/>
        <v>2.0260323086887375</v>
      </c>
      <c r="AC415" s="18">
        <f t="shared" si="458"/>
        <v>2.4463314941653116</v>
      </c>
      <c r="AD415" s="56">
        <f t="shared" si="459"/>
        <v>3</v>
      </c>
      <c r="AF415" s="18">
        <f t="shared" si="460"/>
        <v>4.1195172910656206</v>
      </c>
      <c r="AG415" s="18">
        <f t="shared" si="460"/>
        <v>4.0851034155618757</v>
      </c>
      <c r="AH415" s="18">
        <f t="shared" si="460"/>
        <v>0.96347342490691446</v>
      </c>
      <c r="AI415" s="18">
        <f t="shared" si="460"/>
        <v>3.0862951083984274</v>
      </c>
      <c r="AJ415" s="18">
        <f t="shared" si="460"/>
        <v>2.0095082152819703</v>
      </c>
      <c r="AK415" s="18">
        <f t="shared" si="460"/>
        <v>2.4630197417720563</v>
      </c>
      <c r="AL415" s="56">
        <f t="shared" si="461"/>
        <v>3</v>
      </c>
      <c r="AN415" s="18">
        <f t="shared" si="462"/>
        <v>4.1195172910656206</v>
      </c>
      <c r="AO415" s="18">
        <f t="shared" si="462"/>
        <v>4.0432051301636474</v>
      </c>
      <c r="AP415" s="18">
        <f t="shared" si="462"/>
        <v>0.9901346925004566</v>
      </c>
      <c r="AQ415" s="18">
        <f t="shared" si="462"/>
        <v>3.1054598524308368</v>
      </c>
      <c r="AR415" s="18">
        <f t="shared" si="462"/>
        <v>2.0095082152819703</v>
      </c>
      <c r="AS415" s="18">
        <f t="shared" si="462"/>
        <v>2.4210398842813654</v>
      </c>
      <c r="AT415" s="56">
        <f t="shared" si="463"/>
        <v>3</v>
      </c>
      <c r="AV415" s="18">
        <f t="shared" si="464"/>
        <v>4.1195172910656206</v>
      </c>
      <c r="AW415" s="18">
        <f t="shared" si="464"/>
        <v>4.0134204891138738</v>
      </c>
      <c r="AX415" s="18">
        <f t="shared" si="464"/>
        <v>0.9901346925004566</v>
      </c>
      <c r="AY415" s="18">
        <f t="shared" si="464"/>
        <v>3.1054598524308368</v>
      </c>
      <c r="AZ415" s="18">
        <f t="shared" si="464"/>
        <v>2.0095082152819703</v>
      </c>
      <c r="BA415" s="18">
        <f t="shared" si="464"/>
        <v>2.3949736279301401</v>
      </c>
      <c r="BB415" s="56">
        <f t="shared" si="465"/>
        <v>3</v>
      </c>
      <c r="BD415" s="18">
        <f t="shared" si="466"/>
        <v>4.1195172910656206</v>
      </c>
      <c r="BE415" s="18">
        <f t="shared" si="466"/>
        <v>3.9847947803339294</v>
      </c>
      <c r="BF415" s="18">
        <f t="shared" si="466"/>
        <v>0.9901346925004566</v>
      </c>
      <c r="BG415" s="18">
        <f t="shared" si="466"/>
        <v>3.1054598524308368</v>
      </c>
      <c r="BH415" s="18">
        <f t="shared" si="466"/>
        <v>2.0095082152819703</v>
      </c>
      <c r="BI415" s="18">
        <f t="shared" si="466"/>
        <v>2.3680487981681835</v>
      </c>
      <c r="BJ415" s="56">
        <f t="shared" si="467"/>
        <v>3</v>
      </c>
      <c r="BL415" s="18">
        <f t="shared" si="468"/>
        <v>4.1195172910656206</v>
      </c>
      <c r="BM415" s="18">
        <f t="shared" si="468"/>
        <v>3.9847947803339294</v>
      </c>
      <c r="BN415" s="18">
        <f t="shared" si="468"/>
        <v>0.9901346925004566</v>
      </c>
      <c r="BO415" s="18">
        <f t="shared" si="468"/>
        <v>3.1054598524308368</v>
      </c>
      <c r="BP415" s="18">
        <f t="shared" si="468"/>
        <v>2.0095082152819703</v>
      </c>
      <c r="BQ415" s="18">
        <f t="shared" si="468"/>
        <v>2.3680487981681835</v>
      </c>
      <c r="BR415" s="56">
        <f t="shared" si="469"/>
        <v>3</v>
      </c>
      <c r="BT415" s="18">
        <f t="shared" si="470"/>
        <v>4.1195172910656206</v>
      </c>
      <c r="BU415" s="18">
        <f t="shared" si="470"/>
        <v>3.9847947803339294</v>
      </c>
      <c r="BV415" s="18">
        <f t="shared" si="470"/>
        <v>0.9901346925004566</v>
      </c>
      <c r="BW415" s="18">
        <f t="shared" si="470"/>
        <v>3.1054598524308368</v>
      </c>
      <c r="BX415" s="18">
        <f t="shared" si="470"/>
        <v>2.0095082152819703</v>
      </c>
      <c r="BY415" s="18">
        <f t="shared" si="470"/>
        <v>2.3680487981681835</v>
      </c>
      <c r="BZ415" s="56">
        <f t="shared" si="471"/>
        <v>3</v>
      </c>
      <c r="CB415" s="18">
        <f t="shared" si="472"/>
        <v>4.1195172910656206</v>
      </c>
      <c r="CC415" s="18">
        <f t="shared" si="472"/>
        <v>3.9847947803339294</v>
      </c>
      <c r="CD415" s="18">
        <f t="shared" si="472"/>
        <v>0.9901346925004566</v>
      </c>
      <c r="CE415" s="18">
        <f t="shared" si="472"/>
        <v>3.1054598524308368</v>
      </c>
      <c r="CF415" s="18">
        <f t="shared" si="472"/>
        <v>2.0095082152819703</v>
      </c>
      <c r="CG415" s="18">
        <f t="shared" si="472"/>
        <v>2.3680487981681835</v>
      </c>
      <c r="CH415" s="56">
        <f t="shared" si="473"/>
        <v>3</v>
      </c>
      <c r="CJ415" s="18">
        <f t="shared" si="474"/>
        <v>4.1195172910656206</v>
      </c>
      <c r="CK415" s="18">
        <f t="shared" si="474"/>
        <v>3.9847947803339294</v>
      </c>
      <c r="CL415" s="18">
        <f t="shared" si="474"/>
        <v>0.9901346925004566</v>
      </c>
      <c r="CM415" s="18">
        <f t="shared" si="474"/>
        <v>3.1054598524308368</v>
      </c>
      <c r="CN415" s="18">
        <f t="shared" si="474"/>
        <v>2.0095082152819703</v>
      </c>
      <c r="CO415" s="18">
        <f t="shared" si="474"/>
        <v>2.3680487981681835</v>
      </c>
      <c r="CP415" s="56">
        <f t="shared" si="475"/>
        <v>3</v>
      </c>
      <c r="CR415" s="18">
        <f t="shared" si="476"/>
        <v>4.1195172910656206</v>
      </c>
      <c r="CS415" s="18">
        <f t="shared" si="476"/>
        <v>3.9847947803339294</v>
      </c>
      <c r="CT415" s="18">
        <f t="shared" si="476"/>
        <v>0.9901346925004566</v>
      </c>
      <c r="CU415" s="18">
        <f t="shared" si="476"/>
        <v>3.1054598524308368</v>
      </c>
      <c r="CV415" s="18">
        <f t="shared" si="476"/>
        <v>2.0095082152819703</v>
      </c>
      <c r="CW415" s="18">
        <f t="shared" si="476"/>
        <v>2.3680487981681835</v>
      </c>
      <c r="CX415" s="56">
        <f t="shared" si="477"/>
        <v>3</v>
      </c>
      <c r="CZ415" s="18">
        <f t="shared" si="478"/>
        <v>4.1195172910656206</v>
      </c>
      <c r="DA415" s="18">
        <f t="shared" si="478"/>
        <v>3.9847947803339294</v>
      </c>
      <c r="DB415" s="18">
        <f t="shared" si="478"/>
        <v>0.9901346925004566</v>
      </c>
      <c r="DC415" s="18">
        <f t="shared" si="478"/>
        <v>3.1054598524308368</v>
      </c>
      <c r="DD415" s="18">
        <f t="shared" si="478"/>
        <v>2.0095082152819703</v>
      </c>
      <c r="DE415" s="18">
        <f t="shared" si="478"/>
        <v>2.3680487981681835</v>
      </c>
      <c r="DF415" s="56">
        <f t="shared" si="479"/>
        <v>3</v>
      </c>
      <c r="DH415" s="18">
        <f t="shared" si="480"/>
        <v>4.1195172910656206</v>
      </c>
      <c r="DI415" s="18">
        <f t="shared" si="480"/>
        <v>3.9847947803339294</v>
      </c>
      <c r="DJ415" s="18">
        <f t="shared" si="480"/>
        <v>0.9901346925004566</v>
      </c>
      <c r="DK415" s="18">
        <f t="shared" si="480"/>
        <v>3.1054598524308368</v>
      </c>
      <c r="DL415" s="18">
        <f t="shared" si="480"/>
        <v>2.0095082152819703</v>
      </c>
      <c r="DM415" s="18">
        <f t="shared" si="480"/>
        <v>2.3680487981681835</v>
      </c>
      <c r="DN415" s="56">
        <f t="shared" si="481"/>
        <v>3</v>
      </c>
    </row>
    <row r="416" spans="1:118" x14ac:dyDescent="0.25">
      <c r="A416" s="36" t="str">
        <f>KMeans_Data!A13</f>
        <v>Hyderabad</v>
      </c>
      <c r="B416" s="18">
        <f>KMeans_Data!H13</f>
        <v>1.2591276453149129</v>
      </c>
      <c r="C416" s="18">
        <f>KMeans_Data!I13</f>
        <v>1.2118474125424887</v>
      </c>
      <c r="D416" s="18">
        <f>KMeans_Data!J13</f>
        <v>1.6955104854445937</v>
      </c>
      <c r="E416" s="56">
        <f t="shared" si="456"/>
        <v>3</v>
      </c>
      <c r="F416" s="38">
        <f t="shared" si="457"/>
        <v>0.99913788930320702</v>
      </c>
      <c r="G416" s="18">
        <f>IF(COUNTIF(Distance_Matrix!$E$12:$DQ$12,$E416)&lt;=1,0,SUMIF(Distance_Matrix!$E$12:$DQ$12,$E416,Distance_Matrix!$E$22:$DQ$22)/(COUNTIF(Distance_Matrix!$E$12:$DQ$12,$E416)-1))</f>
        <v>1.1756889014783873</v>
      </c>
      <c r="H416" s="18">
        <f>MIN(IF(1=$E416,1E+99,IF(COUNTIF(Distance_Matrix!$E$12:$DQ$12,1)=0,1E+99,SUMIF(Distance_Matrix!$E$12:$DQ$12,1,Distance_Matrix!$E$22:$DQ$22)/COUNTIF(Distance_Matrix!$E$12:$DQ$12,1))),IF(2=$E416,1E+99,IF(COUNTIF(Distance_Matrix!$E$12:$DQ$12,2)=0,1E+99,SUMIF(Distance_Matrix!$E$12:$DQ$12,2,Distance_Matrix!$E$22:$DQ$22)/COUNTIF(Distance_Matrix!$E$12:$DQ$12,2))),IF(3=$E416,1E+99,IF(COUNTIF(Distance_Matrix!$E$12:$DQ$12,3)=0,1E+99,SUMIF(Distance_Matrix!$E$12:$DQ$12,3,Distance_Matrix!$E$22:$DQ$22)/COUNTIF(Distance_Matrix!$E$12:$DQ$12,3))),IF(4=$E416,1E+99,IF(COUNTIF(Distance_Matrix!$E$12:$DQ$12,4)=0,1E+99,SUMIF(Distance_Matrix!$E$12:$DQ$12,4,Distance_Matrix!$E$22:$DQ$22)/COUNTIF(Distance_Matrix!$E$12:$DQ$12,4))),IF(5=$E416,1E+99,IF(COUNTIF(Distance_Matrix!$E$12:$DQ$12,5)=0,1E+99,SUMIF(Distance_Matrix!$E$12:$DQ$12,5,Distance_Matrix!$E$22:$DQ$22)/COUNTIF(Distance_Matrix!$E$12:$DQ$12,5))),IF(6=$E416,1E+99,IF(COUNTIF(Distance_Matrix!$E$12:$DQ$12,6)=0,1E+99,SUMIF(Distance_Matrix!$E$12:$DQ$12,6,Distance_Matrix!$E$22:$DQ$22)/COUNTIF(Distance_Matrix!$E$12:$DQ$12,6))))</f>
        <v>1.6507539543892653</v>
      </c>
      <c r="I416" s="18">
        <f>IF(COUNTIF(Distance_Matrix!$E$12:$DQ$12,$E416)&lt;=1,0,(H416-G416)/MAX(G416,H416))</f>
        <v>0.28778671203404099</v>
      </c>
      <c r="X416" s="18">
        <f t="shared" si="458"/>
        <v>3.8049688595258218</v>
      </c>
      <c r="Y416" s="18">
        <f t="shared" si="458"/>
        <v>4.7719509323338665</v>
      </c>
      <c r="Z416" s="18">
        <f t="shared" si="458"/>
        <v>0.8910805790095413</v>
      </c>
      <c r="AA416" s="18">
        <f t="shared" si="458"/>
        <v>3.2085676641039029</v>
      </c>
      <c r="AB416" s="18">
        <f t="shared" si="458"/>
        <v>1.6886079116948614</v>
      </c>
      <c r="AC416" s="18">
        <f t="shared" si="458"/>
        <v>2.6167475440059769</v>
      </c>
      <c r="AD416" s="56">
        <f t="shared" si="459"/>
        <v>3</v>
      </c>
      <c r="AF416" s="18">
        <f t="shared" si="460"/>
        <v>3.7359216991210369</v>
      </c>
      <c r="AG416" s="18">
        <f t="shared" si="460"/>
        <v>4.2321996937001547</v>
      </c>
      <c r="AH416" s="18">
        <f t="shared" si="460"/>
        <v>0.96979654646179214</v>
      </c>
      <c r="AI416" s="18">
        <f t="shared" si="460"/>
        <v>3.2881315317893387</v>
      </c>
      <c r="AJ416" s="18">
        <f t="shared" si="460"/>
        <v>1.5697384061941029</v>
      </c>
      <c r="AK416" s="18">
        <f t="shared" si="460"/>
        <v>2.6849144564353487</v>
      </c>
      <c r="AL416" s="56">
        <f t="shared" si="461"/>
        <v>3</v>
      </c>
      <c r="AN416" s="18">
        <f t="shared" si="462"/>
        <v>3.7359216991210369</v>
      </c>
      <c r="AO416" s="18">
        <f t="shared" si="462"/>
        <v>4.1927311707473924</v>
      </c>
      <c r="AP416" s="18">
        <f t="shared" si="462"/>
        <v>0.99956885170717835</v>
      </c>
      <c r="AQ416" s="18">
        <f t="shared" si="462"/>
        <v>3.310800761544161</v>
      </c>
      <c r="AR416" s="18">
        <f t="shared" si="462"/>
        <v>1.5697384061941029</v>
      </c>
      <c r="AS416" s="18">
        <f t="shared" si="462"/>
        <v>2.6465111196863353</v>
      </c>
      <c r="AT416" s="56">
        <f t="shared" si="463"/>
        <v>3</v>
      </c>
      <c r="AV416" s="18">
        <f t="shared" si="464"/>
        <v>3.7359216991210369</v>
      </c>
      <c r="AW416" s="18">
        <f t="shared" si="464"/>
        <v>4.1645544271660251</v>
      </c>
      <c r="AX416" s="18">
        <f t="shared" si="464"/>
        <v>0.99956885170717835</v>
      </c>
      <c r="AY416" s="18">
        <f t="shared" si="464"/>
        <v>3.310800761544161</v>
      </c>
      <c r="AZ416" s="18">
        <f t="shared" si="464"/>
        <v>1.5697384061941029</v>
      </c>
      <c r="BA416" s="18">
        <f t="shared" si="464"/>
        <v>2.621499565751523</v>
      </c>
      <c r="BB416" s="56">
        <f t="shared" si="465"/>
        <v>3</v>
      </c>
      <c r="BD416" s="18">
        <f t="shared" si="466"/>
        <v>3.7359216991210369</v>
      </c>
      <c r="BE416" s="18">
        <f t="shared" si="466"/>
        <v>4.1374744611373115</v>
      </c>
      <c r="BF416" s="18">
        <f t="shared" si="466"/>
        <v>0.99956885170717835</v>
      </c>
      <c r="BG416" s="18">
        <f t="shared" si="466"/>
        <v>3.310800761544161</v>
      </c>
      <c r="BH416" s="18">
        <f t="shared" si="466"/>
        <v>1.5697384061941029</v>
      </c>
      <c r="BI416" s="18">
        <f t="shared" si="466"/>
        <v>2.5956528974370916</v>
      </c>
      <c r="BJ416" s="56">
        <f t="shared" si="467"/>
        <v>3</v>
      </c>
      <c r="BL416" s="18">
        <f t="shared" si="468"/>
        <v>3.7359216991210369</v>
      </c>
      <c r="BM416" s="18">
        <f t="shared" si="468"/>
        <v>4.1374744611373115</v>
      </c>
      <c r="BN416" s="18">
        <f t="shared" si="468"/>
        <v>0.99956885170717835</v>
      </c>
      <c r="BO416" s="18">
        <f t="shared" si="468"/>
        <v>3.310800761544161</v>
      </c>
      <c r="BP416" s="18">
        <f t="shared" si="468"/>
        <v>1.5697384061941029</v>
      </c>
      <c r="BQ416" s="18">
        <f t="shared" si="468"/>
        <v>2.5956528974370916</v>
      </c>
      <c r="BR416" s="56">
        <f t="shared" si="469"/>
        <v>3</v>
      </c>
      <c r="BT416" s="18">
        <f t="shared" si="470"/>
        <v>3.7359216991210369</v>
      </c>
      <c r="BU416" s="18">
        <f t="shared" si="470"/>
        <v>4.1374744611373115</v>
      </c>
      <c r="BV416" s="18">
        <f t="shared" si="470"/>
        <v>0.99956885170717835</v>
      </c>
      <c r="BW416" s="18">
        <f t="shared" si="470"/>
        <v>3.310800761544161</v>
      </c>
      <c r="BX416" s="18">
        <f t="shared" si="470"/>
        <v>1.5697384061941029</v>
      </c>
      <c r="BY416" s="18">
        <f t="shared" si="470"/>
        <v>2.5956528974370916</v>
      </c>
      <c r="BZ416" s="56">
        <f t="shared" si="471"/>
        <v>3</v>
      </c>
      <c r="CB416" s="18">
        <f t="shared" si="472"/>
        <v>3.7359216991210369</v>
      </c>
      <c r="CC416" s="18">
        <f t="shared" si="472"/>
        <v>4.1374744611373115</v>
      </c>
      <c r="CD416" s="18">
        <f t="shared" si="472"/>
        <v>0.99956885170717835</v>
      </c>
      <c r="CE416" s="18">
        <f t="shared" si="472"/>
        <v>3.310800761544161</v>
      </c>
      <c r="CF416" s="18">
        <f t="shared" si="472"/>
        <v>1.5697384061941029</v>
      </c>
      <c r="CG416" s="18">
        <f t="shared" si="472"/>
        <v>2.5956528974370916</v>
      </c>
      <c r="CH416" s="56">
        <f t="shared" si="473"/>
        <v>3</v>
      </c>
      <c r="CJ416" s="18">
        <f t="shared" si="474"/>
        <v>3.7359216991210369</v>
      </c>
      <c r="CK416" s="18">
        <f t="shared" si="474"/>
        <v>4.1374744611373115</v>
      </c>
      <c r="CL416" s="18">
        <f t="shared" si="474"/>
        <v>0.99956885170717835</v>
      </c>
      <c r="CM416" s="18">
        <f t="shared" si="474"/>
        <v>3.310800761544161</v>
      </c>
      <c r="CN416" s="18">
        <f t="shared" si="474"/>
        <v>1.5697384061941029</v>
      </c>
      <c r="CO416" s="18">
        <f t="shared" si="474"/>
        <v>2.5956528974370916</v>
      </c>
      <c r="CP416" s="56">
        <f t="shared" si="475"/>
        <v>3</v>
      </c>
      <c r="CR416" s="18">
        <f t="shared" si="476"/>
        <v>3.7359216991210369</v>
      </c>
      <c r="CS416" s="18">
        <f t="shared" si="476"/>
        <v>4.1374744611373115</v>
      </c>
      <c r="CT416" s="18">
        <f t="shared" si="476"/>
        <v>0.99956885170717835</v>
      </c>
      <c r="CU416" s="18">
        <f t="shared" si="476"/>
        <v>3.310800761544161</v>
      </c>
      <c r="CV416" s="18">
        <f t="shared" si="476"/>
        <v>1.5697384061941029</v>
      </c>
      <c r="CW416" s="18">
        <f t="shared" si="476"/>
        <v>2.5956528974370916</v>
      </c>
      <c r="CX416" s="56">
        <f t="shared" si="477"/>
        <v>3</v>
      </c>
      <c r="CZ416" s="18">
        <f t="shared" si="478"/>
        <v>3.7359216991210369</v>
      </c>
      <c r="DA416" s="18">
        <f t="shared" si="478"/>
        <v>4.1374744611373115</v>
      </c>
      <c r="DB416" s="18">
        <f t="shared" si="478"/>
        <v>0.99956885170717835</v>
      </c>
      <c r="DC416" s="18">
        <f t="shared" si="478"/>
        <v>3.310800761544161</v>
      </c>
      <c r="DD416" s="18">
        <f t="shared" si="478"/>
        <v>1.5697384061941029</v>
      </c>
      <c r="DE416" s="18">
        <f t="shared" si="478"/>
        <v>2.5956528974370916</v>
      </c>
      <c r="DF416" s="56">
        <f t="shared" si="479"/>
        <v>3</v>
      </c>
      <c r="DH416" s="18">
        <f t="shared" si="480"/>
        <v>3.7359216991210369</v>
      </c>
      <c r="DI416" s="18">
        <f t="shared" si="480"/>
        <v>4.1374744611373115</v>
      </c>
      <c r="DJ416" s="18">
        <f t="shared" si="480"/>
        <v>0.99956885170717835</v>
      </c>
      <c r="DK416" s="18">
        <f t="shared" si="480"/>
        <v>3.310800761544161</v>
      </c>
      <c r="DL416" s="18">
        <f t="shared" si="480"/>
        <v>1.5697384061941029</v>
      </c>
      <c r="DM416" s="18">
        <f t="shared" si="480"/>
        <v>2.5956528974370916</v>
      </c>
      <c r="DN416" s="56">
        <f t="shared" si="481"/>
        <v>3</v>
      </c>
    </row>
    <row r="417" spans="1:118" x14ac:dyDescent="0.25">
      <c r="A417" s="36" t="str">
        <f>KMeans_Data!A14</f>
        <v>Raiwind</v>
      </c>
      <c r="B417" s="18">
        <f>KMeans_Data!H14</f>
        <v>1.2015385972262329</v>
      </c>
      <c r="C417" s="18">
        <f>KMeans_Data!I14</f>
        <v>-0.14698313392952958</v>
      </c>
      <c r="D417" s="18">
        <f>KMeans_Data!J14</f>
        <v>-0.82444601589876665</v>
      </c>
      <c r="E417" s="56">
        <f t="shared" si="456"/>
        <v>4</v>
      </c>
      <c r="F417" s="38">
        <f t="shared" si="457"/>
        <v>1.3092591874185409</v>
      </c>
      <c r="G417" s="18">
        <f>IF(COUNTIF(Distance_Matrix!$E$12:$DQ$12,$E417)&lt;=1,0,SUMIF(Distance_Matrix!$E$12:$DQ$12,$E417,Distance_Matrix!$E$23:$DQ$23)/(COUNTIF(Distance_Matrix!$E$12:$DQ$12,$E417)-1))</f>
        <v>1.2770509573371045</v>
      </c>
      <c r="H417" s="18">
        <f>MIN(IF(1=$E417,1E+99,IF(COUNTIF(Distance_Matrix!$E$12:$DQ$12,1)=0,1E+99,SUMIF(Distance_Matrix!$E$12:$DQ$12,1,Distance_Matrix!$E$23:$DQ$23)/COUNTIF(Distance_Matrix!$E$12:$DQ$12,1))),IF(2=$E417,1E+99,IF(COUNTIF(Distance_Matrix!$E$12:$DQ$12,2)=0,1E+99,SUMIF(Distance_Matrix!$E$12:$DQ$12,2,Distance_Matrix!$E$23:$DQ$23)/COUNTIF(Distance_Matrix!$E$12:$DQ$12,2))),IF(3=$E417,1E+99,IF(COUNTIF(Distance_Matrix!$E$12:$DQ$12,3)=0,1E+99,SUMIF(Distance_Matrix!$E$12:$DQ$12,3,Distance_Matrix!$E$23:$DQ$23)/COUNTIF(Distance_Matrix!$E$12:$DQ$12,3))),IF(4=$E417,1E+99,IF(COUNTIF(Distance_Matrix!$E$12:$DQ$12,4)=0,1E+99,SUMIF(Distance_Matrix!$E$12:$DQ$12,4,Distance_Matrix!$E$23:$DQ$23)/COUNTIF(Distance_Matrix!$E$12:$DQ$12,4))),IF(5=$E417,1E+99,IF(COUNTIF(Distance_Matrix!$E$12:$DQ$12,5)=0,1E+99,SUMIF(Distance_Matrix!$E$12:$DQ$12,5,Distance_Matrix!$E$23:$DQ$23)/COUNTIF(Distance_Matrix!$E$12:$DQ$12,5))),IF(6=$E417,1E+99,IF(COUNTIF(Distance_Matrix!$E$12:$DQ$12,6)=0,1E+99,SUMIF(Distance_Matrix!$E$12:$DQ$12,6,Distance_Matrix!$E$23:$DQ$23)/COUNTIF(Distance_Matrix!$E$12:$DQ$12,6))))</f>
        <v>1.8549945082276289</v>
      </c>
      <c r="I417" s="18">
        <f>IF(COUNTIF(Distance_Matrix!$E$12:$DQ$12,$E417)&lt;=1,0,(H417-G417)/MAX(G417,H417))</f>
        <v>0.31156078809242715</v>
      </c>
      <c r="X417" s="18">
        <f t="shared" si="458"/>
        <v>6.2000657083427848</v>
      </c>
      <c r="Y417" s="18">
        <f t="shared" si="458"/>
        <v>3.3386030664456947</v>
      </c>
      <c r="Z417" s="18">
        <f t="shared" si="458"/>
        <v>2.3600059251332826</v>
      </c>
      <c r="AA417" s="18">
        <f t="shared" si="458"/>
        <v>0.64199276997619037</v>
      </c>
      <c r="AB417" s="18">
        <f t="shared" si="458"/>
        <v>4.1870251398816727</v>
      </c>
      <c r="AC417" s="18">
        <f t="shared" si="458"/>
        <v>2.3980223542319297</v>
      </c>
      <c r="AD417" s="56">
        <f t="shared" si="459"/>
        <v>4</v>
      </c>
      <c r="AF417" s="18">
        <f t="shared" si="460"/>
        <v>6.0528633620462484</v>
      </c>
      <c r="AG417" s="18">
        <f t="shared" si="460"/>
        <v>2.5861408033252395</v>
      </c>
      <c r="AH417" s="18">
        <f t="shared" si="460"/>
        <v>2.0716896249834882</v>
      </c>
      <c r="AI417" s="18">
        <f t="shared" si="460"/>
        <v>1.1279436532294629</v>
      </c>
      <c r="AJ417" s="18">
        <f t="shared" si="460"/>
        <v>3.8511007506373169</v>
      </c>
      <c r="AK417" s="18">
        <f t="shared" si="460"/>
        <v>1.7891697577143533</v>
      </c>
      <c r="AL417" s="56">
        <f t="shared" si="461"/>
        <v>4</v>
      </c>
      <c r="AN417" s="18">
        <f t="shared" si="462"/>
        <v>6.0528633620462484</v>
      </c>
      <c r="AO417" s="18">
        <f t="shared" si="462"/>
        <v>2.5426124477815115</v>
      </c>
      <c r="AP417" s="18">
        <f t="shared" si="462"/>
        <v>2.0598364193988843</v>
      </c>
      <c r="AQ417" s="18">
        <f t="shared" si="462"/>
        <v>1.1442286429811748</v>
      </c>
      <c r="AR417" s="18">
        <f t="shared" si="462"/>
        <v>3.8511007506373169</v>
      </c>
      <c r="AS417" s="18">
        <f t="shared" si="462"/>
        <v>1.7689801392707813</v>
      </c>
      <c r="AT417" s="56">
        <f t="shared" si="463"/>
        <v>4</v>
      </c>
      <c r="AV417" s="18">
        <f t="shared" si="464"/>
        <v>6.0528633620462484</v>
      </c>
      <c r="AW417" s="18">
        <f t="shared" si="464"/>
        <v>2.5219110281087684</v>
      </c>
      <c r="AX417" s="18">
        <f t="shared" si="464"/>
        <v>2.0598364193988843</v>
      </c>
      <c r="AY417" s="18">
        <f t="shared" si="464"/>
        <v>1.1442286429811748</v>
      </c>
      <c r="AZ417" s="18">
        <f t="shared" si="464"/>
        <v>3.8511007506373169</v>
      </c>
      <c r="BA417" s="18">
        <f t="shared" si="464"/>
        <v>1.7646466559864833</v>
      </c>
      <c r="BB417" s="56">
        <f t="shared" si="465"/>
        <v>4</v>
      </c>
      <c r="BD417" s="18">
        <f t="shared" si="466"/>
        <v>6.0528633620462484</v>
      </c>
      <c r="BE417" s="18">
        <f t="shared" si="466"/>
        <v>2.5043472644995428</v>
      </c>
      <c r="BF417" s="18">
        <f t="shared" si="466"/>
        <v>2.0598364193988843</v>
      </c>
      <c r="BG417" s="18">
        <f t="shared" si="466"/>
        <v>1.1442286429811748</v>
      </c>
      <c r="BH417" s="18">
        <f t="shared" si="466"/>
        <v>3.8511007506373169</v>
      </c>
      <c r="BI417" s="18">
        <f t="shared" si="466"/>
        <v>1.7577584328092941</v>
      </c>
      <c r="BJ417" s="56">
        <f t="shared" si="467"/>
        <v>4</v>
      </c>
      <c r="BL417" s="18">
        <f t="shared" si="468"/>
        <v>6.0528633620462484</v>
      </c>
      <c r="BM417" s="18">
        <f t="shared" si="468"/>
        <v>2.5043472644995428</v>
      </c>
      <c r="BN417" s="18">
        <f t="shared" si="468"/>
        <v>2.0598364193988843</v>
      </c>
      <c r="BO417" s="18">
        <f t="shared" si="468"/>
        <v>1.1442286429811748</v>
      </c>
      <c r="BP417" s="18">
        <f t="shared" si="468"/>
        <v>3.8511007506373169</v>
      </c>
      <c r="BQ417" s="18">
        <f t="shared" si="468"/>
        <v>1.7577584328092941</v>
      </c>
      <c r="BR417" s="56">
        <f t="shared" si="469"/>
        <v>4</v>
      </c>
      <c r="BT417" s="18">
        <f t="shared" si="470"/>
        <v>6.0528633620462484</v>
      </c>
      <c r="BU417" s="18">
        <f t="shared" si="470"/>
        <v>2.5043472644995428</v>
      </c>
      <c r="BV417" s="18">
        <f t="shared" si="470"/>
        <v>2.0598364193988843</v>
      </c>
      <c r="BW417" s="18">
        <f t="shared" si="470"/>
        <v>1.1442286429811748</v>
      </c>
      <c r="BX417" s="18">
        <f t="shared" si="470"/>
        <v>3.8511007506373169</v>
      </c>
      <c r="BY417" s="18">
        <f t="shared" si="470"/>
        <v>1.7577584328092941</v>
      </c>
      <c r="BZ417" s="56">
        <f t="shared" si="471"/>
        <v>4</v>
      </c>
      <c r="CB417" s="18">
        <f t="shared" si="472"/>
        <v>6.0528633620462484</v>
      </c>
      <c r="CC417" s="18">
        <f t="shared" si="472"/>
        <v>2.5043472644995428</v>
      </c>
      <c r="CD417" s="18">
        <f t="shared" si="472"/>
        <v>2.0598364193988843</v>
      </c>
      <c r="CE417" s="18">
        <f t="shared" si="472"/>
        <v>1.1442286429811748</v>
      </c>
      <c r="CF417" s="18">
        <f t="shared" si="472"/>
        <v>3.8511007506373169</v>
      </c>
      <c r="CG417" s="18">
        <f t="shared" si="472"/>
        <v>1.7577584328092941</v>
      </c>
      <c r="CH417" s="56">
        <f t="shared" si="473"/>
        <v>4</v>
      </c>
      <c r="CJ417" s="18">
        <f t="shared" si="474"/>
        <v>6.0528633620462484</v>
      </c>
      <c r="CK417" s="18">
        <f t="shared" si="474"/>
        <v>2.5043472644995428</v>
      </c>
      <c r="CL417" s="18">
        <f t="shared" si="474"/>
        <v>2.0598364193988843</v>
      </c>
      <c r="CM417" s="18">
        <f t="shared" si="474"/>
        <v>1.1442286429811748</v>
      </c>
      <c r="CN417" s="18">
        <f t="shared" si="474"/>
        <v>3.8511007506373169</v>
      </c>
      <c r="CO417" s="18">
        <f t="shared" si="474"/>
        <v>1.7577584328092941</v>
      </c>
      <c r="CP417" s="56">
        <f t="shared" si="475"/>
        <v>4</v>
      </c>
      <c r="CR417" s="18">
        <f t="shared" si="476"/>
        <v>6.0528633620462484</v>
      </c>
      <c r="CS417" s="18">
        <f t="shared" si="476"/>
        <v>2.5043472644995428</v>
      </c>
      <c r="CT417" s="18">
        <f t="shared" si="476"/>
        <v>2.0598364193988843</v>
      </c>
      <c r="CU417" s="18">
        <f t="shared" si="476"/>
        <v>1.1442286429811748</v>
      </c>
      <c r="CV417" s="18">
        <f t="shared" si="476"/>
        <v>3.8511007506373169</v>
      </c>
      <c r="CW417" s="18">
        <f t="shared" si="476"/>
        <v>1.7577584328092941</v>
      </c>
      <c r="CX417" s="56">
        <f t="shared" si="477"/>
        <v>4</v>
      </c>
      <c r="CZ417" s="18">
        <f t="shared" si="478"/>
        <v>6.0528633620462484</v>
      </c>
      <c r="DA417" s="18">
        <f t="shared" si="478"/>
        <v>2.5043472644995428</v>
      </c>
      <c r="DB417" s="18">
        <f t="shared" si="478"/>
        <v>2.0598364193988843</v>
      </c>
      <c r="DC417" s="18">
        <f t="shared" si="478"/>
        <v>1.1442286429811748</v>
      </c>
      <c r="DD417" s="18">
        <f t="shared" si="478"/>
        <v>3.8511007506373169</v>
      </c>
      <c r="DE417" s="18">
        <f t="shared" si="478"/>
        <v>1.7577584328092941</v>
      </c>
      <c r="DF417" s="56">
        <f t="shared" si="479"/>
        <v>4</v>
      </c>
      <c r="DH417" s="18">
        <f t="shared" si="480"/>
        <v>6.0528633620462484</v>
      </c>
      <c r="DI417" s="18">
        <f t="shared" si="480"/>
        <v>2.5043472644995428</v>
      </c>
      <c r="DJ417" s="18">
        <f t="shared" si="480"/>
        <v>2.0598364193988843</v>
      </c>
      <c r="DK417" s="18">
        <f t="shared" si="480"/>
        <v>1.1442286429811748</v>
      </c>
      <c r="DL417" s="18">
        <f t="shared" si="480"/>
        <v>3.8511007506373169</v>
      </c>
      <c r="DM417" s="18">
        <f t="shared" si="480"/>
        <v>1.7577584328092941</v>
      </c>
      <c r="DN417" s="56">
        <f t="shared" si="481"/>
        <v>4</v>
      </c>
    </row>
    <row r="418" spans="1:118" x14ac:dyDescent="0.25">
      <c r="A418" s="36" t="str">
        <f>KMeans_Data!A15</f>
        <v>Malakand</v>
      </c>
      <c r="B418" s="18">
        <f>KMeans_Data!H15</f>
        <v>1.1410679551279186</v>
      </c>
      <c r="C418" s="18">
        <f>KMeans_Data!I15</f>
        <v>1.4759954658056031</v>
      </c>
      <c r="D418" s="18">
        <f>KMeans_Data!J15</f>
        <v>0.98834987138399455</v>
      </c>
      <c r="E418" s="56">
        <f t="shared" si="456"/>
        <v>3</v>
      </c>
      <c r="F418" s="38">
        <f t="shared" si="457"/>
        <v>0.58002677859298513</v>
      </c>
      <c r="G418" s="18">
        <f>IF(COUNTIF(Distance_Matrix!$E$12:$DQ$12,$E418)&lt;=1,0,SUMIF(Distance_Matrix!$E$12:$DQ$12,$E418,Distance_Matrix!$E$24:$DQ$24)/(COUNTIF(Distance_Matrix!$E$12:$DQ$12,$E418)-1))</f>
        <v>0.97098123618537879</v>
      </c>
      <c r="H418" s="18">
        <f>MIN(IF(1=$E418,1E+99,IF(COUNTIF(Distance_Matrix!$E$12:$DQ$12,1)=0,1E+99,SUMIF(Distance_Matrix!$E$12:$DQ$12,1,Distance_Matrix!$E$24:$DQ$24)/COUNTIF(Distance_Matrix!$E$12:$DQ$12,1))),IF(2=$E418,1E+99,IF(COUNTIF(Distance_Matrix!$E$12:$DQ$12,2)=0,1E+99,SUMIF(Distance_Matrix!$E$12:$DQ$12,2,Distance_Matrix!$E$24:$DQ$24)/COUNTIF(Distance_Matrix!$E$12:$DQ$12,2))),IF(3=$E418,1E+99,IF(COUNTIF(Distance_Matrix!$E$12:$DQ$12,3)=0,1E+99,SUMIF(Distance_Matrix!$E$12:$DQ$12,3,Distance_Matrix!$E$24:$DQ$24)/COUNTIF(Distance_Matrix!$E$12:$DQ$12,3))),IF(4=$E418,1E+99,IF(COUNTIF(Distance_Matrix!$E$12:$DQ$12,4)=0,1E+99,SUMIF(Distance_Matrix!$E$12:$DQ$12,4,Distance_Matrix!$E$24:$DQ$24)/COUNTIF(Distance_Matrix!$E$12:$DQ$12,4))),IF(5=$E418,1E+99,IF(COUNTIF(Distance_Matrix!$E$12:$DQ$12,5)=0,1E+99,SUMIF(Distance_Matrix!$E$12:$DQ$12,5,Distance_Matrix!$E$24:$DQ$24)/COUNTIF(Distance_Matrix!$E$12:$DQ$12,5))),IF(6=$E418,1E+99,IF(COUNTIF(Distance_Matrix!$E$12:$DQ$12,6)=0,1E+99,SUMIF(Distance_Matrix!$E$12:$DQ$12,6,Distance_Matrix!$E$24:$DQ$24)/COUNTIF(Distance_Matrix!$E$12:$DQ$12,6))))</f>
        <v>1.711718602563167</v>
      </c>
      <c r="I418" s="18">
        <f>IF(COUNTIF(Distance_Matrix!$E$12:$DQ$12,$E418)&lt;=1,0,(H418-G418)/MAX(G418,H418))</f>
        <v>0.4327448245690565</v>
      </c>
      <c r="X418" s="18">
        <f t="shared" ref="X418:AC427" si="482">SQRT(($B418-X$401)^2+($C418-X$402)^2+($D418-X$403)^2)</f>
        <v>4.0306685209580886</v>
      </c>
      <c r="Y418" s="18">
        <f t="shared" si="482"/>
        <v>4.4208823671757642</v>
      </c>
      <c r="Z418" s="18">
        <f t="shared" si="482"/>
        <v>1.2030082216667015</v>
      </c>
      <c r="AA418" s="18">
        <f t="shared" si="482"/>
        <v>2.7264273286246112</v>
      </c>
      <c r="AB418" s="18">
        <f t="shared" si="482"/>
        <v>2.0203211354533384</v>
      </c>
      <c r="AC418" s="18">
        <f t="shared" si="482"/>
        <v>2.4851348974640146</v>
      </c>
      <c r="AD418" s="56">
        <f t="shared" si="459"/>
        <v>3</v>
      </c>
      <c r="AF418" s="18">
        <f t="shared" ref="AF418:AK427" si="483">SQRT(($B418-AF$401)^2+($C418-AF$402)^2+($D418-AF$403)^2)</f>
        <v>3.9098536710555822</v>
      </c>
      <c r="AG418" s="18">
        <f t="shared" si="483"/>
        <v>3.8629200361328375</v>
      </c>
      <c r="AH418" s="18">
        <f t="shared" si="483"/>
        <v>0.73772694790222948</v>
      </c>
      <c r="AI418" s="18">
        <f t="shared" si="483"/>
        <v>2.9066284868074126</v>
      </c>
      <c r="AJ418" s="18">
        <f t="shared" si="483"/>
        <v>1.6355823046496429</v>
      </c>
      <c r="AK418" s="18">
        <f t="shared" si="483"/>
        <v>2.4745381366191457</v>
      </c>
      <c r="AL418" s="56">
        <f t="shared" si="461"/>
        <v>3</v>
      </c>
      <c r="AN418" s="18">
        <f t="shared" ref="AN418:AS427" si="484">SQRT(($B418-AN$401)^2+($C418-AN$402)^2+($D418-AN$403)^2)</f>
        <v>3.9098536710555822</v>
      </c>
      <c r="AO418" s="18">
        <f t="shared" si="484"/>
        <v>3.8250971090326282</v>
      </c>
      <c r="AP418" s="18">
        <f t="shared" si="484"/>
        <v>0.76159489139107617</v>
      </c>
      <c r="AQ418" s="18">
        <f t="shared" si="484"/>
        <v>2.9333451490207372</v>
      </c>
      <c r="AR418" s="18">
        <f t="shared" si="484"/>
        <v>1.6355823046496429</v>
      </c>
      <c r="AS418" s="18">
        <f t="shared" si="484"/>
        <v>2.4407342582884617</v>
      </c>
      <c r="AT418" s="56">
        <f t="shared" si="463"/>
        <v>3</v>
      </c>
      <c r="AV418" s="18">
        <f t="shared" ref="AV418:BA427" si="485">SQRT(($B418-AV$401)^2+($C418-AV$402)^2+($D418-AV$403)^2)</f>
        <v>3.9098536710555822</v>
      </c>
      <c r="AW418" s="18">
        <f t="shared" si="485"/>
        <v>3.7996636782833515</v>
      </c>
      <c r="AX418" s="18">
        <f t="shared" si="485"/>
        <v>0.76159489139107617</v>
      </c>
      <c r="AY418" s="18">
        <f t="shared" si="485"/>
        <v>2.9333451490207372</v>
      </c>
      <c r="AZ418" s="18">
        <f t="shared" si="485"/>
        <v>1.6355823046496429</v>
      </c>
      <c r="BA418" s="18">
        <f t="shared" si="485"/>
        <v>2.4187352428148237</v>
      </c>
      <c r="BB418" s="56">
        <f t="shared" si="465"/>
        <v>3</v>
      </c>
      <c r="BD418" s="18">
        <f t="shared" ref="BD418:BI427" si="486">SQRT(($B418-BD$401)^2+($C418-BD$402)^2+($D418-BD$403)^2)</f>
        <v>3.9098536710555822</v>
      </c>
      <c r="BE418" s="18">
        <f t="shared" si="486"/>
        <v>3.7755971574318203</v>
      </c>
      <c r="BF418" s="18">
        <f t="shared" si="486"/>
        <v>0.76159489139107617</v>
      </c>
      <c r="BG418" s="18">
        <f t="shared" si="486"/>
        <v>2.9333451490207372</v>
      </c>
      <c r="BH418" s="18">
        <f t="shared" si="486"/>
        <v>1.6355823046496429</v>
      </c>
      <c r="BI418" s="18">
        <f t="shared" si="486"/>
        <v>2.3955052562606713</v>
      </c>
      <c r="BJ418" s="56">
        <f t="shared" si="467"/>
        <v>3</v>
      </c>
      <c r="BL418" s="18">
        <f t="shared" ref="BL418:BQ427" si="487">SQRT(($B418-BL$401)^2+($C418-BL$402)^2+($D418-BL$403)^2)</f>
        <v>3.9098536710555822</v>
      </c>
      <c r="BM418" s="18">
        <f t="shared" si="487"/>
        <v>3.7755971574318203</v>
      </c>
      <c r="BN418" s="18">
        <f t="shared" si="487"/>
        <v>0.76159489139107617</v>
      </c>
      <c r="BO418" s="18">
        <f t="shared" si="487"/>
        <v>2.9333451490207372</v>
      </c>
      <c r="BP418" s="18">
        <f t="shared" si="487"/>
        <v>1.6355823046496429</v>
      </c>
      <c r="BQ418" s="18">
        <f t="shared" si="487"/>
        <v>2.3955052562606713</v>
      </c>
      <c r="BR418" s="56">
        <f t="shared" si="469"/>
        <v>3</v>
      </c>
      <c r="BT418" s="18">
        <f t="shared" ref="BT418:BY427" si="488">SQRT(($B418-BT$401)^2+($C418-BT$402)^2+($D418-BT$403)^2)</f>
        <v>3.9098536710555822</v>
      </c>
      <c r="BU418" s="18">
        <f t="shared" si="488"/>
        <v>3.7755971574318203</v>
      </c>
      <c r="BV418" s="18">
        <f t="shared" si="488"/>
        <v>0.76159489139107617</v>
      </c>
      <c r="BW418" s="18">
        <f t="shared" si="488"/>
        <v>2.9333451490207372</v>
      </c>
      <c r="BX418" s="18">
        <f t="shared" si="488"/>
        <v>1.6355823046496429</v>
      </c>
      <c r="BY418" s="18">
        <f t="shared" si="488"/>
        <v>2.3955052562606713</v>
      </c>
      <c r="BZ418" s="56">
        <f t="shared" si="471"/>
        <v>3</v>
      </c>
      <c r="CB418" s="18">
        <f t="shared" ref="CB418:CG427" si="489">SQRT(($B418-CB$401)^2+($C418-CB$402)^2+($D418-CB$403)^2)</f>
        <v>3.9098536710555822</v>
      </c>
      <c r="CC418" s="18">
        <f t="shared" si="489"/>
        <v>3.7755971574318203</v>
      </c>
      <c r="CD418" s="18">
        <f t="shared" si="489"/>
        <v>0.76159489139107617</v>
      </c>
      <c r="CE418" s="18">
        <f t="shared" si="489"/>
        <v>2.9333451490207372</v>
      </c>
      <c r="CF418" s="18">
        <f t="shared" si="489"/>
        <v>1.6355823046496429</v>
      </c>
      <c r="CG418" s="18">
        <f t="shared" si="489"/>
        <v>2.3955052562606713</v>
      </c>
      <c r="CH418" s="56">
        <f t="shared" si="473"/>
        <v>3</v>
      </c>
      <c r="CJ418" s="18">
        <f t="shared" ref="CJ418:CO427" si="490">SQRT(($B418-CJ$401)^2+($C418-CJ$402)^2+($D418-CJ$403)^2)</f>
        <v>3.9098536710555822</v>
      </c>
      <c r="CK418" s="18">
        <f t="shared" si="490"/>
        <v>3.7755971574318203</v>
      </c>
      <c r="CL418" s="18">
        <f t="shared" si="490"/>
        <v>0.76159489139107617</v>
      </c>
      <c r="CM418" s="18">
        <f t="shared" si="490"/>
        <v>2.9333451490207372</v>
      </c>
      <c r="CN418" s="18">
        <f t="shared" si="490"/>
        <v>1.6355823046496429</v>
      </c>
      <c r="CO418" s="18">
        <f t="shared" si="490"/>
        <v>2.3955052562606713</v>
      </c>
      <c r="CP418" s="56">
        <f t="shared" si="475"/>
        <v>3</v>
      </c>
      <c r="CR418" s="18">
        <f t="shared" ref="CR418:CW427" si="491">SQRT(($B418-CR$401)^2+($C418-CR$402)^2+($D418-CR$403)^2)</f>
        <v>3.9098536710555822</v>
      </c>
      <c r="CS418" s="18">
        <f t="shared" si="491"/>
        <v>3.7755971574318203</v>
      </c>
      <c r="CT418" s="18">
        <f t="shared" si="491"/>
        <v>0.76159489139107617</v>
      </c>
      <c r="CU418" s="18">
        <f t="shared" si="491"/>
        <v>2.9333451490207372</v>
      </c>
      <c r="CV418" s="18">
        <f t="shared" si="491"/>
        <v>1.6355823046496429</v>
      </c>
      <c r="CW418" s="18">
        <f t="shared" si="491"/>
        <v>2.3955052562606713</v>
      </c>
      <c r="CX418" s="56">
        <f t="shared" si="477"/>
        <v>3</v>
      </c>
      <c r="CZ418" s="18">
        <f t="shared" ref="CZ418:DE427" si="492">SQRT(($B418-CZ$401)^2+($C418-CZ$402)^2+($D418-CZ$403)^2)</f>
        <v>3.9098536710555822</v>
      </c>
      <c r="DA418" s="18">
        <f t="shared" si="492"/>
        <v>3.7755971574318203</v>
      </c>
      <c r="DB418" s="18">
        <f t="shared" si="492"/>
        <v>0.76159489139107617</v>
      </c>
      <c r="DC418" s="18">
        <f t="shared" si="492"/>
        <v>2.9333451490207372</v>
      </c>
      <c r="DD418" s="18">
        <f t="shared" si="492"/>
        <v>1.6355823046496429</v>
      </c>
      <c r="DE418" s="18">
        <f t="shared" si="492"/>
        <v>2.3955052562606713</v>
      </c>
      <c r="DF418" s="56">
        <f t="shared" si="479"/>
        <v>3</v>
      </c>
      <c r="DH418" s="18">
        <f t="shared" ref="DH418:DM427" si="493">SQRT(($B418-DH$401)^2+($C418-DH$402)^2+($D418-DH$403)^2)</f>
        <v>3.9098536710555822</v>
      </c>
      <c r="DI418" s="18">
        <f t="shared" si="493"/>
        <v>3.7755971574318203</v>
      </c>
      <c r="DJ418" s="18">
        <f t="shared" si="493"/>
        <v>0.76159489139107617</v>
      </c>
      <c r="DK418" s="18">
        <f t="shared" si="493"/>
        <v>2.9333451490207372</v>
      </c>
      <c r="DL418" s="18">
        <f t="shared" si="493"/>
        <v>1.6355823046496429</v>
      </c>
      <c r="DM418" s="18">
        <f t="shared" si="493"/>
        <v>2.3955052562606713</v>
      </c>
      <c r="DN418" s="56">
        <f t="shared" si="481"/>
        <v>3</v>
      </c>
    </row>
    <row r="419" spans="1:118" x14ac:dyDescent="0.25">
      <c r="A419" s="36" t="str">
        <f>KMeans_Data!A16</f>
        <v>Mardan</v>
      </c>
      <c r="B419" s="18">
        <f>KMeans_Data!H16</f>
        <v>1.126985701234098</v>
      </c>
      <c r="C419" s="18">
        <f>KMeans_Data!I16</f>
        <v>1.7684733170772808</v>
      </c>
      <c r="D419" s="18">
        <f>KMeans_Data!J16</f>
        <v>1.1668769645807604</v>
      </c>
      <c r="E419" s="56">
        <f t="shared" si="456"/>
        <v>3</v>
      </c>
      <c r="F419" s="38">
        <f t="shared" si="457"/>
        <v>1.0852663560814089</v>
      </c>
      <c r="G419" s="18">
        <f>IF(COUNTIF(Distance_Matrix!$E$12:$DQ$12,$E419)&lt;=1,0,SUMIF(Distance_Matrix!$E$12:$DQ$12,$E419,Distance_Matrix!$E$25:$DQ$25)/(COUNTIF(Distance_Matrix!$E$12:$DQ$12,$E419)-1))</f>
        <v>1.1993682924870634</v>
      </c>
      <c r="H419" s="18">
        <f>MIN(IF(1=$E419,1E+99,IF(COUNTIF(Distance_Matrix!$E$12:$DQ$12,1)=0,1E+99,SUMIF(Distance_Matrix!$E$12:$DQ$12,1,Distance_Matrix!$E$25:$DQ$25)/COUNTIF(Distance_Matrix!$E$12:$DQ$12,1))),IF(2=$E419,1E+99,IF(COUNTIF(Distance_Matrix!$E$12:$DQ$12,2)=0,1E+99,SUMIF(Distance_Matrix!$E$12:$DQ$12,2,Distance_Matrix!$E$25:$DQ$25)/COUNTIF(Distance_Matrix!$E$12:$DQ$12,2))),IF(3=$E419,1E+99,IF(COUNTIF(Distance_Matrix!$E$12:$DQ$12,3)=0,1E+99,SUMIF(Distance_Matrix!$E$12:$DQ$12,3,Distance_Matrix!$E$25:$DQ$25)/COUNTIF(Distance_Matrix!$E$12:$DQ$12,3))),IF(4=$E419,1E+99,IF(COUNTIF(Distance_Matrix!$E$12:$DQ$12,4)=0,1E+99,SUMIF(Distance_Matrix!$E$12:$DQ$12,4,Distance_Matrix!$E$25:$DQ$25)/COUNTIF(Distance_Matrix!$E$12:$DQ$12,4))),IF(5=$E419,1E+99,IF(COUNTIF(Distance_Matrix!$E$12:$DQ$12,5)=0,1E+99,SUMIF(Distance_Matrix!$E$12:$DQ$12,5,Distance_Matrix!$E$25:$DQ$25)/COUNTIF(Distance_Matrix!$E$12:$DQ$12,5))),IF(6=$E419,1E+99,IF(COUNTIF(Distance_Matrix!$E$12:$DQ$12,6)=0,1E+99,SUMIF(Distance_Matrix!$E$12:$DQ$12,6,Distance_Matrix!$E$25:$DQ$25)/COUNTIF(Distance_Matrix!$E$12:$DQ$12,6))))</f>
        <v>1.4711329808320066</v>
      </c>
      <c r="I419" s="18">
        <f>IF(COUNTIF(Distance_Matrix!$E$12:$DQ$12,$E419)&lt;=1,0,(H419-G419)/MAX(G419,H419))</f>
        <v>0.18473155852385642</v>
      </c>
      <c r="X419" s="18">
        <f t="shared" si="482"/>
        <v>3.757169974840902</v>
      </c>
      <c r="Y419" s="18">
        <f t="shared" si="482"/>
        <v>4.6464950490584824</v>
      </c>
      <c r="Z419" s="18">
        <f t="shared" si="482"/>
        <v>1.4253699648600497</v>
      </c>
      <c r="AA419" s="18">
        <f t="shared" si="482"/>
        <v>3.0411164110059743</v>
      </c>
      <c r="AB419" s="18">
        <f t="shared" si="482"/>
        <v>1.8058309755852935</v>
      </c>
      <c r="AC419" s="18">
        <f t="shared" si="482"/>
        <v>2.7054266964065201</v>
      </c>
      <c r="AD419" s="56">
        <f t="shared" si="459"/>
        <v>3</v>
      </c>
      <c r="AF419" s="18">
        <f t="shared" si="483"/>
        <v>3.6365226506880006</v>
      </c>
      <c r="AG419" s="18">
        <f t="shared" si="483"/>
        <v>4.118009099079142</v>
      </c>
      <c r="AH419" s="18">
        <f t="shared" si="483"/>
        <v>1.0192709782717218</v>
      </c>
      <c r="AI419" s="18">
        <f t="shared" si="483"/>
        <v>3.2208974794748206</v>
      </c>
      <c r="AJ419" s="18">
        <f t="shared" si="483"/>
        <v>1.3830119734948589</v>
      </c>
      <c r="AK419" s="18">
        <f t="shared" si="483"/>
        <v>2.7539336911334242</v>
      </c>
      <c r="AL419" s="56">
        <f t="shared" si="461"/>
        <v>3</v>
      </c>
      <c r="AN419" s="18">
        <f t="shared" si="484"/>
        <v>3.6365226506880006</v>
      </c>
      <c r="AO419" s="18">
        <f t="shared" si="484"/>
        <v>4.0818799936400252</v>
      </c>
      <c r="AP419" s="18">
        <f t="shared" si="484"/>
        <v>1.0417611799646831</v>
      </c>
      <c r="AQ419" s="18">
        <f t="shared" si="484"/>
        <v>3.2480588198483762</v>
      </c>
      <c r="AR419" s="18">
        <f t="shared" si="484"/>
        <v>1.3830119734948589</v>
      </c>
      <c r="AS419" s="18">
        <f t="shared" si="484"/>
        <v>2.7217558409915146</v>
      </c>
      <c r="AT419" s="56">
        <f t="shared" si="463"/>
        <v>3</v>
      </c>
      <c r="AV419" s="18">
        <f t="shared" si="485"/>
        <v>3.6365226506880006</v>
      </c>
      <c r="AW419" s="18">
        <f t="shared" si="485"/>
        <v>4.0570394943062471</v>
      </c>
      <c r="AX419" s="18">
        <f t="shared" si="485"/>
        <v>1.0417611799646831</v>
      </c>
      <c r="AY419" s="18">
        <f t="shared" si="485"/>
        <v>3.2480588198483762</v>
      </c>
      <c r="AZ419" s="18">
        <f t="shared" si="485"/>
        <v>1.3830119734948589</v>
      </c>
      <c r="BA419" s="18">
        <f t="shared" si="485"/>
        <v>2.6999978341787174</v>
      </c>
      <c r="BB419" s="56">
        <f t="shared" si="465"/>
        <v>3</v>
      </c>
      <c r="BD419" s="18">
        <f t="shared" si="486"/>
        <v>3.6365226506880006</v>
      </c>
      <c r="BE419" s="18">
        <f t="shared" si="486"/>
        <v>4.033417281620979</v>
      </c>
      <c r="BF419" s="18">
        <f t="shared" si="486"/>
        <v>1.0417611799646831</v>
      </c>
      <c r="BG419" s="18">
        <f t="shared" si="486"/>
        <v>3.2480588198483762</v>
      </c>
      <c r="BH419" s="18">
        <f t="shared" si="486"/>
        <v>1.3830119734948589</v>
      </c>
      <c r="BI419" s="18">
        <f t="shared" si="486"/>
        <v>2.6771966058320738</v>
      </c>
      <c r="BJ419" s="56">
        <f t="shared" si="467"/>
        <v>3</v>
      </c>
      <c r="BL419" s="18">
        <f t="shared" si="487"/>
        <v>3.6365226506880006</v>
      </c>
      <c r="BM419" s="18">
        <f t="shared" si="487"/>
        <v>4.033417281620979</v>
      </c>
      <c r="BN419" s="18">
        <f t="shared" si="487"/>
        <v>1.0417611799646831</v>
      </c>
      <c r="BO419" s="18">
        <f t="shared" si="487"/>
        <v>3.2480588198483762</v>
      </c>
      <c r="BP419" s="18">
        <f t="shared" si="487"/>
        <v>1.3830119734948589</v>
      </c>
      <c r="BQ419" s="18">
        <f t="shared" si="487"/>
        <v>2.6771966058320738</v>
      </c>
      <c r="BR419" s="56">
        <f t="shared" si="469"/>
        <v>3</v>
      </c>
      <c r="BT419" s="18">
        <f t="shared" si="488"/>
        <v>3.6365226506880006</v>
      </c>
      <c r="BU419" s="18">
        <f t="shared" si="488"/>
        <v>4.033417281620979</v>
      </c>
      <c r="BV419" s="18">
        <f t="shared" si="488"/>
        <v>1.0417611799646831</v>
      </c>
      <c r="BW419" s="18">
        <f t="shared" si="488"/>
        <v>3.2480588198483762</v>
      </c>
      <c r="BX419" s="18">
        <f t="shared" si="488"/>
        <v>1.3830119734948589</v>
      </c>
      <c r="BY419" s="18">
        <f t="shared" si="488"/>
        <v>2.6771966058320738</v>
      </c>
      <c r="BZ419" s="56">
        <f t="shared" si="471"/>
        <v>3</v>
      </c>
      <c r="CB419" s="18">
        <f t="shared" si="489"/>
        <v>3.6365226506880006</v>
      </c>
      <c r="CC419" s="18">
        <f t="shared" si="489"/>
        <v>4.033417281620979</v>
      </c>
      <c r="CD419" s="18">
        <f t="shared" si="489"/>
        <v>1.0417611799646831</v>
      </c>
      <c r="CE419" s="18">
        <f t="shared" si="489"/>
        <v>3.2480588198483762</v>
      </c>
      <c r="CF419" s="18">
        <f t="shared" si="489"/>
        <v>1.3830119734948589</v>
      </c>
      <c r="CG419" s="18">
        <f t="shared" si="489"/>
        <v>2.6771966058320738</v>
      </c>
      <c r="CH419" s="56">
        <f t="shared" si="473"/>
        <v>3</v>
      </c>
      <c r="CJ419" s="18">
        <f t="shared" si="490"/>
        <v>3.6365226506880006</v>
      </c>
      <c r="CK419" s="18">
        <f t="shared" si="490"/>
        <v>4.033417281620979</v>
      </c>
      <c r="CL419" s="18">
        <f t="shared" si="490"/>
        <v>1.0417611799646831</v>
      </c>
      <c r="CM419" s="18">
        <f t="shared" si="490"/>
        <v>3.2480588198483762</v>
      </c>
      <c r="CN419" s="18">
        <f t="shared" si="490"/>
        <v>1.3830119734948589</v>
      </c>
      <c r="CO419" s="18">
        <f t="shared" si="490"/>
        <v>2.6771966058320738</v>
      </c>
      <c r="CP419" s="56">
        <f t="shared" si="475"/>
        <v>3</v>
      </c>
      <c r="CR419" s="18">
        <f t="shared" si="491"/>
        <v>3.6365226506880006</v>
      </c>
      <c r="CS419" s="18">
        <f t="shared" si="491"/>
        <v>4.033417281620979</v>
      </c>
      <c r="CT419" s="18">
        <f t="shared" si="491"/>
        <v>1.0417611799646831</v>
      </c>
      <c r="CU419" s="18">
        <f t="shared" si="491"/>
        <v>3.2480588198483762</v>
      </c>
      <c r="CV419" s="18">
        <f t="shared" si="491"/>
        <v>1.3830119734948589</v>
      </c>
      <c r="CW419" s="18">
        <f t="shared" si="491"/>
        <v>2.6771966058320738</v>
      </c>
      <c r="CX419" s="56">
        <f t="shared" si="477"/>
        <v>3</v>
      </c>
      <c r="CZ419" s="18">
        <f t="shared" si="492"/>
        <v>3.6365226506880006</v>
      </c>
      <c r="DA419" s="18">
        <f t="shared" si="492"/>
        <v>4.033417281620979</v>
      </c>
      <c r="DB419" s="18">
        <f t="shared" si="492"/>
        <v>1.0417611799646831</v>
      </c>
      <c r="DC419" s="18">
        <f t="shared" si="492"/>
        <v>3.2480588198483762</v>
      </c>
      <c r="DD419" s="18">
        <f t="shared" si="492"/>
        <v>1.3830119734948589</v>
      </c>
      <c r="DE419" s="18">
        <f t="shared" si="492"/>
        <v>2.6771966058320738</v>
      </c>
      <c r="DF419" s="56">
        <f t="shared" si="479"/>
        <v>3</v>
      </c>
      <c r="DH419" s="18">
        <f t="shared" si="493"/>
        <v>3.6365226506880006</v>
      </c>
      <c r="DI419" s="18">
        <f t="shared" si="493"/>
        <v>4.033417281620979</v>
      </c>
      <c r="DJ419" s="18">
        <f t="shared" si="493"/>
        <v>1.0417611799646831</v>
      </c>
      <c r="DK419" s="18">
        <f t="shared" si="493"/>
        <v>3.2480588198483762</v>
      </c>
      <c r="DL419" s="18">
        <f t="shared" si="493"/>
        <v>1.3830119734948589</v>
      </c>
      <c r="DM419" s="18">
        <f t="shared" si="493"/>
        <v>2.6771966058320738</v>
      </c>
      <c r="DN419" s="56">
        <f t="shared" si="481"/>
        <v>3</v>
      </c>
    </row>
    <row r="420" spans="1:118" x14ac:dyDescent="0.25">
      <c r="A420" s="36" t="str">
        <f>KMeans_Data!A17</f>
        <v>Gilgit</v>
      </c>
      <c r="B420" s="18">
        <f>KMeans_Data!H17</f>
        <v>1.0425286360551109</v>
      </c>
      <c r="C420" s="18">
        <f>KMeans_Data!I17</f>
        <v>0.99367572463826759</v>
      </c>
      <c r="D420" s="18">
        <f>KMeans_Data!J17</f>
        <v>1.0804955511041037</v>
      </c>
      <c r="E420" s="56">
        <f t="shared" si="456"/>
        <v>3</v>
      </c>
      <c r="F420" s="38">
        <f t="shared" si="457"/>
        <v>0.13965667092172643</v>
      </c>
      <c r="G420" s="18">
        <f>IF(COUNTIF(Distance_Matrix!$E$12:$DQ$12,$E420)&lt;=1,0,SUMIF(Distance_Matrix!$E$12:$DQ$12,$E420,Distance_Matrix!$E$26:$DQ$26)/(COUNTIF(Distance_Matrix!$E$12:$DQ$12,$E420)-1))</f>
        <v>0.74068642272492524</v>
      </c>
      <c r="H420" s="18">
        <f>MIN(IF(1=$E420,1E+99,IF(COUNTIF(Distance_Matrix!$E$12:$DQ$12,1)=0,1E+99,SUMIF(Distance_Matrix!$E$12:$DQ$12,1,Distance_Matrix!$E$26:$DQ$26)/COUNTIF(Distance_Matrix!$E$12:$DQ$12,1))),IF(2=$E420,1E+99,IF(COUNTIF(Distance_Matrix!$E$12:$DQ$12,2)=0,1E+99,SUMIF(Distance_Matrix!$E$12:$DQ$12,2,Distance_Matrix!$E$26:$DQ$26)/COUNTIF(Distance_Matrix!$E$12:$DQ$12,2))),IF(3=$E420,1E+99,IF(COUNTIF(Distance_Matrix!$E$12:$DQ$12,3)=0,1E+99,SUMIF(Distance_Matrix!$E$12:$DQ$12,3,Distance_Matrix!$E$26:$DQ$26)/COUNTIF(Distance_Matrix!$E$12:$DQ$12,3))),IF(4=$E420,1E+99,IF(COUNTIF(Distance_Matrix!$E$12:$DQ$12,4)=0,1E+99,SUMIF(Distance_Matrix!$E$12:$DQ$12,4,Distance_Matrix!$E$26:$DQ$26)/COUNTIF(Distance_Matrix!$E$12:$DQ$12,4))),IF(5=$E420,1E+99,IF(COUNTIF(Distance_Matrix!$E$12:$DQ$12,5)=0,1E+99,SUMIF(Distance_Matrix!$E$12:$DQ$12,5,Distance_Matrix!$E$26:$DQ$26)/COUNTIF(Distance_Matrix!$E$12:$DQ$12,5))),IF(6=$E420,1E+99,IF(COUNTIF(Distance_Matrix!$E$12:$DQ$12,6)=0,1E+99,SUMIF(Distance_Matrix!$E$12:$DQ$12,6,Distance_Matrix!$E$26:$DQ$26)/COUNTIF(Distance_Matrix!$E$12:$DQ$12,6))))</f>
        <v>2.0584054107493781</v>
      </c>
      <c r="I420" s="18">
        <f>IF(COUNTIF(Distance_Matrix!$E$12:$DQ$12,$E420)&lt;=1,0,(H420-G420)/MAX(G420,H420))</f>
        <v>0.64016494571141225</v>
      </c>
      <c r="X420" s="18">
        <f t="shared" si="482"/>
        <v>4.3557396558667527</v>
      </c>
      <c r="Y420" s="18">
        <f t="shared" si="482"/>
        <v>4.1810154137617337</v>
      </c>
      <c r="Z420" s="18">
        <f t="shared" si="482"/>
        <v>0.72819676736314098</v>
      </c>
      <c r="AA420" s="18">
        <f t="shared" si="482"/>
        <v>2.5326458101929115</v>
      </c>
      <c r="AB420" s="18">
        <f t="shared" si="482"/>
        <v>2.2600451740837553</v>
      </c>
      <c r="AC420" s="18">
        <f t="shared" si="482"/>
        <v>2.1362114764909723</v>
      </c>
      <c r="AD420" s="56">
        <f t="shared" si="459"/>
        <v>3</v>
      </c>
      <c r="AF420" s="18">
        <f t="shared" si="483"/>
        <v>4.2568049984745624</v>
      </c>
      <c r="AG420" s="18">
        <f t="shared" si="483"/>
        <v>3.6084964765470349</v>
      </c>
      <c r="AH420" s="18">
        <f t="shared" si="483"/>
        <v>0.34091509233255712</v>
      </c>
      <c r="AI420" s="18">
        <f t="shared" si="483"/>
        <v>2.6268385837407227</v>
      </c>
      <c r="AJ420" s="18">
        <f t="shared" si="483"/>
        <v>1.9977266074264337</v>
      </c>
      <c r="AK420" s="18">
        <f t="shared" si="483"/>
        <v>2.1090736066452234</v>
      </c>
      <c r="AL420" s="56">
        <f t="shared" si="461"/>
        <v>3</v>
      </c>
      <c r="AN420" s="18">
        <f t="shared" si="484"/>
        <v>4.2568049984745624</v>
      </c>
      <c r="AO420" s="18">
        <f t="shared" si="484"/>
        <v>3.5683506422806603</v>
      </c>
      <c r="AP420" s="18">
        <f t="shared" si="484"/>
        <v>0.37370666427256344</v>
      </c>
      <c r="AQ420" s="18">
        <f t="shared" si="484"/>
        <v>2.6508477956704875</v>
      </c>
      <c r="AR420" s="18">
        <f t="shared" si="484"/>
        <v>1.9977266074264337</v>
      </c>
      <c r="AS420" s="18">
        <f t="shared" si="484"/>
        <v>2.0714186812442152</v>
      </c>
      <c r="AT420" s="56">
        <f t="shared" si="463"/>
        <v>3</v>
      </c>
      <c r="AV420" s="18">
        <f t="shared" si="485"/>
        <v>4.2568049984745624</v>
      </c>
      <c r="AW420" s="18">
        <f t="shared" si="485"/>
        <v>3.5408149670847293</v>
      </c>
      <c r="AX420" s="18">
        <f t="shared" si="485"/>
        <v>0.37370666427256344</v>
      </c>
      <c r="AY420" s="18">
        <f t="shared" si="485"/>
        <v>2.6508477956704875</v>
      </c>
      <c r="AZ420" s="18">
        <f t="shared" si="485"/>
        <v>1.9977266074264337</v>
      </c>
      <c r="BA420" s="18">
        <f t="shared" si="485"/>
        <v>2.047520532953973</v>
      </c>
      <c r="BB420" s="56">
        <f t="shared" si="465"/>
        <v>3</v>
      </c>
      <c r="BD420" s="18">
        <f t="shared" si="486"/>
        <v>4.2568049984745624</v>
      </c>
      <c r="BE420" s="18">
        <f t="shared" si="486"/>
        <v>3.5146062473757156</v>
      </c>
      <c r="BF420" s="18">
        <f t="shared" si="486"/>
        <v>0.37370666427256344</v>
      </c>
      <c r="BG420" s="18">
        <f t="shared" si="486"/>
        <v>2.6508477956704875</v>
      </c>
      <c r="BH420" s="18">
        <f t="shared" si="486"/>
        <v>1.9977266074264337</v>
      </c>
      <c r="BI420" s="18">
        <f t="shared" si="486"/>
        <v>2.0224413146123723</v>
      </c>
      <c r="BJ420" s="56">
        <f t="shared" si="467"/>
        <v>3</v>
      </c>
      <c r="BL420" s="18">
        <f t="shared" si="487"/>
        <v>4.2568049984745624</v>
      </c>
      <c r="BM420" s="18">
        <f t="shared" si="487"/>
        <v>3.5146062473757156</v>
      </c>
      <c r="BN420" s="18">
        <f t="shared" si="487"/>
        <v>0.37370666427256344</v>
      </c>
      <c r="BO420" s="18">
        <f t="shared" si="487"/>
        <v>2.6508477956704875</v>
      </c>
      <c r="BP420" s="18">
        <f t="shared" si="487"/>
        <v>1.9977266074264337</v>
      </c>
      <c r="BQ420" s="18">
        <f t="shared" si="487"/>
        <v>2.0224413146123723</v>
      </c>
      <c r="BR420" s="56">
        <f t="shared" si="469"/>
        <v>3</v>
      </c>
      <c r="BT420" s="18">
        <f t="shared" si="488"/>
        <v>4.2568049984745624</v>
      </c>
      <c r="BU420" s="18">
        <f t="shared" si="488"/>
        <v>3.5146062473757156</v>
      </c>
      <c r="BV420" s="18">
        <f t="shared" si="488"/>
        <v>0.37370666427256344</v>
      </c>
      <c r="BW420" s="18">
        <f t="shared" si="488"/>
        <v>2.6508477956704875</v>
      </c>
      <c r="BX420" s="18">
        <f t="shared" si="488"/>
        <v>1.9977266074264337</v>
      </c>
      <c r="BY420" s="18">
        <f t="shared" si="488"/>
        <v>2.0224413146123723</v>
      </c>
      <c r="BZ420" s="56">
        <f t="shared" si="471"/>
        <v>3</v>
      </c>
      <c r="CB420" s="18">
        <f t="shared" si="489"/>
        <v>4.2568049984745624</v>
      </c>
      <c r="CC420" s="18">
        <f t="shared" si="489"/>
        <v>3.5146062473757156</v>
      </c>
      <c r="CD420" s="18">
        <f t="shared" si="489"/>
        <v>0.37370666427256344</v>
      </c>
      <c r="CE420" s="18">
        <f t="shared" si="489"/>
        <v>2.6508477956704875</v>
      </c>
      <c r="CF420" s="18">
        <f t="shared" si="489"/>
        <v>1.9977266074264337</v>
      </c>
      <c r="CG420" s="18">
        <f t="shared" si="489"/>
        <v>2.0224413146123723</v>
      </c>
      <c r="CH420" s="56">
        <f t="shared" si="473"/>
        <v>3</v>
      </c>
      <c r="CJ420" s="18">
        <f t="shared" si="490"/>
        <v>4.2568049984745624</v>
      </c>
      <c r="CK420" s="18">
        <f t="shared" si="490"/>
        <v>3.5146062473757156</v>
      </c>
      <c r="CL420" s="18">
        <f t="shared" si="490"/>
        <v>0.37370666427256344</v>
      </c>
      <c r="CM420" s="18">
        <f t="shared" si="490"/>
        <v>2.6508477956704875</v>
      </c>
      <c r="CN420" s="18">
        <f t="shared" si="490"/>
        <v>1.9977266074264337</v>
      </c>
      <c r="CO420" s="18">
        <f t="shared" si="490"/>
        <v>2.0224413146123723</v>
      </c>
      <c r="CP420" s="56">
        <f t="shared" si="475"/>
        <v>3</v>
      </c>
      <c r="CR420" s="18">
        <f t="shared" si="491"/>
        <v>4.2568049984745624</v>
      </c>
      <c r="CS420" s="18">
        <f t="shared" si="491"/>
        <v>3.5146062473757156</v>
      </c>
      <c r="CT420" s="18">
        <f t="shared" si="491"/>
        <v>0.37370666427256344</v>
      </c>
      <c r="CU420" s="18">
        <f t="shared" si="491"/>
        <v>2.6508477956704875</v>
      </c>
      <c r="CV420" s="18">
        <f t="shared" si="491"/>
        <v>1.9977266074264337</v>
      </c>
      <c r="CW420" s="18">
        <f t="shared" si="491"/>
        <v>2.0224413146123723</v>
      </c>
      <c r="CX420" s="56">
        <f t="shared" si="477"/>
        <v>3</v>
      </c>
      <c r="CZ420" s="18">
        <f t="shared" si="492"/>
        <v>4.2568049984745624</v>
      </c>
      <c r="DA420" s="18">
        <f t="shared" si="492"/>
        <v>3.5146062473757156</v>
      </c>
      <c r="DB420" s="18">
        <f t="shared" si="492"/>
        <v>0.37370666427256344</v>
      </c>
      <c r="DC420" s="18">
        <f t="shared" si="492"/>
        <v>2.6508477956704875</v>
      </c>
      <c r="DD420" s="18">
        <f t="shared" si="492"/>
        <v>1.9977266074264337</v>
      </c>
      <c r="DE420" s="18">
        <f t="shared" si="492"/>
        <v>2.0224413146123723</v>
      </c>
      <c r="DF420" s="56">
        <f t="shared" si="479"/>
        <v>3</v>
      </c>
      <c r="DH420" s="18">
        <f t="shared" si="493"/>
        <v>4.2568049984745624</v>
      </c>
      <c r="DI420" s="18">
        <f t="shared" si="493"/>
        <v>3.5146062473757156</v>
      </c>
      <c r="DJ420" s="18">
        <f t="shared" si="493"/>
        <v>0.37370666427256344</v>
      </c>
      <c r="DK420" s="18">
        <f t="shared" si="493"/>
        <v>2.6508477956704875</v>
      </c>
      <c r="DL420" s="18">
        <f t="shared" si="493"/>
        <v>1.9977266074264337</v>
      </c>
      <c r="DM420" s="18">
        <f t="shared" si="493"/>
        <v>2.0224413146123723</v>
      </c>
      <c r="DN420" s="56">
        <f t="shared" si="481"/>
        <v>3</v>
      </c>
    </row>
    <row r="421" spans="1:118" x14ac:dyDescent="0.25">
      <c r="A421" s="36" t="str">
        <f>KMeans_Data!A18</f>
        <v>Larkana</v>
      </c>
      <c r="B421" s="18">
        <f>KMeans_Data!H18</f>
        <v>1.0373368721320242</v>
      </c>
      <c r="C421" s="18">
        <f>KMeans_Data!I18</f>
        <v>0.37868427752921691</v>
      </c>
      <c r="D421" s="18">
        <f>KMeans_Data!J18</f>
        <v>1.4704046399545831</v>
      </c>
      <c r="E421" s="56">
        <f t="shared" si="456"/>
        <v>3</v>
      </c>
      <c r="F421" s="38">
        <f t="shared" si="457"/>
        <v>0.58259024782137148</v>
      </c>
      <c r="G421" s="18">
        <f>IF(COUNTIF(Distance_Matrix!$E$12:$DQ$12,$E421)&lt;=1,0,SUMIF(Distance_Matrix!$E$12:$DQ$12,$E421,Distance_Matrix!$E$27:$DQ$27)/(COUNTIF(Distance_Matrix!$E$12:$DQ$12,$E421)-1))</f>
        <v>0.9756421629363814</v>
      </c>
      <c r="H421" s="18">
        <f>MIN(IF(1=$E421,1E+99,IF(COUNTIF(Distance_Matrix!$E$12:$DQ$12,1)=0,1E+99,SUMIF(Distance_Matrix!$E$12:$DQ$12,1,Distance_Matrix!$E$27:$DQ$27)/COUNTIF(Distance_Matrix!$E$12:$DQ$12,1))),IF(2=$E421,1E+99,IF(COUNTIF(Distance_Matrix!$E$12:$DQ$12,2)=0,1E+99,SUMIF(Distance_Matrix!$E$12:$DQ$12,2,Distance_Matrix!$E$27:$DQ$27)/COUNTIF(Distance_Matrix!$E$12:$DQ$12,2))),IF(3=$E421,1E+99,IF(COUNTIF(Distance_Matrix!$E$12:$DQ$12,3)=0,1E+99,SUMIF(Distance_Matrix!$E$12:$DQ$12,3,Distance_Matrix!$E$27:$DQ$27)/COUNTIF(Distance_Matrix!$E$12:$DQ$12,3))),IF(4=$E421,1E+99,IF(COUNTIF(Distance_Matrix!$E$12:$DQ$12,4)=0,1E+99,SUMIF(Distance_Matrix!$E$12:$DQ$12,4,Distance_Matrix!$E$27:$DQ$27)/COUNTIF(Distance_Matrix!$E$12:$DQ$12,4))),IF(5=$E421,1E+99,IF(COUNTIF(Distance_Matrix!$E$12:$DQ$12,5)=0,1E+99,SUMIF(Distance_Matrix!$E$12:$DQ$12,5,Distance_Matrix!$E$27:$DQ$27)/COUNTIF(Distance_Matrix!$E$12:$DQ$12,5))),IF(6=$E421,1E+99,IF(COUNTIF(Distance_Matrix!$E$12:$DQ$12,6)=0,1E+99,SUMIF(Distance_Matrix!$E$12:$DQ$12,6,Distance_Matrix!$E$27:$DQ$27)/COUNTIF(Distance_Matrix!$E$12:$DQ$12,6))))</f>
        <v>1.9484805083230847</v>
      </c>
      <c r="I421" s="18">
        <f>IF(COUNTIF(Distance_Matrix!$E$12:$DQ$12,$E421)&lt;=1,0,(H421-G421)/MAX(G421,H421))</f>
        <v>0.4992805117788704</v>
      </c>
      <c r="X421" s="18">
        <f t="shared" si="482"/>
        <v>4.6451579272007946</v>
      </c>
      <c r="Y421" s="18">
        <f t="shared" si="482"/>
        <v>4.2029955567656474</v>
      </c>
      <c r="Z421" s="18">
        <f t="shared" si="482"/>
        <v>0</v>
      </c>
      <c r="AA421" s="18">
        <f t="shared" si="482"/>
        <v>2.6969311940684069</v>
      </c>
      <c r="AB421" s="18">
        <f t="shared" si="482"/>
        <v>2.4987868185891187</v>
      </c>
      <c r="AC421" s="18">
        <f t="shared" si="482"/>
        <v>2.0062365515196272</v>
      </c>
      <c r="AD421" s="56">
        <f t="shared" si="459"/>
        <v>3</v>
      </c>
      <c r="AF421" s="18">
        <f t="shared" si="483"/>
        <v>4.5848616046146411</v>
      </c>
      <c r="AG421" s="18">
        <f t="shared" si="483"/>
        <v>3.6335217150977313</v>
      </c>
      <c r="AH421" s="18">
        <f t="shared" si="483"/>
        <v>0.74826662907653063</v>
      </c>
      <c r="AI421" s="18">
        <f t="shared" si="483"/>
        <v>2.6547326723815559</v>
      </c>
      <c r="AJ421" s="18">
        <f t="shared" si="483"/>
        <v>2.4248709362075784</v>
      </c>
      <c r="AK421" s="18">
        <f t="shared" si="483"/>
        <v>1.9931165181547672</v>
      </c>
      <c r="AL421" s="56">
        <f t="shared" si="461"/>
        <v>3</v>
      </c>
      <c r="AN421" s="18">
        <f t="shared" si="484"/>
        <v>4.5848616046146411</v>
      </c>
      <c r="AO421" s="18">
        <f t="shared" si="484"/>
        <v>3.5910499396884572</v>
      </c>
      <c r="AP421" s="18">
        <f t="shared" si="484"/>
        <v>0.76327599714740901</v>
      </c>
      <c r="AQ421" s="18">
        <f t="shared" si="484"/>
        <v>2.6723566355114587</v>
      </c>
      <c r="AR421" s="18">
        <f t="shared" si="484"/>
        <v>2.4248709362075784</v>
      </c>
      <c r="AS421" s="18">
        <f t="shared" si="484"/>
        <v>1.9504737687884626</v>
      </c>
      <c r="AT421" s="56">
        <f t="shared" si="463"/>
        <v>3</v>
      </c>
      <c r="AV421" s="18">
        <f t="shared" si="485"/>
        <v>4.5848616046146411</v>
      </c>
      <c r="AW421" s="18">
        <f t="shared" si="485"/>
        <v>3.5607399508138373</v>
      </c>
      <c r="AX421" s="18">
        <f t="shared" si="485"/>
        <v>0.76327599714740901</v>
      </c>
      <c r="AY421" s="18">
        <f t="shared" si="485"/>
        <v>2.6723566355114587</v>
      </c>
      <c r="AZ421" s="18">
        <f t="shared" si="485"/>
        <v>2.4248709362075784</v>
      </c>
      <c r="BA421" s="18">
        <f t="shared" si="485"/>
        <v>1.9242674711008356</v>
      </c>
      <c r="BB421" s="56">
        <f t="shared" si="465"/>
        <v>3</v>
      </c>
      <c r="BD421" s="18">
        <f t="shared" si="486"/>
        <v>4.5848616046146411</v>
      </c>
      <c r="BE421" s="18">
        <f t="shared" si="486"/>
        <v>3.5315774876896455</v>
      </c>
      <c r="BF421" s="18">
        <f t="shared" si="486"/>
        <v>0.76327599714740901</v>
      </c>
      <c r="BG421" s="18">
        <f t="shared" si="486"/>
        <v>2.6723566355114587</v>
      </c>
      <c r="BH421" s="18">
        <f t="shared" si="486"/>
        <v>2.4248709362075784</v>
      </c>
      <c r="BI421" s="18">
        <f t="shared" si="486"/>
        <v>1.8972362994426175</v>
      </c>
      <c r="BJ421" s="56">
        <f t="shared" si="467"/>
        <v>3</v>
      </c>
      <c r="BL421" s="18">
        <f t="shared" si="487"/>
        <v>4.5848616046146411</v>
      </c>
      <c r="BM421" s="18">
        <f t="shared" si="487"/>
        <v>3.5315774876896455</v>
      </c>
      <c r="BN421" s="18">
        <f t="shared" si="487"/>
        <v>0.76327599714740901</v>
      </c>
      <c r="BO421" s="18">
        <f t="shared" si="487"/>
        <v>2.6723566355114587</v>
      </c>
      <c r="BP421" s="18">
        <f t="shared" si="487"/>
        <v>2.4248709362075784</v>
      </c>
      <c r="BQ421" s="18">
        <f t="shared" si="487"/>
        <v>1.8972362994426175</v>
      </c>
      <c r="BR421" s="56">
        <f t="shared" si="469"/>
        <v>3</v>
      </c>
      <c r="BT421" s="18">
        <f t="shared" si="488"/>
        <v>4.5848616046146411</v>
      </c>
      <c r="BU421" s="18">
        <f t="shared" si="488"/>
        <v>3.5315774876896455</v>
      </c>
      <c r="BV421" s="18">
        <f t="shared" si="488"/>
        <v>0.76327599714740901</v>
      </c>
      <c r="BW421" s="18">
        <f t="shared" si="488"/>
        <v>2.6723566355114587</v>
      </c>
      <c r="BX421" s="18">
        <f t="shared" si="488"/>
        <v>2.4248709362075784</v>
      </c>
      <c r="BY421" s="18">
        <f t="shared" si="488"/>
        <v>1.8972362994426175</v>
      </c>
      <c r="BZ421" s="56">
        <f t="shared" si="471"/>
        <v>3</v>
      </c>
      <c r="CB421" s="18">
        <f t="shared" si="489"/>
        <v>4.5848616046146411</v>
      </c>
      <c r="CC421" s="18">
        <f t="shared" si="489"/>
        <v>3.5315774876896455</v>
      </c>
      <c r="CD421" s="18">
        <f t="shared" si="489"/>
        <v>0.76327599714740901</v>
      </c>
      <c r="CE421" s="18">
        <f t="shared" si="489"/>
        <v>2.6723566355114587</v>
      </c>
      <c r="CF421" s="18">
        <f t="shared" si="489"/>
        <v>2.4248709362075784</v>
      </c>
      <c r="CG421" s="18">
        <f t="shared" si="489"/>
        <v>1.8972362994426175</v>
      </c>
      <c r="CH421" s="56">
        <f t="shared" si="473"/>
        <v>3</v>
      </c>
      <c r="CJ421" s="18">
        <f t="shared" si="490"/>
        <v>4.5848616046146411</v>
      </c>
      <c r="CK421" s="18">
        <f t="shared" si="490"/>
        <v>3.5315774876896455</v>
      </c>
      <c r="CL421" s="18">
        <f t="shared" si="490"/>
        <v>0.76327599714740901</v>
      </c>
      <c r="CM421" s="18">
        <f t="shared" si="490"/>
        <v>2.6723566355114587</v>
      </c>
      <c r="CN421" s="18">
        <f t="shared" si="490"/>
        <v>2.4248709362075784</v>
      </c>
      <c r="CO421" s="18">
        <f t="shared" si="490"/>
        <v>1.8972362994426175</v>
      </c>
      <c r="CP421" s="56">
        <f t="shared" si="475"/>
        <v>3</v>
      </c>
      <c r="CR421" s="18">
        <f t="shared" si="491"/>
        <v>4.5848616046146411</v>
      </c>
      <c r="CS421" s="18">
        <f t="shared" si="491"/>
        <v>3.5315774876896455</v>
      </c>
      <c r="CT421" s="18">
        <f t="shared" si="491"/>
        <v>0.76327599714740901</v>
      </c>
      <c r="CU421" s="18">
        <f t="shared" si="491"/>
        <v>2.6723566355114587</v>
      </c>
      <c r="CV421" s="18">
        <f t="shared" si="491"/>
        <v>2.4248709362075784</v>
      </c>
      <c r="CW421" s="18">
        <f t="shared" si="491"/>
        <v>1.8972362994426175</v>
      </c>
      <c r="CX421" s="56">
        <f t="shared" si="477"/>
        <v>3</v>
      </c>
      <c r="CZ421" s="18">
        <f t="shared" si="492"/>
        <v>4.5848616046146411</v>
      </c>
      <c r="DA421" s="18">
        <f t="shared" si="492"/>
        <v>3.5315774876896455</v>
      </c>
      <c r="DB421" s="18">
        <f t="shared" si="492"/>
        <v>0.76327599714740901</v>
      </c>
      <c r="DC421" s="18">
        <f t="shared" si="492"/>
        <v>2.6723566355114587</v>
      </c>
      <c r="DD421" s="18">
        <f t="shared" si="492"/>
        <v>2.4248709362075784</v>
      </c>
      <c r="DE421" s="18">
        <f t="shared" si="492"/>
        <v>1.8972362994426175</v>
      </c>
      <c r="DF421" s="56">
        <f t="shared" si="479"/>
        <v>3</v>
      </c>
      <c r="DH421" s="18">
        <f t="shared" si="493"/>
        <v>4.5848616046146411</v>
      </c>
      <c r="DI421" s="18">
        <f t="shared" si="493"/>
        <v>3.5315774876896455</v>
      </c>
      <c r="DJ421" s="18">
        <f t="shared" si="493"/>
        <v>0.76327599714740901</v>
      </c>
      <c r="DK421" s="18">
        <f t="shared" si="493"/>
        <v>2.6723566355114587</v>
      </c>
      <c r="DL421" s="18">
        <f t="shared" si="493"/>
        <v>2.4248709362075784</v>
      </c>
      <c r="DM421" s="18">
        <f t="shared" si="493"/>
        <v>1.8972362994426175</v>
      </c>
      <c r="DN421" s="56">
        <f t="shared" si="481"/>
        <v>3</v>
      </c>
    </row>
    <row r="422" spans="1:118" x14ac:dyDescent="0.25">
      <c r="A422" s="36" t="str">
        <f>KMeans_Data!A19</f>
        <v>Ghotki</v>
      </c>
      <c r="B422" s="18">
        <f>KMeans_Data!H19</f>
        <v>1.0078177751973447</v>
      </c>
      <c r="C422" s="18">
        <f>KMeans_Data!I19</f>
        <v>-0.14698313392952958</v>
      </c>
      <c r="D422" s="18">
        <f>KMeans_Data!J19</f>
        <v>1.1668769645807604</v>
      </c>
      <c r="E422" s="56">
        <f t="shared" si="456"/>
        <v>3</v>
      </c>
      <c r="F422" s="38">
        <f t="shared" si="457"/>
        <v>1.0806688988224458</v>
      </c>
      <c r="G422" s="18">
        <f>IF(COUNTIF(Distance_Matrix!$E$12:$DQ$12,$E422)&lt;=1,0,SUMIF(Distance_Matrix!$E$12:$DQ$12,$E422,Distance_Matrix!$E$28:$DQ$28)/(COUNTIF(Distance_Matrix!$E$12:$DQ$12,$E422)-1))</f>
        <v>1.2019589006041755</v>
      </c>
      <c r="H422" s="18">
        <f>MIN(IF(1=$E422,1E+99,IF(COUNTIF(Distance_Matrix!$E$12:$DQ$12,1)=0,1E+99,SUMIF(Distance_Matrix!$E$12:$DQ$12,1,Distance_Matrix!$E$28:$DQ$28)/COUNTIF(Distance_Matrix!$E$12:$DQ$12,1))),IF(2=$E422,1E+99,IF(COUNTIF(Distance_Matrix!$E$12:$DQ$12,2)=0,1E+99,SUMIF(Distance_Matrix!$E$12:$DQ$12,2,Distance_Matrix!$E$28:$DQ$28)/COUNTIF(Distance_Matrix!$E$12:$DQ$12,2))),IF(3=$E422,1E+99,IF(COUNTIF(Distance_Matrix!$E$12:$DQ$12,3)=0,1E+99,SUMIF(Distance_Matrix!$E$12:$DQ$12,3,Distance_Matrix!$E$28:$DQ$28)/COUNTIF(Distance_Matrix!$E$12:$DQ$12,3))),IF(4=$E422,1E+99,IF(COUNTIF(Distance_Matrix!$E$12:$DQ$12,4)=0,1E+99,SUMIF(Distance_Matrix!$E$12:$DQ$12,4,Distance_Matrix!$E$28:$DQ$28)/COUNTIF(Distance_Matrix!$E$12:$DQ$12,4))),IF(5=$E422,1E+99,IF(COUNTIF(Distance_Matrix!$E$12:$DQ$12,5)=0,1E+99,SUMIF(Distance_Matrix!$E$12:$DQ$12,5,Distance_Matrix!$E$28:$DQ$28)/COUNTIF(Distance_Matrix!$E$12:$DQ$12,5))),IF(6=$E422,1E+99,IF(COUNTIF(Distance_Matrix!$E$12:$DQ$12,6)=0,1E+99,SUMIF(Distance_Matrix!$E$12:$DQ$12,6,Distance_Matrix!$E$28:$DQ$28)/COUNTIF(Distance_Matrix!$E$12:$DQ$12,6))))</f>
        <v>1.6008031382860088</v>
      </c>
      <c r="I422" s="18">
        <f>IF(COUNTIF(Distance_Matrix!$E$12:$DQ$12,$E422)&lt;=1,0,(H422-G422)/MAX(G422,H422))</f>
        <v>0.24915258356432174</v>
      </c>
      <c r="X422" s="18">
        <f t="shared" si="482"/>
        <v>5.1970094204493611</v>
      </c>
      <c r="Y422" s="18">
        <f t="shared" si="482"/>
        <v>3.8932095409482974</v>
      </c>
      <c r="Z422" s="18">
        <f t="shared" si="482"/>
        <v>0.60772251420480949</v>
      </c>
      <c r="AA422" s="18">
        <f t="shared" si="482"/>
        <v>2.3407055657210845</v>
      </c>
      <c r="AB422" s="18">
        <f t="shared" si="482"/>
        <v>3.0418641689098118</v>
      </c>
      <c r="AC422" s="18">
        <f t="shared" si="482"/>
        <v>1.796566232554796</v>
      </c>
      <c r="AD422" s="56">
        <f t="shared" si="459"/>
        <v>3</v>
      </c>
      <c r="AF422" s="18">
        <f t="shared" si="483"/>
        <v>5.132251177747337</v>
      </c>
      <c r="AG422" s="18">
        <f t="shared" si="483"/>
        <v>3.2853645520463308</v>
      </c>
      <c r="AH422" s="18">
        <f t="shared" si="483"/>
        <v>1.0389810651231832</v>
      </c>
      <c r="AI422" s="18">
        <f t="shared" si="483"/>
        <v>2.2336073266855037</v>
      </c>
      <c r="AJ422" s="18">
        <f t="shared" si="483"/>
        <v>2.9622355925547863</v>
      </c>
      <c r="AK422" s="18">
        <f t="shared" si="483"/>
        <v>1.6337095406992757</v>
      </c>
      <c r="AL422" s="56">
        <f t="shared" si="461"/>
        <v>3</v>
      </c>
      <c r="AN422" s="18">
        <f t="shared" si="484"/>
        <v>5.132251177747337</v>
      </c>
      <c r="AO422" s="18">
        <f t="shared" si="484"/>
        <v>3.2404549945942192</v>
      </c>
      <c r="AP422" s="18">
        <f t="shared" si="484"/>
        <v>1.0395522588222517</v>
      </c>
      <c r="AQ422" s="18">
        <f t="shared" si="484"/>
        <v>2.2465745378704298</v>
      </c>
      <c r="AR422" s="18">
        <f t="shared" si="484"/>
        <v>2.9622355925547863</v>
      </c>
      <c r="AS422" s="18">
        <f t="shared" si="484"/>
        <v>1.5882246738020354</v>
      </c>
      <c r="AT422" s="56">
        <f t="shared" si="463"/>
        <v>3</v>
      </c>
      <c r="AV422" s="18">
        <f t="shared" si="485"/>
        <v>5.132251177747337</v>
      </c>
      <c r="AW422" s="18">
        <f t="shared" si="485"/>
        <v>3.2093272828945802</v>
      </c>
      <c r="AX422" s="18">
        <f t="shared" si="485"/>
        <v>1.0395522588222517</v>
      </c>
      <c r="AY422" s="18">
        <f t="shared" si="485"/>
        <v>2.2465745378704298</v>
      </c>
      <c r="AZ422" s="18">
        <f t="shared" si="485"/>
        <v>2.9622355925547863</v>
      </c>
      <c r="BA422" s="18">
        <f t="shared" si="485"/>
        <v>1.5627025842007312</v>
      </c>
      <c r="BB422" s="56">
        <f t="shared" si="465"/>
        <v>3</v>
      </c>
      <c r="BD422" s="18">
        <f t="shared" si="486"/>
        <v>5.132251177747337</v>
      </c>
      <c r="BE422" s="18">
        <f t="shared" si="486"/>
        <v>3.1795551473010288</v>
      </c>
      <c r="BF422" s="18">
        <f t="shared" si="486"/>
        <v>1.0395522588222517</v>
      </c>
      <c r="BG422" s="18">
        <f t="shared" si="486"/>
        <v>2.2465745378704298</v>
      </c>
      <c r="BH422" s="18">
        <f t="shared" si="486"/>
        <v>2.9622355925547863</v>
      </c>
      <c r="BI422" s="18">
        <f t="shared" si="486"/>
        <v>1.5361201447300044</v>
      </c>
      <c r="BJ422" s="56">
        <f t="shared" si="467"/>
        <v>3</v>
      </c>
      <c r="BL422" s="18">
        <f t="shared" si="487"/>
        <v>5.132251177747337</v>
      </c>
      <c r="BM422" s="18">
        <f t="shared" si="487"/>
        <v>3.1795551473010288</v>
      </c>
      <c r="BN422" s="18">
        <f t="shared" si="487"/>
        <v>1.0395522588222517</v>
      </c>
      <c r="BO422" s="18">
        <f t="shared" si="487"/>
        <v>2.2465745378704298</v>
      </c>
      <c r="BP422" s="18">
        <f t="shared" si="487"/>
        <v>2.9622355925547863</v>
      </c>
      <c r="BQ422" s="18">
        <f t="shared" si="487"/>
        <v>1.5361201447300044</v>
      </c>
      <c r="BR422" s="56">
        <f t="shared" si="469"/>
        <v>3</v>
      </c>
      <c r="BT422" s="18">
        <f t="shared" si="488"/>
        <v>5.132251177747337</v>
      </c>
      <c r="BU422" s="18">
        <f t="shared" si="488"/>
        <v>3.1795551473010288</v>
      </c>
      <c r="BV422" s="18">
        <f t="shared" si="488"/>
        <v>1.0395522588222517</v>
      </c>
      <c r="BW422" s="18">
        <f t="shared" si="488"/>
        <v>2.2465745378704298</v>
      </c>
      <c r="BX422" s="18">
        <f t="shared" si="488"/>
        <v>2.9622355925547863</v>
      </c>
      <c r="BY422" s="18">
        <f t="shared" si="488"/>
        <v>1.5361201447300044</v>
      </c>
      <c r="BZ422" s="56">
        <f t="shared" si="471"/>
        <v>3</v>
      </c>
      <c r="CB422" s="18">
        <f t="shared" si="489"/>
        <v>5.132251177747337</v>
      </c>
      <c r="CC422" s="18">
        <f t="shared" si="489"/>
        <v>3.1795551473010288</v>
      </c>
      <c r="CD422" s="18">
        <f t="shared" si="489"/>
        <v>1.0395522588222517</v>
      </c>
      <c r="CE422" s="18">
        <f t="shared" si="489"/>
        <v>2.2465745378704298</v>
      </c>
      <c r="CF422" s="18">
        <f t="shared" si="489"/>
        <v>2.9622355925547863</v>
      </c>
      <c r="CG422" s="18">
        <f t="shared" si="489"/>
        <v>1.5361201447300044</v>
      </c>
      <c r="CH422" s="56">
        <f t="shared" si="473"/>
        <v>3</v>
      </c>
      <c r="CJ422" s="18">
        <f t="shared" si="490"/>
        <v>5.132251177747337</v>
      </c>
      <c r="CK422" s="18">
        <f t="shared" si="490"/>
        <v>3.1795551473010288</v>
      </c>
      <c r="CL422" s="18">
        <f t="shared" si="490"/>
        <v>1.0395522588222517</v>
      </c>
      <c r="CM422" s="18">
        <f t="shared" si="490"/>
        <v>2.2465745378704298</v>
      </c>
      <c r="CN422" s="18">
        <f t="shared" si="490"/>
        <v>2.9622355925547863</v>
      </c>
      <c r="CO422" s="18">
        <f t="shared" si="490"/>
        <v>1.5361201447300044</v>
      </c>
      <c r="CP422" s="56">
        <f t="shared" si="475"/>
        <v>3</v>
      </c>
      <c r="CR422" s="18">
        <f t="shared" si="491"/>
        <v>5.132251177747337</v>
      </c>
      <c r="CS422" s="18">
        <f t="shared" si="491"/>
        <v>3.1795551473010288</v>
      </c>
      <c r="CT422" s="18">
        <f t="shared" si="491"/>
        <v>1.0395522588222517</v>
      </c>
      <c r="CU422" s="18">
        <f t="shared" si="491"/>
        <v>2.2465745378704298</v>
      </c>
      <c r="CV422" s="18">
        <f t="shared" si="491"/>
        <v>2.9622355925547863</v>
      </c>
      <c r="CW422" s="18">
        <f t="shared" si="491"/>
        <v>1.5361201447300044</v>
      </c>
      <c r="CX422" s="56">
        <f t="shared" si="477"/>
        <v>3</v>
      </c>
      <c r="CZ422" s="18">
        <f t="shared" si="492"/>
        <v>5.132251177747337</v>
      </c>
      <c r="DA422" s="18">
        <f t="shared" si="492"/>
        <v>3.1795551473010288</v>
      </c>
      <c r="DB422" s="18">
        <f t="shared" si="492"/>
        <v>1.0395522588222517</v>
      </c>
      <c r="DC422" s="18">
        <f t="shared" si="492"/>
        <v>2.2465745378704298</v>
      </c>
      <c r="DD422" s="18">
        <f t="shared" si="492"/>
        <v>2.9622355925547863</v>
      </c>
      <c r="DE422" s="18">
        <f t="shared" si="492"/>
        <v>1.5361201447300044</v>
      </c>
      <c r="DF422" s="56">
        <f t="shared" si="479"/>
        <v>3</v>
      </c>
      <c r="DH422" s="18">
        <f t="shared" si="493"/>
        <v>5.132251177747337</v>
      </c>
      <c r="DI422" s="18">
        <f t="shared" si="493"/>
        <v>3.1795551473010288</v>
      </c>
      <c r="DJ422" s="18">
        <f t="shared" si="493"/>
        <v>1.0395522588222517</v>
      </c>
      <c r="DK422" s="18">
        <f t="shared" si="493"/>
        <v>2.2465745378704298</v>
      </c>
      <c r="DL422" s="18">
        <f t="shared" si="493"/>
        <v>2.9622355925547863</v>
      </c>
      <c r="DM422" s="18">
        <f t="shared" si="493"/>
        <v>1.5361201447300044</v>
      </c>
      <c r="DN422" s="56">
        <f t="shared" si="481"/>
        <v>3</v>
      </c>
    </row>
    <row r="423" spans="1:118" x14ac:dyDescent="0.25">
      <c r="A423" s="36" t="str">
        <f>KMeans_Data!A20</f>
        <v>Dir Lower</v>
      </c>
      <c r="B423" s="18">
        <f>KMeans_Data!H20</f>
        <v>0.97062552695729998</v>
      </c>
      <c r="C423" s="18">
        <f>KMeans_Data!I20</f>
        <v>0.99367572463826759</v>
      </c>
      <c r="D423" s="18">
        <f>KMeans_Data!J20</f>
        <v>0.99752622880062936</v>
      </c>
      <c r="E423" s="56">
        <f t="shared" si="456"/>
        <v>3</v>
      </c>
      <c r="F423" s="38">
        <f t="shared" si="457"/>
        <v>8.3558890851608142E-2</v>
      </c>
      <c r="G423" s="18">
        <f>IF(COUNTIF(Distance_Matrix!$E$12:$DQ$12,$E423)&lt;=1,0,SUMIF(Distance_Matrix!$E$12:$DQ$12,$E423,Distance_Matrix!$E$29:$DQ$29)/(COUNTIF(Distance_Matrix!$E$12:$DQ$12,$E423)-1))</f>
        <v>0.70407350242722322</v>
      </c>
      <c r="H423" s="18">
        <f>MIN(IF(1=$E423,1E+99,IF(COUNTIF(Distance_Matrix!$E$12:$DQ$12,1)=0,1E+99,SUMIF(Distance_Matrix!$E$12:$DQ$12,1,Distance_Matrix!$E$29:$DQ$29)/COUNTIF(Distance_Matrix!$E$12:$DQ$12,1))),IF(2=$E423,1E+99,IF(COUNTIF(Distance_Matrix!$E$12:$DQ$12,2)=0,1E+99,SUMIF(Distance_Matrix!$E$12:$DQ$12,2,Distance_Matrix!$E$29:$DQ$29)/COUNTIF(Distance_Matrix!$E$12:$DQ$12,2))),IF(3=$E423,1E+99,IF(COUNTIF(Distance_Matrix!$E$12:$DQ$12,3)=0,1E+99,SUMIF(Distance_Matrix!$E$12:$DQ$12,3,Distance_Matrix!$E$29:$DQ$29)/COUNTIF(Distance_Matrix!$E$12:$DQ$12,3))),IF(4=$E423,1E+99,IF(COUNTIF(Distance_Matrix!$E$12:$DQ$12,4)=0,1E+99,SUMIF(Distance_Matrix!$E$12:$DQ$12,4,Distance_Matrix!$E$29:$DQ$29)/COUNTIF(Distance_Matrix!$E$12:$DQ$12,4))),IF(5=$E423,1E+99,IF(COUNTIF(Distance_Matrix!$E$12:$DQ$12,5)=0,1E+99,SUMIF(Distance_Matrix!$E$12:$DQ$12,5,Distance_Matrix!$E$29:$DQ$29)/COUNTIF(Distance_Matrix!$E$12:$DQ$12,5))),IF(6=$E423,1E+99,IF(COUNTIF(Distance_Matrix!$E$12:$DQ$12,6)=0,1E+99,SUMIF(Distance_Matrix!$E$12:$DQ$12,6,Distance_Matrix!$E$29:$DQ$29)/COUNTIF(Distance_Matrix!$E$12:$DQ$12,6))))</f>
        <v>2.0007822762821115</v>
      </c>
      <c r="I423" s="18">
        <f>IF(COUNTIF(Distance_Matrix!$E$12:$DQ$12,$E423)&lt;=1,0,(H423-G423)/MAX(G423,H423))</f>
        <v>0.64810088995013249</v>
      </c>
      <c r="X423" s="18">
        <f t="shared" si="482"/>
        <v>4.4346274447006611</v>
      </c>
      <c r="Y423" s="18">
        <f t="shared" si="482"/>
        <v>4.0834470612488181</v>
      </c>
      <c r="Z423" s="18">
        <f t="shared" si="482"/>
        <v>0.77863911751709047</v>
      </c>
      <c r="AA423" s="18">
        <f t="shared" si="482"/>
        <v>2.449464404018157</v>
      </c>
      <c r="AB423" s="18">
        <f t="shared" si="482"/>
        <v>2.3503914452842838</v>
      </c>
      <c r="AC423" s="18">
        <f t="shared" si="482"/>
        <v>2.0613044061615224</v>
      </c>
      <c r="AD423" s="56">
        <f t="shared" si="459"/>
        <v>3</v>
      </c>
      <c r="AF423" s="18">
        <f t="shared" si="483"/>
        <v>4.3318159453964959</v>
      </c>
      <c r="AG423" s="18">
        <f t="shared" si="483"/>
        <v>3.5117454220827491</v>
      </c>
      <c r="AH423" s="18">
        <f t="shared" si="483"/>
        <v>0.2581590000603679</v>
      </c>
      <c r="AI423" s="18">
        <f t="shared" si="483"/>
        <v>2.5420146786017543</v>
      </c>
      <c r="AJ423" s="18">
        <f t="shared" si="483"/>
        <v>2.0667696461607443</v>
      </c>
      <c r="AK423" s="18">
        <f t="shared" si="483"/>
        <v>2.0301270819108681</v>
      </c>
      <c r="AL423" s="56">
        <f t="shared" si="461"/>
        <v>3</v>
      </c>
      <c r="AN423" s="18">
        <f t="shared" si="484"/>
        <v>4.3318159453964959</v>
      </c>
      <c r="AO423" s="18">
        <f t="shared" si="484"/>
        <v>3.4718844439947962</v>
      </c>
      <c r="AP423" s="18">
        <f t="shared" si="484"/>
        <v>0.28906554767320186</v>
      </c>
      <c r="AQ423" s="18">
        <f t="shared" si="484"/>
        <v>2.5664702368486494</v>
      </c>
      <c r="AR423" s="18">
        <f t="shared" si="484"/>
        <v>2.0667696461607443</v>
      </c>
      <c r="AS423" s="18">
        <f t="shared" si="484"/>
        <v>1.9933551268704619</v>
      </c>
      <c r="AT423" s="56">
        <f t="shared" si="463"/>
        <v>3</v>
      </c>
      <c r="AV423" s="18">
        <f t="shared" si="485"/>
        <v>4.3318159453964959</v>
      </c>
      <c r="AW423" s="18">
        <f t="shared" si="485"/>
        <v>3.4445967320433191</v>
      </c>
      <c r="AX423" s="18">
        <f t="shared" si="485"/>
        <v>0.28906554767320186</v>
      </c>
      <c r="AY423" s="18">
        <f t="shared" si="485"/>
        <v>2.5664702368486494</v>
      </c>
      <c r="AZ423" s="18">
        <f t="shared" si="485"/>
        <v>2.0667696461607443</v>
      </c>
      <c r="BA423" s="18">
        <f t="shared" si="485"/>
        <v>1.9698890388833781</v>
      </c>
      <c r="BB423" s="56">
        <f t="shared" si="465"/>
        <v>3</v>
      </c>
      <c r="BD423" s="18">
        <f t="shared" si="486"/>
        <v>4.3318159453964959</v>
      </c>
      <c r="BE423" s="18">
        <f t="shared" si="486"/>
        <v>3.4186418065058399</v>
      </c>
      <c r="BF423" s="18">
        <f t="shared" si="486"/>
        <v>0.28906554767320186</v>
      </c>
      <c r="BG423" s="18">
        <f t="shared" si="486"/>
        <v>2.5664702368486494</v>
      </c>
      <c r="BH423" s="18">
        <f t="shared" si="486"/>
        <v>2.0667696461607443</v>
      </c>
      <c r="BI423" s="18">
        <f t="shared" si="486"/>
        <v>1.9452325125833869</v>
      </c>
      <c r="BJ423" s="56">
        <f t="shared" si="467"/>
        <v>3</v>
      </c>
      <c r="BL423" s="18">
        <f t="shared" si="487"/>
        <v>4.3318159453964959</v>
      </c>
      <c r="BM423" s="18">
        <f t="shared" si="487"/>
        <v>3.4186418065058399</v>
      </c>
      <c r="BN423" s="18">
        <f t="shared" si="487"/>
        <v>0.28906554767320186</v>
      </c>
      <c r="BO423" s="18">
        <f t="shared" si="487"/>
        <v>2.5664702368486494</v>
      </c>
      <c r="BP423" s="18">
        <f t="shared" si="487"/>
        <v>2.0667696461607443</v>
      </c>
      <c r="BQ423" s="18">
        <f t="shared" si="487"/>
        <v>1.9452325125833869</v>
      </c>
      <c r="BR423" s="56">
        <f t="shared" si="469"/>
        <v>3</v>
      </c>
      <c r="BT423" s="18">
        <f t="shared" si="488"/>
        <v>4.3318159453964959</v>
      </c>
      <c r="BU423" s="18">
        <f t="shared" si="488"/>
        <v>3.4186418065058399</v>
      </c>
      <c r="BV423" s="18">
        <f t="shared" si="488"/>
        <v>0.28906554767320186</v>
      </c>
      <c r="BW423" s="18">
        <f t="shared" si="488"/>
        <v>2.5664702368486494</v>
      </c>
      <c r="BX423" s="18">
        <f t="shared" si="488"/>
        <v>2.0667696461607443</v>
      </c>
      <c r="BY423" s="18">
        <f t="shared" si="488"/>
        <v>1.9452325125833869</v>
      </c>
      <c r="BZ423" s="56">
        <f t="shared" si="471"/>
        <v>3</v>
      </c>
      <c r="CB423" s="18">
        <f t="shared" si="489"/>
        <v>4.3318159453964959</v>
      </c>
      <c r="CC423" s="18">
        <f t="shared" si="489"/>
        <v>3.4186418065058399</v>
      </c>
      <c r="CD423" s="18">
        <f t="shared" si="489"/>
        <v>0.28906554767320186</v>
      </c>
      <c r="CE423" s="18">
        <f t="shared" si="489"/>
        <v>2.5664702368486494</v>
      </c>
      <c r="CF423" s="18">
        <f t="shared" si="489"/>
        <v>2.0667696461607443</v>
      </c>
      <c r="CG423" s="18">
        <f t="shared" si="489"/>
        <v>1.9452325125833869</v>
      </c>
      <c r="CH423" s="56">
        <f t="shared" si="473"/>
        <v>3</v>
      </c>
      <c r="CJ423" s="18">
        <f t="shared" si="490"/>
        <v>4.3318159453964959</v>
      </c>
      <c r="CK423" s="18">
        <f t="shared" si="490"/>
        <v>3.4186418065058399</v>
      </c>
      <c r="CL423" s="18">
        <f t="shared" si="490"/>
        <v>0.28906554767320186</v>
      </c>
      <c r="CM423" s="18">
        <f t="shared" si="490"/>
        <v>2.5664702368486494</v>
      </c>
      <c r="CN423" s="18">
        <f t="shared" si="490"/>
        <v>2.0667696461607443</v>
      </c>
      <c r="CO423" s="18">
        <f t="shared" si="490"/>
        <v>1.9452325125833869</v>
      </c>
      <c r="CP423" s="56">
        <f t="shared" si="475"/>
        <v>3</v>
      </c>
      <c r="CR423" s="18">
        <f t="shared" si="491"/>
        <v>4.3318159453964959</v>
      </c>
      <c r="CS423" s="18">
        <f t="shared" si="491"/>
        <v>3.4186418065058399</v>
      </c>
      <c r="CT423" s="18">
        <f t="shared" si="491"/>
        <v>0.28906554767320186</v>
      </c>
      <c r="CU423" s="18">
        <f t="shared" si="491"/>
        <v>2.5664702368486494</v>
      </c>
      <c r="CV423" s="18">
        <f t="shared" si="491"/>
        <v>2.0667696461607443</v>
      </c>
      <c r="CW423" s="18">
        <f t="shared" si="491"/>
        <v>1.9452325125833869</v>
      </c>
      <c r="CX423" s="56">
        <f t="shared" si="477"/>
        <v>3</v>
      </c>
      <c r="CZ423" s="18">
        <f t="shared" si="492"/>
        <v>4.3318159453964959</v>
      </c>
      <c r="DA423" s="18">
        <f t="shared" si="492"/>
        <v>3.4186418065058399</v>
      </c>
      <c r="DB423" s="18">
        <f t="shared" si="492"/>
        <v>0.28906554767320186</v>
      </c>
      <c r="DC423" s="18">
        <f t="shared" si="492"/>
        <v>2.5664702368486494</v>
      </c>
      <c r="DD423" s="18">
        <f t="shared" si="492"/>
        <v>2.0667696461607443</v>
      </c>
      <c r="DE423" s="18">
        <f t="shared" si="492"/>
        <v>1.9452325125833869</v>
      </c>
      <c r="DF423" s="56">
        <f t="shared" si="479"/>
        <v>3</v>
      </c>
      <c r="DH423" s="18">
        <f t="shared" si="493"/>
        <v>4.3318159453964959</v>
      </c>
      <c r="DI423" s="18">
        <f t="shared" si="493"/>
        <v>3.4186418065058399</v>
      </c>
      <c r="DJ423" s="18">
        <f t="shared" si="493"/>
        <v>0.28906554767320186</v>
      </c>
      <c r="DK423" s="18">
        <f t="shared" si="493"/>
        <v>2.5664702368486494</v>
      </c>
      <c r="DL423" s="18">
        <f t="shared" si="493"/>
        <v>2.0667696461607443</v>
      </c>
      <c r="DM423" s="18">
        <f t="shared" si="493"/>
        <v>1.9452325125833869</v>
      </c>
      <c r="DN423" s="56">
        <f t="shared" si="481"/>
        <v>3</v>
      </c>
    </row>
    <row r="424" spans="1:118" x14ac:dyDescent="0.25">
      <c r="A424" s="36" t="str">
        <f>KMeans_Data!A21</f>
        <v>Khairpur</v>
      </c>
      <c r="B424" s="18">
        <f>KMeans_Data!H21</f>
        <v>0.88016218188859063</v>
      </c>
      <c r="C424" s="18">
        <f>KMeans_Data!I21</f>
        <v>0.37868427752921691</v>
      </c>
      <c r="D424" s="18">
        <f>KMeans_Data!J21</f>
        <v>1.5832083798719481</v>
      </c>
      <c r="E424" s="56">
        <f t="shared" si="456"/>
        <v>3</v>
      </c>
      <c r="F424" s="38">
        <f t="shared" si="457"/>
        <v>0.64920127733884392</v>
      </c>
      <c r="G424" s="18">
        <f>IF(COUNTIF(Distance_Matrix!$E$12:$DQ$12,$E424)&lt;=1,0,SUMIF(Distance_Matrix!$E$12:$DQ$12,$E424,Distance_Matrix!$E$30:$DQ$30)/(COUNTIF(Distance_Matrix!$E$12:$DQ$12,$E424)-1))</f>
        <v>1.0107996626209566</v>
      </c>
      <c r="H424" s="18">
        <f>MIN(IF(1=$E424,1E+99,IF(COUNTIF(Distance_Matrix!$E$12:$DQ$12,1)=0,1E+99,SUMIF(Distance_Matrix!$E$12:$DQ$12,1,Distance_Matrix!$E$30:$DQ$30)/COUNTIF(Distance_Matrix!$E$12:$DQ$12,1))),IF(2=$E424,1E+99,IF(COUNTIF(Distance_Matrix!$E$12:$DQ$12,2)=0,1E+99,SUMIF(Distance_Matrix!$E$12:$DQ$12,2,Distance_Matrix!$E$30:$DQ$30)/COUNTIF(Distance_Matrix!$E$12:$DQ$12,2))),IF(3=$E424,1E+99,IF(COUNTIF(Distance_Matrix!$E$12:$DQ$12,3)=0,1E+99,SUMIF(Distance_Matrix!$E$12:$DQ$12,3,Distance_Matrix!$E$30:$DQ$30)/COUNTIF(Distance_Matrix!$E$12:$DQ$12,3))),IF(4=$E424,1E+99,IF(COUNTIF(Distance_Matrix!$E$12:$DQ$12,4)=0,1E+99,SUMIF(Distance_Matrix!$E$12:$DQ$12,4,Distance_Matrix!$E$30:$DQ$30)/COUNTIF(Distance_Matrix!$E$12:$DQ$12,4))),IF(5=$E424,1E+99,IF(COUNTIF(Distance_Matrix!$E$12:$DQ$12,5)=0,1E+99,SUMIF(Distance_Matrix!$E$12:$DQ$12,5,Distance_Matrix!$E$30:$DQ$30)/COUNTIF(Distance_Matrix!$E$12:$DQ$12,5))),IF(6=$E424,1E+99,IF(COUNTIF(Distance_Matrix!$E$12:$DQ$12,6)=0,1E+99,SUMIF(Distance_Matrix!$E$12:$DQ$12,6,Distance_Matrix!$E$30:$DQ$30)/COUNTIF(Distance_Matrix!$E$12:$DQ$12,6))))</f>
        <v>1.9318127966368834</v>
      </c>
      <c r="I424" s="18">
        <f>IF(COUNTIF(Distance_Matrix!$E$12:$DQ$12,$E424)&lt;=1,0,(H424-G424)/MAX(G424,H424))</f>
        <v>0.47676106899143122</v>
      </c>
      <c r="X424" s="18">
        <f t="shared" si="482"/>
        <v>4.6814537702265193</v>
      </c>
      <c r="Y424" s="18">
        <f t="shared" si="482"/>
        <v>4.160883299847451</v>
      </c>
      <c r="Z424" s="18">
        <f t="shared" si="482"/>
        <v>0.19346464016058282</v>
      </c>
      <c r="AA424" s="18">
        <f t="shared" si="482"/>
        <v>2.7888971516416392</v>
      </c>
      <c r="AB424" s="18">
        <f t="shared" si="482"/>
        <v>2.548544720984494</v>
      </c>
      <c r="AC424" s="18">
        <f t="shared" si="482"/>
        <v>1.9246492453768727</v>
      </c>
      <c r="AD424" s="56">
        <f t="shared" si="459"/>
        <v>3</v>
      </c>
      <c r="AF424" s="18">
        <f t="shared" si="483"/>
        <v>4.6281986273397324</v>
      </c>
      <c r="AG424" s="18">
        <f t="shared" si="483"/>
        <v>3.616290919406588</v>
      </c>
      <c r="AH424" s="18">
        <f t="shared" si="483"/>
        <v>0.79484123310214649</v>
      </c>
      <c r="AI424" s="18">
        <f t="shared" si="483"/>
        <v>2.7071934252182119</v>
      </c>
      <c r="AJ424" s="18">
        <f t="shared" si="483"/>
        <v>2.485521554196235</v>
      </c>
      <c r="AK424" s="18">
        <f t="shared" si="483"/>
        <v>1.9732269151831043</v>
      </c>
      <c r="AL424" s="56">
        <f t="shared" si="461"/>
        <v>3</v>
      </c>
      <c r="AN424" s="18">
        <f t="shared" si="484"/>
        <v>4.6281986273397324</v>
      </c>
      <c r="AO424" s="18">
        <f t="shared" si="484"/>
        <v>3.5748094556054926</v>
      </c>
      <c r="AP424" s="18">
        <f t="shared" si="484"/>
        <v>0.80573027579882084</v>
      </c>
      <c r="AQ424" s="18">
        <f t="shared" si="484"/>
        <v>2.7243942582612455</v>
      </c>
      <c r="AR424" s="18">
        <f t="shared" si="484"/>
        <v>2.485521554196235</v>
      </c>
      <c r="AS424" s="18">
        <f t="shared" si="484"/>
        <v>1.932055538493729</v>
      </c>
      <c r="AT424" s="56">
        <f t="shared" si="463"/>
        <v>3</v>
      </c>
      <c r="AV424" s="18">
        <f t="shared" si="485"/>
        <v>4.6281986273397324</v>
      </c>
      <c r="AW424" s="18">
        <f t="shared" si="485"/>
        <v>3.5443738886418776</v>
      </c>
      <c r="AX424" s="18">
        <f t="shared" si="485"/>
        <v>0.80573027579882084</v>
      </c>
      <c r="AY424" s="18">
        <f t="shared" si="485"/>
        <v>2.7243942582612455</v>
      </c>
      <c r="AZ424" s="18">
        <f t="shared" si="485"/>
        <v>2.485521554196235</v>
      </c>
      <c r="BA424" s="18">
        <f t="shared" si="485"/>
        <v>1.9059331885785067</v>
      </c>
      <c r="BB424" s="56">
        <f t="shared" si="465"/>
        <v>3</v>
      </c>
      <c r="BD424" s="18">
        <f t="shared" si="486"/>
        <v>4.6281986273397324</v>
      </c>
      <c r="BE424" s="18">
        <f t="shared" si="486"/>
        <v>3.5149126469706649</v>
      </c>
      <c r="BF424" s="18">
        <f t="shared" si="486"/>
        <v>0.80573027579882084</v>
      </c>
      <c r="BG424" s="18">
        <f t="shared" si="486"/>
        <v>2.7243942582612455</v>
      </c>
      <c r="BH424" s="18">
        <f t="shared" si="486"/>
        <v>2.485521554196235</v>
      </c>
      <c r="BI424" s="18">
        <f t="shared" si="486"/>
        <v>1.8792785277443573</v>
      </c>
      <c r="BJ424" s="56">
        <f t="shared" si="467"/>
        <v>3</v>
      </c>
      <c r="BL424" s="18">
        <f t="shared" si="487"/>
        <v>4.6281986273397324</v>
      </c>
      <c r="BM424" s="18">
        <f t="shared" si="487"/>
        <v>3.5149126469706649</v>
      </c>
      <c r="BN424" s="18">
        <f t="shared" si="487"/>
        <v>0.80573027579882084</v>
      </c>
      <c r="BO424" s="18">
        <f t="shared" si="487"/>
        <v>2.7243942582612455</v>
      </c>
      <c r="BP424" s="18">
        <f t="shared" si="487"/>
        <v>2.485521554196235</v>
      </c>
      <c r="BQ424" s="18">
        <f t="shared" si="487"/>
        <v>1.8792785277443573</v>
      </c>
      <c r="BR424" s="56">
        <f t="shared" si="469"/>
        <v>3</v>
      </c>
      <c r="BT424" s="18">
        <f t="shared" si="488"/>
        <v>4.6281986273397324</v>
      </c>
      <c r="BU424" s="18">
        <f t="shared" si="488"/>
        <v>3.5149126469706649</v>
      </c>
      <c r="BV424" s="18">
        <f t="shared" si="488"/>
        <v>0.80573027579882084</v>
      </c>
      <c r="BW424" s="18">
        <f t="shared" si="488"/>
        <v>2.7243942582612455</v>
      </c>
      <c r="BX424" s="18">
        <f t="shared" si="488"/>
        <v>2.485521554196235</v>
      </c>
      <c r="BY424" s="18">
        <f t="shared" si="488"/>
        <v>1.8792785277443573</v>
      </c>
      <c r="BZ424" s="56">
        <f t="shared" si="471"/>
        <v>3</v>
      </c>
      <c r="CB424" s="18">
        <f t="shared" si="489"/>
        <v>4.6281986273397324</v>
      </c>
      <c r="CC424" s="18">
        <f t="shared" si="489"/>
        <v>3.5149126469706649</v>
      </c>
      <c r="CD424" s="18">
        <f t="shared" si="489"/>
        <v>0.80573027579882084</v>
      </c>
      <c r="CE424" s="18">
        <f t="shared" si="489"/>
        <v>2.7243942582612455</v>
      </c>
      <c r="CF424" s="18">
        <f t="shared" si="489"/>
        <v>2.485521554196235</v>
      </c>
      <c r="CG424" s="18">
        <f t="shared" si="489"/>
        <v>1.8792785277443573</v>
      </c>
      <c r="CH424" s="56">
        <f t="shared" si="473"/>
        <v>3</v>
      </c>
      <c r="CJ424" s="18">
        <f t="shared" si="490"/>
        <v>4.6281986273397324</v>
      </c>
      <c r="CK424" s="18">
        <f t="shared" si="490"/>
        <v>3.5149126469706649</v>
      </c>
      <c r="CL424" s="18">
        <f t="shared" si="490"/>
        <v>0.80573027579882084</v>
      </c>
      <c r="CM424" s="18">
        <f t="shared" si="490"/>
        <v>2.7243942582612455</v>
      </c>
      <c r="CN424" s="18">
        <f t="shared" si="490"/>
        <v>2.485521554196235</v>
      </c>
      <c r="CO424" s="18">
        <f t="shared" si="490"/>
        <v>1.8792785277443573</v>
      </c>
      <c r="CP424" s="56">
        <f t="shared" si="475"/>
        <v>3</v>
      </c>
      <c r="CR424" s="18">
        <f t="shared" si="491"/>
        <v>4.6281986273397324</v>
      </c>
      <c r="CS424" s="18">
        <f t="shared" si="491"/>
        <v>3.5149126469706649</v>
      </c>
      <c r="CT424" s="18">
        <f t="shared" si="491"/>
        <v>0.80573027579882084</v>
      </c>
      <c r="CU424" s="18">
        <f t="shared" si="491"/>
        <v>2.7243942582612455</v>
      </c>
      <c r="CV424" s="18">
        <f t="shared" si="491"/>
        <v>2.485521554196235</v>
      </c>
      <c r="CW424" s="18">
        <f t="shared" si="491"/>
        <v>1.8792785277443573</v>
      </c>
      <c r="CX424" s="56">
        <f t="shared" si="477"/>
        <v>3</v>
      </c>
      <c r="CZ424" s="18">
        <f t="shared" si="492"/>
        <v>4.6281986273397324</v>
      </c>
      <c r="DA424" s="18">
        <f t="shared" si="492"/>
        <v>3.5149126469706649</v>
      </c>
      <c r="DB424" s="18">
        <f t="shared" si="492"/>
        <v>0.80573027579882084</v>
      </c>
      <c r="DC424" s="18">
        <f t="shared" si="492"/>
        <v>2.7243942582612455</v>
      </c>
      <c r="DD424" s="18">
        <f t="shared" si="492"/>
        <v>2.485521554196235</v>
      </c>
      <c r="DE424" s="18">
        <f t="shared" si="492"/>
        <v>1.8792785277443573</v>
      </c>
      <c r="DF424" s="56">
        <f t="shared" si="479"/>
        <v>3</v>
      </c>
      <c r="DH424" s="18">
        <f t="shared" si="493"/>
        <v>4.6281986273397324</v>
      </c>
      <c r="DI424" s="18">
        <f t="shared" si="493"/>
        <v>3.5149126469706649</v>
      </c>
      <c r="DJ424" s="18">
        <f t="shared" si="493"/>
        <v>0.80573027579882084</v>
      </c>
      <c r="DK424" s="18">
        <f t="shared" si="493"/>
        <v>2.7243942582612455</v>
      </c>
      <c r="DL424" s="18">
        <f t="shared" si="493"/>
        <v>2.485521554196235</v>
      </c>
      <c r="DM424" s="18">
        <f t="shared" si="493"/>
        <v>1.8792785277443573</v>
      </c>
      <c r="DN424" s="56">
        <f t="shared" si="481"/>
        <v>3</v>
      </c>
    </row>
    <row r="425" spans="1:118" x14ac:dyDescent="0.25">
      <c r="A425" s="36" t="str">
        <f>KMeans_Data!A22</f>
        <v>Abbottabad</v>
      </c>
      <c r="B425" s="18">
        <f>KMeans_Data!H22</f>
        <v>0.85300106201847159</v>
      </c>
      <c r="C425" s="18">
        <f>KMeans_Data!I22</f>
        <v>1.3810745208577742</v>
      </c>
      <c r="D425" s="18">
        <f>KMeans_Data!J22</f>
        <v>0.61832866607444492</v>
      </c>
      <c r="E425" s="56">
        <f t="shared" si="456"/>
        <v>3</v>
      </c>
      <c r="F425" s="38">
        <f t="shared" si="457"/>
        <v>0.41331133406683251</v>
      </c>
      <c r="G425" s="18">
        <f>IF(COUNTIF(Distance_Matrix!$E$12:$DQ$12,$E425)&lt;=1,0,SUMIF(Distance_Matrix!$E$12:$DQ$12,$E425,Distance_Matrix!$E$31:$DQ$31)/(COUNTIF(Distance_Matrix!$E$12:$DQ$12,$E425)-1))</f>
        <v>0.87979847658168975</v>
      </c>
      <c r="H425" s="18">
        <f>MIN(IF(1=$E425,1E+99,IF(COUNTIF(Distance_Matrix!$E$12:$DQ$12,1)=0,1E+99,SUMIF(Distance_Matrix!$E$12:$DQ$12,1,Distance_Matrix!$E$31:$DQ$31)/COUNTIF(Distance_Matrix!$E$12:$DQ$12,1))),IF(2=$E425,1E+99,IF(COUNTIF(Distance_Matrix!$E$12:$DQ$12,2)=0,1E+99,SUMIF(Distance_Matrix!$E$12:$DQ$12,2,Distance_Matrix!$E$31:$DQ$31)/COUNTIF(Distance_Matrix!$E$12:$DQ$12,2))),IF(3=$E425,1E+99,IF(COUNTIF(Distance_Matrix!$E$12:$DQ$12,3)=0,1E+99,SUMIF(Distance_Matrix!$E$12:$DQ$12,3,Distance_Matrix!$E$31:$DQ$31)/COUNTIF(Distance_Matrix!$E$12:$DQ$12,3))),IF(4=$E425,1E+99,IF(COUNTIF(Distance_Matrix!$E$12:$DQ$12,4)=0,1E+99,SUMIF(Distance_Matrix!$E$12:$DQ$12,4,Distance_Matrix!$E$31:$DQ$31)/COUNTIF(Distance_Matrix!$E$12:$DQ$12,4))),IF(5=$E425,1E+99,IF(COUNTIF(Distance_Matrix!$E$12:$DQ$12,5)=0,1E+99,SUMIF(Distance_Matrix!$E$12:$DQ$12,5,Distance_Matrix!$E$31:$DQ$31)/COUNTIF(Distance_Matrix!$E$12:$DQ$12,5))),IF(6=$E425,1E+99,IF(COUNTIF(Distance_Matrix!$E$12:$DQ$12,6)=0,1E+99,SUMIF(Distance_Matrix!$E$12:$DQ$12,6,Distance_Matrix!$E$31:$DQ$31)/COUNTIF(Distance_Matrix!$E$12:$DQ$12,6))))</f>
        <v>2.1260174607251758</v>
      </c>
      <c r="I425" s="18">
        <f>IF(COUNTIF(Distance_Matrix!$E$12:$DQ$12,$E425)&lt;=1,0,(H425-G425)/MAX(G425,H425))</f>
        <v>0.58617532883215639</v>
      </c>
      <c r="X425" s="18">
        <f t="shared" si="482"/>
        <v>4.4571842215707198</v>
      </c>
      <c r="Y425" s="18">
        <f t="shared" si="482"/>
        <v>3.9912836185819178</v>
      </c>
      <c r="Z425" s="18">
        <f t="shared" si="482"/>
        <v>1.3284575100748572</v>
      </c>
      <c r="AA425" s="18">
        <f t="shared" si="482"/>
        <v>2.3429778220059725</v>
      </c>
      <c r="AB425" s="18">
        <f t="shared" si="482"/>
        <v>2.4889808716445425</v>
      </c>
      <c r="AC425" s="18">
        <f t="shared" si="482"/>
        <v>2.1831476660452545</v>
      </c>
      <c r="AD425" s="56">
        <f t="shared" si="459"/>
        <v>3</v>
      </c>
      <c r="AF425" s="18">
        <f t="shared" si="483"/>
        <v>4.3243118270126164</v>
      </c>
      <c r="AG425" s="18">
        <f t="shared" si="483"/>
        <v>3.4332170888384188</v>
      </c>
      <c r="AH425" s="18">
        <f t="shared" si="483"/>
        <v>0.63773912476668748</v>
      </c>
      <c r="AI425" s="18">
        <f t="shared" si="483"/>
        <v>2.521125685593165</v>
      </c>
      <c r="AJ425" s="18">
        <f t="shared" si="483"/>
        <v>2.0606593304646994</v>
      </c>
      <c r="AK425" s="18">
        <f t="shared" si="483"/>
        <v>2.1409563479203531</v>
      </c>
      <c r="AL425" s="56">
        <f t="shared" si="461"/>
        <v>3</v>
      </c>
      <c r="AN425" s="18">
        <f t="shared" si="484"/>
        <v>4.3243118270126164</v>
      </c>
      <c r="AO425" s="18">
        <f t="shared" si="484"/>
        <v>3.3965464131440011</v>
      </c>
      <c r="AP425" s="18">
        <f t="shared" si="484"/>
        <v>0.64289294137269271</v>
      </c>
      <c r="AQ425" s="18">
        <f t="shared" si="484"/>
        <v>2.5492661263863217</v>
      </c>
      <c r="AR425" s="18">
        <f t="shared" si="484"/>
        <v>2.0606593304646994</v>
      </c>
      <c r="AS425" s="18">
        <f t="shared" si="484"/>
        <v>2.1114355603025619</v>
      </c>
      <c r="AT425" s="56">
        <f t="shared" si="463"/>
        <v>3</v>
      </c>
      <c r="AV425" s="18">
        <f t="shared" si="485"/>
        <v>4.3243118270126164</v>
      </c>
      <c r="AW425" s="18">
        <f t="shared" si="485"/>
        <v>3.3723179011402764</v>
      </c>
      <c r="AX425" s="18">
        <f t="shared" si="485"/>
        <v>0.64289294137269271</v>
      </c>
      <c r="AY425" s="18">
        <f t="shared" si="485"/>
        <v>2.5492661263863217</v>
      </c>
      <c r="AZ425" s="18">
        <f t="shared" si="485"/>
        <v>2.0606593304646994</v>
      </c>
      <c r="BA425" s="18">
        <f t="shared" si="485"/>
        <v>2.0918981646127413</v>
      </c>
      <c r="BB425" s="56">
        <f t="shared" si="465"/>
        <v>3</v>
      </c>
      <c r="BD425" s="18">
        <f t="shared" si="486"/>
        <v>4.3243118270126164</v>
      </c>
      <c r="BE425" s="18">
        <f t="shared" si="486"/>
        <v>3.3495186055217352</v>
      </c>
      <c r="BF425" s="18">
        <f t="shared" si="486"/>
        <v>0.64289294137269271</v>
      </c>
      <c r="BG425" s="18">
        <f t="shared" si="486"/>
        <v>2.5492661263863217</v>
      </c>
      <c r="BH425" s="18">
        <f t="shared" si="486"/>
        <v>2.0606593304646994</v>
      </c>
      <c r="BI425" s="18">
        <f t="shared" si="486"/>
        <v>2.0710854332326694</v>
      </c>
      <c r="BJ425" s="56">
        <f t="shared" si="467"/>
        <v>3</v>
      </c>
      <c r="BL425" s="18">
        <f t="shared" si="487"/>
        <v>4.3243118270126164</v>
      </c>
      <c r="BM425" s="18">
        <f t="shared" si="487"/>
        <v>3.3495186055217352</v>
      </c>
      <c r="BN425" s="18">
        <f t="shared" si="487"/>
        <v>0.64289294137269271</v>
      </c>
      <c r="BO425" s="18">
        <f t="shared" si="487"/>
        <v>2.5492661263863217</v>
      </c>
      <c r="BP425" s="18">
        <f t="shared" si="487"/>
        <v>2.0606593304646994</v>
      </c>
      <c r="BQ425" s="18">
        <f t="shared" si="487"/>
        <v>2.0710854332326694</v>
      </c>
      <c r="BR425" s="56">
        <f t="shared" si="469"/>
        <v>3</v>
      </c>
      <c r="BT425" s="18">
        <f t="shared" si="488"/>
        <v>4.3243118270126164</v>
      </c>
      <c r="BU425" s="18">
        <f t="shared" si="488"/>
        <v>3.3495186055217352</v>
      </c>
      <c r="BV425" s="18">
        <f t="shared" si="488"/>
        <v>0.64289294137269271</v>
      </c>
      <c r="BW425" s="18">
        <f t="shared" si="488"/>
        <v>2.5492661263863217</v>
      </c>
      <c r="BX425" s="18">
        <f t="shared" si="488"/>
        <v>2.0606593304646994</v>
      </c>
      <c r="BY425" s="18">
        <f t="shared" si="488"/>
        <v>2.0710854332326694</v>
      </c>
      <c r="BZ425" s="56">
        <f t="shared" si="471"/>
        <v>3</v>
      </c>
      <c r="CB425" s="18">
        <f t="shared" si="489"/>
        <v>4.3243118270126164</v>
      </c>
      <c r="CC425" s="18">
        <f t="shared" si="489"/>
        <v>3.3495186055217352</v>
      </c>
      <c r="CD425" s="18">
        <f t="shared" si="489"/>
        <v>0.64289294137269271</v>
      </c>
      <c r="CE425" s="18">
        <f t="shared" si="489"/>
        <v>2.5492661263863217</v>
      </c>
      <c r="CF425" s="18">
        <f t="shared" si="489"/>
        <v>2.0606593304646994</v>
      </c>
      <c r="CG425" s="18">
        <f t="shared" si="489"/>
        <v>2.0710854332326694</v>
      </c>
      <c r="CH425" s="56">
        <f t="shared" si="473"/>
        <v>3</v>
      </c>
      <c r="CJ425" s="18">
        <f t="shared" si="490"/>
        <v>4.3243118270126164</v>
      </c>
      <c r="CK425" s="18">
        <f t="shared" si="490"/>
        <v>3.3495186055217352</v>
      </c>
      <c r="CL425" s="18">
        <f t="shared" si="490"/>
        <v>0.64289294137269271</v>
      </c>
      <c r="CM425" s="18">
        <f t="shared" si="490"/>
        <v>2.5492661263863217</v>
      </c>
      <c r="CN425" s="18">
        <f t="shared" si="490"/>
        <v>2.0606593304646994</v>
      </c>
      <c r="CO425" s="18">
        <f t="shared" si="490"/>
        <v>2.0710854332326694</v>
      </c>
      <c r="CP425" s="56">
        <f t="shared" si="475"/>
        <v>3</v>
      </c>
      <c r="CR425" s="18">
        <f t="shared" si="491"/>
        <v>4.3243118270126164</v>
      </c>
      <c r="CS425" s="18">
        <f t="shared" si="491"/>
        <v>3.3495186055217352</v>
      </c>
      <c r="CT425" s="18">
        <f t="shared" si="491"/>
        <v>0.64289294137269271</v>
      </c>
      <c r="CU425" s="18">
        <f t="shared" si="491"/>
        <v>2.5492661263863217</v>
      </c>
      <c r="CV425" s="18">
        <f t="shared" si="491"/>
        <v>2.0606593304646994</v>
      </c>
      <c r="CW425" s="18">
        <f t="shared" si="491"/>
        <v>2.0710854332326694</v>
      </c>
      <c r="CX425" s="56">
        <f t="shared" si="477"/>
        <v>3</v>
      </c>
      <c r="CZ425" s="18">
        <f t="shared" si="492"/>
        <v>4.3243118270126164</v>
      </c>
      <c r="DA425" s="18">
        <f t="shared" si="492"/>
        <v>3.3495186055217352</v>
      </c>
      <c r="DB425" s="18">
        <f t="shared" si="492"/>
        <v>0.64289294137269271</v>
      </c>
      <c r="DC425" s="18">
        <f t="shared" si="492"/>
        <v>2.5492661263863217</v>
      </c>
      <c r="DD425" s="18">
        <f t="shared" si="492"/>
        <v>2.0606593304646994</v>
      </c>
      <c r="DE425" s="18">
        <f t="shared" si="492"/>
        <v>2.0710854332326694</v>
      </c>
      <c r="DF425" s="56">
        <f t="shared" si="479"/>
        <v>3</v>
      </c>
      <c r="DH425" s="18">
        <f t="shared" si="493"/>
        <v>4.3243118270126164</v>
      </c>
      <c r="DI425" s="18">
        <f t="shared" si="493"/>
        <v>3.3495186055217352</v>
      </c>
      <c r="DJ425" s="18">
        <f t="shared" si="493"/>
        <v>0.64289294137269271</v>
      </c>
      <c r="DK425" s="18">
        <f t="shared" si="493"/>
        <v>2.5492661263863217</v>
      </c>
      <c r="DL425" s="18">
        <f t="shared" si="493"/>
        <v>2.0606593304646994</v>
      </c>
      <c r="DM425" s="18">
        <f t="shared" si="493"/>
        <v>2.0710854332326694</v>
      </c>
      <c r="DN425" s="56">
        <f t="shared" si="481"/>
        <v>3</v>
      </c>
    </row>
    <row r="426" spans="1:118" x14ac:dyDescent="0.25">
      <c r="A426" s="36" t="str">
        <f>KMeans_Data!A23</f>
        <v>Nowshera</v>
      </c>
      <c r="B426" s="18">
        <f>KMeans_Data!H23</f>
        <v>0.85113891327863989</v>
      </c>
      <c r="C426" s="18">
        <f>KMeans_Data!I23</f>
        <v>1.3810745208577742</v>
      </c>
      <c r="D426" s="18">
        <f>KMeans_Data!J23</f>
        <v>0.9343491606149037</v>
      </c>
      <c r="E426" s="56">
        <f t="shared" si="456"/>
        <v>3</v>
      </c>
      <c r="F426" s="38">
        <f t="shared" si="457"/>
        <v>0.31580013066480433</v>
      </c>
      <c r="G426" s="18">
        <f>IF(COUNTIF(Distance_Matrix!$E$12:$DQ$12,$E426)&lt;=1,0,SUMIF(Distance_Matrix!$E$12:$DQ$12,$E426,Distance_Matrix!$E$32:$DQ$32)/(COUNTIF(Distance_Matrix!$E$12:$DQ$12,$E426)-1))</f>
        <v>0.82756948603632396</v>
      </c>
      <c r="H426" s="18">
        <f>MIN(IF(1=$E426,1E+99,IF(COUNTIF(Distance_Matrix!$E$12:$DQ$12,1)=0,1E+99,SUMIF(Distance_Matrix!$E$12:$DQ$12,1,Distance_Matrix!$E$32:$DQ$32)/COUNTIF(Distance_Matrix!$E$12:$DQ$12,1))),IF(2=$E426,1E+99,IF(COUNTIF(Distance_Matrix!$E$12:$DQ$12,2)=0,1E+99,SUMIF(Distance_Matrix!$E$12:$DQ$12,2,Distance_Matrix!$E$32:$DQ$32)/COUNTIF(Distance_Matrix!$E$12:$DQ$12,2))),IF(3=$E426,1E+99,IF(COUNTIF(Distance_Matrix!$E$12:$DQ$12,3)=0,1E+99,SUMIF(Distance_Matrix!$E$12:$DQ$12,3,Distance_Matrix!$E$32:$DQ$32)/COUNTIF(Distance_Matrix!$E$12:$DQ$12,3))),IF(4=$E426,1E+99,IF(COUNTIF(Distance_Matrix!$E$12:$DQ$12,4)=0,1E+99,SUMIF(Distance_Matrix!$E$12:$DQ$12,4,Distance_Matrix!$E$32:$DQ$32)/COUNTIF(Distance_Matrix!$E$12:$DQ$12,4))),IF(5=$E426,1E+99,IF(COUNTIF(Distance_Matrix!$E$12:$DQ$12,5)=0,1E+99,SUMIF(Distance_Matrix!$E$12:$DQ$12,5,Distance_Matrix!$E$32:$DQ$32)/COUNTIF(Distance_Matrix!$E$12:$DQ$12,5))),IF(6=$E426,1E+99,IF(COUNTIF(Distance_Matrix!$E$12:$DQ$12,6)=0,1E+99,SUMIF(Distance_Matrix!$E$12:$DQ$12,6,Distance_Matrix!$E$32:$DQ$32)/COUNTIF(Distance_Matrix!$E$12:$DQ$12,6))))</f>
        <v>1.9665788246260649</v>
      </c>
      <c r="I426" s="18">
        <f>IF(COUNTIF(Distance_Matrix!$E$12:$DQ$12,$E426)&lt;=1,0,(H426-G426)/MAX(G426,H426))</f>
        <v>0.57918316028157057</v>
      </c>
      <c r="X426" s="18">
        <f t="shared" si="482"/>
        <v>4.2790585979296116</v>
      </c>
      <c r="Y426" s="18">
        <f t="shared" si="482"/>
        <v>4.1393475396496306</v>
      </c>
      <c r="Z426" s="18">
        <f t="shared" si="482"/>
        <v>1.1518729776896166</v>
      </c>
      <c r="AA426" s="18">
        <f t="shared" si="482"/>
        <v>2.589121172506982</v>
      </c>
      <c r="AB426" s="18">
        <f t="shared" si="482"/>
        <v>2.2785764620254594</v>
      </c>
      <c r="AC426" s="18">
        <f t="shared" si="482"/>
        <v>2.2031255166490338</v>
      </c>
      <c r="AD426" s="56">
        <f t="shared" si="459"/>
        <v>3</v>
      </c>
      <c r="AF426" s="18">
        <f t="shared" si="483"/>
        <v>4.1622477108746416</v>
      </c>
      <c r="AG426" s="18">
        <f t="shared" si="483"/>
        <v>3.6002800877067078</v>
      </c>
      <c r="AH426" s="18">
        <f t="shared" si="483"/>
        <v>0.54739354972743337</v>
      </c>
      <c r="AI426" s="18">
        <f t="shared" si="483"/>
        <v>2.717503034363427</v>
      </c>
      <c r="AJ426" s="18">
        <f t="shared" si="483"/>
        <v>1.9003929003776923</v>
      </c>
      <c r="AK426" s="18">
        <f t="shared" si="483"/>
        <v>2.2275001872829603</v>
      </c>
      <c r="AL426" s="56">
        <f t="shared" si="461"/>
        <v>3</v>
      </c>
      <c r="AN426" s="18">
        <f t="shared" si="484"/>
        <v>4.1622477108746416</v>
      </c>
      <c r="AO426" s="18">
        <f t="shared" si="484"/>
        <v>3.5634273466302271</v>
      </c>
      <c r="AP426" s="18">
        <f t="shared" si="484"/>
        <v>0.56196096898699677</v>
      </c>
      <c r="AQ426" s="18">
        <f t="shared" si="484"/>
        <v>2.744299455080927</v>
      </c>
      <c r="AR426" s="18">
        <f t="shared" si="484"/>
        <v>1.9003929003776923</v>
      </c>
      <c r="AS426" s="18">
        <f t="shared" si="484"/>
        <v>2.1959218178894764</v>
      </c>
      <c r="AT426" s="56">
        <f t="shared" si="463"/>
        <v>3</v>
      </c>
      <c r="AV426" s="18">
        <f t="shared" si="485"/>
        <v>4.1622477108746416</v>
      </c>
      <c r="AW426" s="18">
        <f t="shared" si="485"/>
        <v>3.5380361567210263</v>
      </c>
      <c r="AX426" s="18">
        <f t="shared" si="485"/>
        <v>0.56196096898699677</v>
      </c>
      <c r="AY426" s="18">
        <f t="shared" si="485"/>
        <v>2.744299455080927</v>
      </c>
      <c r="AZ426" s="18">
        <f t="shared" si="485"/>
        <v>1.9003929003776923</v>
      </c>
      <c r="BA426" s="18">
        <f t="shared" si="485"/>
        <v>2.1745426724333843</v>
      </c>
      <c r="BB426" s="56">
        <f t="shared" si="465"/>
        <v>3</v>
      </c>
      <c r="BD426" s="18">
        <f t="shared" si="486"/>
        <v>4.1622477108746416</v>
      </c>
      <c r="BE426" s="18">
        <f t="shared" si="486"/>
        <v>3.5138804987549679</v>
      </c>
      <c r="BF426" s="18">
        <f t="shared" si="486"/>
        <v>0.56196096898699677</v>
      </c>
      <c r="BG426" s="18">
        <f t="shared" si="486"/>
        <v>2.744299455080927</v>
      </c>
      <c r="BH426" s="18">
        <f t="shared" si="486"/>
        <v>1.9003929003776923</v>
      </c>
      <c r="BI426" s="18">
        <f t="shared" si="486"/>
        <v>2.1521256912160975</v>
      </c>
      <c r="BJ426" s="56">
        <f t="shared" si="467"/>
        <v>3</v>
      </c>
      <c r="BL426" s="18">
        <f t="shared" si="487"/>
        <v>4.1622477108746416</v>
      </c>
      <c r="BM426" s="18">
        <f t="shared" si="487"/>
        <v>3.5138804987549679</v>
      </c>
      <c r="BN426" s="18">
        <f t="shared" si="487"/>
        <v>0.56196096898699677</v>
      </c>
      <c r="BO426" s="18">
        <f t="shared" si="487"/>
        <v>2.744299455080927</v>
      </c>
      <c r="BP426" s="18">
        <f t="shared" si="487"/>
        <v>1.9003929003776923</v>
      </c>
      <c r="BQ426" s="18">
        <f t="shared" si="487"/>
        <v>2.1521256912160975</v>
      </c>
      <c r="BR426" s="56">
        <f t="shared" si="469"/>
        <v>3</v>
      </c>
      <c r="BT426" s="18">
        <f t="shared" si="488"/>
        <v>4.1622477108746416</v>
      </c>
      <c r="BU426" s="18">
        <f t="shared" si="488"/>
        <v>3.5138804987549679</v>
      </c>
      <c r="BV426" s="18">
        <f t="shared" si="488"/>
        <v>0.56196096898699677</v>
      </c>
      <c r="BW426" s="18">
        <f t="shared" si="488"/>
        <v>2.744299455080927</v>
      </c>
      <c r="BX426" s="18">
        <f t="shared" si="488"/>
        <v>1.9003929003776923</v>
      </c>
      <c r="BY426" s="18">
        <f t="shared" si="488"/>
        <v>2.1521256912160975</v>
      </c>
      <c r="BZ426" s="56">
        <f t="shared" si="471"/>
        <v>3</v>
      </c>
      <c r="CB426" s="18">
        <f t="shared" si="489"/>
        <v>4.1622477108746416</v>
      </c>
      <c r="CC426" s="18">
        <f t="shared" si="489"/>
        <v>3.5138804987549679</v>
      </c>
      <c r="CD426" s="18">
        <f t="shared" si="489"/>
        <v>0.56196096898699677</v>
      </c>
      <c r="CE426" s="18">
        <f t="shared" si="489"/>
        <v>2.744299455080927</v>
      </c>
      <c r="CF426" s="18">
        <f t="shared" si="489"/>
        <v>1.9003929003776923</v>
      </c>
      <c r="CG426" s="18">
        <f t="shared" si="489"/>
        <v>2.1521256912160975</v>
      </c>
      <c r="CH426" s="56">
        <f t="shared" si="473"/>
        <v>3</v>
      </c>
      <c r="CJ426" s="18">
        <f t="shared" si="490"/>
        <v>4.1622477108746416</v>
      </c>
      <c r="CK426" s="18">
        <f t="shared" si="490"/>
        <v>3.5138804987549679</v>
      </c>
      <c r="CL426" s="18">
        <f t="shared" si="490"/>
        <v>0.56196096898699677</v>
      </c>
      <c r="CM426" s="18">
        <f t="shared" si="490"/>
        <v>2.744299455080927</v>
      </c>
      <c r="CN426" s="18">
        <f t="shared" si="490"/>
        <v>1.9003929003776923</v>
      </c>
      <c r="CO426" s="18">
        <f t="shared" si="490"/>
        <v>2.1521256912160975</v>
      </c>
      <c r="CP426" s="56">
        <f t="shared" si="475"/>
        <v>3</v>
      </c>
      <c r="CR426" s="18">
        <f t="shared" si="491"/>
        <v>4.1622477108746416</v>
      </c>
      <c r="CS426" s="18">
        <f t="shared" si="491"/>
        <v>3.5138804987549679</v>
      </c>
      <c r="CT426" s="18">
        <f t="shared" si="491"/>
        <v>0.56196096898699677</v>
      </c>
      <c r="CU426" s="18">
        <f t="shared" si="491"/>
        <v>2.744299455080927</v>
      </c>
      <c r="CV426" s="18">
        <f t="shared" si="491"/>
        <v>1.9003929003776923</v>
      </c>
      <c r="CW426" s="18">
        <f t="shared" si="491"/>
        <v>2.1521256912160975</v>
      </c>
      <c r="CX426" s="56">
        <f t="shared" si="477"/>
        <v>3</v>
      </c>
      <c r="CZ426" s="18">
        <f t="shared" si="492"/>
        <v>4.1622477108746416</v>
      </c>
      <c r="DA426" s="18">
        <f t="shared" si="492"/>
        <v>3.5138804987549679</v>
      </c>
      <c r="DB426" s="18">
        <f t="shared" si="492"/>
        <v>0.56196096898699677</v>
      </c>
      <c r="DC426" s="18">
        <f t="shared" si="492"/>
        <v>2.744299455080927</v>
      </c>
      <c r="DD426" s="18">
        <f t="shared" si="492"/>
        <v>1.9003929003776923</v>
      </c>
      <c r="DE426" s="18">
        <f t="shared" si="492"/>
        <v>2.1521256912160975</v>
      </c>
      <c r="DF426" s="56">
        <f t="shared" si="479"/>
        <v>3</v>
      </c>
      <c r="DH426" s="18">
        <f t="shared" si="493"/>
        <v>4.1622477108746416</v>
      </c>
      <c r="DI426" s="18">
        <f t="shared" si="493"/>
        <v>3.5138804987549679</v>
      </c>
      <c r="DJ426" s="18">
        <f t="shared" si="493"/>
        <v>0.56196096898699677</v>
      </c>
      <c r="DK426" s="18">
        <f t="shared" si="493"/>
        <v>2.744299455080927</v>
      </c>
      <c r="DL426" s="18">
        <f t="shared" si="493"/>
        <v>1.9003929003776923</v>
      </c>
      <c r="DM426" s="18">
        <f t="shared" si="493"/>
        <v>2.1521256912160975</v>
      </c>
      <c r="DN426" s="56">
        <f t="shared" si="481"/>
        <v>3</v>
      </c>
    </row>
    <row r="427" spans="1:118" x14ac:dyDescent="0.25">
      <c r="A427" s="36" t="str">
        <f>KMeans_Data!A24</f>
        <v>Muzaffarabad</v>
      </c>
      <c r="B427" s="18">
        <f>KMeans_Data!H24</f>
        <v>0.84172690240795967</v>
      </c>
      <c r="C427" s="18">
        <f>KMeans_Data!I24</f>
        <v>0.80308444953571578</v>
      </c>
      <c r="D427" s="18">
        <f>KMeans_Data!J24</f>
        <v>1.0367093535020828</v>
      </c>
      <c r="E427" s="56">
        <f t="shared" si="456"/>
        <v>3</v>
      </c>
      <c r="F427" s="38">
        <f t="shared" si="457"/>
        <v>2.1989787899311497E-2</v>
      </c>
      <c r="G427" s="18">
        <f>IF(COUNTIF(Distance_Matrix!$E$12:$DQ$12,$E427)&lt;=1,0,SUMIF(Distance_Matrix!$E$12:$DQ$12,$E427,Distance_Matrix!$E$33:$DQ$33)/(COUNTIF(Distance_Matrix!$E$12:$DQ$12,$E427)-1))</f>
        <v>0.66472915357997953</v>
      </c>
      <c r="H427" s="18">
        <f>MIN(IF(1=$E427,1E+99,IF(COUNTIF(Distance_Matrix!$E$12:$DQ$12,1)=0,1E+99,SUMIF(Distance_Matrix!$E$12:$DQ$12,1,Distance_Matrix!$E$33:$DQ$33)/COUNTIF(Distance_Matrix!$E$12:$DQ$12,1))),IF(2=$E427,1E+99,IF(COUNTIF(Distance_Matrix!$E$12:$DQ$12,2)=0,1E+99,SUMIF(Distance_Matrix!$E$12:$DQ$12,2,Distance_Matrix!$E$33:$DQ$33)/COUNTIF(Distance_Matrix!$E$12:$DQ$12,2))),IF(3=$E427,1E+99,IF(COUNTIF(Distance_Matrix!$E$12:$DQ$12,3)=0,1E+99,SUMIF(Distance_Matrix!$E$12:$DQ$12,3,Distance_Matrix!$E$33:$DQ$33)/COUNTIF(Distance_Matrix!$E$12:$DQ$12,3))),IF(4=$E427,1E+99,IF(COUNTIF(Distance_Matrix!$E$12:$DQ$12,4)=0,1E+99,SUMIF(Distance_Matrix!$E$12:$DQ$12,4,Distance_Matrix!$E$33:$DQ$33)/COUNTIF(Distance_Matrix!$E$12:$DQ$12,4))),IF(5=$E427,1E+99,IF(COUNTIF(Distance_Matrix!$E$12:$DQ$12,5)=0,1E+99,SUMIF(Distance_Matrix!$E$12:$DQ$12,5,Distance_Matrix!$E$33:$DQ$33)/COUNTIF(Distance_Matrix!$E$12:$DQ$12,5))),IF(6=$E427,1E+99,IF(COUNTIF(Distance_Matrix!$E$12:$DQ$12,6)=0,1E+99,SUMIF(Distance_Matrix!$E$12:$DQ$12,6,Distance_Matrix!$E$33:$DQ$33)/COUNTIF(Distance_Matrix!$E$12:$DQ$12,6))))</f>
        <v>1.8166244337927728</v>
      </c>
      <c r="I427" s="18">
        <f>IF(COUNTIF(Distance_Matrix!$E$12:$DQ$12,$E427)&lt;=1,0,(H427-G427)/MAX(G427,H427))</f>
        <v>0.63408553732146544</v>
      </c>
      <c r="X427" s="18">
        <f t="shared" si="482"/>
        <v>4.6150099077019524</v>
      </c>
      <c r="Y427" s="18">
        <f t="shared" si="482"/>
        <v>3.9338807191152401</v>
      </c>
      <c r="Z427" s="18">
        <f t="shared" si="482"/>
        <v>0.63755028644469414</v>
      </c>
      <c r="AA427" s="18">
        <f t="shared" si="482"/>
        <v>2.388248770565613</v>
      </c>
      <c r="AB427" s="18">
        <f t="shared" si="482"/>
        <v>2.5151808548031029</v>
      </c>
      <c r="AC427" s="18">
        <f t="shared" si="482"/>
        <v>1.8615295052193104</v>
      </c>
      <c r="AD427" s="56">
        <f t="shared" si="459"/>
        <v>3</v>
      </c>
      <c r="AF427" s="18">
        <f t="shared" si="483"/>
        <v>4.5209312877451007</v>
      </c>
      <c r="AG427" s="18">
        <f t="shared" si="483"/>
        <v>3.3665553252274987</v>
      </c>
      <c r="AH427" s="18">
        <f t="shared" si="483"/>
        <v>0.12189068185493739</v>
      </c>
      <c r="AI427" s="18">
        <f t="shared" si="483"/>
        <v>2.4217176866320225</v>
      </c>
      <c r="AJ427" s="18">
        <f t="shared" si="483"/>
        <v>2.267664333038546</v>
      </c>
      <c r="AK427" s="18">
        <f t="shared" si="483"/>
        <v>1.8425295221422773</v>
      </c>
      <c r="AL427" s="56">
        <f t="shared" si="461"/>
        <v>3</v>
      </c>
      <c r="AN427" s="18">
        <f t="shared" si="484"/>
        <v>4.5209312877451007</v>
      </c>
      <c r="AO427" s="18">
        <f t="shared" si="484"/>
        <v>3.3262505902756683</v>
      </c>
      <c r="AP427" s="18">
        <f t="shared" si="484"/>
        <v>0.14828954076168521</v>
      </c>
      <c r="AQ427" s="18">
        <f t="shared" si="484"/>
        <v>2.4448069490155899</v>
      </c>
      <c r="AR427" s="18">
        <f t="shared" si="484"/>
        <v>2.267664333038546</v>
      </c>
      <c r="AS427" s="18">
        <f t="shared" si="484"/>
        <v>1.8048370301577061</v>
      </c>
      <c r="AT427" s="56">
        <f t="shared" si="463"/>
        <v>3</v>
      </c>
      <c r="AV427" s="18">
        <f t="shared" si="485"/>
        <v>4.5209312877451007</v>
      </c>
      <c r="AW427" s="18">
        <f t="shared" si="485"/>
        <v>3.2981422163529328</v>
      </c>
      <c r="AX427" s="18">
        <f t="shared" si="485"/>
        <v>0.14828954076168521</v>
      </c>
      <c r="AY427" s="18">
        <f t="shared" si="485"/>
        <v>2.4448069490155899</v>
      </c>
      <c r="AZ427" s="18">
        <f t="shared" si="485"/>
        <v>2.267664333038546</v>
      </c>
      <c r="BA427" s="18">
        <f t="shared" si="485"/>
        <v>1.7806576618813954</v>
      </c>
      <c r="BB427" s="56">
        <f t="shared" si="465"/>
        <v>3</v>
      </c>
      <c r="BD427" s="18">
        <f t="shared" si="486"/>
        <v>4.5209312877451007</v>
      </c>
      <c r="BE427" s="18">
        <f t="shared" si="486"/>
        <v>3.271280474983207</v>
      </c>
      <c r="BF427" s="18">
        <f t="shared" si="486"/>
        <v>0.14828954076168521</v>
      </c>
      <c r="BG427" s="18">
        <f t="shared" si="486"/>
        <v>2.4448069490155899</v>
      </c>
      <c r="BH427" s="18">
        <f t="shared" si="486"/>
        <v>2.267664333038546</v>
      </c>
      <c r="BI427" s="18">
        <f t="shared" si="486"/>
        <v>1.7554148137831604</v>
      </c>
      <c r="BJ427" s="56">
        <f t="shared" si="467"/>
        <v>3</v>
      </c>
      <c r="BL427" s="18">
        <f t="shared" si="487"/>
        <v>4.5209312877451007</v>
      </c>
      <c r="BM427" s="18">
        <f t="shared" si="487"/>
        <v>3.271280474983207</v>
      </c>
      <c r="BN427" s="18">
        <f t="shared" si="487"/>
        <v>0.14828954076168521</v>
      </c>
      <c r="BO427" s="18">
        <f t="shared" si="487"/>
        <v>2.4448069490155899</v>
      </c>
      <c r="BP427" s="18">
        <f t="shared" si="487"/>
        <v>2.267664333038546</v>
      </c>
      <c r="BQ427" s="18">
        <f t="shared" si="487"/>
        <v>1.7554148137831604</v>
      </c>
      <c r="BR427" s="56">
        <f t="shared" si="469"/>
        <v>3</v>
      </c>
      <c r="BT427" s="18">
        <f t="shared" si="488"/>
        <v>4.5209312877451007</v>
      </c>
      <c r="BU427" s="18">
        <f t="shared" si="488"/>
        <v>3.271280474983207</v>
      </c>
      <c r="BV427" s="18">
        <f t="shared" si="488"/>
        <v>0.14828954076168521</v>
      </c>
      <c r="BW427" s="18">
        <f t="shared" si="488"/>
        <v>2.4448069490155899</v>
      </c>
      <c r="BX427" s="18">
        <f t="shared" si="488"/>
        <v>2.267664333038546</v>
      </c>
      <c r="BY427" s="18">
        <f t="shared" si="488"/>
        <v>1.7554148137831604</v>
      </c>
      <c r="BZ427" s="56">
        <f t="shared" si="471"/>
        <v>3</v>
      </c>
      <c r="CB427" s="18">
        <f t="shared" si="489"/>
        <v>4.5209312877451007</v>
      </c>
      <c r="CC427" s="18">
        <f t="shared" si="489"/>
        <v>3.271280474983207</v>
      </c>
      <c r="CD427" s="18">
        <f t="shared" si="489"/>
        <v>0.14828954076168521</v>
      </c>
      <c r="CE427" s="18">
        <f t="shared" si="489"/>
        <v>2.4448069490155899</v>
      </c>
      <c r="CF427" s="18">
        <f t="shared" si="489"/>
        <v>2.267664333038546</v>
      </c>
      <c r="CG427" s="18">
        <f t="shared" si="489"/>
        <v>1.7554148137831604</v>
      </c>
      <c r="CH427" s="56">
        <f t="shared" si="473"/>
        <v>3</v>
      </c>
      <c r="CJ427" s="18">
        <f t="shared" si="490"/>
        <v>4.5209312877451007</v>
      </c>
      <c r="CK427" s="18">
        <f t="shared" si="490"/>
        <v>3.271280474983207</v>
      </c>
      <c r="CL427" s="18">
        <f t="shared" si="490"/>
        <v>0.14828954076168521</v>
      </c>
      <c r="CM427" s="18">
        <f t="shared" si="490"/>
        <v>2.4448069490155899</v>
      </c>
      <c r="CN427" s="18">
        <f t="shared" si="490"/>
        <v>2.267664333038546</v>
      </c>
      <c r="CO427" s="18">
        <f t="shared" si="490"/>
        <v>1.7554148137831604</v>
      </c>
      <c r="CP427" s="56">
        <f t="shared" si="475"/>
        <v>3</v>
      </c>
      <c r="CR427" s="18">
        <f t="shared" si="491"/>
        <v>4.5209312877451007</v>
      </c>
      <c r="CS427" s="18">
        <f t="shared" si="491"/>
        <v>3.271280474983207</v>
      </c>
      <c r="CT427" s="18">
        <f t="shared" si="491"/>
        <v>0.14828954076168521</v>
      </c>
      <c r="CU427" s="18">
        <f t="shared" si="491"/>
        <v>2.4448069490155899</v>
      </c>
      <c r="CV427" s="18">
        <f t="shared" si="491"/>
        <v>2.267664333038546</v>
      </c>
      <c r="CW427" s="18">
        <f t="shared" si="491"/>
        <v>1.7554148137831604</v>
      </c>
      <c r="CX427" s="56">
        <f t="shared" si="477"/>
        <v>3</v>
      </c>
      <c r="CZ427" s="18">
        <f t="shared" si="492"/>
        <v>4.5209312877451007</v>
      </c>
      <c r="DA427" s="18">
        <f t="shared" si="492"/>
        <v>3.271280474983207</v>
      </c>
      <c r="DB427" s="18">
        <f t="shared" si="492"/>
        <v>0.14828954076168521</v>
      </c>
      <c r="DC427" s="18">
        <f t="shared" si="492"/>
        <v>2.4448069490155899</v>
      </c>
      <c r="DD427" s="18">
        <f t="shared" si="492"/>
        <v>2.267664333038546</v>
      </c>
      <c r="DE427" s="18">
        <f t="shared" si="492"/>
        <v>1.7554148137831604</v>
      </c>
      <c r="DF427" s="56">
        <f t="shared" si="479"/>
        <v>3</v>
      </c>
      <c r="DH427" s="18">
        <f t="shared" si="493"/>
        <v>4.5209312877451007</v>
      </c>
      <c r="DI427" s="18">
        <f t="shared" si="493"/>
        <v>3.271280474983207</v>
      </c>
      <c r="DJ427" s="18">
        <f t="shared" si="493"/>
        <v>0.14828954076168521</v>
      </c>
      <c r="DK427" s="18">
        <f t="shared" si="493"/>
        <v>2.4448069490155899</v>
      </c>
      <c r="DL427" s="18">
        <f t="shared" si="493"/>
        <v>2.267664333038546</v>
      </c>
      <c r="DM427" s="18">
        <f t="shared" si="493"/>
        <v>1.7554148137831604</v>
      </c>
      <c r="DN427" s="56">
        <f t="shared" si="481"/>
        <v>3</v>
      </c>
    </row>
    <row r="428" spans="1:118" x14ac:dyDescent="0.25">
      <c r="A428" s="36" t="str">
        <f>KMeans_Data!A25</f>
        <v>Dera Ghazi Khan</v>
      </c>
      <c r="B428" s="18">
        <f>KMeans_Data!H25</f>
        <v>0.78983637463992185</v>
      </c>
      <c r="C428" s="18">
        <f>KMeans_Data!I25</f>
        <v>0.80308444953571578</v>
      </c>
      <c r="D428" s="18">
        <f>KMeans_Data!J25</f>
        <v>1.2683843951613223</v>
      </c>
      <c r="E428" s="56">
        <f t="shared" si="456"/>
        <v>3</v>
      </c>
      <c r="F428" s="38">
        <f t="shared" si="457"/>
        <v>0.11749436129799713</v>
      </c>
      <c r="G428" s="18">
        <f>IF(COUNTIF(Distance_Matrix!$E$12:$DQ$12,$E428)&lt;=1,0,SUMIF(Distance_Matrix!$E$12:$DQ$12,$E428,Distance_Matrix!$E$34:$DQ$34)/(COUNTIF(Distance_Matrix!$E$12:$DQ$12,$E428)-1))</f>
        <v>0.72667100033686027</v>
      </c>
      <c r="H428" s="18">
        <f>MIN(IF(1=$E428,1E+99,IF(COUNTIF(Distance_Matrix!$E$12:$DQ$12,1)=0,1E+99,SUMIF(Distance_Matrix!$E$12:$DQ$12,1,Distance_Matrix!$E$34:$DQ$34)/COUNTIF(Distance_Matrix!$E$12:$DQ$12,1))),IF(2=$E428,1E+99,IF(COUNTIF(Distance_Matrix!$E$12:$DQ$12,2)=0,1E+99,SUMIF(Distance_Matrix!$E$12:$DQ$12,2,Distance_Matrix!$E$34:$DQ$34)/COUNTIF(Distance_Matrix!$E$12:$DQ$12,2))),IF(3=$E428,1E+99,IF(COUNTIF(Distance_Matrix!$E$12:$DQ$12,3)=0,1E+99,SUMIF(Distance_Matrix!$E$12:$DQ$12,3,Distance_Matrix!$E$34:$DQ$34)/COUNTIF(Distance_Matrix!$E$12:$DQ$12,3))),IF(4=$E428,1E+99,IF(COUNTIF(Distance_Matrix!$E$12:$DQ$12,4)=0,1E+99,SUMIF(Distance_Matrix!$E$12:$DQ$12,4,Distance_Matrix!$E$34:$DQ$34)/COUNTIF(Distance_Matrix!$E$12:$DQ$12,4))),IF(5=$E428,1E+99,IF(COUNTIF(Distance_Matrix!$E$12:$DQ$12,5)=0,1E+99,SUMIF(Distance_Matrix!$E$12:$DQ$12,5,Distance_Matrix!$E$34:$DQ$34)/COUNTIF(Distance_Matrix!$E$12:$DQ$12,5))),IF(6=$E428,1E+99,IF(COUNTIF(Distance_Matrix!$E$12:$DQ$12,6)=0,1E+99,SUMIF(Distance_Matrix!$E$12:$DQ$12,6,Distance_Matrix!$E$34:$DQ$34)/COUNTIF(Distance_Matrix!$E$12:$DQ$12,6))))</f>
        <v>1.9031038847550068</v>
      </c>
      <c r="I428" s="18">
        <f>IF(COUNTIF(Distance_Matrix!$E$12:$DQ$12,$E428)&lt;=1,0,(H428-G428)/MAX(G428,H428))</f>
        <v>0.61816535284388463</v>
      </c>
      <c r="X428" s="18">
        <f t="shared" ref="X428:AC437" si="494">SQRT(($B428-X$401)^2+($C428-X$402)^2+($D428-X$403)^2)</f>
        <v>4.5365573847970895</v>
      </c>
      <c r="Y428" s="18">
        <f t="shared" si="494"/>
        <v>4.0298615877856374</v>
      </c>
      <c r="Z428" s="18">
        <f t="shared" si="494"/>
        <v>0.53121011056296075</v>
      </c>
      <c r="AA428" s="18">
        <f t="shared" si="494"/>
        <v>2.5982580951744239</v>
      </c>
      <c r="AB428" s="18">
        <f t="shared" si="494"/>
        <v>2.433447597801206</v>
      </c>
      <c r="AC428" s="18">
        <f t="shared" si="494"/>
        <v>1.8841845501313135</v>
      </c>
      <c r="AD428" s="56">
        <f t="shared" si="459"/>
        <v>3</v>
      </c>
      <c r="AF428" s="18">
        <f t="shared" ref="AF428:AK437" si="495">SQRT(($B428-AF$401)^2+($C428-AF$402)^2+($D428-AF$403)^2)</f>
        <v>4.455577075568022</v>
      </c>
      <c r="AG428" s="18">
        <f t="shared" si="495"/>
        <v>3.4862065231248001</v>
      </c>
      <c r="AH428" s="18">
        <f t="shared" si="495"/>
        <v>0.32581055941544862</v>
      </c>
      <c r="AI428" s="18">
        <f t="shared" si="495"/>
        <v>2.5933386514193413</v>
      </c>
      <c r="AJ428" s="18">
        <f t="shared" si="495"/>
        <v>2.2316937837014303</v>
      </c>
      <c r="AK428" s="18">
        <f t="shared" si="495"/>
        <v>1.9332074114083417</v>
      </c>
      <c r="AL428" s="56">
        <f t="shared" si="461"/>
        <v>3</v>
      </c>
      <c r="AN428" s="18">
        <f t="shared" ref="AN428:AS437" si="496">SQRT(($B428-AN$401)^2+($C428-AN$402)^2+($D428-AN$403)^2)</f>
        <v>4.455577075568022</v>
      </c>
      <c r="AO428" s="18">
        <f t="shared" si="496"/>
        <v>3.446486588329865</v>
      </c>
      <c r="AP428" s="18">
        <f t="shared" si="496"/>
        <v>0.34277450502917678</v>
      </c>
      <c r="AQ428" s="18">
        <f t="shared" si="496"/>
        <v>2.6153187735752979</v>
      </c>
      <c r="AR428" s="18">
        <f t="shared" si="496"/>
        <v>2.2316937837014303</v>
      </c>
      <c r="AS428" s="18">
        <f t="shared" si="496"/>
        <v>1.8956401980323567</v>
      </c>
      <c r="AT428" s="56">
        <f t="shared" si="463"/>
        <v>3</v>
      </c>
      <c r="AV428" s="18">
        <f t="shared" ref="AV428:BA437" si="497">SQRT(($B428-AV$401)^2+($C428-AV$402)^2+($D428-AV$403)^2)</f>
        <v>4.455577075568022</v>
      </c>
      <c r="AW428" s="18">
        <f t="shared" si="497"/>
        <v>3.4178968307987549</v>
      </c>
      <c r="AX428" s="18">
        <f t="shared" si="497"/>
        <v>0.34277450502917678</v>
      </c>
      <c r="AY428" s="18">
        <f t="shared" si="497"/>
        <v>2.6153187735752979</v>
      </c>
      <c r="AZ428" s="18">
        <f t="shared" si="497"/>
        <v>2.2316937837014303</v>
      </c>
      <c r="BA428" s="18">
        <f t="shared" si="497"/>
        <v>1.8708770045372396</v>
      </c>
      <c r="BB428" s="56">
        <f t="shared" si="465"/>
        <v>3</v>
      </c>
      <c r="BD428" s="18">
        <f t="shared" ref="BD428:BI437" si="498">SQRT(($B428-BD$401)^2+($C428-BD$402)^2+($D428-BD$403)^2)</f>
        <v>4.455577075568022</v>
      </c>
      <c r="BE428" s="18">
        <f t="shared" si="498"/>
        <v>3.3903720995172981</v>
      </c>
      <c r="BF428" s="18">
        <f t="shared" si="498"/>
        <v>0.34277450502917678</v>
      </c>
      <c r="BG428" s="18">
        <f t="shared" si="498"/>
        <v>2.6153187735752979</v>
      </c>
      <c r="BH428" s="18">
        <f t="shared" si="498"/>
        <v>2.2316937837014303</v>
      </c>
      <c r="BI428" s="18">
        <f t="shared" si="498"/>
        <v>1.8453464264972546</v>
      </c>
      <c r="BJ428" s="56">
        <f t="shared" si="467"/>
        <v>3</v>
      </c>
      <c r="BL428" s="18">
        <f t="shared" ref="BL428:BQ437" si="499">SQRT(($B428-BL$401)^2+($C428-BL$402)^2+($D428-BL$403)^2)</f>
        <v>4.455577075568022</v>
      </c>
      <c r="BM428" s="18">
        <f t="shared" si="499"/>
        <v>3.3903720995172981</v>
      </c>
      <c r="BN428" s="18">
        <f t="shared" si="499"/>
        <v>0.34277450502917678</v>
      </c>
      <c r="BO428" s="18">
        <f t="shared" si="499"/>
        <v>2.6153187735752979</v>
      </c>
      <c r="BP428" s="18">
        <f t="shared" si="499"/>
        <v>2.2316937837014303</v>
      </c>
      <c r="BQ428" s="18">
        <f t="shared" si="499"/>
        <v>1.8453464264972546</v>
      </c>
      <c r="BR428" s="56">
        <f t="shared" si="469"/>
        <v>3</v>
      </c>
      <c r="BT428" s="18">
        <f t="shared" ref="BT428:BY437" si="500">SQRT(($B428-BT$401)^2+($C428-BT$402)^2+($D428-BT$403)^2)</f>
        <v>4.455577075568022</v>
      </c>
      <c r="BU428" s="18">
        <f t="shared" si="500"/>
        <v>3.3903720995172981</v>
      </c>
      <c r="BV428" s="18">
        <f t="shared" si="500"/>
        <v>0.34277450502917678</v>
      </c>
      <c r="BW428" s="18">
        <f t="shared" si="500"/>
        <v>2.6153187735752979</v>
      </c>
      <c r="BX428" s="18">
        <f t="shared" si="500"/>
        <v>2.2316937837014303</v>
      </c>
      <c r="BY428" s="18">
        <f t="shared" si="500"/>
        <v>1.8453464264972546</v>
      </c>
      <c r="BZ428" s="56">
        <f t="shared" si="471"/>
        <v>3</v>
      </c>
      <c r="CB428" s="18">
        <f t="shared" ref="CB428:CG437" si="501">SQRT(($B428-CB$401)^2+($C428-CB$402)^2+($D428-CB$403)^2)</f>
        <v>4.455577075568022</v>
      </c>
      <c r="CC428" s="18">
        <f t="shared" si="501"/>
        <v>3.3903720995172981</v>
      </c>
      <c r="CD428" s="18">
        <f t="shared" si="501"/>
        <v>0.34277450502917678</v>
      </c>
      <c r="CE428" s="18">
        <f t="shared" si="501"/>
        <v>2.6153187735752979</v>
      </c>
      <c r="CF428" s="18">
        <f t="shared" si="501"/>
        <v>2.2316937837014303</v>
      </c>
      <c r="CG428" s="18">
        <f t="shared" si="501"/>
        <v>1.8453464264972546</v>
      </c>
      <c r="CH428" s="56">
        <f t="shared" si="473"/>
        <v>3</v>
      </c>
      <c r="CJ428" s="18">
        <f t="shared" ref="CJ428:CO437" si="502">SQRT(($B428-CJ$401)^2+($C428-CJ$402)^2+($D428-CJ$403)^2)</f>
        <v>4.455577075568022</v>
      </c>
      <c r="CK428" s="18">
        <f t="shared" si="502"/>
        <v>3.3903720995172981</v>
      </c>
      <c r="CL428" s="18">
        <f t="shared" si="502"/>
        <v>0.34277450502917678</v>
      </c>
      <c r="CM428" s="18">
        <f t="shared" si="502"/>
        <v>2.6153187735752979</v>
      </c>
      <c r="CN428" s="18">
        <f t="shared" si="502"/>
        <v>2.2316937837014303</v>
      </c>
      <c r="CO428" s="18">
        <f t="shared" si="502"/>
        <v>1.8453464264972546</v>
      </c>
      <c r="CP428" s="56">
        <f t="shared" si="475"/>
        <v>3</v>
      </c>
      <c r="CR428" s="18">
        <f t="shared" ref="CR428:CW437" si="503">SQRT(($B428-CR$401)^2+($C428-CR$402)^2+($D428-CR$403)^2)</f>
        <v>4.455577075568022</v>
      </c>
      <c r="CS428" s="18">
        <f t="shared" si="503"/>
        <v>3.3903720995172981</v>
      </c>
      <c r="CT428" s="18">
        <f t="shared" si="503"/>
        <v>0.34277450502917678</v>
      </c>
      <c r="CU428" s="18">
        <f t="shared" si="503"/>
        <v>2.6153187735752979</v>
      </c>
      <c r="CV428" s="18">
        <f t="shared" si="503"/>
        <v>2.2316937837014303</v>
      </c>
      <c r="CW428" s="18">
        <f t="shared" si="503"/>
        <v>1.8453464264972546</v>
      </c>
      <c r="CX428" s="56">
        <f t="shared" si="477"/>
        <v>3</v>
      </c>
      <c r="CZ428" s="18">
        <f t="shared" ref="CZ428:DE437" si="504">SQRT(($B428-CZ$401)^2+($C428-CZ$402)^2+($D428-CZ$403)^2)</f>
        <v>4.455577075568022</v>
      </c>
      <c r="DA428" s="18">
        <f t="shared" si="504"/>
        <v>3.3903720995172981</v>
      </c>
      <c r="DB428" s="18">
        <f t="shared" si="504"/>
        <v>0.34277450502917678</v>
      </c>
      <c r="DC428" s="18">
        <f t="shared" si="504"/>
        <v>2.6153187735752979</v>
      </c>
      <c r="DD428" s="18">
        <f t="shared" si="504"/>
        <v>2.2316937837014303</v>
      </c>
      <c r="DE428" s="18">
        <f t="shared" si="504"/>
        <v>1.8453464264972546</v>
      </c>
      <c r="DF428" s="56">
        <f t="shared" si="479"/>
        <v>3</v>
      </c>
      <c r="DH428" s="18">
        <f t="shared" ref="DH428:DM437" si="505">SQRT(($B428-DH$401)^2+($C428-DH$402)^2+($D428-DH$403)^2)</f>
        <v>4.455577075568022</v>
      </c>
      <c r="DI428" s="18">
        <f t="shared" si="505"/>
        <v>3.3903720995172981</v>
      </c>
      <c r="DJ428" s="18">
        <f t="shared" si="505"/>
        <v>0.34277450502917678</v>
      </c>
      <c r="DK428" s="18">
        <f t="shared" si="505"/>
        <v>2.6153187735752979</v>
      </c>
      <c r="DL428" s="18">
        <f t="shared" si="505"/>
        <v>2.2316937837014303</v>
      </c>
      <c r="DM428" s="18">
        <f t="shared" si="505"/>
        <v>1.8453464264972546</v>
      </c>
      <c r="DN428" s="56">
        <f t="shared" si="481"/>
        <v>3</v>
      </c>
    </row>
    <row r="429" spans="1:118" x14ac:dyDescent="0.25">
      <c r="A429" s="36" t="str">
        <f>KMeans_Data!A26</f>
        <v>Charsadda</v>
      </c>
      <c r="B429" s="18">
        <f>KMeans_Data!H26</f>
        <v>0.78562201948780019</v>
      </c>
      <c r="C429" s="18">
        <f>KMeans_Data!I26</f>
        <v>0.80308444953571578</v>
      </c>
      <c r="D429" s="18">
        <f>KMeans_Data!J26</f>
        <v>0.61832866607444492</v>
      </c>
      <c r="E429" s="56">
        <f t="shared" si="456"/>
        <v>3</v>
      </c>
      <c r="F429" s="38">
        <f t="shared" si="457"/>
        <v>9.9710102908032186E-2</v>
      </c>
      <c r="G429" s="18">
        <f>IF(COUNTIF(Distance_Matrix!$E$12:$DQ$12,$E429)&lt;=1,0,SUMIF(Distance_Matrix!$E$12:$DQ$12,$E429,Distance_Matrix!$E$35:$DQ$35)/(COUNTIF(Distance_Matrix!$E$12:$DQ$12,$E429)-1))</f>
        <v>0.71969029251144223</v>
      </c>
      <c r="H429" s="18">
        <f>MIN(IF(1=$E429,1E+99,IF(COUNTIF(Distance_Matrix!$E$12:$DQ$12,1)=0,1E+99,SUMIF(Distance_Matrix!$E$12:$DQ$12,1,Distance_Matrix!$E$35:$DQ$35)/COUNTIF(Distance_Matrix!$E$12:$DQ$12,1))),IF(2=$E429,1E+99,IF(COUNTIF(Distance_Matrix!$E$12:$DQ$12,2)=0,1E+99,SUMIF(Distance_Matrix!$E$12:$DQ$12,2,Distance_Matrix!$E$35:$DQ$35)/COUNTIF(Distance_Matrix!$E$12:$DQ$12,2))),IF(3=$E429,1E+99,IF(COUNTIF(Distance_Matrix!$E$12:$DQ$12,3)=0,1E+99,SUMIF(Distance_Matrix!$E$12:$DQ$12,3,Distance_Matrix!$E$35:$DQ$35)/COUNTIF(Distance_Matrix!$E$12:$DQ$12,3))),IF(4=$E429,1E+99,IF(COUNTIF(Distance_Matrix!$E$12:$DQ$12,4)=0,1E+99,SUMIF(Distance_Matrix!$E$12:$DQ$12,4,Distance_Matrix!$E$35:$DQ$35)/COUNTIF(Distance_Matrix!$E$12:$DQ$12,4))),IF(5=$E429,1E+99,IF(COUNTIF(Distance_Matrix!$E$12:$DQ$12,5)=0,1E+99,SUMIF(Distance_Matrix!$E$12:$DQ$12,5,Distance_Matrix!$E$35:$DQ$35)/COUNTIF(Distance_Matrix!$E$12:$DQ$12,5))),IF(6=$E429,1E+99,IF(COUNTIF(Distance_Matrix!$E$12:$DQ$12,6)=0,1E+99,SUMIF(Distance_Matrix!$E$12:$DQ$12,6,Distance_Matrix!$E$35:$DQ$35)/COUNTIF(Distance_Matrix!$E$12:$DQ$12,6))))</f>
        <v>1.6433406526664693</v>
      </c>
      <c r="I429" s="18">
        <f>IF(COUNTIF(Distance_Matrix!$E$12:$DQ$12,$E429)&lt;=1,0,(H429-G429)/MAX(G429,H429))</f>
        <v>0.56205653931600885</v>
      </c>
      <c r="X429" s="18">
        <f t="shared" si="494"/>
        <v>4.8583672348654217</v>
      </c>
      <c r="Y429" s="18">
        <f t="shared" si="494"/>
        <v>3.6741912973222601</v>
      </c>
      <c r="Z429" s="18">
        <f t="shared" si="494"/>
        <v>0.98463665293581015</v>
      </c>
      <c r="AA429" s="18">
        <f t="shared" si="494"/>
        <v>2.0084357350604547</v>
      </c>
      <c r="AB429" s="18">
        <f t="shared" si="494"/>
        <v>2.7915615066157859</v>
      </c>
      <c r="AC429" s="18">
        <f t="shared" si="494"/>
        <v>1.7686798984192933</v>
      </c>
      <c r="AD429" s="56">
        <f t="shared" si="459"/>
        <v>3</v>
      </c>
      <c r="AF429" s="18">
        <f t="shared" si="495"/>
        <v>4.7437835837132107</v>
      </c>
      <c r="AG429" s="18">
        <f t="shared" si="495"/>
        <v>3.0797759891907934</v>
      </c>
      <c r="AH429" s="18">
        <f t="shared" si="495"/>
        <v>0.32936231362930246</v>
      </c>
      <c r="AI429" s="18">
        <f t="shared" si="495"/>
        <v>2.0931485393053948</v>
      </c>
      <c r="AJ429" s="18">
        <f t="shared" si="495"/>
        <v>2.4677257042034979</v>
      </c>
      <c r="AK429" s="18">
        <f t="shared" si="495"/>
        <v>1.6507705964300101</v>
      </c>
      <c r="AL429" s="56">
        <f t="shared" si="461"/>
        <v>3</v>
      </c>
      <c r="AN429" s="18">
        <f t="shared" si="496"/>
        <v>4.7437835837132107</v>
      </c>
      <c r="AO429" s="18">
        <f t="shared" si="496"/>
        <v>3.0394431425762933</v>
      </c>
      <c r="AP429" s="18">
        <f t="shared" si="496"/>
        <v>0.31576906578705932</v>
      </c>
      <c r="AQ429" s="18">
        <f t="shared" si="496"/>
        <v>2.1185160013950388</v>
      </c>
      <c r="AR429" s="18">
        <f t="shared" si="496"/>
        <v>2.4677257042034979</v>
      </c>
      <c r="AS429" s="18">
        <f t="shared" si="496"/>
        <v>1.6158437487440036</v>
      </c>
      <c r="AT429" s="56">
        <f t="shared" si="463"/>
        <v>3</v>
      </c>
      <c r="AV429" s="18">
        <f t="shared" si="497"/>
        <v>4.7437835837132107</v>
      </c>
      <c r="AW429" s="18">
        <f t="shared" si="497"/>
        <v>3.0126114898300678</v>
      </c>
      <c r="AX429" s="18">
        <f t="shared" si="497"/>
        <v>0.31576906578705932</v>
      </c>
      <c r="AY429" s="18">
        <f t="shared" si="497"/>
        <v>2.1185160013950388</v>
      </c>
      <c r="AZ429" s="18">
        <f t="shared" si="497"/>
        <v>2.4677257042034979</v>
      </c>
      <c r="BA429" s="18">
        <f t="shared" si="497"/>
        <v>1.5941229197315967</v>
      </c>
      <c r="BB429" s="56">
        <f t="shared" si="465"/>
        <v>3</v>
      </c>
      <c r="BD429" s="18">
        <f t="shared" si="498"/>
        <v>4.7437835837132107</v>
      </c>
      <c r="BE429" s="18">
        <f t="shared" si="498"/>
        <v>2.9872800725727378</v>
      </c>
      <c r="BF429" s="18">
        <f t="shared" si="498"/>
        <v>0.31576906578705932</v>
      </c>
      <c r="BG429" s="18">
        <f t="shared" si="498"/>
        <v>2.1185160013950388</v>
      </c>
      <c r="BH429" s="18">
        <f t="shared" si="498"/>
        <v>2.4677257042034979</v>
      </c>
      <c r="BI429" s="18">
        <f t="shared" si="498"/>
        <v>1.5709708887683211</v>
      </c>
      <c r="BJ429" s="56">
        <f t="shared" si="467"/>
        <v>3</v>
      </c>
      <c r="BL429" s="18">
        <f t="shared" si="499"/>
        <v>4.7437835837132107</v>
      </c>
      <c r="BM429" s="18">
        <f t="shared" si="499"/>
        <v>2.9872800725727378</v>
      </c>
      <c r="BN429" s="18">
        <f t="shared" si="499"/>
        <v>0.31576906578705932</v>
      </c>
      <c r="BO429" s="18">
        <f t="shared" si="499"/>
        <v>2.1185160013950388</v>
      </c>
      <c r="BP429" s="18">
        <f t="shared" si="499"/>
        <v>2.4677257042034979</v>
      </c>
      <c r="BQ429" s="18">
        <f t="shared" si="499"/>
        <v>1.5709708887683211</v>
      </c>
      <c r="BR429" s="56">
        <f t="shared" si="469"/>
        <v>3</v>
      </c>
      <c r="BT429" s="18">
        <f t="shared" si="500"/>
        <v>4.7437835837132107</v>
      </c>
      <c r="BU429" s="18">
        <f t="shared" si="500"/>
        <v>2.9872800725727378</v>
      </c>
      <c r="BV429" s="18">
        <f t="shared" si="500"/>
        <v>0.31576906578705932</v>
      </c>
      <c r="BW429" s="18">
        <f t="shared" si="500"/>
        <v>2.1185160013950388</v>
      </c>
      <c r="BX429" s="18">
        <f t="shared" si="500"/>
        <v>2.4677257042034979</v>
      </c>
      <c r="BY429" s="18">
        <f t="shared" si="500"/>
        <v>1.5709708887683211</v>
      </c>
      <c r="BZ429" s="56">
        <f t="shared" si="471"/>
        <v>3</v>
      </c>
      <c r="CB429" s="18">
        <f t="shared" si="501"/>
        <v>4.7437835837132107</v>
      </c>
      <c r="CC429" s="18">
        <f t="shared" si="501"/>
        <v>2.9872800725727378</v>
      </c>
      <c r="CD429" s="18">
        <f t="shared" si="501"/>
        <v>0.31576906578705932</v>
      </c>
      <c r="CE429" s="18">
        <f t="shared" si="501"/>
        <v>2.1185160013950388</v>
      </c>
      <c r="CF429" s="18">
        <f t="shared" si="501"/>
        <v>2.4677257042034979</v>
      </c>
      <c r="CG429" s="18">
        <f t="shared" si="501"/>
        <v>1.5709708887683211</v>
      </c>
      <c r="CH429" s="56">
        <f t="shared" si="473"/>
        <v>3</v>
      </c>
      <c r="CJ429" s="18">
        <f t="shared" si="502"/>
        <v>4.7437835837132107</v>
      </c>
      <c r="CK429" s="18">
        <f t="shared" si="502"/>
        <v>2.9872800725727378</v>
      </c>
      <c r="CL429" s="18">
        <f t="shared" si="502"/>
        <v>0.31576906578705932</v>
      </c>
      <c r="CM429" s="18">
        <f t="shared" si="502"/>
        <v>2.1185160013950388</v>
      </c>
      <c r="CN429" s="18">
        <f t="shared" si="502"/>
        <v>2.4677257042034979</v>
      </c>
      <c r="CO429" s="18">
        <f t="shared" si="502"/>
        <v>1.5709708887683211</v>
      </c>
      <c r="CP429" s="56">
        <f t="shared" si="475"/>
        <v>3</v>
      </c>
      <c r="CR429" s="18">
        <f t="shared" si="503"/>
        <v>4.7437835837132107</v>
      </c>
      <c r="CS429" s="18">
        <f t="shared" si="503"/>
        <v>2.9872800725727378</v>
      </c>
      <c r="CT429" s="18">
        <f t="shared" si="503"/>
        <v>0.31576906578705932</v>
      </c>
      <c r="CU429" s="18">
        <f t="shared" si="503"/>
        <v>2.1185160013950388</v>
      </c>
      <c r="CV429" s="18">
        <f t="shared" si="503"/>
        <v>2.4677257042034979</v>
      </c>
      <c r="CW429" s="18">
        <f t="shared" si="503"/>
        <v>1.5709708887683211</v>
      </c>
      <c r="CX429" s="56">
        <f t="shared" si="477"/>
        <v>3</v>
      </c>
      <c r="CZ429" s="18">
        <f t="shared" si="504"/>
        <v>4.7437835837132107</v>
      </c>
      <c r="DA429" s="18">
        <f t="shared" si="504"/>
        <v>2.9872800725727378</v>
      </c>
      <c r="DB429" s="18">
        <f t="shared" si="504"/>
        <v>0.31576906578705932</v>
      </c>
      <c r="DC429" s="18">
        <f t="shared" si="504"/>
        <v>2.1185160013950388</v>
      </c>
      <c r="DD429" s="18">
        <f t="shared" si="504"/>
        <v>2.4677257042034979</v>
      </c>
      <c r="DE429" s="18">
        <f t="shared" si="504"/>
        <v>1.5709708887683211</v>
      </c>
      <c r="DF429" s="56">
        <f t="shared" si="479"/>
        <v>3</v>
      </c>
      <c r="DH429" s="18">
        <f t="shared" si="505"/>
        <v>4.7437835837132107</v>
      </c>
      <c r="DI429" s="18">
        <f t="shared" si="505"/>
        <v>2.9872800725727378</v>
      </c>
      <c r="DJ429" s="18">
        <f t="shared" si="505"/>
        <v>0.31576906578705932</v>
      </c>
      <c r="DK429" s="18">
        <f t="shared" si="505"/>
        <v>2.1185160013950388</v>
      </c>
      <c r="DL429" s="18">
        <f t="shared" si="505"/>
        <v>2.4677257042034979</v>
      </c>
      <c r="DM429" s="18">
        <f t="shared" si="505"/>
        <v>1.5709708887683211</v>
      </c>
      <c r="DN429" s="56">
        <f t="shared" si="481"/>
        <v>3</v>
      </c>
    </row>
    <row r="430" spans="1:118" x14ac:dyDescent="0.25">
      <c r="A430" s="36" t="str">
        <f>KMeans_Data!A27</f>
        <v>Dir Upper</v>
      </c>
      <c r="B430" s="18">
        <f>KMeans_Data!H27</f>
        <v>0.78350197575168823</v>
      </c>
      <c r="C430" s="18">
        <f>KMeans_Data!I27</f>
        <v>0.16051258962499582</v>
      </c>
      <c r="D430" s="18">
        <f>KMeans_Data!J27</f>
        <v>0.95967737195633995</v>
      </c>
      <c r="E430" s="56">
        <f t="shared" si="456"/>
        <v>3</v>
      </c>
      <c r="F430" s="38">
        <f t="shared" si="457"/>
        <v>0.45048582651105695</v>
      </c>
      <c r="G430" s="18">
        <f>IF(COUNTIF(Distance_Matrix!$E$12:$DQ$12,$E430)&lt;=1,0,SUMIF(Distance_Matrix!$E$12:$DQ$12,$E430,Distance_Matrix!$E$36:$DQ$36)/(COUNTIF(Distance_Matrix!$E$12:$DQ$12,$E430)-1))</f>
        <v>0.90509691758032162</v>
      </c>
      <c r="H430" s="18">
        <f>MIN(IF(1=$E430,1E+99,IF(COUNTIF(Distance_Matrix!$E$12:$DQ$12,1)=0,1E+99,SUMIF(Distance_Matrix!$E$12:$DQ$12,1,Distance_Matrix!$E$36:$DQ$36)/COUNTIF(Distance_Matrix!$E$12:$DQ$12,1))),IF(2=$E430,1E+99,IF(COUNTIF(Distance_Matrix!$E$12:$DQ$12,2)=0,1E+99,SUMIF(Distance_Matrix!$E$12:$DQ$12,2,Distance_Matrix!$E$36:$DQ$36)/COUNTIF(Distance_Matrix!$E$12:$DQ$12,2))),IF(3=$E430,1E+99,IF(COUNTIF(Distance_Matrix!$E$12:$DQ$12,3)=0,1E+99,SUMIF(Distance_Matrix!$E$12:$DQ$12,3,Distance_Matrix!$E$36:$DQ$36)/COUNTIF(Distance_Matrix!$E$12:$DQ$12,3))),IF(4=$E430,1E+99,IF(COUNTIF(Distance_Matrix!$E$12:$DQ$12,4)=0,1E+99,SUMIF(Distance_Matrix!$E$12:$DQ$12,4,Distance_Matrix!$E$36:$DQ$36)/COUNTIF(Distance_Matrix!$E$12:$DQ$12,4))),IF(5=$E430,1E+99,IF(COUNTIF(Distance_Matrix!$E$12:$DQ$12,5)=0,1E+99,SUMIF(Distance_Matrix!$E$12:$DQ$12,5,Distance_Matrix!$E$36:$DQ$36)/COUNTIF(Distance_Matrix!$E$12:$DQ$12,5))),IF(6=$E430,1E+99,IF(COUNTIF(Distance_Matrix!$E$12:$DQ$12,6)=0,1E+99,SUMIF(Distance_Matrix!$E$12:$DQ$12,6,Distance_Matrix!$E$36:$DQ$36)/COUNTIF(Distance_Matrix!$E$12:$DQ$12,6))))</f>
        <v>1.4030571044536675</v>
      </c>
      <c r="I430" s="18">
        <f>IF(COUNTIF(Distance_Matrix!$E$12:$DQ$12,$E430)&lt;=1,0,(H430-G430)/MAX(G430,H430))</f>
        <v>0.35491084809926193</v>
      </c>
      <c r="X430" s="18">
        <f t="shared" si="494"/>
        <v>5.1481691193932422</v>
      </c>
      <c r="Y430" s="18">
        <f t="shared" si="494"/>
        <v>3.6502989512011172</v>
      </c>
      <c r="Z430" s="18">
        <f t="shared" si="494"/>
        <v>0.61063359087127045</v>
      </c>
      <c r="AA430" s="18">
        <f t="shared" si="494"/>
        <v>2.1321184299774374</v>
      </c>
      <c r="AB430" s="18">
        <f t="shared" si="494"/>
        <v>3.0079368972061076</v>
      </c>
      <c r="AC430" s="18">
        <f t="shared" si="494"/>
        <v>1.5567269078149901</v>
      </c>
      <c r="AD430" s="56">
        <f t="shared" si="459"/>
        <v>3</v>
      </c>
      <c r="AF430" s="18">
        <f t="shared" si="495"/>
        <v>5.0669991956868348</v>
      </c>
      <c r="AG430" s="18">
        <f t="shared" si="495"/>
        <v>3.0509723677285878</v>
      </c>
      <c r="AH430" s="18">
        <f t="shared" si="495"/>
        <v>0.67961130332615871</v>
      </c>
      <c r="AI430" s="18">
        <f t="shared" si="495"/>
        <v>2.0472635478656125</v>
      </c>
      <c r="AJ430" s="18">
        <f t="shared" si="495"/>
        <v>2.8382866556485391</v>
      </c>
      <c r="AK430" s="18">
        <f t="shared" si="495"/>
        <v>1.4221430518691898</v>
      </c>
      <c r="AL430" s="56">
        <f t="shared" si="461"/>
        <v>3</v>
      </c>
      <c r="AN430" s="18">
        <f t="shared" si="496"/>
        <v>5.0669991956868348</v>
      </c>
      <c r="AO430" s="18">
        <f t="shared" si="496"/>
        <v>3.0074324856844696</v>
      </c>
      <c r="AP430" s="18">
        <f t="shared" si="496"/>
        <v>0.67118240926819361</v>
      </c>
      <c r="AQ430" s="18">
        <f t="shared" si="496"/>
        <v>2.0647255259524453</v>
      </c>
      <c r="AR430" s="18">
        <f t="shared" si="496"/>
        <v>2.8382866556485391</v>
      </c>
      <c r="AS430" s="18">
        <f t="shared" si="496"/>
        <v>1.3783659381615763</v>
      </c>
      <c r="AT430" s="56">
        <f t="shared" si="463"/>
        <v>3</v>
      </c>
      <c r="AV430" s="18">
        <f t="shared" si="497"/>
        <v>5.0669991956868348</v>
      </c>
      <c r="AW430" s="18">
        <f t="shared" si="497"/>
        <v>2.9771808150107351</v>
      </c>
      <c r="AX430" s="18">
        <f t="shared" si="497"/>
        <v>0.67118240926819361</v>
      </c>
      <c r="AY430" s="18">
        <f t="shared" si="497"/>
        <v>2.0647255259524453</v>
      </c>
      <c r="AZ430" s="18">
        <f t="shared" si="497"/>
        <v>2.8382866556485391</v>
      </c>
      <c r="BA430" s="18">
        <f t="shared" si="497"/>
        <v>1.3524747946951834</v>
      </c>
      <c r="BB430" s="56">
        <f t="shared" si="465"/>
        <v>3</v>
      </c>
      <c r="BD430" s="18">
        <f t="shared" si="498"/>
        <v>5.0669991956868348</v>
      </c>
      <c r="BE430" s="18">
        <f t="shared" si="498"/>
        <v>2.9482538294389369</v>
      </c>
      <c r="BF430" s="18">
        <f t="shared" si="498"/>
        <v>0.67118240926819361</v>
      </c>
      <c r="BG430" s="18">
        <f t="shared" si="498"/>
        <v>2.0647255259524453</v>
      </c>
      <c r="BH430" s="18">
        <f t="shared" si="498"/>
        <v>2.8382866556485391</v>
      </c>
      <c r="BI430" s="18">
        <f t="shared" si="498"/>
        <v>1.3253963107881803</v>
      </c>
      <c r="BJ430" s="56">
        <f t="shared" si="467"/>
        <v>3</v>
      </c>
      <c r="BL430" s="18">
        <f t="shared" si="499"/>
        <v>5.0669991956868348</v>
      </c>
      <c r="BM430" s="18">
        <f t="shared" si="499"/>
        <v>2.9482538294389369</v>
      </c>
      <c r="BN430" s="18">
        <f t="shared" si="499"/>
        <v>0.67118240926819361</v>
      </c>
      <c r="BO430" s="18">
        <f t="shared" si="499"/>
        <v>2.0647255259524453</v>
      </c>
      <c r="BP430" s="18">
        <f t="shared" si="499"/>
        <v>2.8382866556485391</v>
      </c>
      <c r="BQ430" s="18">
        <f t="shared" si="499"/>
        <v>1.3253963107881803</v>
      </c>
      <c r="BR430" s="56">
        <f t="shared" si="469"/>
        <v>3</v>
      </c>
      <c r="BT430" s="18">
        <f t="shared" si="500"/>
        <v>5.0669991956868348</v>
      </c>
      <c r="BU430" s="18">
        <f t="shared" si="500"/>
        <v>2.9482538294389369</v>
      </c>
      <c r="BV430" s="18">
        <f t="shared" si="500"/>
        <v>0.67118240926819361</v>
      </c>
      <c r="BW430" s="18">
        <f t="shared" si="500"/>
        <v>2.0647255259524453</v>
      </c>
      <c r="BX430" s="18">
        <f t="shared" si="500"/>
        <v>2.8382866556485391</v>
      </c>
      <c r="BY430" s="18">
        <f t="shared" si="500"/>
        <v>1.3253963107881803</v>
      </c>
      <c r="BZ430" s="56">
        <f t="shared" si="471"/>
        <v>3</v>
      </c>
      <c r="CB430" s="18">
        <f t="shared" si="501"/>
        <v>5.0669991956868348</v>
      </c>
      <c r="CC430" s="18">
        <f t="shared" si="501"/>
        <v>2.9482538294389369</v>
      </c>
      <c r="CD430" s="18">
        <f t="shared" si="501"/>
        <v>0.67118240926819361</v>
      </c>
      <c r="CE430" s="18">
        <f t="shared" si="501"/>
        <v>2.0647255259524453</v>
      </c>
      <c r="CF430" s="18">
        <f t="shared" si="501"/>
        <v>2.8382866556485391</v>
      </c>
      <c r="CG430" s="18">
        <f t="shared" si="501"/>
        <v>1.3253963107881803</v>
      </c>
      <c r="CH430" s="56">
        <f t="shared" si="473"/>
        <v>3</v>
      </c>
      <c r="CJ430" s="18">
        <f t="shared" si="502"/>
        <v>5.0669991956868348</v>
      </c>
      <c r="CK430" s="18">
        <f t="shared" si="502"/>
        <v>2.9482538294389369</v>
      </c>
      <c r="CL430" s="18">
        <f t="shared" si="502"/>
        <v>0.67118240926819361</v>
      </c>
      <c r="CM430" s="18">
        <f t="shared" si="502"/>
        <v>2.0647255259524453</v>
      </c>
      <c r="CN430" s="18">
        <f t="shared" si="502"/>
        <v>2.8382866556485391</v>
      </c>
      <c r="CO430" s="18">
        <f t="shared" si="502"/>
        <v>1.3253963107881803</v>
      </c>
      <c r="CP430" s="56">
        <f t="shared" si="475"/>
        <v>3</v>
      </c>
      <c r="CR430" s="18">
        <f t="shared" si="503"/>
        <v>5.0669991956868348</v>
      </c>
      <c r="CS430" s="18">
        <f t="shared" si="503"/>
        <v>2.9482538294389369</v>
      </c>
      <c r="CT430" s="18">
        <f t="shared" si="503"/>
        <v>0.67118240926819361</v>
      </c>
      <c r="CU430" s="18">
        <f t="shared" si="503"/>
        <v>2.0647255259524453</v>
      </c>
      <c r="CV430" s="18">
        <f t="shared" si="503"/>
        <v>2.8382866556485391</v>
      </c>
      <c r="CW430" s="18">
        <f t="shared" si="503"/>
        <v>1.3253963107881803</v>
      </c>
      <c r="CX430" s="56">
        <f t="shared" si="477"/>
        <v>3</v>
      </c>
      <c r="CZ430" s="18">
        <f t="shared" si="504"/>
        <v>5.0669991956868348</v>
      </c>
      <c r="DA430" s="18">
        <f t="shared" si="504"/>
        <v>2.9482538294389369</v>
      </c>
      <c r="DB430" s="18">
        <f t="shared" si="504"/>
        <v>0.67118240926819361</v>
      </c>
      <c r="DC430" s="18">
        <f t="shared" si="504"/>
        <v>2.0647255259524453</v>
      </c>
      <c r="DD430" s="18">
        <f t="shared" si="504"/>
        <v>2.8382866556485391</v>
      </c>
      <c r="DE430" s="18">
        <f t="shared" si="504"/>
        <v>1.3253963107881803</v>
      </c>
      <c r="DF430" s="56">
        <f t="shared" si="479"/>
        <v>3</v>
      </c>
      <c r="DH430" s="18">
        <f t="shared" si="505"/>
        <v>5.0669991956868348</v>
      </c>
      <c r="DI430" s="18">
        <f t="shared" si="505"/>
        <v>2.9482538294389369</v>
      </c>
      <c r="DJ430" s="18">
        <f t="shared" si="505"/>
        <v>0.67118240926819361</v>
      </c>
      <c r="DK430" s="18">
        <f t="shared" si="505"/>
        <v>2.0647255259524453</v>
      </c>
      <c r="DL430" s="18">
        <f t="shared" si="505"/>
        <v>2.8382866556485391</v>
      </c>
      <c r="DM430" s="18">
        <f t="shared" si="505"/>
        <v>1.3253963107881803</v>
      </c>
      <c r="DN430" s="56">
        <f t="shared" si="481"/>
        <v>3</v>
      </c>
    </row>
    <row r="431" spans="1:118" x14ac:dyDescent="0.25">
      <c r="A431" s="36" t="str">
        <f>KMeans_Data!A28</f>
        <v>Khyber</v>
      </c>
      <c r="B431" s="18">
        <f>KMeans_Data!H28</f>
        <v>0.78350197575168823</v>
      </c>
      <c r="C431" s="18">
        <f>KMeans_Data!I28</f>
        <v>0.54791138584450239</v>
      </c>
      <c r="D431" s="18">
        <f>KMeans_Data!J28</f>
        <v>0.66715177094920652</v>
      </c>
      <c r="E431" s="56">
        <f t="shared" si="456"/>
        <v>3</v>
      </c>
      <c r="F431" s="38">
        <f t="shared" si="457"/>
        <v>0.15021626790630971</v>
      </c>
      <c r="G431" s="18">
        <f>IF(COUNTIF(Distance_Matrix!$E$12:$DQ$12,$E431)&lt;=1,0,SUMIF(Distance_Matrix!$E$12:$DQ$12,$E431,Distance_Matrix!$E$37:$DQ$37)/(COUNTIF(Distance_Matrix!$E$12:$DQ$12,$E431)-1))</f>
        <v>0.74494782794682679</v>
      </c>
      <c r="H431" s="18">
        <f>MIN(IF(1=$E431,1E+99,IF(COUNTIF(Distance_Matrix!$E$12:$DQ$12,1)=0,1E+99,SUMIF(Distance_Matrix!$E$12:$DQ$12,1,Distance_Matrix!$E$37:$DQ$37)/COUNTIF(Distance_Matrix!$E$12:$DQ$12,1))),IF(2=$E431,1E+99,IF(COUNTIF(Distance_Matrix!$E$12:$DQ$12,2)=0,1E+99,SUMIF(Distance_Matrix!$E$12:$DQ$12,2,Distance_Matrix!$E$37:$DQ$37)/COUNTIF(Distance_Matrix!$E$12:$DQ$12,2))),IF(3=$E431,1E+99,IF(COUNTIF(Distance_Matrix!$E$12:$DQ$12,3)=0,1E+99,SUMIF(Distance_Matrix!$E$12:$DQ$12,3,Distance_Matrix!$E$37:$DQ$37)/COUNTIF(Distance_Matrix!$E$12:$DQ$12,3))),IF(4=$E431,1E+99,IF(COUNTIF(Distance_Matrix!$E$12:$DQ$12,4)=0,1E+99,SUMIF(Distance_Matrix!$E$12:$DQ$12,4,Distance_Matrix!$E$37:$DQ$37)/COUNTIF(Distance_Matrix!$E$12:$DQ$12,4))),IF(5=$E431,1E+99,IF(COUNTIF(Distance_Matrix!$E$12:$DQ$12,5)=0,1E+99,SUMIF(Distance_Matrix!$E$12:$DQ$12,5,Distance_Matrix!$E$37:$DQ$37)/COUNTIF(Distance_Matrix!$E$12:$DQ$12,5))),IF(6=$E431,1E+99,IF(COUNTIF(Distance_Matrix!$E$12:$DQ$12,6)=0,1E+99,SUMIF(Distance_Matrix!$E$12:$DQ$12,6,Distance_Matrix!$E$37:$DQ$37)/COUNTIF(Distance_Matrix!$E$12:$DQ$12,6))))</f>
        <v>1.4840128820207998</v>
      </c>
      <c r="I431" s="18">
        <f>IF(COUNTIF(Distance_Matrix!$E$12:$DQ$12,$E431)&lt;=1,0,(H431-G431)/MAX(G431,H431))</f>
        <v>0.49801795053664122</v>
      </c>
      <c r="X431" s="18">
        <f t="shared" si="494"/>
        <v>5.0075852088878463</v>
      </c>
      <c r="Y431" s="18">
        <f t="shared" si="494"/>
        <v>3.6019638270620704</v>
      </c>
      <c r="Z431" s="18">
        <f t="shared" si="494"/>
        <v>0.85923520666610143</v>
      </c>
      <c r="AA431" s="18">
        <f t="shared" si="494"/>
        <v>1.9463052517401351</v>
      </c>
      <c r="AB431" s="18">
        <f t="shared" si="494"/>
        <v>2.9080392987208228</v>
      </c>
      <c r="AC431" s="18">
        <f t="shared" si="494"/>
        <v>1.64424658737459</v>
      </c>
      <c r="AD431" s="56">
        <f t="shared" si="459"/>
        <v>3</v>
      </c>
      <c r="AF431" s="18">
        <f t="shared" si="495"/>
        <v>4.9024129940726828</v>
      </c>
      <c r="AG431" s="18">
        <f t="shared" si="495"/>
        <v>2.9949082746621314</v>
      </c>
      <c r="AH431" s="18">
        <f t="shared" si="495"/>
        <v>0.40341983339016019</v>
      </c>
      <c r="AI431" s="18">
        <f t="shared" si="495"/>
        <v>1.9763087078224526</v>
      </c>
      <c r="AJ431" s="18">
        <f t="shared" si="495"/>
        <v>2.633245200548509</v>
      </c>
      <c r="AK431" s="18">
        <f t="shared" si="495"/>
        <v>1.4910187053587296</v>
      </c>
      <c r="AL431" s="56">
        <f t="shared" si="461"/>
        <v>3</v>
      </c>
      <c r="AN431" s="18">
        <f t="shared" si="496"/>
        <v>4.9024129940726828</v>
      </c>
      <c r="AO431" s="18">
        <f t="shared" si="496"/>
        <v>2.9529307731798076</v>
      </c>
      <c r="AP431" s="18">
        <f t="shared" si="496"/>
        <v>0.38757743472280443</v>
      </c>
      <c r="AQ431" s="18">
        <f t="shared" si="496"/>
        <v>1.9994233606992056</v>
      </c>
      <c r="AR431" s="18">
        <f t="shared" si="496"/>
        <v>2.633245200548509</v>
      </c>
      <c r="AS431" s="18">
        <f t="shared" si="496"/>
        <v>1.4524779493371476</v>
      </c>
      <c r="AT431" s="56">
        <f t="shared" si="463"/>
        <v>3</v>
      </c>
      <c r="AV431" s="18">
        <f t="shared" si="497"/>
        <v>4.9024129940726828</v>
      </c>
      <c r="AW431" s="18">
        <f t="shared" si="497"/>
        <v>2.9248161489583784</v>
      </c>
      <c r="AX431" s="18">
        <f t="shared" si="497"/>
        <v>0.38757743472280443</v>
      </c>
      <c r="AY431" s="18">
        <f t="shared" si="497"/>
        <v>1.9994233606992056</v>
      </c>
      <c r="AZ431" s="18">
        <f t="shared" si="497"/>
        <v>2.633245200548509</v>
      </c>
      <c r="BA431" s="18">
        <f t="shared" si="497"/>
        <v>1.4292464527829036</v>
      </c>
      <c r="BB431" s="56">
        <f t="shared" si="465"/>
        <v>3</v>
      </c>
      <c r="BD431" s="18">
        <f t="shared" si="498"/>
        <v>4.9024129940726828</v>
      </c>
      <c r="BE431" s="18">
        <f t="shared" si="498"/>
        <v>2.8982062076518873</v>
      </c>
      <c r="BF431" s="18">
        <f t="shared" si="498"/>
        <v>0.38757743472280443</v>
      </c>
      <c r="BG431" s="18">
        <f t="shared" si="498"/>
        <v>1.9994233606992056</v>
      </c>
      <c r="BH431" s="18">
        <f t="shared" si="498"/>
        <v>2.633245200548509</v>
      </c>
      <c r="BI431" s="18">
        <f t="shared" si="498"/>
        <v>1.4045215441085166</v>
      </c>
      <c r="BJ431" s="56">
        <f t="shared" si="467"/>
        <v>3</v>
      </c>
      <c r="BL431" s="18">
        <f t="shared" si="499"/>
        <v>4.9024129940726828</v>
      </c>
      <c r="BM431" s="18">
        <f t="shared" si="499"/>
        <v>2.8982062076518873</v>
      </c>
      <c r="BN431" s="18">
        <f t="shared" si="499"/>
        <v>0.38757743472280443</v>
      </c>
      <c r="BO431" s="18">
        <f t="shared" si="499"/>
        <v>1.9994233606992056</v>
      </c>
      <c r="BP431" s="18">
        <f t="shared" si="499"/>
        <v>2.633245200548509</v>
      </c>
      <c r="BQ431" s="18">
        <f t="shared" si="499"/>
        <v>1.4045215441085166</v>
      </c>
      <c r="BR431" s="56">
        <f t="shared" si="469"/>
        <v>3</v>
      </c>
      <c r="BT431" s="18">
        <f t="shared" si="500"/>
        <v>4.9024129940726828</v>
      </c>
      <c r="BU431" s="18">
        <f t="shared" si="500"/>
        <v>2.8982062076518873</v>
      </c>
      <c r="BV431" s="18">
        <f t="shared" si="500"/>
        <v>0.38757743472280443</v>
      </c>
      <c r="BW431" s="18">
        <f t="shared" si="500"/>
        <v>1.9994233606992056</v>
      </c>
      <c r="BX431" s="18">
        <f t="shared" si="500"/>
        <v>2.633245200548509</v>
      </c>
      <c r="BY431" s="18">
        <f t="shared" si="500"/>
        <v>1.4045215441085166</v>
      </c>
      <c r="BZ431" s="56">
        <f t="shared" si="471"/>
        <v>3</v>
      </c>
      <c r="CB431" s="18">
        <f t="shared" si="501"/>
        <v>4.9024129940726828</v>
      </c>
      <c r="CC431" s="18">
        <f t="shared" si="501"/>
        <v>2.8982062076518873</v>
      </c>
      <c r="CD431" s="18">
        <f t="shared" si="501"/>
        <v>0.38757743472280443</v>
      </c>
      <c r="CE431" s="18">
        <f t="shared" si="501"/>
        <v>1.9994233606992056</v>
      </c>
      <c r="CF431" s="18">
        <f t="shared" si="501"/>
        <v>2.633245200548509</v>
      </c>
      <c r="CG431" s="18">
        <f t="shared" si="501"/>
        <v>1.4045215441085166</v>
      </c>
      <c r="CH431" s="56">
        <f t="shared" si="473"/>
        <v>3</v>
      </c>
      <c r="CJ431" s="18">
        <f t="shared" si="502"/>
        <v>4.9024129940726828</v>
      </c>
      <c r="CK431" s="18">
        <f t="shared" si="502"/>
        <v>2.8982062076518873</v>
      </c>
      <c r="CL431" s="18">
        <f t="shared" si="502"/>
        <v>0.38757743472280443</v>
      </c>
      <c r="CM431" s="18">
        <f t="shared" si="502"/>
        <v>1.9994233606992056</v>
      </c>
      <c r="CN431" s="18">
        <f t="shared" si="502"/>
        <v>2.633245200548509</v>
      </c>
      <c r="CO431" s="18">
        <f t="shared" si="502"/>
        <v>1.4045215441085166</v>
      </c>
      <c r="CP431" s="56">
        <f t="shared" si="475"/>
        <v>3</v>
      </c>
      <c r="CR431" s="18">
        <f t="shared" si="503"/>
        <v>4.9024129940726828</v>
      </c>
      <c r="CS431" s="18">
        <f t="shared" si="503"/>
        <v>2.8982062076518873</v>
      </c>
      <c r="CT431" s="18">
        <f t="shared" si="503"/>
        <v>0.38757743472280443</v>
      </c>
      <c r="CU431" s="18">
        <f t="shared" si="503"/>
        <v>1.9994233606992056</v>
      </c>
      <c r="CV431" s="18">
        <f t="shared" si="503"/>
        <v>2.633245200548509</v>
      </c>
      <c r="CW431" s="18">
        <f t="shared" si="503"/>
        <v>1.4045215441085166</v>
      </c>
      <c r="CX431" s="56">
        <f t="shared" si="477"/>
        <v>3</v>
      </c>
      <c r="CZ431" s="18">
        <f t="shared" si="504"/>
        <v>4.9024129940726828</v>
      </c>
      <c r="DA431" s="18">
        <f t="shared" si="504"/>
        <v>2.8982062076518873</v>
      </c>
      <c r="DB431" s="18">
        <f t="shared" si="504"/>
        <v>0.38757743472280443</v>
      </c>
      <c r="DC431" s="18">
        <f t="shared" si="504"/>
        <v>1.9994233606992056</v>
      </c>
      <c r="DD431" s="18">
        <f t="shared" si="504"/>
        <v>2.633245200548509</v>
      </c>
      <c r="DE431" s="18">
        <f t="shared" si="504"/>
        <v>1.4045215441085166</v>
      </c>
      <c r="DF431" s="56">
        <f t="shared" si="479"/>
        <v>3</v>
      </c>
      <c r="DH431" s="18">
        <f t="shared" si="505"/>
        <v>4.9024129940726828</v>
      </c>
      <c r="DI431" s="18">
        <f t="shared" si="505"/>
        <v>2.8982062076518873</v>
      </c>
      <c r="DJ431" s="18">
        <f t="shared" si="505"/>
        <v>0.38757743472280443</v>
      </c>
      <c r="DK431" s="18">
        <f t="shared" si="505"/>
        <v>1.9994233606992056</v>
      </c>
      <c r="DL431" s="18">
        <f t="shared" si="505"/>
        <v>2.633245200548509</v>
      </c>
      <c r="DM431" s="18">
        <f t="shared" si="505"/>
        <v>1.4045215441085166</v>
      </c>
      <c r="DN431" s="56">
        <f t="shared" si="481"/>
        <v>3</v>
      </c>
    </row>
    <row r="432" spans="1:118" x14ac:dyDescent="0.25">
      <c r="A432" s="36" t="str">
        <f>KMeans_Data!A29</f>
        <v>Bajaur</v>
      </c>
      <c r="B432" s="18">
        <f>KMeans_Data!H29</f>
        <v>0.76181258672347318</v>
      </c>
      <c r="C432" s="18">
        <f>KMeans_Data!I29</f>
        <v>1.3810745208577742</v>
      </c>
      <c r="D432" s="18">
        <f>KMeans_Data!J29</f>
        <v>0.72786907626120334</v>
      </c>
      <c r="E432" s="56">
        <f t="shared" si="456"/>
        <v>3</v>
      </c>
      <c r="F432" s="38">
        <f t="shared" si="457"/>
        <v>0.34516223014707448</v>
      </c>
      <c r="G432" s="18">
        <f>IF(COUNTIF(Distance_Matrix!$E$12:$DQ$12,$E432)&lt;=1,0,SUMIF(Distance_Matrix!$E$12:$DQ$12,$E432,Distance_Matrix!$E$38:$DQ$38)/(COUNTIF(Distance_Matrix!$E$12:$DQ$12,$E432)-1))</f>
        <v>0.83801150743734831</v>
      </c>
      <c r="H432" s="18">
        <f>MIN(IF(1=$E432,1E+99,IF(COUNTIF(Distance_Matrix!$E$12:$DQ$12,1)=0,1E+99,SUMIF(Distance_Matrix!$E$12:$DQ$12,1,Distance_Matrix!$E$38:$DQ$38)/COUNTIF(Distance_Matrix!$E$12:$DQ$12,1))),IF(2=$E432,1E+99,IF(COUNTIF(Distance_Matrix!$E$12:$DQ$12,2)=0,1E+99,SUMIF(Distance_Matrix!$E$12:$DQ$12,2,Distance_Matrix!$E$38:$DQ$38)/COUNTIF(Distance_Matrix!$E$12:$DQ$12,2))),IF(3=$E432,1E+99,IF(COUNTIF(Distance_Matrix!$E$12:$DQ$12,3)=0,1E+99,SUMIF(Distance_Matrix!$E$12:$DQ$12,3,Distance_Matrix!$E$38:$DQ$38)/COUNTIF(Distance_Matrix!$E$12:$DQ$12,3))),IF(4=$E432,1E+99,IF(COUNTIF(Distance_Matrix!$E$12:$DQ$12,4)=0,1E+99,SUMIF(Distance_Matrix!$E$12:$DQ$12,4,Distance_Matrix!$E$38:$DQ$38)/COUNTIF(Distance_Matrix!$E$12:$DQ$12,4))),IF(5=$E432,1E+99,IF(COUNTIF(Distance_Matrix!$E$12:$DQ$12,5)=0,1E+99,SUMIF(Distance_Matrix!$E$12:$DQ$12,5,Distance_Matrix!$E$38:$DQ$38)/COUNTIF(Distance_Matrix!$E$12:$DQ$12,5))),IF(6=$E432,1E+99,IF(COUNTIF(Distance_Matrix!$E$12:$DQ$12,6)=0,1E+99,SUMIF(Distance_Matrix!$E$12:$DQ$12,6,Distance_Matrix!$E$38:$DQ$38)/COUNTIF(Distance_Matrix!$E$12:$DQ$12,6))))</f>
        <v>2.1077388635647236</v>
      </c>
      <c r="I432" s="18">
        <f>IF(COUNTIF(Distance_Matrix!$E$12:$DQ$12,$E432)&lt;=1,0,(H432-G432)/MAX(G432,H432))</f>
        <v>0.60241208153269166</v>
      </c>
      <c r="X432" s="18">
        <f t="shared" si="494"/>
        <v>4.4442382127810589</v>
      </c>
      <c r="Y432" s="18">
        <f t="shared" si="494"/>
        <v>3.9752041411792853</v>
      </c>
      <c r="Z432" s="18">
        <f t="shared" si="494"/>
        <v>1.2775206045773282</v>
      </c>
      <c r="AA432" s="18">
        <f t="shared" si="494"/>
        <v>2.420433901010778</v>
      </c>
      <c r="AB432" s="18">
        <f t="shared" si="494"/>
        <v>2.4711808824373649</v>
      </c>
      <c r="AC432" s="18">
        <f t="shared" si="494"/>
        <v>2.1212865830148924</v>
      </c>
      <c r="AD432" s="56">
        <f t="shared" si="459"/>
        <v>3</v>
      </c>
      <c r="AF432" s="18">
        <f t="shared" si="495"/>
        <v>4.3179753389450557</v>
      </c>
      <c r="AG432" s="18">
        <f t="shared" si="495"/>
        <v>3.433124197773477</v>
      </c>
      <c r="AH432" s="18">
        <f t="shared" si="495"/>
        <v>0.58332206677432508</v>
      </c>
      <c r="AI432" s="18">
        <f t="shared" si="495"/>
        <v>2.5631887043248058</v>
      </c>
      <c r="AJ432" s="18">
        <f t="shared" si="495"/>
        <v>2.0583084810575882</v>
      </c>
      <c r="AK432" s="18">
        <f t="shared" si="495"/>
        <v>2.1208514057852428</v>
      </c>
      <c r="AL432" s="56">
        <f t="shared" si="461"/>
        <v>3</v>
      </c>
      <c r="AN432" s="18">
        <f t="shared" si="496"/>
        <v>4.3179753389450557</v>
      </c>
      <c r="AO432" s="18">
        <f t="shared" si="496"/>
        <v>3.3969005355388333</v>
      </c>
      <c r="AP432" s="18">
        <f t="shared" si="496"/>
        <v>0.58750508946482705</v>
      </c>
      <c r="AQ432" s="18">
        <f t="shared" si="496"/>
        <v>2.5909206901485367</v>
      </c>
      <c r="AR432" s="18">
        <f t="shared" si="496"/>
        <v>2.0583084810575882</v>
      </c>
      <c r="AS432" s="18">
        <f t="shared" si="496"/>
        <v>2.0915934454385052</v>
      </c>
      <c r="AT432" s="56">
        <f t="shared" si="463"/>
        <v>3</v>
      </c>
      <c r="AV432" s="18">
        <f t="shared" si="497"/>
        <v>4.3179753389450557</v>
      </c>
      <c r="AW432" s="18">
        <f t="shared" si="497"/>
        <v>3.3723437178483655</v>
      </c>
      <c r="AX432" s="18">
        <f t="shared" si="497"/>
        <v>0.58750508946482705</v>
      </c>
      <c r="AY432" s="18">
        <f t="shared" si="497"/>
        <v>2.5909206901485367</v>
      </c>
      <c r="AZ432" s="18">
        <f t="shared" si="497"/>
        <v>2.0583084810575882</v>
      </c>
      <c r="BA432" s="18">
        <f t="shared" si="497"/>
        <v>2.0716657753995098</v>
      </c>
      <c r="BB432" s="56">
        <f t="shared" si="465"/>
        <v>3</v>
      </c>
      <c r="BD432" s="18">
        <f t="shared" si="498"/>
        <v>4.3179753389450557</v>
      </c>
      <c r="BE432" s="18">
        <f t="shared" si="498"/>
        <v>3.349088129819378</v>
      </c>
      <c r="BF432" s="18">
        <f t="shared" si="498"/>
        <v>0.58750508946482705</v>
      </c>
      <c r="BG432" s="18">
        <f t="shared" si="498"/>
        <v>2.5909206901485367</v>
      </c>
      <c r="BH432" s="18">
        <f t="shared" si="498"/>
        <v>2.0583084810575882</v>
      </c>
      <c r="BI432" s="18">
        <f t="shared" si="498"/>
        <v>2.0506335765050494</v>
      </c>
      <c r="BJ432" s="56">
        <f t="shared" si="467"/>
        <v>3</v>
      </c>
      <c r="BL432" s="18">
        <f t="shared" si="499"/>
        <v>4.3179753389450557</v>
      </c>
      <c r="BM432" s="18">
        <f t="shared" si="499"/>
        <v>3.349088129819378</v>
      </c>
      <c r="BN432" s="18">
        <f t="shared" si="499"/>
        <v>0.58750508946482705</v>
      </c>
      <c r="BO432" s="18">
        <f t="shared" si="499"/>
        <v>2.5909206901485367</v>
      </c>
      <c r="BP432" s="18">
        <f t="shared" si="499"/>
        <v>2.0583084810575882</v>
      </c>
      <c r="BQ432" s="18">
        <f t="shared" si="499"/>
        <v>2.0506335765050494</v>
      </c>
      <c r="BR432" s="56">
        <f t="shared" si="469"/>
        <v>3</v>
      </c>
      <c r="BT432" s="18">
        <f t="shared" si="500"/>
        <v>4.3179753389450557</v>
      </c>
      <c r="BU432" s="18">
        <f t="shared" si="500"/>
        <v>3.349088129819378</v>
      </c>
      <c r="BV432" s="18">
        <f t="shared" si="500"/>
        <v>0.58750508946482705</v>
      </c>
      <c r="BW432" s="18">
        <f t="shared" si="500"/>
        <v>2.5909206901485367</v>
      </c>
      <c r="BX432" s="18">
        <f t="shared" si="500"/>
        <v>2.0583084810575882</v>
      </c>
      <c r="BY432" s="18">
        <f t="shared" si="500"/>
        <v>2.0506335765050494</v>
      </c>
      <c r="BZ432" s="56">
        <f t="shared" si="471"/>
        <v>3</v>
      </c>
      <c r="CB432" s="18">
        <f t="shared" si="501"/>
        <v>4.3179753389450557</v>
      </c>
      <c r="CC432" s="18">
        <f t="shared" si="501"/>
        <v>3.349088129819378</v>
      </c>
      <c r="CD432" s="18">
        <f t="shared" si="501"/>
        <v>0.58750508946482705</v>
      </c>
      <c r="CE432" s="18">
        <f t="shared" si="501"/>
        <v>2.5909206901485367</v>
      </c>
      <c r="CF432" s="18">
        <f t="shared" si="501"/>
        <v>2.0583084810575882</v>
      </c>
      <c r="CG432" s="18">
        <f t="shared" si="501"/>
        <v>2.0506335765050494</v>
      </c>
      <c r="CH432" s="56">
        <f t="shared" si="473"/>
        <v>3</v>
      </c>
      <c r="CJ432" s="18">
        <f t="shared" si="502"/>
        <v>4.3179753389450557</v>
      </c>
      <c r="CK432" s="18">
        <f t="shared" si="502"/>
        <v>3.349088129819378</v>
      </c>
      <c r="CL432" s="18">
        <f t="shared" si="502"/>
        <v>0.58750508946482705</v>
      </c>
      <c r="CM432" s="18">
        <f t="shared" si="502"/>
        <v>2.5909206901485367</v>
      </c>
      <c r="CN432" s="18">
        <f t="shared" si="502"/>
        <v>2.0583084810575882</v>
      </c>
      <c r="CO432" s="18">
        <f t="shared" si="502"/>
        <v>2.0506335765050494</v>
      </c>
      <c r="CP432" s="56">
        <f t="shared" si="475"/>
        <v>3</v>
      </c>
      <c r="CR432" s="18">
        <f t="shared" si="503"/>
        <v>4.3179753389450557</v>
      </c>
      <c r="CS432" s="18">
        <f t="shared" si="503"/>
        <v>3.349088129819378</v>
      </c>
      <c r="CT432" s="18">
        <f t="shared" si="503"/>
        <v>0.58750508946482705</v>
      </c>
      <c r="CU432" s="18">
        <f t="shared" si="503"/>
        <v>2.5909206901485367</v>
      </c>
      <c r="CV432" s="18">
        <f t="shared" si="503"/>
        <v>2.0583084810575882</v>
      </c>
      <c r="CW432" s="18">
        <f t="shared" si="503"/>
        <v>2.0506335765050494</v>
      </c>
      <c r="CX432" s="56">
        <f t="shared" si="477"/>
        <v>3</v>
      </c>
      <c r="CZ432" s="18">
        <f t="shared" si="504"/>
        <v>4.3179753389450557</v>
      </c>
      <c r="DA432" s="18">
        <f t="shared" si="504"/>
        <v>3.349088129819378</v>
      </c>
      <c r="DB432" s="18">
        <f t="shared" si="504"/>
        <v>0.58750508946482705</v>
      </c>
      <c r="DC432" s="18">
        <f t="shared" si="504"/>
        <v>2.5909206901485367</v>
      </c>
      <c r="DD432" s="18">
        <f t="shared" si="504"/>
        <v>2.0583084810575882</v>
      </c>
      <c r="DE432" s="18">
        <f t="shared" si="504"/>
        <v>2.0506335765050494</v>
      </c>
      <c r="DF432" s="56">
        <f t="shared" si="479"/>
        <v>3</v>
      </c>
      <c r="DH432" s="18">
        <f t="shared" si="505"/>
        <v>4.3179753389450557</v>
      </c>
      <c r="DI432" s="18">
        <f t="shared" si="505"/>
        <v>3.349088129819378</v>
      </c>
      <c r="DJ432" s="18">
        <f t="shared" si="505"/>
        <v>0.58750508946482705</v>
      </c>
      <c r="DK432" s="18">
        <f t="shared" si="505"/>
        <v>2.5909206901485367</v>
      </c>
      <c r="DL432" s="18">
        <f t="shared" si="505"/>
        <v>2.0583084810575882</v>
      </c>
      <c r="DM432" s="18">
        <f t="shared" si="505"/>
        <v>2.0506335765050494</v>
      </c>
      <c r="DN432" s="56">
        <f t="shared" si="481"/>
        <v>3</v>
      </c>
    </row>
    <row r="433" spans="1:118" x14ac:dyDescent="0.25">
      <c r="A433" s="36" t="str">
        <f>KMeans_Data!A30</f>
        <v>Shikarpur</v>
      </c>
      <c r="B433" s="18">
        <f>KMeans_Data!H30</f>
        <v>0.70820457074466558</v>
      </c>
      <c r="C433" s="18">
        <f>KMeans_Data!I30</f>
        <v>0.80308444953571578</v>
      </c>
      <c r="D433" s="18">
        <f>KMeans_Data!J30</f>
        <v>1.2784040483641788</v>
      </c>
      <c r="E433" s="56">
        <f t="shared" si="456"/>
        <v>3</v>
      </c>
      <c r="F433" s="38">
        <f t="shared" si="457"/>
        <v>0.12327986115773354</v>
      </c>
      <c r="G433" s="18">
        <f>IF(COUNTIF(Distance_Matrix!$E$12:$DQ$12,$E433)&lt;=1,0,SUMIF(Distance_Matrix!$E$12:$DQ$12,$E433,Distance_Matrix!$E$39:$DQ$39)/(COUNTIF(Distance_Matrix!$E$12:$DQ$12,$E433)-1))</f>
        <v>0.73446073501779874</v>
      </c>
      <c r="H433" s="18">
        <f>MIN(IF(1=$E433,1E+99,IF(COUNTIF(Distance_Matrix!$E$12:$DQ$12,1)=0,1E+99,SUMIF(Distance_Matrix!$E$12:$DQ$12,1,Distance_Matrix!$E$39:$DQ$39)/COUNTIF(Distance_Matrix!$E$12:$DQ$12,1))),IF(2=$E433,1E+99,IF(COUNTIF(Distance_Matrix!$E$12:$DQ$12,2)=0,1E+99,SUMIF(Distance_Matrix!$E$12:$DQ$12,2,Distance_Matrix!$E$39:$DQ$39)/COUNTIF(Distance_Matrix!$E$12:$DQ$12,2))),IF(3=$E433,1E+99,IF(COUNTIF(Distance_Matrix!$E$12:$DQ$12,3)=0,1E+99,SUMIF(Distance_Matrix!$E$12:$DQ$12,3,Distance_Matrix!$E$39:$DQ$39)/COUNTIF(Distance_Matrix!$E$12:$DQ$12,3))),IF(4=$E433,1E+99,IF(COUNTIF(Distance_Matrix!$E$12:$DQ$12,4)=0,1E+99,SUMIF(Distance_Matrix!$E$12:$DQ$12,4,Distance_Matrix!$E$39:$DQ$39)/COUNTIF(Distance_Matrix!$E$12:$DQ$12,4))),IF(5=$E433,1E+99,IF(COUNTIF(Distance_Matrix!$E$12:$DQ$12,5)=0,1E+99,SUMIF(Distance_Matrix!$E$12:$DQ$12,5,Distance_Matrix!$E$39:$DQ$39)/COUNTIF(Distance_Matrix!$E$12:$DQ$12,5))),IF(6=$E433,1E+99,IF(COUNTIF(Distance_Matrix!$E$12:$DQ$12,6)=0,1E+99,SUMIF(Distance_Matrix!$E$12:$DQ$12,6,Distance_Matrix!$E$39:$DQ$39)/COUNTIF(Distance_Matrix!$E$12:$DQ$12,6))))</f>
        <v>1.869053295295489</v>
      </c>
      <c r="I433" s="18">
        <f>IF(COUNTIF(Distance_Matrix!$E$12:$DQ$12,$E433)&lt;=1,0,(H433-G433)/MAX(G433,H433))</f>
        <v>0.60704130970129255</v>
      </c>
      <c r="X433" s="18">
        <f t="shared" si="494"/>
        <v>4.5774421255084663</v>
      </c>
      <c r="Y433" s="18">
        <f t="shared" si="494"/>
        <v>3.9782442052148572</v>
      </c>
      <c r="Z433" s="18">
        <f t="shared" si="494"/>
        <v>0.57035761149190434</v>
      </c>
      <c r="AA433" s="18">
        <f t="shared" si="494"/>
        <v>2.6043325647718318</v>
      </c>
      <c r="AB433" s="18">
        <f t="shared" si="494"/>
        <v>2.4826193856844538</v>
      </c>
      <c r="AC433" s="18">
        <f t="shared" si="494"/>
        <v>1.8235931109191217</v>
      </c>
      <c r="AD433" s="56">
        <f t="shared" si="459"/>
        <v>3</v>
      </c>
      <c r="AF433" s="18">
        <f t="shared" si="495"/>
        <v>4.4976162372573842</v>
      </c>
      <c r="AG433" s="18">
        <f t="shared" si="495"/>
        <v>3.4442989341522408</v>
      </c>
      <c r="AH433" s="18">
        <f t="shared" si="495"/>
        <v>0.34081417201426711</v>
      </c>
      <c r="AI433" s="18">
        <f t="shared" si="495"/>
        <v>2.5824907969011561</v>
      </c>
      <c r="AJ433" s="18">
        <f t="shared" si="495"/>
        <v>2.2780856939381833</v>
      </c>
      <c r="AK433" s="18">
        <f t="shared" si="495"/>
        <v>1.8957435429242402</v>
      </c>
      <c r="AL433" s="56">
        <f t="shared" si="461"/>
        <v>3</v>
      </c>
      <c r="AN433" s="18">
        <f t="shared" si="496"/>
        <v>4.4976162372573842</v>
      </c>
      <c r="AO433" s="18">
        <f t="shared" si="496"/>
        <v>3.405051090216896</v>
      </c>
      <c r="AP433" s="18">
        <f t="shared" si="496"/>
        <v>0.35111231986037394</v>
      </c>
      <c r="AQ433" s="18">
        <f t="shared" si="496"/>
        <v>2.6044079330793592</v>
      </c>
      <c r="AR433" s="18">
        <f t="shared" si="496"/>
        <v>2.2780856939381833</v>
      </c>
      <c r="AS433" s="18">
        <f t="shared" si="496"/>
        <v>1.8590413278685747</v>
      </c>
      <c r="AT433" s="56">
        <f t="shared" si="463"/>
        <v>3</v>
      </c>
      <c r="AV433" s="18">
        <f t="shared" si="497"/>
        <v>4.4976162372573842</v>
      </c>
      <c r="AW433" s="18">
        <f t="shared" si="497"/>
        <v>3.3764906378882897</v>
      </c>
      <c r="AX433" s="18">
        <f t="shared" si="497"/>
        <v>0.35111231986037394</v>
      </c>
      <c r="AY433" s="18">
        <f t="shared" si="497"/>
        <v>2.6044079330793592</v>
      </c>
      <c r="AZ433" s="18">
        <f t="shared" si="497"/>
        <v>2.2780856939381833</v>
      </c>
      <c r="BA433" s="18">
        <f t="shared" si="497"/>
        <v>1.8344426499375845</v>
      </c>
      <c r="BB433" s="56">
        <f t="shared" si="465"/>
        <v>3</v>
      </c>
      <c r="BD433" s="18">
        <f t="shared" si="498"/>
        <v>4.4976162372573842</v>
      </c>
      <c r="BE433" s="18">
        <f t="shared" si="498"/>
        <v>3.3489302333349178</v>
      </c>
      <c r="BF433" s="18">
        <f t="shared" si="498"/>
        <v>0.35111231986037394</v>
      </c>
      <c r="BG433" s="18">
        <f t="shared" si="498"/>
        <v>2.6044079330793592</v>
      </c>
      <c r="BH433" s="18">
        <f t="shared" si="498"/>
        <v>2.2780856939381833</v>
      </c>
      <c r="BI433" s="18">
        <f t="shared" si="498"/>
        <v>1.809185907022667</v>
      </c>
      <c r="BJ433" s="56">
        <f t="shared" si="467"/>
        <v>3</v>
      </c>
      <c r="BL433" s="18">
        <f t="shared" si="499"/>
        <v>4.4976162372573842</v>
      </c>
      <c r="BM433" s="18">
        <f t="shared" si="499"/>
        <v>3.3489302333349178</v>
      </c>
      <c r="BN433" s="18">
        <f t="shared" si="499"/>
        <v>0.35111231986037394</v>
      </c>
      <c r="BO433" s="18">
        <f t="shared" si="499"/>
        <v>2.6044079330793592</v>
      </c>
      <c r="BP433" s="18">
        <f t="shared" si="499"/>
        <v>2.2780856939381833</v>
      </c>
      <c r="BQ433" s="18">
        <f t="shared" si="499"/>
        <v>1.809185907022667</v>
      </c>
      <c r="BR433" s="56">
        <f t="shared" si="469"/>
        <v>3</v>
      </c>
      <c r="BT433" s="18">
        <f t="shared" si="500"/>
        <v>4.4976162372573842</v>
      </c>
      <c r="BU433" s="18">
        <f t="shared" si="500"/>
        <v>3.3489302333349178</v>
      </c>
      <c r="BV433" s="18">
        <f t="shared" si="500"/>
        <v>0.35111231986037394</v>
      </c>
      <c r="BW433" s="18">
        <f t="shared" si="500"/>
        <v>2.6044079330793592</v>
      </c>
      <c r="BX433" s="18">
        <f t="shared" si="500"/>
        <v>2.2780856939381833</v>
      </c>
      <c r="BY433" s="18">
        <f t="shared" si="500"/>
        <v>1.809185907022667</v>
      </c>
      <c r="BZ433" s="56">
        <f t="shared" si="471"/>
        <v>3</v>
      </c>
      <c r="CB433" s="18">
        <f t="shared" si="501"/>
        <v>4.4976162372573842</v>
      </c>
      <c r="CC433" s="18">
        <f t="shared" si="501"/>
        <v>3.3489302333349178</v>
      </c>
      <c r="CD433" s="18">
        <f t="shared" si="501"/>
        <v>0.35111231986037394</v>
      </c>
      <c r="CE433" s="18">
        <f t="shared" si="501"/>
        <v>2.6044079330793592</v>
      </c>
      <c r="CF433" s="18">
        <f t="shared" si="501"/>
        <v>2.2780856939381833</v>
      </c>
      <c r="CG433" s="18">
        <f t="shared" si="501"/>
        <v>1.809185907022667</v>
      </c>
      <c r="CH433" s="56">
        <f t="shared" si="473"/>
        <v>3</v>
      </c>
      <c r="CJ433" s="18">
        <f t="shared" si="502"/>
        <v>4.4976162372573842</v>
      </c>
      <c r="CK433" s="18">
        <f t="shared" si="502"/>
        <v>3.3489302333349178</v>
      </c>
      <c r="CL433" s="18">
        <f t="shared" si="502"/>
        <v>0.35111231986037394</v>
      </c>
      <c r="CM433" s="18">
        <f t="shared" si="502"/>
        <v>2.6044079330793592</v>
      </c>
      <c r="CN433" s="18">
        <f t="shared" si="502"/>
        <v>2.2780856939381833</v>
      </c>
      <c r="CO433" s="18">
        <f t="shared" si="502"/>
        <v>1.809185907022667</v>
      </c>
      <c r="CP433" s="56">
        <f t="shared" si="475"/>
        <v>3</v>
      </c>
      <c r="CR433" s="18">
        <f t="shared" si="503"/>
        <v>4.4976162372573842</v>
      </c>
      <c r="CS433" s="18">
        <f t="shared" si="503"/>
        <v>3.3489302333349178</v>
      </c>
      <c r="CT433" s="18">
        <f t="shared" si="503"/>
        <v>0.35111231986037394</v>
      </c>
      <c r="CU433" s="18">
        <f t="shared" si="503"/>
        <v>2.6044079330793592</v>
      </c>
      <c r="CV433" s="18">
        <f t="shared" si="503"/>
        <v>2.2780856939381833</v>
      </c>
      <c r="CW433" s="18">
        <f t="shared" si="503"/>
        <v>1.809185907022667</v>
      </c>
      <c r="CX433" s="56">
        <f t="shared" si="477"/>
        <v>3</v>
      </c>
      <c r="CZ433" s="18">
        <f t="shared" si="504"/>
        <v>4.4976162372573842</v>
      </c>
      <c r="DA433" s="18">
        <f t="shared" si="504"/>
        <v>3.3489302333349178</v>
      </c>
      <c r="DB433" s="18">
        <f t="shared" si="504"/>
        <v>0.35111231986037394</v>
      </c>
      <c r="DC433" s="18">
        <f t="shared" si="504"/>
        <v>2.6044079330793592</v>
      </c>
      <c r="DD433" s="18">
        <f t="shared" si="504"/>
        <v>2.2780856939381833</v>
      </c>
      <c r="DE433" s="18">
        <f t="shared" si="504"/>
        <v>1.809185907022667</v>
      </c>
      <c r="DF433" s="56">
        <f t="shared" si="479"/>
        <v>3</v>
      </c>
      <c r="DH433" s="18">
        <f t="shared" si="505"/>
        <v>4.4976162372573842</v>
      </c>
      <c r="DI433" s="18">
        <f t="shared" si="505"/>
        <v>3.3489302333349178</v>
      </c>
      <c r="DJ433" s="18">
        <f t="shared" si="505"/>
        <v>0.35111231986037394</v>
      </c>
      <c r="DK433" s="18">
        <f t="shared" si="505"/>
        <v>2.6044079330793592</v>
      </c>
      <c r="DL433" s="18">
        <f t="shared" si="505"/>
        <v>2.2780856939381833</v>
      </c>
      <c r="DM433" s="18">
        <f t="shared" si="505"/>
        <v>1.809185907022667</v>
      </c>
      <c r="DN433" s="56">
        <f t="shared" si="481"/>
        <v>3</v>
      </c>
    </row>
    <row r="434" spans="1:118" x14ac:dyDescent="0.25">
      <c r="A434" s="36" t="str">
        <f>KMeans_Data!A31</f>
        <v>Rawalpindi</v>
      </c>
      <c r="B434" s="18">
        <f>KMeans_Data!H31</f>
        <v>0.64567305864807512</v>
      </c>
      <c r="C434" s="18">
        <f>KMeans_Data!I31</f>
        <v>-0.14698313392952958</v>
      </c>
      <c r="D434" s="18">
        <f>KMeans_Data!J31</f>
        <v>-1.1456441163335547</v>
      </c>
      <c r="E434" s="56">
        <f t="shared" si="456"/>
        <v>4</v>
      </c>
      <c r="F434" s="38">
        <f t="shared" si="457"/>
        <v>0.51552933500841414</v>
      </c>
      <c r="G434" s="18">
        <f>IF(COUNTIF(Distance_Matrix!$E$12:$DQ$12,$E434)&lt;=1,0,SUMIF(Distance_Matrix!$E$12:$DQ$12,$E434,Distance_Matrix!$E$40:$DQ$40)/(COUNTIF(Distance_Matrix!$E$12:$DQ$12,$E434)-1))</f>
        <v>0.94238712444868078</v>
      </c>
      <c r="H434" s="18">
        <f>MIN(IF(1=$E434,1E+99,IF(COUNTIF(Distance_Matrix!$E$12:$DQ$12,1)=0,1E+99,SUMIF(Distance_Matrix!$E$12:$DQ$12,1,Distance_Matrix!$E$40:$DQ$40)/COUNTIF(Distance_Matrix!$E$12:$DQ$12,1))),IF(2=$E434,1E+99,IF(COUNTIF(Distance_Matrix!$E$12:$DQ$12,2)=0,1E+99,SUMIF(Distance_Matrix!$E$12:$DQ$12,2,Distance_Matrix!$E$40:$DQ$40)/COUNTIF(Distance_Matrix!$E$12:$DQ$12,2))),IF(3=$E434,1E+99,IF(COUNTIF(Distance_Matrix!$E$12:$DQ$12,3)=0,1E+99,SUMIF(Distance_Matrix!$E$12:$DQ$12,3,Distance_Matrix!$E$40:$DQ$40)/COUNTIF(Distance_Matrix!$E$12:$DQ$12,3))),IF(4=$E434,1E+99,IF(COUNTIF(Distance_Matrix!$E$12:$DQ$12,4)=0,1E+99,SUMIF(Distance_Matrix!$E$12:$DQ$12,4,Distance_Matrix!$E$40:$DQ$40)/COUNTIF(Distance_Matrix!$E$12:$DQ$12,4))),IF(5=$E434,1E+99,IF(COUNTIF(Distance_Matrix!$E$12:$DQ$12,5)=0,1E+99,SUMIF(Distance_Matrix!$E$12:$DQ$12,5,Distance_Matrix!$E$40:$DQ$40)/COUNTIF(Distance_Matrix!$E$12:$DQ$12,5))),IF(6=$E434,1E+99,IF(COUNTIF(Distance_Matrix!$E$12:$DQ$12,6)=0,1E+99,SUMIF(Distance_Matrix!$E$12:$DQ$12,6,Distance_Matrix!$E$40:$DQ$40)/COUNTIF(Distance_Matrix!$E$12:$DQ$12,6))))</f>
        <v>1.7252044978678316</v>
      </c>
      <c r="I434" s="18">
        <f>IF(COUNTIF(Distance_Matrix!$E$12:$DQ$12,$E434)&lt;=1,0,(H434-G434)/MAX(G434,H434))</f>
        <v>0.45375338076536981</v>
      </c>
      <c r="X434" s="18">
        <f t="shared" si="494"/>
        <v>6.6163799696290333</v>
      </c>
      <c r="Y434" s="18">
        <f t="shared" si="494"/>
        <v>2.7756425502726647</v>
      </c>
      <c r="Z434" s="18">
        <f t="shared" si="494"/>
        <v>2.6969311940684069</v>
      </c>
      <c r="AA434" s="18">
        <f t="shared" si="494"/>
        <v>0</v>
      </c>
      <c r="AB434" s="18">
        <f t="shared" si="494"/>
        <v>4.6140961456431953</v>
      </c>
      <c r="AC434" s="18">
        <f t="shared" si="494"/>
        <v>2.230507321178711</v>
      </c>
      <c r="AD434" s="56">
        <f t="shared" si="459"/>
        <v>4</v>
      </c>
      <c r="AF434" s="18">
        <f t="shared" si="495"/>
        <v>6.4634051549982905</v>
      </c>
      <c r="AG434" s="18">
        <f t="shared" si="495"/>
        <v>2.0302783112605942</v>
      </c>
      <c r="AH434" s="18">
        <f t="shared" si="495"/>
        <v>2.3154174584198213</v>
      </c>
      <c r="AI434" s="18">
        <f t="shared" si="495"/>
        <v>0.69897160123482105</v>
      </c>
      <c r="AJ434" s="18">
        <f t="shared" si="495"/>
        <v>4.2323981191605533</v>
      </c>
      <c r="AK434" s="18">
        <f t="shared" si="495"/>
        <v>1.6195422594425242</v>
      </c>
      <c r="AL434" s="56">
        <f t="shared" si="461"/>
        <v>4</v>
      </c>
      <c r="AN434" s="18">
        <f t="shared" si="496"/>
        <v>6.4634051549982905</v>
      </c>
      <c r="AO434" s="18">
        <f t="shared" si="496"/>
        <v>1.9900346330612304</v>
      </c>
      <c r="AP434" s="18">
        <f t="shared" si="496"/>
        <v>2.2959894700800918</v>
      </c>
      <c r="AQ434" s="18">
        <f t="shared" si="496"/>
        <v>0.7180037151773061</v>
      </c>
      <c r="AR434" s="18">
        <f t="shared" si="496"/>
        <v>4.2323981191605533</v>
      </c>
      <c r="AS434" s="18">
        <f t="shared" si="496"/>
        <v>1.6154755847981734</v>
      </c>
      <c r="AT434" s="56">
        <f t="shared" si="463"/>
        <v>4</v>
      </c>
      <c r="AV434" s="18">
        <f t="shared" si="497"/>
        <v>6.4634051549982905</v>
      </c>
      <c r="AW434" s="18">
        <f t="shared" si="497"/>
        <v>1.9730857664985189</v>
      </c>
      <c r="AX434" s="18">
        <f t="shared" si="497"/>
        <v>2.2959894700800918</v>
      </c>
      <c r="AY434" s="18">
        <f t="shared" si="497"/>
        <v>0.7180037151773061</v>
      </c>
      <c r="AZ434" s="18">
        <f t="shared" si="497"/>
        <v>4.2323981191605533</v>
      </c>
      <c r="BA434" s="18">
        <f t="shared" si="497"/>
        <v>1.6201611094272117</v>
      </c>
      <c r="BB434" s="56">
        <f t="shared" si="465"/>
        <v>4</v>
      </c>
      <c r="BD434" s="18">
        <f t="shared" si="498"/>
        <v>6.4634051549982905</v>
      </c>
      <c r="BE434" s="18">
        <f t="shared" si="498"/>
        <v>1.9595445247266587</v>
      </c>
      <c r="BF434" s="18">
        <f t="shared" si="498"/>
        <v>2.2959894700800918</v>
      </c>
      <c r="BG434" s="18">
        <f t="shared" si="498"/>
        <v>0.7180037151773061</v>
      </c>
      <c r="BH434" s="18">
        <f t="shared" si="498"/>
        <v>4.2323981191605533</v>
      </c>
      <c r="BI434" s="18">
        <f t="shared" si="498"/>
        <v>1.6226257611997335</v>
      </c>
      <c r="BJ434" s="56">
        <f t="shared" si="467"/>
        <v>4</v>
      </c>
      <c r="BL434" s="18">
        <f t="shared" si="499"/>
        <v>6.4634051549982905</v>
      </c>
      <c r="BM434" s="18">
        <f t="shared" si="499"/>
        <v>1.9595445247266587</v>
      </c>
      <c r="BN434" s="18">
        <f t="shared" si="499"/>
        <v>2.2959894700800918</v>
      </c>
      <c r="BO434" s="18">
        <f t="shared" si="499"/>
        <v>0.7180037151773061</v>
      </c>
      <c r="BP434" s="18">
        <f t="shared" si="499"/>
        <v>4.2323981191605533</v>
      </c>
      <c r="BQ434" s="18">
        <f t="shared" si="499"/>
        <v>1.6226257611997335</v>
      </c>
      <c r="BR434" s="56">
        <f t="shared" si="469"/>
        <v>4</v>
      </c>
      <c r="BT434" s="18">
        <f t="shared" si="500"/>
        <v>6.4634051549982905</v>
      </c>
      <c r="BU434" s="18">
        <f t="shared" si="500"/>
        <v>1.9595445247266587</v>
      </c>
      <c r="BV434" s="18">
        <f t="shared" si="500"/>
        <v>2.2959894700800918</v>
      </c>
      <c r="BW434" s="18">
        <f t="shared" si="500"/>
        <v>0.7180037151773061</v>
      </c>
      <c r="BX434" s="18">
        <f t="shared" si="500"/>
        <v>4.2323981191605533</v>
      </c>
      <c r="BY434" s="18">
        <f t="shared" si="500"/>
        <v>1.6226257611997335</v>
      </c>
      <c r="BZ434" s="56">
        <f t="shared" si="471"/>
        <v>4</v>
      </c>
      <c r="CB434" s="18">
        <f t="shared" si="501"/>
        <v>6.4634051549982905</v>
      </c>
      <c r="CC434" s="18">
        <f t="shared" si="501"/>
        <v>1.9595445247266587</v>
      </c>
      <c r="CD434" s="18">
        <f t="shared" si="501"/>
        <v>2.2959894700800918</v>
      </c>
      <c r="CE434" s="18">
        <f t="shared" si="501"/>
        <v>0.7180037151773061</v>
      </c>
      <c r="CF434" s="18">
        <f t="shared" si="501"/>
        <v>4.2323981191605533</v>
      </c>
      <c r="CG434" s="18">
        <f t="shared" si="501"/>
        <v>1.6226257611997335</v>
      </c>
      <c r="CH434" s="56">
        <f t="shared" si="473"/>
        <v>4</v>
      </c>
      <c r="CJ434" s="18">
        <f t="shared" si="502"/>
        <v>6.4634051549982905</v>
      </c>
      <c r="CK434" s="18">
        <f t="shared" si="502"/>
        <v>1.9595445247266587</v>
      </c>
      <c r="CL434" s="18">
        <f t="shared" si="502"/>
        <v>2.2959894700800918</v>
      </c>
      <c r="CM434" s="18">
        <f t="shared" si="502"/>
        <v>0.7180037151773061</v>
      </c>
      <c r="CN434" s="18">
        <f t="shared" si="502"/>
        <v>4.2323981191605533</v>
      </c>
      <c r="CO434" s="18">
        <f t="shared" si="502"/>
        <v>1.6226257611997335</v>
      </c>
      <c r="CP434" s="56">
        <f t="shared" si="475"/>
        <v>4</v>
      </c>
      <c r="CR434" s="18">
        <f t="shared" si="503"/>
        <v>6.4634051549982905</v>
      </c>
      <c r="CS434" s="18">
        <f t="shared" si="503"/>
        <v>1.9595445247266587</v>
      </c>
      <c r="CT434" s="18">
        <f t="shared" si="503"/>
        <v>2.2959894700800918</v>
      </c>
      <c r="CU434" s="18">
        <f t="shared" si="503"/>
        <v>0.7180037151773061</v>
      </c>
      <c r="CV434" s="18">
        <f t="shared" si="503"/>
        <v>4.2323981191605533</v>
      </c>
      <c r="CW434" s="18">
        <f t="shared" si="503"/>
        <v>1.6226257611997335</v>
      </c>
      <c r="CX434" s="56">
        <f t="shared" si="477"/>
        <v>4</v>
      </c>
      <c r="CZ434" s="18">
        <f t="shared" si="504"/>
        <v>6.4634051549982905</v>
      </c>
      <c r="DA434" s="18">
        <f t="shared" si="504"/>
        <v>1.9595445247266587</v>
      </c>
      <c r="DB434" s="18">
        <f t="shared" si="504"/>
        <v>2.2959894700800918</v>
      </c>
      <c r="DC434" s="18">
        <f t="shared" si="504"/>
        <v>0.7180037151773061</v>
      </c>
      <c r="DD434" s="18">
        <f t="shared" si="504"/>
        <v>4.2323981191605533</v>
      </c>
      <c r="DE434" s="18">
        <f t="shared" si="504"/>
        <v>1.6226257611997335</v>
      </c>
      <c r="DF434" s="56">
        <f t="shared" si="479"/>
        <v>4</v>
      </c>
      <c r="DH434" s="18">
        <f t="shared" si="505"/>
        <v>6.4634051549982905</v>
      </c>
      <c r="DI434" s="18">
        <f t="shared" si="505"/>
        <v>1.9595445247266587</v>
      </c>
      <c r="DJ434" s="18">
        <f t="shared" si="505"/>
        <v>2.2959894700800918</v>
      </c>
      <c r="DK434" s="18">
        <f t="shared" si="505"/>
        <v>0.7180037151773061</v>
      </c>
      <c r="DL434" s="18">
        <f t="shared" si="505"/>
        <v>4.2323981191605533</v>
      </c>
      <c r="DM434" s="18">
        <f t="shared" si="505"/>
        <v>1.6226257611997335</v>
      </c>
      <c r="DN434" s="56">
        <f t="shared" si="481"/>
        <v>4</v>
      </c>
    </row>
    <row r="435" spans="1:118" x14ac:dyDescent="0.25">
      <c r="A435" s="36" t="str">
        <f>KMeans_Data!A32</f>
        <v>Buner</v>
      </c>
      <c r="B435" s="18">
        <f>KMeans_Data!H32</f>
        <v>0.60239578498043678</v>
      </c>
      <c r="C435" s="18">
        <f>KMeans_Data!I32</f>
        <v>0.68618000108374222</v>
      </c>
      <c r="D435" s="18">
        <f>KMeans_Data!J32</f>
        <v>0.8732151368336003</v>
      </c>
      <c r="E435" s="56">
        <f t="shared" si="456"/>
        <v>3</v>
      </c>
      <c r="F435" s="38">
        <f t="shared" si="457"/>
        <v>4.3414083925868041E-2</v>
      </c>
      <c r="G435" s="18">
        <f>IF(COUNTIF(Distance_Matrix!$E$12:$DQ$12,$E435)&lt;=1,0,SUMIF(Distance_Matrix!$E$12:$DQ$12,$E435,Distance_Matrix!$E$41:$DQ$41)/(COUNTIF(Distance_Matrix!$E$12:$DQ$12,$E435)-1))</f>
        <v>0.67800567629832875</v>
      </c>
      <c r="H435" s="18">
        <f>MIN(IF(1=$E435,1E+99,IF(COUNTIF(Distance_Matrix!$E$12:$DQ$12,1)=0,1E+99,SUMIF(Distance_Matrix!$E$12:$DQ$12,1,Distance_Matrix!$E$41:$DQ$41)/COUNTIF(Distance_Matrix!$E$12:$DQ$12,1))),IF(2=$E435,1E+99,IF(COUNTIF(Distance_Matrix!$E$12:$DQ$12,2)=0,1E+99,SUMIF(Distance_Matrix!$E$12:$DQ$12,2,Distance_Matrix!$E$41:$DQ$41)/COUNTIF(Distance_Matrix!$E$12:$DQ$12,2))),IF(3=$E435,1E+99,IF(COUNTIF(Distance_Matrix!$E$12:$DQ$12,3)=0,1E+99,SUMIF(Distance_Matrix!$E$12:$DQ$12,3,Distance_Matrix!$E$41:$DQ$41)/COUNTIF(Distance_Matrix!$E$12:$DQ$12,3))),IF(4=$E435,1E+99,IF(COUNTIF(Distance_Matrix!$E$12:$DQ$12,4)=0,1E+99,SUMIF(Distance_Matrix!$E$12:$DQ$12,4,Distance_Matrix!$E$41:$DQ$41)/COUNTIF(Distance_Matrix!$E$12:$DQ$12,4))),IF(5=$E435,1E+99,IF(COUNTIF(Distance_Matrix!$E$12:$DQ$12,5)=0,1E+99,SUMIF(Distance_Matrix!$E$12:$DQ$12,5,Distance_Matrix!$E$41:$DQ$41)/COUNTIF(Distance_Matrix!$E$12:$DQ$12,5))),IF(6=$E435,1E+99,IF(COUNTIF(Distance_Matrix!$E$12:$DQ$12,6)=0,1E+99,SUMIF(Distance_Matrix!$E$12:$DQ$12,6,Distance_Matrix!$E$41:$DQ$41)/COUNTIF(Distance_Matrix!$E$12:$DQ$12,6))))</f>
        <v>1.5423001534092671</v>
      </c>
      <c r="I435" s="18">
        <f>IF(COUNTIF(Distance_Matrix!$E$12:$DQ$12,$E435)&lt;=1,0,(H435-G435)/MAX(G435,H435))</f>
        <v>0.56039317327461091</v>
      </c>
      <c r="X435" s="18">
        <f t="shared" si="494"/>
        <v>4.903216967148734</v>
      </c>
      <c r="Y435" s="18">
        <f t="shared" si="494"/>
        <v>3.6216094048151786</v>
      </c>
      <c r="Z435" s="18">
        <f t="shared" si="494"/>
        <v>0.80022663785630888</v>
      </c>
      <c r="AA435" s="18">
        <f t="shared" si="494"/>
        <v>2.1844510560000856</v>
      </c>
      <c r="AB435" s="18">
        <f t="shared" si="494"/>
        <v>2.8174604630695534</v>
      </c>
      <c r="AC435" s="18">
        <f t="shared" si="494"/>
        <v>1.5704873821244447</v>
      </c>
      <c r="AD435" s="56">
        <f t="shared" si="459"/>
        <v>3</v>
      </c>
      <c r="AF435" s="18">
        <f t="shared" si="495"/>
        <v>4.8058818500551279</v>
      </c>
      <c r="AG435" s="18">
        <f t="shared" si="495"/>
        <v>3.0593069800897692</v>
      </c>
      <c r="AH435" s="18">
        <f t="shared" si="495"/>
        <v>0.23852544452068153</v>
      </c>
      <c r="AI435" s="18">
        <f t="shared" si="495"/>
        <v>2.1670617093058122</v>
      </c>
      <c r="AJ435" s="18">
        <f t="shared" si="495"/>
        <v>2.5476629224071647</v>
      </c>
      <c r="AK435" s="18">
        <f t="shared" si="495"/>
        <v>1.5495887864247175</v>
      </c>
      <c r="AL435" s="56">
        <f t="shared" si="461"/>
        <v>3</v>
      </c>
      <c r="AN435" s="18">
        <f t="shared" si="496"/>
        <v>4.8058818500551279</v>
      </c>
      <c r="AO435" s="18">
        <f t="shared" si="496"/>
        <v>3.019392744561777</v>
      </c>
      <c r="AP435" s="18">
        <f t="shared" si="496"/>
        <v>0.20836046632187222</v>
      </c>
      <c r="AQ435" s="18">
        <f t="shared" si="496"/>
        <v>2.1901621251011316</v>
      </c>
      <c r="AR435" s="18">
        <f t="shared" si="496"/>
        <v>2.5476629224071647</v>
      </c>
      <c r="AS435" s="18">
        <f t="shared" si="496"/>
        <v>1.5137320951181275</v>
      </c>
      <c r="AT435" s="56">
        <f t="shared" si="463"/>
        <v>3</v>
      </c>
      <c r="AV435" s="18">
        <f t="shared" si="497"/>
        <v>4.8058818500551279</v>
      </c>
      <c r="AW435" s="18">
        <f t="shared" si="497"/>
        <v>2.9912989262142742</v>
      </c>
      <c r="AX435" s="18">
        <f t="shared" si="497"/>
        <v>0.20836046632187222</v>
      </c>
      <c r="AY435" s="18">
        <f t="shared" si="497"/>
        <v>2.1901621251011316</v>
      </c>
      <c r="AZ435" s="18">
        <f t="shared" si="497"/>
        <v>2.5476629224071647</v>
      </c>
      <c r="BA435" s="18">
        <f t="shared" si="497"/>
        <v>1.4902221266667699</v>
      </c>
      <c r="BB435" s="56">
        <f t="shared" si="465"/>
        <v>3</v>
      </c>
      <c r="BD435" s="18">
        <f t="shared" si="498"/>
        <v>4.8058818500551279</v>
      </c>
      <c r="BE435" s="18">
        <f t="shared" si="498"/>
        <v>2.964401596236395</v>
      </c>
      <c r="BF435" s="18">
        <f t="shared" si="498"/>
        <v>0.20836046632187222</v>
      </c>
      <c r="BG435" s="18">
        <f t="shared" si="498"/>
        <v>2.1901621251011316</v>
      </c>
      <c r="BH435" s="18">
        <f t="shared" si="498"/>
        <v>2.5476629224071647</v>
      </c>
      <c r="BI435" s="18">
        <f t="shared" si="498"/>
        <v>1.4657394648071813</v>
      </c>
      <c r="BJ435" s="56">
        <f t="shared" si="467"/>
        <v>3</v>
      </c>
      <c r="BL435" s="18">
        <f t="shared" si="499"/>
        <v>4.8058818500551279</v>
      </c>
      <c r="BM435" s="18">
        <f t="shared" si="499"/>
        <v>2.964401596236395</v>
      </c>
      <c r="BN435" s="18">
        <f t="shared" si="499"/>
        <v>0.20836046632187222</v>
      </c>
      <c r="BO435" s="18">
        <f t="shared" si="499"/>
        <v>2.1901621251011316</v>
      </c>
      <c r="BP435" s="18">
        <f t="shared" si="499"/>
        <v>2.5476629224071647</v>
      </c>
      <c r="BQ435" s="18">
        <f t="shared" si="499"/>
        <v>1.4657394648071813</v>
      </c>
      <c r="BR435" s="56">
        <f t="shared" si="469"/>
        <v>3</v>
      </c>
      <c r="BT435" s="18">
        <f t="shared" si="500"/>
        <v>4.8058818500551279</v>
      </c>
      <c r="BU435" s="18">
        <f t="shared" si="500"/>
        <v>2.964401596236395</v>
      </c>
      <c r="BV435" s="18">
        <f t="shared" si="500"/>
        <v>0.20836046632187222</v>
      </c>
      <c r="BW435" s="18">
        <f t="shared" si="500"/>
        <v>2.1901621251011316</v>
      </c>
      <c r="BX435" s="18">
        <f t="shared" si="500"/>
        <v>2.5476629224071647</v>
      </c>
      <c r="BY435" s="18">
        <f t="shared" si="500"/>
        <v>1.4657394648071813</v>
      </c>
      <c r="BZ435" s="56">
        <f t="shared" si="471"/>
        <v>3</v>
      </c>
      <c r="CB435" s="18">
        <f t="shared" si="501"/>
        <v>4.8058818500551279</v>
      </c>
      <c r="CC435" s="18">
        <f t="shared" si="501"/>
        <v>2.964401596236395</v>
      </c>
      <c r="CD435" s="18">
        <f t="shared" si="501"/>
        <v>0.20836046632187222</v>
      </c>
      <c r="CE435" s="18">
        <f t="shared" si="501"/>
        <v>2.1901621251011316</v>
      </c>
      <c r="CF435" s="18">
        <f t="shared" si="501"/>
        <v>2.5476629224071647</v>
      </c>
      <c r="CG435" s="18">
        <f t="shared" si="501"/>
        <v>1.4657394648071813</v>
      </c>
      <c r="CH435" s="56">
        <f t="shared" si="473"/>
        <v>3</v>
      </c>
      <c r="CJ435" s="18">
        <f t="shared" si="502"/>
        <v>4.8058818500551279</v>
      </c>
      <c r="CK435" s="18">
        <f t="shared" si="502"/>
        <v>2.964401596236395</v>
      </c>
      <c r="CL435" s="18">
        <f t="shared" si="502"/>
        <v>0.20836046632187222</v>
      </c>
      <c r="CM435" s="18">
        <f t="shared" si="502"/>
        <v>2.1901621251011316</v>
      </c>
      <c r="CN435" s="18">
        <f t="shared" si="502"/>
        <v>2.5476629224071647</v>
      </c>
      <c r="CO435" s="18">
        <f t="shared" si="502"/>
        <v>1.4657394648071813</v>
      </c>
      <c r="CP435" s="56">
        <f t="shared" si="475"/>
        <v>3</v>
      </c>
      <c r="CR435" s="18">
        <f t="shared" si="503"/>
        <v>4.8058818500551279</v>
      </c>
      <c r="CS435" s="18">
        <f t="shared" si="503"/>
        <v>2.964401596236395</v>
      </c>
      <c r="CT435" s="18">
        <f t="shared" si="503"/>
        <v>0.20836046632187222</v>
      </c>
      <c r="CU435" s="18">
        <f t="shared" si="503"/>
        <v>2.1901621251011316</v>
      </c>
      <c r="CV435" s="18">
        <f t="shared" si="503"/>
        <v>2.5476629224071647</v>
      </c>
      <c r="CW435" s="18">
        <f t="shared" si="503"/>
        <v>1.4657394648071813</v>
      </c>
      <c r="CX435" s="56">
        <f t="shared" si="477"/>
        <v>3</v>
      </c>
      <c r="CZ435" s="18">
        <f t="shared" si="504"/>
        <v>4.8058818500551279</v>
      </c>
      <c r="DA435" s="18">
        <f t="shared" si="504"/>
        <v>2.964401596236395</v>
      </c>
      <c r="DB435" s="18">
        <f t="shared" si="504"/>
        <v>0.20836046632187222</v>
      </c>
      <c r="DC435" s="18">
        <f t="shared" si="504"/>
        <v>2.1901621251011316</v>
      </c>
      <c r="DD435" s="18">
        <f t="shared" si="504"/>
        <v>2.5476629224071647</v>
      </c>
      <c r="DE435" s="18">
        <f t="shared" si="504"/>
        <v>1.4657394648071813</v>
      </c>
      <c r="DF435" s="56">
        <f t="shared" si="479"/>
        <v>3</v>
      </c>
      <c r="DH435" s="18">
        <f t="shared" si="505"/>
        <v>4.8058818500551279</v>
      </c>
      <c r="DI435" s="18">
        <f t="shared" si="505"/>
        <v>2.964401596236395</v>
      </c>
      <c r="DJ435" s="18">
        <f t="shared" si="505"/>
        <v>0.20836046632187222</v>
      </c>
      <c r="DK435" s="18">
        <f t="shared" si="505"/>
        <v>2.1901621251011316</v>
      </c>
      <c r="DL435" s="18">
        <f t="shared" si="505"/>
        <v>2.5476629224071647</v>
      </c>
      <c r="DM435" s="18">
        <f t="shared" si="505"/>
        <v>1.4657394648071813</v>
      </c>
      <c r="DN435" s="56">
        <f t="shared" si="481"/>
        <v>3</v>
      </c>
    </row>
    <row r="436" spans="1:118" x14ac:dyDescent="0.25">
      <c r="A436" s="36" t="str">
        <f>KMeans_Data!A33</f>
        <v>Sargodha</v>
      </c>
      <c r="B436" s="18">
        <f>KMeans_Data!H33</f>
        <v>0.57775354876086193</v>
      </c>
      <c r="C436" s="18">
        <f>KMeans_Data!I33</f>
        <v>-0.67265054538827607</v>
      </c>
      <c r="D436" s="18">
        <f>KMeans_Data!J33</f>
        <v>-0.39984522290956798</v>
      </c>
      <c r="E436" s="56">
        <f t="shared" si="456"/>
        <v>4</v>
      </c>
      <c r="F436" s="38">
        <f t="shared" si="457"/>
        <v>0.41719546807082719</v>
      </c>
      <c r="G436" s="18">
        <f>IF(COUNTIF(Distance_Matrix!$E$12:$DQ$12,$E436)&lt;=1,0,SUMIF(Distance_Matrix!$E$12:$DQ$12,$E436,Distance_Matrix!$E$42:$DQ$42)/(COUNTIF(Distance_Matrix!$E$12:$DQ$12,$E436)-1))</f>
        <v>0.85963371367939334</v>
      </c>
      <c r="H436" s="18">
        <f>MIN(IF(1=$E436,1E+99,IF(COUNTIF(Distance_Matrix!$E$12:$DQ$12,1)=0,1E+99,SUMIF(Distance_Matrix!$E$12:$DQ$12,1,Distance_Matrix!$E$42:$DQ$42)/COUNTIF(Distance_Matrix!$E$12:$DQ$12,1))),IF(2=$E436,1E+99,IF(COUNTIF(Distance_Matrix!$E$12:$DQ$12,2)=0,1E+99,SUMIF(Distance_Matrix!$E$12:$DQ$12,2,Distance_Matrix!$E$42:$DQ$42)/COUNTIF(Distance_Matrix!$E$12:$DQ$12,2))),IF(3=$E436,1E+99,IF(COUNTIF(Distance_Matrix!$E$12:$DQ$12,3)=0,1E+99,SUMIF(Distance_Matrix!$E$12:$DQ$12,3,Distance_Matrix!$E$42:$DQ$42)/COUNTIF(Distance_Matrix!$E$12:$DQ$12,3))),IF(4=$E436,1E+99,IF(COUNTIF(Distance_Matrix!$E$12:$DQ$12,4)=0,1E+99,SUMIF(Distance_Matrix!$E$12:$DQ$12,4,Distance_Matrix!$E$42:$DQ$42)/COUNTIF(Distance_Matrix!$E$12:$DQ$12,4))),IF(5=$E436,1E+99,IF(COUNTIF(Distance_Matrix!$E$12:$DQ$12,5)=0,1E+99,SUMIF(Distance_Matrix!$E$12:$DQ$12,5,Distance_Matrix!$E$42:$DQ$42)/COUNTIF(Distance_Matrix!$E$12:$DQ$12,5))),IF(6=$E436,1E+99,IF(COUNTIF(Distance_Matrix!$E$12:$DQ$12,6)=0,1E+99,SUMIF(Distance_Matrix!$E$12:$DQ$12,6,Distance_Matrix!$E$42:$DQ$42)/COUNTIF(Distance_Matrix!$E$12:$DQ$12,6))))</f>
        <v>1.2031889175439998</v>
      </c>
      <c r="I436" s="18">
        <f>IF(COUNTIF(Distance_Matrix!$E$12:$DQ$12,$E436)&lt;=1,0,(H436-G436)/MAX(G436,H436))</f>
        <v>0.2855372077112262</v>
      </c>
      <c r="X436" s="18">
        <f t="shared" si="494"/>
        <v>6.5429996922998921</v>
      </c>
      <c r="Y436" s="18">
        <f t="shared" si="494"/>
        <v>2.7601589128984672</v>
      </c>
      <c r="Z436" s="18">
        <f t="shared" si="494"/>
        <v>2.1941641439380088</v>
      </c>
      <c r="AA436" s="18">
        <f t="shared" si="494"/>
        <v>0.91496189905673209</v>
      </c>
      <c r="AB436" s="18">
        <f t="shared" si="494"/>
        <v>4.4361610207384006</v>
      </c>
      <c r="AC436" s="18">
        <f t="shared" si="494"/>
        <v>1.7269490946837975</v>
      </c>
      <c r="AD436" s="56">
        <f t="shared" si="459"/>
        <v>4</v>
      </c>
      <c r="AF436" s="18">
        <f t="shared" si="495"/>
        <v>6.4262816392582698</v>
      </c>
      <c r="AG436" s="18">
        <f t="shared" si="495"/>
        <v>2.022071257931922</v>
      </c>
      <c r="AH436" s="18">
        <f t="shared" si="495"/>
        <v>2.0331972413927315</v>
      </c>
      <c r="AI436" s="18">
        <f t="shared" si="495"/>
        <v>0.64356975754421741</v>
      </c>
      <c r="AJ436" s="18">
        <f t="shared" si="495"/>
        <v>4.1706245528765082</v>
      </c>
      <c r="AK436" s="18">
        <f t="shared" si="495"/>
        <v>1.0567611661407648</v>
      </c>
      <c r="AL436" s="56">
        <f t="shared" si="461"/>
        <v>4</v>
      </c>
      <c r="AN436" s="18">
        <f t="shared" si="496"/>
        <v>6.4262816392582698</v>
      </c>
      <c r="AO436" s="18">
        <f t="shared" si="496"/>
        <v>1.9744645505750247</v>
      </c>
      <c r="AP436" s="18">
        <f t="shared" si="496"/>
        <v>2.0131467952818309</v>
      </c>
      <c r="AQ436" s="18">
        <f t="shared" si="496"/>
        <v>0.6459067022959486</v>
      </c>
      <c r="AR436" s="18">
        <f t="shared" si="496"/>
        <v>4.1706245528765082</v>
      </c>
      <c r="AS436" s="18">
        <f t="shared" si="496"/>
        <v>1.0396045727360552</v>
      </c>
      <c r="AT436" s="56">
        <f t="shared" si="463"/>
        <v>4</v>
      </c>
      <c r="AV436" s="18">
        <f t="shared" si="497"/>
        <v>6.4262816392582698</v>
      </c>
      <c r="AW436" s="18">
        <f t="shared" si="497"/>
        <v>1.9479190171090621</v>
      </c>
      <c r="AX436" s="18">
        <f t="shared" si="497"/>
        <v>2.0131467952818309</v>
      </c>
      <c r="AY436" s="18">
        <f t="shared" si="497"/>
        <v>0.6459067022959486</v>
      </c>
      <c r="AZ436" s="18">
        <f t="shared" si="497"/>
        <v>4.1706245528765082</v>
      </c>
      <c r="BA436" s="18">
        <f t="shared" si="497"/>
        <v>1.0395139313531883</v>
      </c>
      <c r="BB436" s="56">
        <f t="shared" si="465"/>
        <v>4</v>
      </c>
      <c r="BD436" s="18">
        <f t="shared" si="498"/>
        <v>6.4262816392582698</v>
      </c>
      <c r="BE436" s="18">
        <f t="shared" si="498"/>
        <v>1.9240650580121779</v>
      </c>
      <c r="BF436" s="18">
        <f t="shared" si="498"/>
        <v>2.0131467952818309</v>
      </c>
      <c r="BG436" s="18">
        <f t="shared" si="498"/>
        <v>0.6459067022959486</v>
      </c>
      <c r="BH436" s="18">
        <f t="shared" si="498"/>
        <v>4.1706245528765082</v>
      </c>
      <c r="BI436" s="18">
        <f t="shared" si="498"/>
        <v>1.0374986607054939</v>
      </c>
      <c r="BJ436" s="56">
        <f t="shared" si="467"/>
        <v>4</v>
      </c>
      <c r="BL436" s="18">
        <f t="shared" si="499"/>
        <v>6.4262816392582698</v>
      </c>
      <c r="BM436" s="18">
        <f t="shared" si="499"/>
        <v>1.9240650580121779</v>
      </c>
      <c r="BN436" s="18">
        <f t="shared" si="499"/>
        <v>2.0131467952818309</v>
      </c>
      <c r="BO436" s="18">
        <f t="shared" si="499"/>
        <v>0.6459067022959486</v>
      </c>
      <c r="BP436" s="18">
        <f t="shared" si="499"/>
        <v>4.1706245528765082</v>
      </c>
      <c r="BQ436" s="18">
        <f t="shared" si="499"/>
        <v>1.0374986607054939</v>
      </c>
      <c r="BR436" s="56">
        <f t="shared" si="469"/>
        <v>4</v>
      </c>
      <c r="BT436" s="18">
        <f t="shared" si="500"/>
        <v>6.4262816392582698</v>
      </c>
      <c r="BU436" s="18">
        <f t="shared" si="500"/>
        <v>1.9240650580121779</v>
      </c>
      <c r="BV436" s="18">
        <f t="shared" si="500"/>
        <v>2.0131467952818309</v>
      </c>
      <c r="BW436" s="18">
        <f t="shared" si="500"/>
        <v>0.6459067022959486</v>
      </c>
      <c r="BX436" s="18">
        <f t="shared" si="500"/>
        <v>4.1706245528765082</v>
      </c>
      <c r="BY436" s="18">
        <f t="shared" si="500"/>
        <v>1.0374986607054939</v>
      </c>
      <c r="BZ436" s="56">
        <f t="shared" si="471"/>
        <v>4</v>
      </c>
      <c r="CB436" s="18">
        <f t="shared" si="501"/>
        <v>6.4262816392582698</v>
      </c>
      <c r="CC436" s="18">
        <f t="shared" si="501"/>
        <v>1.9240650580121779</v>
      </c>
      <c r="CD436" s="18">
        <f t="shared" si="501"/>
        <v>2.0131467952818309</v>
      </c>
      <c r="CE436" s="18">
        <f t="shared" si="501"/>
        <v>0.6459067022959486</v>
      </c>
      <c r="CF436" s="18">
        <f t="shared" si="501"/>
        <v>4.1706245528765082</v>
      </c>
      <c r="CG436" s="18">
        <f t="shared" si="501"/>
        <v>1.0374986607054939</v>
      </c>
      <c r="CH436" s="56">
        <f t="shared" si="473"/>
        <v>4</v>
      </c>
      <c r="CJ436" s="18">
        <f t="shared" si="502"/>
        <v>6.4262816392582698</v>
      </c>
      <c r="CK436" s="18">
        <f t="shared" si="502"/>
        <v>1.9240650580121779</v>
      </c>
      <c r="CL436" s="18">
        <f t="shared" si="502"/>
        <v>2.0131467952818309</v>
      </c>
      <c r="CM436" s="18">
        <f t="shared" si="502"/>
        <v>0.6459067022959486</v>
      </c>
      <c r="CN436" s="18">
        <f t="shared" si="502"/>
        <v>4.1706245528765082</v>
      </c>
      <c r="CO436" s="18">
        <f t="shared" si="502"/>
        <v>1.0374986607054939</v>
      </c>
      <c r="CP436" s="56">
        <f t="shared" si="475"/>
        <v>4</v>
      </c>
      <c r="CR436" s="18">
        <f t="shared" si="503"/>
        <v>6.4262816392582698</v>
      </c>
      <c r="CS436" s="18">
        <f t="shared" si="503"/>
        <v>1.9240650580121779</v>
      </c>
      <c r="CT436" s="18">
        <f t="shared" si="503"/>
        <v>2.0131467952818309</v>
      </c>
      <c r="CU436" s="18">
        <f t="shared" si="503"/>
        <v>0.6459067022959486</v>
      </c>
      <c r="CV436" s="18">
        <f t="shared" si="503"/>
        <v>4.1706245528765082</v>
      </c>
      <c r="CW436" s="18">
        <f t="shared" si="503"/>
        <v>1.0374986607054939</v>
      </c>
      <c r="CX436" s="56">
        <f t="shared" si="477"/>
        <v>4</v>
      </c>
      <c r="CZ436" s="18">
        <f t="shared" si="504"/>
        <v>6.4262816392582698</v>
      </c>
      <c r="DA436" s="18">
        <f t="shared" si="504"/>
        <v>1.9240650580121779</v>
      </c>
      <c r="DB436" s="18">
        <f t="shared" si="504"/>
        <v>2.0131467952818309</v>
      </c>
      <c r="DC436" s="18">
        <f t="shared" si="504"/>
        <v>0.6459067022959486</v>
      </c>
      <c r="DD436" s="18">
        <f t="shared" si="504"/>
        <v>4.1706245528765082</v>
      </c>
      <c r="DE436" s="18">
        <f t="shared" si="504"/>
        <v>1.0374986607054939</v>
      </c>
      <c r="DF436" s="56">
        <f t="shared" si="479"/>
        <v>4</v>
      </c>
      <c r="DH436" s="18">
        <f t="shared" si="505"/>
        <v>6.4262816392582698</v>
      </c>
      <c r="DI436" s="18">
        <f t="shared" si="505"/>
        <v>1.9240650580121779</v>
      </c>
      <c r="DJ436" s="18">
        <f t="shared" si="505"/>
        <v>2.0131467952818309</v>
      </c>
      <c r="DK436" s="18">
        <f t="shared" si="505"/>
        <v>0.6459067022959486</v>
      </c>
      <c r="DL436" s="18">
        <f t="shared" si="505"/>
        <v>4.1706245528765082</v>
      </c>
      <c r="DM436" s="18">
        <f t="shared" si="505"/>
        <v>1.0374986607054939</v>
      </c>
      <c r="DN436" s="56">
        <f t="shared" si="481"/>
        <v>4</v>
      </c>
    </row>
    <row r="437" spans="1:118" x14ac:dyDescent="0.25">
      <c r="A437" s="36" t="str">
        <f>KMeans_Data!A34</f>
        <v>Shaheed Benazirabad</v>
      </c>
      <c r="B437" s="18">
        <f>KMeans_Data!H34</f>
        <v>0.57775354876086193</v>
      </c>
      <c r="C437" s="18">
        <f>KMeans_Data!I34</f>
        <v>0.16051258962499582</v>
      </c>
      <c r="D437" s="18">
        <f>KMeans_Data!J34</f>
        <v>0.78154448627517237</v>
      </c>
      <c r="E437" s="56">
        <f t="shared" si="456"/>
        <v>3</v>
      </c>
      <c r="F437" s="38">
        <f t="shared" si="457"/>
        <v>0.49701400294018744</v>
      </c>
      <c r="G437" s="18">
        <f>IF(COUNTIF(Distance_Matrix!$E$12:$DQ$12,$E437)&lt;=1,0,SUMIF(Distance_Matrix!$E$12:$DQ$12,$E437,Distance_Matrix!$E$43:$DQ$43)/(COUNTIF(Distance_Matrix!$E$12:$DQ$12,$E437)-1))</f>
        <v>0.92281281451725161</v>
      </c>
      <c r="H437" s="18">
        <f>MIN(IF(1=$E437,1E+99,IF(COUNTIF(Distance_Matrix!$E$12:$DQ$12,1)=0,1E+99,SUMIF(Distance_Matrix!$E$12:$DQ$12,1,Distance_Matrix!$E$43:$DQ$43)/COUNTIF(Distance_Matrix!$E$12:$DQ$12,1))),IF(2=$E437,1E+99,IF(COUNTIF(Distance_Matrix!$E$12:$DQ$12,2)=0,1E+99,SUMIF(Distance_Matrix!$E$12:$DQ$12,2,Distance_Matrix!$E$43:$DQ$43)/COUNTIF(Distance_Matrix!$E$12:$DQ$12,2))),IF(3=$E437,1E+99,IF(COUNTIF(Distance_Matrix!$E$12:$DQ$12,3)=0,1E+99,SUMIF(Distance_Matrix!$E$12:$DQ$12,3,Distance_Matrix!$E$43:$DQ$43)/COUNTIF(Distance_Matrix!$E$12:$DQ$12,3))),IF(4=$E437,1E+99,IF(COUNTIF(Distance_Matrix!$E$12:$DQ$12,4)=0,1E+99,SUMIF(Distance_Matrix!$E$12:$DQ$12,4,Distance_Matrix!$E$43:$DQ$43)/COUNTIF(Distance_Matrix!$E$12:$DQ$12,4))),IF(5=$E437,1E+99,IF(COUNTIF(Distance_Matrix!$E$12:$DQ$12,5)=0,1E+99,SUMIF(Distance_Matrix!$E$12:$DQ$12,5,Distance_Matrix!$E$43:$DQ$43)/COUNTIF(Distance_Matrix!$E$12:$DQ$12,5))),IF(6=$E437,1E+99,IF(COUNTIF(Distance_Matrix!$E$12:$DQ$12,6)=0,1E+99,SUMIF(Distance_Matrix!$E$12:$DQ$12,6,Distance_Matrix!$E$43:$DQ$43)/COUNTIF(Distance_Matrix!$E$12:$DQ$12,6))))</f>
        <v>1.1818375081144767</v>
      </c>
      <c r="I437" s="18">
        <f>IF(COUNTIF(Distance_Matrix!$E$12:$DQ$12,$E437)&lt;=1,0,(H437-G437)/MAX(G437,H437))</f>
        <v>0.2191711566258186</v>
      </c>
      <c r="X437" s="18">
        <f t="shared" si="494"/>
        <v>5.3310034929576178</v>
      </c>
      <c r="Y437" s="18">
        <f t="shared" si="494"/>
        <v>3.3868094062982825</v>
      </c>
      <c r="Z437" s="18">
        <f t="shared" si="494"/>
        <v>0.85635508280799066</v>
      </c>
      <c r="AA437" s="18">
        <f t="shared" si="494"/>
        <v>1.9527474465103312</v>
      </c>
      <c r="AB437" s="18">
        <f t="shared" si="494"/>
        <v>3.2055617057629036</v>
      </c>
      <c r="AC437" s="18">
        <f t="shared" si="494"/>
        <v>1.3290889390182952</v>
      </c>
      <c r="AD437" s="56">
        <f t="shared" si="459"/>
        <v>3</v>
      </c>
      <c r="AF437" s="18">
        <f t="shared" si="495"/>
        <v>5.2424742093381074</v>
      </c>
      <c r="AG437" s="18">
        <f t="shared" si="495"/>
        <v>2.7900533161435805</v>
      </c>
      <c r="AH437" s="18">
        <f t="shared" si="495"/>
        <v>0.72473849069525609</v>
      </c>
      <c r="AI437" s="18">
        <f t="shared" si="495"/>
        <v>1.8317856605352694</v>
      </c>
      <c r="AJ437" s="18">
        <f t="shared" si="495"/>
        <v>2.9940248092656447</v>
      </c>
      <c r="AK437" s="18">
        <f t="shared" si="495"/>
        <v>1.176604575912473</v>
      </c>
      <c r="AL437" s="56">
        <f t="shared" si="461"/>
        <v>3</v>
      </c>
      <c r="AN437" s="18">
        <f t="shared" si="496"/>
        <v>5.2424742093381074</v>
      </c>
      <c r="AO437" s="18">
        <f t="shared" si="496"/>
        <v>2.7469859859493582</v>
      </c>
      <c r="AP437" s="18">
        <f t="shared" si="496"/>
        <v>0.70499220062365753</v>
      </c>
      <c r="AQ437" s="18">
        <f t="shared" si="496"/>
        <v>1.8500906538175546</v>
      </c>
      <c r="AR437" s="18">
        <f t="shared" si="496"/>
        <v>2.9940248092656447</v>
      </c>
      <c r="AS437" s="18">
        <f t="shared" si="496"/>
        <v>1.1341081143662859</v>
      </c>
      <c r="AT437" s="56">
        <f t="shared" si="463"/>
        <v>3</v>
      </c>
      <c r="AV437" s="18">
        <f t="shared" si="497"/>
        <v>5.2424742093381074</v>
      </c>
      <c r="AW437" s="18">
        <f t="shared" si="497"/>
        <v>2.7169658347008547</v>
      </c>
      <c r="AX437" s="18">
        <f t="shared" si="497"/>
        <v>0.70499220062365753</v>
      </c>
      <c r="AY437" s="18">
        <f t="shared" si="497"/>
        <v>1.8500906538175546</v>
      </c>
      <c r="AZ437" s="18">
        <f t="shared" si="497"/>
        <v>2.9940248092656447</v>
      </c>
      <c r="BA437" s="18">
        <f t="shared" si="497"/>
        <v>1.1085617518432584</v>
      </c>
      <c r="BB437" s="56">
        <f t="shared" si="465"/>
        <v>3</v>
      </c>
      <c r="BD437" s="18">
        <f t="shared" si="498"/>
        <v>5.2424742093381074</v>
      </c>
      <c r="BE437" s="18">
        <f t="shared" si="498"/>
        <v>2.6882482096376972</v>
      </c>
      <c r="BF437" s="18">
        <f t="shared" si="498"/>
        <v>0.70499220062365753</v>
      </c>
      <c r="BG437" s="18">
        <f t="shared" si="498"/>
        <v>1.8500906538175546</v>
      </c>
      <c r="BH437" s="18">
        <f t="shared" si="498"/>
        <v>2.9940248092656447</v>
      </c>
      <c r="BI437" s="18">
        <f t="shared" si="498"/>
        <v>1.0817989778892008</v>
      </c>
      <c r="BJ437" s="56">
        <f t="shared" si="467"/>
        <v>3</v>
      </c>
      <c r="BL437" s="18">
        <f t="shared" si="499"/>
        <v>5.2424742093381074</v>
      </c>
      <c r="BM437" s="18">
        <f t="shared" si="499"/>
        <v>2.6882482096376972</v>
      </c>
      <c r="BN437" s="18">
        <f t="shared" si="499"/>
        <v>0.70499220062365753</v>
      </c>
      <c r="BO437" s="18">
        <f t="shared" si="499"/>
        <v>1.8500906538175546</v>
      </c>
      <c r="BP437" s="18">
        <f t="shared" si="499"/>
        <v>2.9940248092656447</v>
      </c>
      <c r="BQ437" s="18">
        <f t="shared" si="499"/>
        <v>1.0817989778892008</v>
      </c>
      <c r="BR437" s="56">
        <f t="shared" si="469"/>
        <v>3</v>
      </c>
      <c r="BT437" s="18">
        <f t="shared" si="500"/>
        <v>5.2424742093381074</v>
      </c>
      <c r="BU437" s="18">
        <f t="shared" si="500"/>
        <v>2.6882482096376972</v>
      </c>
      <c r="BV437" s="18">
        <f t="shared" si="500"/>
        <v>0.70499220062365753</v>
      </c>
      <c r="BW437" s="18">
        <f t="shared" si="500"/>
        <v>1.8500906538175546</v>
      </c>
      <c r="BX437" s="18">
        <f t="shared" si="500"/>
        <v>2.9940248092656447</v>
      </c>
      <c r="BY437" s="18">
        <f t="shared" si="500"/>
        <v>1.0817989778892008</v>
      </c>
      <c r="BZ437" s="56">
        <f t="shared" si="471"/>
        <v>3</v>
      </c>
      <c r="CB437" s="18">
        <f t="shared" si="501"/>
        <v>5.2424742093381074</v>
      </c>
      <c r="CC437" s="18">
        <f t="shared" si="501"/>
        <v>2.6882482096376972</v>
      </c>
      <c r="CD437" s="18">
        <f t="shared" si="501"/>
        <v>0.70499220062365753</v>
      </c>
      <c r="CE437" s="18">
        <f t="shared" si="501"/>
        <v>1.8500906538175546</v>
      </c>
      <c r="CF437" s="18">
        <f t="shared" si="501"/>
        <v>2.9940248092656447</v>
      </c>
      <c r="CG437" s="18">
        <f t="shared" si="501"/>
        <v>1.0817989778892008</v>
      </c>
      <c r="CH437" s="56">
        <f t="shared" si="473"/>
        <v>3</v>
      </c>
      <c r="CJ437" s="18">
        <f t="shared" si="502"/>
        <v>5.2424742093381074</v>
      </c>
      <c r="CK437" s="18">
        <f t="shared" si="502"/>
        <v>2.6882482096376972</v>
      </c>
      <c r="CL437" s="18">
        <f t="shared" si="502"/>
        <v>0.70499220062365753</v>
      </c>
      <c r="CM437" s="18">
        <f t="shared" si="502"/>
        <v>1.8500906538175546</v>
      </c>
      <c r="CN437" s="18">
        <f t="shared" si="502"/>
        <v>2.9940248092656447</v>
      </c>
      <c r="CO437" s="18">
        <f t="shared" si="502"/>
        <v>1.0817989778892008</v>
      </c>
      <c r="CP437" s="56">
        <f t="shared" si="475"/>
        <v>3</v>
      </c>
      <c r="CR437" s="18">
        <f t="shared" si="503"/>
        <v>5.2424742093381074</v>
      </c>
      <c r="CS437" s="18">
        <f t="shared" si="503"/>
        <v>2.6882482096376972</v>
      </c>
      <c r="CT437" s="18">
        <f t="shared" si="503"/>
        <v>0.70499220062365753</v>
      </c>
      <c r="CU437" s="18">
        <f t="shared" si="503"/>
        <v>1.8500906538175546</v>
      </c>
      <c r="CV437" s="18">
        <f t="shared" si="503"/>
        <v>2.9940248092656447</v>
      </c>
      <c r="CW437" s="18">
        <f t="shared" si="503"/>
        <v>1.0817989778892008</v>
      </c>
      <c r="CX437" s="56">
        <f t="shared" si="477"/>
        <v>3</v>
      </c>
      <c r="CZ437" s="18">
        <f t="shared" si="504"/>
        <v>5.2424742093381074</v>
      </c>
      <c r="DA437" s="18">
        <f t="shared" si="504"/>
        <v>2.6882482096376972</v>
      </c>
      <c r="DB437" s="18">
        <f t="shared" si="504"/>
        <v>0.70499220062365753</v>
      </c>
      <c r="DC437" s="18">
        <f t="shared" si="504"/>
        <v>1.8500906538175546</v>
      </c>
      <c r="DD437" s="18">
        <f t="shared" si="504"/>
        <v>2.9940248092656447</v>
      </c>
      <c r="DE437" s="18">
        <f t="shared" si="504"/>
        <v>1.0817989778892008</v>
      </c>
      <c r="DF437" s="56">
        <f t="shared" si="479"/>
        <v>3</v>
      </c>
      <c r="DH437" s="18">
        <f t="shared" si="505"/>
        <v>5.2424742093381074</v>
      </c>
      <c r="DI437" s="18">
        <f t="shared" si="505"/>
        <v>2.6882482096376972</v>
      </c>
      <c r="DJ437" s="18">
        <f t="shared" si="505"/>
        <v>0.70499220062365753</v>
      </c>
      <c r="DK437" s="18">
        <f t="shared" si="505"/>
        <v>1.8500906538175546</v>
      </c>
      <c r="DL437" s="18">
        <f t="shared" si="505"/>
        <v>2.9940248092656447</v>
      </c>
      <c r="DM437" s="18">
        <f t="shared" si="505"/>
        <v>1.0817989778892008</v>
      </c>
      <c r="DN437" s="56">
        <f t="shared" si="481"/>
        <v>3</v>
      </c>
    </row>
    <row r="438" spans="1:118" x14ac:dyDescent="0.25">
      <c r="A438" s="36" t="str">
        <f>KMeans_Data!A35</f>
        <v>Gujrat</v>
      </c>
      <c r="B438" s="18">
        <f>KMeans_Data!H35</f>
        <v>0.57458958754261724</v>
      </c>
      <c r="C438" s="18">
        <f>KMeans_Data!I35</f>
        <v>-0.67265054538827607</v>
      </c>
      <c r="D438" s="18">
        <f>KMeans_Data!J35</f>
        <v>-0.39984522290956798</v>
      </c>
      <c r="E438" s="56">
        <f t="shared" si="456"/>
        <v>4</v>
      </c>
      <c r="F438" s="38">
        <f t="shared" si="457"/>
        <v>0.41442380655682776</v>
      </c>
      <c r="G438" s="18">
        <f>IF(COUNTIF(Distance_Matrix!$E$12:$DQ$12,$E438)&lt;=1,0,SUMIF(Distance_Matrix!$E$12:$DQ$12,$E438,Distance_Matrix!$E$44:$DQ$44)/(COUNTIF(Distance_Matrix!$E$12:$DQ$12,$E438)-1))</f>
        <v>0.85795073244758313</v>
      </c>
      <c r="H438" s="18">
        <f>MIN(IF(1=$E438,1E+99,IF(COUNTIF(Distance_Matrix!$E$12:$DQ$12,1)=0,1E+99,SUMIF(Distance_Matrix!$E$12:$DQ$12,1,Distance_Matrix!$E$44:$DQ$44)/COUNTIF(Distance_Matrix!$E$12:$DQ$12,1))),IF(2=$E438,1E+99,IF(COUNTIF(Distance_Matrix!$E$12:$DQ$12,2)=0,1E+99,SUMIF(Distance_Matrix!$E$12:$DQ$12,2,Distance_Matrix!$E$44:$DQ$44)/COUNTIF(Distance_Matrix!$E$12:$DQ$12,2))),IF(3=$E438,1E+99,IF(COUNTIF(Distance_Matrix!$E$12:$DQ$12,3)=0,1E+99,SUMIF(Distance_Matrix!$E$12:$DQ$12,3,Distance_Matrix!$E$44:$DQ$44)/COUNTIF(Distance_Matrix!$E$12:$DQ$12,3))),IF(4=$E438,1E+99,IF(COUNTIF(Distance_Matrix!$E$12:$DQ$12,4)=0,1E+99,SUMIF(Distance_Matrix!$E$12:$DQ$12,4,Distance_Matrix!$E$44:$DQ$44)/COUNTIF(Distance_Matrix!$E$12:$DQ$12,4))),IF(5=$E438,1E+99,IF(COUNTIF(Distance_Matrix!$E$12:$DQ$12,5)=0,1E+99,SUMIF(Distance_Matrix!$E$12:$DQ$12,5,Distance_Matrix!$E$44:$DQ$44)/COUNTIF(Distance_Matrix!$E$12:$DQ$12,5))),IF(6=$E438,1E+99,IF(COUNTIF(Distance_Matrix!$E$12:$DQ$12,6)=0,1E+99,SUMIF(Distance_Matrix!$E$12:$DQ$12,6,Distance_Matrix!$E$44:$DQ$44)/COUNTIF(Distance_Matrix!$E$12:$DQ$12,6))))</f>
        <v>1.2011573632329509</v>
      </c>
      <c r="I438" s="18">
        <f>IF(COUNTIF(Distance_Matrix!$E$12:$DQ$12,$E438)&lt;=1,0,(H438-G438)/MAX(G438,H438))</f>
        <v>0.28572994787428757</v>
      </c>
      <c r="X438" s="18">
        <f t="shared" ref="X438:AC447" si="506">SQRT(($B438-X$401)^2+($C438-X$402)^2+($D438-X$403)^2)</f>
        <v>6.5443042851341469</v>
      </c>
      <c r="Y438" s="18">
        <f t="shared" si="506"/>
        <v>2.7571127715097909</v>
      </c>
      <c r="Z438" s="18">
        <f t="shared" si="506"/>
        <v>2.1948290386308456</v>
      </c>
      <c r="AA438" s="18">
        <f t="shared" si="506"/>
        <v>0.91520220539866637</v>
      </c>
      <c r="AB438" s="18">
        <f t="shared" si="506"/>
        <v>4.4374363327787467</v>
      </c>
      <c r="AC438" s="18">
        <f t="shared" si="506"/>
        <v>1.7245980706298605</v>
      </c>
      <c r="AD438" s="56">
        <f t="shared" si="459"/>
        <v>4</v>
      </c>
      <c r="AF438" s="18">
        <f t="shared" ref="AF438:AK447" si="507">SQRT(($B438-AF$401)^2+($C438-AF$402)^2+($D438-AF$403)^2)</f>
        <v>6.4276039763691513</v>
      </c>
      <c r="AG438" s="18">
        <f t="shared" si="507"/>
        <v>2.0191009847748056</v>
      </c>
      <c r="AH438" s="18">
        <f t="shared" si="507"/>
        <v>2.0334988550747668</v>
      </c>
      <c r="AI438" s="18">
        <f t="shared" si="507"/>
        <v>0.64144065282974849</v>
      </c>
      <c r="AJ438" s="18">
        <f t="shared" si="507"/>
        <v>4.171775606788823</v>
      </c>
      <c r="AK438" s="18">
        <f t="shared" si="507"/>
        <v>1.054240154397456</v>
      </c>
      <c r="AL438" s="56">
        <f t="shared" si="461"/>
        <v>4</v>
      </c>
      <c r="AN438" s="18">
        <f t="shared" ref="AN438:AS447" si="508">SQRT(($B438-AN$401)^2+($C438-AN$402)^2+($D438-AN$403)^2)</f>
        <v>6.4276039763691513</v>
      </c>
      <c r="AO438" s="18">
        <f t="shared" si="508"/>
        <v>1.9714911508038451</v>
      </c>
      <c r="AP438" s="18">
        <f t="shared" si="508"/>
        <v>2.0134078813903615</v>
      </c>
      <c r="AQ438" s="18">
        <f t="shared" si="508"/>
        <v>0.64375756815499086</v>
      </c>
      <c r="AR438" s="18">
        <f t="shared" si="508"/>
        <v>4.171775606788823</v>
      </c>
      <c r="AS438" s="18">
        <f t="shared" si="508"/>
        <v>1.037163007506531</v>
      </c>
      <c r="AT438" s="56">
        <f t="shared" si="463"/>
        <v>4</v>
      </c>
      <c r="AV438" s="18">
        <f t="shared" ref="AV438:BA447" si="509">SQRT(($B438-AV$401)^2+($C438-AV$402)^2+($D438-AV$403)^2)</f>
        <v>6.4276039763691513</v>
      </c>
      <c r="AW438" s="18">
        <f t="shared" si="509"/>
        <v>1.9449357905989462</v>
      </c>
      <c r="AX438" s="18">
        <f t="shared" si="509"/>
        <v>2.0134078813903615</v>
      </c>
      <c r="AY438" s="18">
        <f t="shared" si="509"/>
        <v>0.64375756815499086</v>
      </c>
      <c r="AZ438" s="18">
        <f t="shared" si="509"/>
        <v>4.171775606788823</v>
      </c>
      <c r="BA438" s="18">
        <f t="shared" si="509"/>
        <v>1.0371240428722173</v>
      </c>
      <c r="BB438" s="56">
        <f t="shared" si="465"/>
        <v>4</v>
      </c>
      <c r="BD438" s="18">
        <f t="shared" ref="BD438:BI447" si="510">SQRT(($B438-BD$401)^2+($C438-BD$402)^2+($D438-BD$403)^2)</f>
        <v>6.4276039763691513</v>
      </c>
      <c r="BE438" s="18">
        <f t="shared" si="510"/>
        <v>1.9210708576797926</v>
      </c>
      <c r="BF438" s="18">
        <f t="shared" si="510"/>
        <v>2.0134078813903615</v>
      </c>
      <c r="BG438" s="18">
        <f t="shared" si="510"/>
        <v>0.64375756815499086</v>
      </c>
      <c r="BH438" s="18">
        <f t="shared" si="510"/>
        <v>4.171775606788823</v>
      </c>
      <c r="BI438" s="18">
        <f t="shared" si="510"/>
        <v>1.0351636828954416</v>
      </c>
      <c r="BJ438" s="56">
        <f t="shared" si="467"/>
        <v>4</v>
      </c>
      <c r="BL438" s="18">
        <f t="shared" ref="BL438:BQ447" si="511">SQRT(($B438-BL$401)^2+($C438-BL$402)^2+($D438-BL$403)^2)</f>
        <v>6.4276039763691513</v>
      </c>
      <c r="BM438" s="18">
        <f t="shared" si="511"/>
        <v>1.9210708576797926</v>
      </c>
      <c r="BN438" s="18">
        <f t="shared" si="511"/>
        <v>2.0134078813903615</v>
      </c>
      <c r="BO438" s="18">
        <f t="shared" si="511"/>
        <v>0.64375756815499086</v>
      </c>
      <c r="BP438" s="18">
        <f t="shared" si="511"/>
        <v>4.171775606788823</v>
      </c>
      <c r="BQ438" s="18">
        <f t="shared" si="511"/>
        <v>1.0351636828954416</v>
      </c>
      <c r="BR438" s="56">
        <f t="shared" si="469"/>
        <v>4</v>
      </c>
      <c r="BT438" s="18">
        <f t="shared" ref="BT438:BY447" si="512">SQRT(($B438-BT$401)^2+($C438-BT$402)^2+($D438-BT$403)^2)</f>
        <v>6.4276039763691513</v>
      </c>
      <c r="BU438" s="18">
        <f t="shared" si="512"/>
        <v>1.9210708576797926</v>
      </c>
      <c r="BV438" s="18">
        <f t="shared" si="512"/>
        <v>2.0134078813903615</v>
      </c>
      <c r="BW438" s="18">
        <f t="shared" si="512"/>
        <v>0.64375756815499086</v>
      </c>
      <c r="BX438" s="18">
        <f t="shared" si="512"/>
        <v>4.171775606788823</v>
      </c>
      <c r="BY438" s="18">
        <f t="shared" si="512"/>
        <v>1.0351636828954416</v>
      </c>
      <c r="BZ438" s="56">
        <f t="shared" si="471"/>
        <v>4</v>
      </c>
      <c r="CB438" s="18">
        <f t="shared" ref="CB438:CG447" si="513">SQRT(($B438-CB$401)^2+($C438-CB$402)^2+($D438-CB$403)^2)</f>
        <v>6.4276039763691513</v>
      </c>
      <c r="CC438" s="18">
        <f t="shared" si="513"/>
        <v>1.9210708576797926</v>
      </c>
      <c r="CD438" s="18">
        <f t="shared" si="513"/>
        <v>2.0134078813903615</v>
      </c>
      <c r="CE438" s="18">
        <f t="shared" si="513"/>
        <v>0.64375756815499086</v>
      </c>
      <c r="CF438" s="18">
        <f t="shared" si="513"/>
        <v>4.171775606788823</v>
      </c>
      <c r="CG438" s="18">
        <f t="shared" si="513"/>
        <v>1.0351636828954416</v>
      </c>
      <c r="CH438" s="56">
        <f t="shared" si="473"/>
        <v>4</v>
      </c>
      <c r="CJ438" s="18">
        <f t="shared" ref="CJ438:CO447" si="514">SQRT(($B438-CJ$401)^2+($C438-CJ$402)^2+($D438-CJ$403)^2)</f>
        <v>6.4276039763691513</v>
      </c>
      <c r="CK438" s="18">
        <f t="shared" si="514"/>
        <v>1.9210708576797926</v>
      </c>
      <c r="CL438" s="18">
        <f t="shared" si="514"/>
        <v>2.0134078813903615</v>
      </c>
      <c r="CM438" s="18">
        <f t="shared" si="514"/>
        <v>0.64375756815499086</v>
      </c>
      <c r="CN438" s="18">
        <f t="shared" si="514"/>
        <v>4.171775606788823</v>
      </c>
      <c r="CO438" s="18">
        <f t="shared" si="514"/>
        <v>1.0351636828954416</v>
      </c>
      <c r="CP438" s="56">
        <f t="shared" si="475"/>
        <v>4</v>
      </c>
      <c r="CR438" s="18">
        <f t="shared" ref="CR438:CW447" si="515">SQRT(($B438-CR$401)^2+($C438-CR$402)^2+($D438-CR$403)^2)</f>
        <v>6.4276039763691513</v>
      </c>
      <c r="CS438" s="18">
        <f t="shared" si="515"/>
        <v>1.9210708576797926</v>
      </c>
      <c r="CT438" s="18">
        <f t="shared" si="515"/>
        <v>2.0134078813903615</v>
      </c>
      <c r="CU438" s="18">
        <f t="shared" si="515"/>
        <v>0.64375756815499086</v>
      </c>
      <c r="CV438" s="18">
        <f t="shared" si="515"/>
        <v>4.171775606788823</v>
      </c>
      <c r="CW438" s="18">
        <f t="shared" si="515"/>
        <v>1.0351636828954416</v>
      </c>
      <c r="CX438" s="56">
        <f t="shared" si="477"/>
        <v>4</v>
      </c>
      <c r="CZ438" s="18">
        <f t="shared" ref="CZ438:DE447" si="516">SQRT(($B438-CZ$401)^2+($C438-CZ$402)^2+($D438-CZ$403)^2)</f>
        <v>6.4276039763691513</v>
      </c>
      <c r="DA438" s="18">
        <f t="shared" si="516"/>
        <v>1.9210708576797926</v>
      </c>
      <c r="DB438" s="18">
        <f t="shared" si="516"/>
        <v>2.0134078813903615</v>
      </c>
      <c r="DC438" s="18">
        <f t="shared" si="516"/>
        <v>0.64375756815499086</v>
      </c>
      <c r="DD438" s="18">
        <f t="shared" si="516"/>
        <v>4.171775606788823</v>
      </c>
      <c r="DE438" s="18">
        <f t="shared" si="516"/>
        <v>1.0351636828954416</v>
      </c>
      <c r="DF438" s="56">
        <f t="shared" si="479"/>
        <v>4</v>
      </c>
      <c r="DH438" s="18">
        <f t="shared" ref="DH438:DM447" si="517">SQRT(($B438-DH$401)^2+($C438-DH$402)^2+($D438-DH$403)^2)</f>
        <v>6.4276039763691513</v>
      </c>
      <c r="DI438" s="18">
        <f t="shared" si="517"/>
        <v>1.9210708576797926</v>
      </c>
      <c r="DJ438" s="18">
        <f t="shared" si="517"/>
        <v>2.0134078813903615</v>
      </c>
      <c r="DK438" s="18">
        <f t="shared" si="517"/>
        <v>0.64375756815499086</v>
      </c>
      <c r="DL438" s="18">
        <f t="shared" si="517"/>
        <v>4.171775606788823</v>
      </c>
      <c r="DM438" s="18">
        <f t="shared" si="517"/>
        <v>1.0351636828954416</v>
      </c>
      <c r="DN438" s="56">
        <f t="shared" si="481"/>
        <v>4</v>
      </c>
    </row>
    <row r="439" spans="1:118" x14ac:dyDescent="0.25">
      <c r="A439" s="36" t="str">
        <f>KMeans_Data!A36</f>
        <v>Dera Ismail Khan</v>
      </c>
      <c r="B439" s="18">
        <f>KMeans_Data!H36</f>
        <v>0.56820337223564554</v>
      </c>
      <c r="C439" s="18">
        <f>KMeans_Data!I36</f>
        <v>0.54791138584450239</v>
      </c>
      <c r="D439" s="18">
        <f>KMeans_Data!J36</f>
        <v>1.1134779913146182</v>
      </c>
      <c r="E439" s="56">
        <f t="shared" si="456"/>
        <v>3</v>
      </c>
      <c r="F439" s="38">
        <f t="shared" si="457"/>
        <v>0.14343029985981337</v>
      </c>
      <c r="G439" s="18">
        <f>IF(COUNTIF(Distance_Matrix!$E$12:$DQ$12,$E439)&lt;=1,0,SUMIF(Distance_Matrix!$E$12:$DQ$12,$E439,Distance_Matrix!$E$45:$DQ$45)/(COUNTIF(Distance_Matrix!$E$12:$DQ$12,$E439)-1))</f>
        <v>0.74615654272326293</v>
      </c>
      <c r="H439" s="18">
        <f>MIN(IF(1=$E439,1E+99,IF(COUNTIF(Distance_Matrix!$E$12:$DQ$12,1)=0,1E+99,SUMIF(Distance_Matrix!$E$12:$DQ$12,1,Distance_Matrix!$E$45:$DQ$45)/COUNTIF(Distance_Matrix!$E$12:$DQ$12,1))),IF(2=$E439,1E+99,IF(COUNTIF(Distance_Matrix!$E$12:$DQ$12,2)=0,1E+99,SUMIF(Distance_Matrix!$E$12:$DQ$12,2,Distance_Matrix!$E$45:$DQ$45)/COUNTIF(Distance_Matrix!$E$12:$DQ$12,2))),IF(3=$E439,1E+99,IF(COUNTIF(Distance_Matrix!$E$12:$DQ$12,3)=0,1E+99,SUMIF(Distance_Matrix!$E$12:$DQ$12,3,Distance_Matrix!$E$45:$DQ$45)/COUNTIF(Distance_Matrix!$E$12:$DQ$12,3))),IF(4=$E439,1E+99,IF(COUNTIF(Distance_Matrix!$E$12:$DQ$12,4)=0,1E+99,SUMIF(Distance_Matrix!$E$12:$DQ$12,4,Distance_Matrix!$E$45:$DQ$45)/COUNTIF(Distance_Matrix!$E$12:$DQ$12,4))),IF(5=$E439,1E+99,IF(COUNTIF(Distance_Matrix!$E$12:$DQ$12,5)=0,1E+99,SUMIF(Distance_Matrix!$E$12:$DQ$12,5,Distance_Matrix!$E$45:$DQ$45)/COUNTIF(Distance_Matrix!$E$12:$DQ$12,5))),IF(6=$E439,1E+99,IF(COUNTIF(Distance_Matrix!$E$12:$DQ$12,6)=0,1E+99,SUMIF(Distance_Matrix!$E$12:$DQ$12,6,Distance_Matrix!$E$45:$DQ$45)/COUNTIF(Distance_Matrix!$E$12:$DQ$12,6))))</f>
        <v>1.5540269153142734</v>
      </c>
      <c r="I439" s="18">
        <f>IF(COUNTIF(Distance_Matrix!$E$12:$DQ$12,$E439)&lt;=1,0,(H439-G439)/MAX(G439,H439))</f>
        <v>0.51985610070829025</v>
      </c>
      <c r="X439" s="18">
        <f t="shared" si="506"/>
        <v>4.9077486940462336</v>
      </c>
      <c r="Y439" s="18">
        <f t="shared" si="506"/>
        <v>3.6884952947874514</v>
      </c>
      <c r="Z439" s="18">
        <f t="shared" si="506"/>
        <v>0.61328679051740209</v>
      </c>
      <c r="AA439" s="18">
        <f t="shared" si="506"/>
        <v>2.3648493912275987</v>
      </c>
      <c r="AB439" s="18">
        <f t="shared" si="506"/>
        <v>2.8037271427768466</v>
      </c>
      <c r="AC439" s="18">
        <f t="shared" si="506"/>
        <v>1.5304057421263848</v>
      </c>
      <c r="AD439" s="56">
        <f t="shared" si="459"/>
        <v>3</v>
      </c>
      <c r="AF439" s="18">
        <f t="shared" si="507"/>
        <v>4.8263783087581462</v>
      </c>
      <c r="AG439" s="18">
        <f t="shared" si="507"/>
        <v>3.143639666900536</v>
      </c>
      <c r="AH439" s="18">
        <f t="shared" si="507"/>
        <v>0.39273631157024347</v>
      </c>
      <c r="AI439" s="18">
        <f t="shared" si="507"/>
        <v>2.2880347939704286</v>
      </c>
      <c r="AJ439" s="18">
        <f t="shared" si="507"/>
        <v>2.5967502862002951</v>
      </c>
      <c r="AK439" s="18">
        <f t="shared" si="507"/>
        <v>1.5683251109497995</v>
      </c>
      <c r="AL439" s="56">
        <f t="shared" si="461"/>
        <v>3</v>
      </c>
      <c r="AN439" s="18">
        <f t="shared" si="508"/>
        <v>4.8263783087581462</v>
      </c>
      <c r="AO439" s="18">
        <f t="shared" si="508"/>
        <v>3.1035202910729409</v>
      </c>
      <c r="AP439" s="18">
        <f t="shared" si="508"/>
        <v>0.37872192946780014</v>
      </c>
      <c r="AQ439" s="18">
        <f t="shared" si="508"/>
        <v>2.3086331638461632</v>
      </c>
      <c r="AR439" s="18">
        <f t="shared" si="508"/>
        <v>2.5967502862002951</v>
      </c>
      <c r="AS439" s="18">
        <f t="shared" si="508"/>
        <v>1.5307203936623672</v>
      </c>
      <c r="AT439" s="56">
        <f t="shared" si="463"/>
        <v>3</v>
      </c>
      <c r="AV439" s="18">
        <f t="shared" si="509"/>
        <v>4.8263783087581462</v>
      </c>
      <c r="AW439" s="18">
        <f t="shared" si="509"/>
        <v>3.0743432878082486</v>
      </c>
      <c r="AX439" s="18">
        <f t="shared" si="509"/>
        <v>0.37872192946780014</v>
      </c>
      <c r="AY439" s="18">
        <f t="shared" si="509"/>
        <v>2.3086331638461632</v>
      </c>
      <c r="AZ439" s="18">
        <f t="shared" si="509"/>
        <v>2.5967502862002951</v>
      </c>
      <c r="BA439" s="18">
        <f t="shared" si="509"/>
        <v>1.5057930270534317</v>
      </c>
      <c r="BB439" s="56">
        <f t="shared" si="465"/>
        <v>3</v>
      </c>
      <c r="BD439" s="18">
        <f t="shared" si="510"/>
        <v>4.8263783087581462</v>
      </c>
      <c r="BE439" s="18">
        <f t="shared" si="510"/>
        <v>3.0461830536425496</v>
      </c>
      <c r="BF439" s="18">
        <f t="shared" si="510"/>
        <v>0.37872192946780014</v>
      </c>
      <c r="BG439" s="18">
        <f t="shared" si="510"/>
        <v>2.3086331638461632</v>
      </c>
      <c r="BH439" s="18">
        <f t="shared" si="510"/>
        <v>2.5967502862002951</v>
      </c>
      <c r="BI439" s="18">
        <f t="shared" si="510"/>
        <v>1.4802101333533921</v>
      </c>
      <c r="BJ439" s="56">
        <f t="shared" si="467"/>
        <v>3</v>
      </c>
      <c r="BL439" s="18">
        <f t="shared" si="511"/>
        <v>4.8263783087581462</v>
      </c>
      <c r="BM439" s="18">
        <f t="shared" si="511"/>
        <v>3.0461830536425496</v>
      </c>
      <c r="BN439" s="18">
        <f t="shared" si="511"/>
        <v>0.37872192946780014</v>
      </c>
      <c r="BO439" s="18">
        <f t="shared" si="511"/>
        <v>2.3086331638461632</v>
      </c>
      <c r="BP439" s="18">
        <f t="shared" si="511"/>
        <v>2.5967502862002951</v>
      </c>
      <c r="BQ439" s="18">
        <f t="shared" si="511"/>
        <v>1.4802101333533921</v>
      </c>
      <c r="BR439" s="56">
        <f t="shared" si="469"/>
        <v>3</v>
      </c>
      <c r="BT439" s="18">
        <f t="shared" si="512"/>
        <v>4.8263783087581462</v>
      </c>
      <c r="BU439" s="18">
        <f t="shared" si="512"/>
        <v>3.0461830536425496</v>
      </c>
      <c r="BV439" s="18">
        <f t="shared" si="512"/>
        <v>0.37872192946780014</v>
      </c>
      <c r="BW439" s="18">
        <f t="shared" si="512"/>
        <v>2.3086331638461632</v>
      </c>
      <c r="BX439" s="18">
        <f t="shared" si="512"/>
        <v>2.5967502862002951</v>
      </c>
      <c r="BY439" s="18">
        <f t="shared" si="512"/>
        <v>1.4802101333533921</v>
      </c>
      <c r="BZ439" s="56">
        <f t="shared" si="471"/>
        <v>3</v>
      </c>
      <c r="CB439" s="18">
        <f t="shared" si="513"/>
        <v>4.8263783087581462</v>
      </c>
      <c r="CC439" s="18">
        <f t="shared" si="513"/>
        <v>3.0461830536425496</v>
      </c>
      <c r="CD439" s="18">
        <f t="shared" si="513"/>
        <v>0.37872192946780014</v>
      </c>
      <c r="CE439" s="18">
        <f t="shared" si="513"/>
        <v>2.3086331638461632</v>
      </c>
      <c r="CF439" s="18">
        <f t="shared" si="513"/>
        <v>2.5967502862002951</v>
      </c>
      <c r="CG439" s="18">
        <f t="shared" si="513"/>
        <v>1.4802101333533921</v>
      </c>
      <c r="CH439" s="56">
        <f t="shared" si="473"/>
        <v>3</v>
      </c>
      <c r="CJ439" s="18">
        <f t="shared" si="514"/>
        <v>4.8263783087581462</v>
      </c>
      <c r="CK439" s="18">
        <f t="shared" si="514"/>
        <v>3.0461830536425496</v>
      </c>
      <c r="CL439" s="18">
        <f t="shared" si="514"/>
        <v>0.37872192946780014</v>
      </c>
      <c r="CM439" s="18">
        <f t="shared" si="514"/>
        <v>2.3086331638461632</v>
      </c>
      <c r="CN439" s="18">
        <f t="shared" si="514"/>
        <v>2.5967502862002951</v>
      </c>
      <c r="CO439" s="18">
        <f t="shared" si="514"/>
        <v>1.4802101333533921</v>
      </c>
      <c r="CP439" s="56">
        <f t="shared" si="475"/>
        <v>3</v>
      </c>
      <c r="CR439" s="18">
        <f t="shared" si="515"/>
        <v>4.8263783087581462</v>
      </c>
      <c r="CS439" s="18">
        <f t="shared" si="515"/>
        <v>3.0461830536425496</v>
      </c>
      <c r="CT439" s="18">
        <f t="shared" si="515"/>
        <v>0.37872192946780014</v>
      </c>
      <c r="CU439" s="18">
        <f t="shared" si="515"/>
        <v>2.3086331638461632</v>
      </c>
      <c r="CV439" s="18">
        <f t="shared" si="515"/>
        <v>2.5967502862002951</v>
      </c>
      <c r="CW439" s="18">
        <f t="shared" si="515"/>
        <v>1.4802101333533921</v>
      </c>
      <c r="CX439" s="56">
        <f t="shared" si="477"/>
        <v>3</v>
      </c>
      <c r="CZ439" s="18">
        <f t="shared" si="516"/>
        <v>4.8263783087581462</v>
      </c>
      <c r="DA439" s="18">
        <f t="shared" si="516"/>
        <v>3.0461830536425496</v>
      </c>
      <c r="DB439" s="18">
        <f t="shared" si="516"/>
        <v>0.37872192946780014</v>
      </c>
      <c r="DC439" s="18">
        <f t="shared" si="516"/>
        <v>2.3086331638461632</v>
      </c>
      <c r="DD439" s="18">
        <f t="shared" si="516"/>
        <v>2.5967502862002951</v>
      </c>
      <c r="DE439" s="18">
        <f t="shared" si="516"/>
        <v>1.4802101333533921</v>
      </c>
      <c r="DF439" s="56">
        <f t="shared" si="479"/>
        <v>3</v>
      </c>
      <c r="DH439" s="18">
        <f t="shared" si="517"/>
        <v>4.8263783087581462</v>
      </c>
      <c r="DI439" s="18">
        <f t="shared" si="517"/>
        <v>3.0461830536425496</v>
      </c>
      <c r="DJ439" s="18">
        <f t="shared" si="517"/>
        <v>0.37872192946780014</v>
      </c>
      <c r="DK439" s="18">
        <f t="shared" si="517"/>
        <v>2.3086331638461632</v>
      </c>
      <c r="DL439" s="18">
        <f t="shared" si="517"/>
        <v>2.5967502862002951</v>
      </c>
      <c r="DM439" s="18">
        <f t="shared" si="517"/>
        <v>1.4802101333533921</v>
      </c>
      <c r="DN439" s="56">
        <f t="shared" si="481"/>
        <v>3</v>
      </c>
    </row>
    <row r="440" spans="1:118" x14ac:dyDescent="0.25">
      <c r="A440" s="36" t="str">
        <f>KMeans_Data!A37</f>
        <v>Karak</v>
      </c>
      <c r="B440" s="18">
        <f>KMeans_Data!H37</f>
        <v>0.53160574306813768</v>
      </c>
      <c r="C440" s="18">
        <f>KMeans_Data!I37</f>
        <v>0.37868427752921691</v>
      </c>
      <c r="D440" s="18">
        <f>KMeans_Data!J37</f>
        <v>0.2867168485915767</v>
      </c>
      <c r="E440" s="56">
        <f t="shared" ref="E440:E471" si="518">DN440</f>
        <v>3</v>
      </c>
      <c r="F440" s="38">
        <f t="shared" ref="F440:F471" si="519">($B440-INDEX($L$401:$Q$401,E440))^2+($C440-INDEX($L$402:$Q$402,E440))^2+($D440-INDEX($L$403:$Q$403,E440))^2</f>
        <v>0.66165004192772514</v>
      </c>
      <c r="G440" s="18">
        <f>IF(COUNTIF(Distance_Matrix!$E$12:$DQ$12,$E440)&lt;=1,0,SUMIF(Distance_Matrix!$E$12:$DQ$12,$E440,Distance_Matrix!$E$46:$DQ$46)/(COUNTIF(Distance_Matrix!$E$12:$DQ$12,$E440)-1))</f>
        <v>1.0057527056510431</v>
      </c>
      <c r="H440" s="18">
        <f>MIN(IF(1=$E440,1E+99,IF(COUNTIF(Distance_Matrix!$E$12:$DQ$12,1)=0,1E+99,SUMIF(Distance_Matrix!$E$12:$DQ$12,1,Distance_Matrix!$E$46:$DQ$46)/COUNTIF(Distance_Matrix!$E$12:$DQ$12,1))),IF(2=$E440,1E+99,IF(COUNTIF(Distance_Matrix!$E$12:$DQ$12,2)=0,1E+99,SUMIF(Distance_Matrix!$E$12:$DQ$12,2,Distance_Matrix!$E$46:$DQ$46)/COUNTIF(Distance_Matrix!$E$12:$DQ$12,2))),IF(3=$E440,1E+99,IF(COUNTIF(Distance_Matrix!$E$12:$DQ$12,3)=0,1E+99,SUMIF(Distance_Matrix!$E$12:$DQ$12,3,Distance_Matrix!$E$46:$DQ$46)/COUNTIF(Distance_Matrix!$E$12:$DQ$12,3))),IF(4=$E440,1E+99,IF(COUNTIF(Distance_Matrix!$E$12:$DQ$12,4)=0,1E+99,SUMIF(Distance_Matrix!$E$12:$DQ$12,4,Distance_Matrix!$E$46:$DQ$46)/COUNTIF(Distance_Matrix!$E$12:$DQ$12,4))),IF(5=$E440,1E+99,IF(COUNTIF(Distance_Matrix!$E$12:$DQ$12,5)=0,1E+99,SUMIF(Distance_Matrix!$E$12:$DQ$12,5,Distance_Matrix!$E$46:$DQ$46)/COUNTIF(Distance_Matrix!$E$12:$DQ$12,5))),IF(6=$E440,1E+99,IF(COUNTIF(Distance_Matrix!$E$12:$DQ$12,6)=0,1E+99,SUMIF(Distance_Matrix!$E$12:$DQ$12,6,Distance_Matrix!$E$46:$DQ$46)/COUNTIF(Distance_Matrix!$E$12:$DQ$12,6))))</f>
        <v>1.1566756256094897</v>
      </c>
      <c r="I440" s="18">
        <f>IF(COUNTIF(Distance_Matrix!$E$12:$DQ$12,$E440)&lt;=1,0,(H440-G440)/MAX(G440,H440))</f>
        <v>0.13047989999695928</v>
      </c>
      <c r="X440" s="18">
        <f t="shared" si="506"/>
        <v>5.4512731124576481</v>
      </c>
      <c r="Y440" s="18">
        <f t="shared" si="506"/>
        <v>3.1584931364728011</v>
      </c>
      <c r="Z440" s="18">
        <f t="shared" si="506"/>
        <v>1.2871988045077052</v>
      </c>
      <c r="AA440" s="18">
        <f t="shared" si="506"/>
        <v>1.5300312133399783</v>
      </c>
      <c r="AB440" s="18">
        <f t="shared" si="506"/>
        <v>3.373200352844651</v>
      </c>
      <c r="AC440" s="18">
        <f t="shared" si="506"/>
        <v>1.3875460159417854</v>
      </c>
      <c r="AD440" s="56">
        <f t="shared" ref="AD440:AD471" si="520">MATCH(MIN(X440:AC440),X440:AC440,0)</f>
        <v>3</v>
      </c>
      <c r="AF440" s="18">
        <f t="shared" si="507"/>
        <v>5.3357585274744697</v>
      </c>
      <c r="AG440" s="18">
        <f t="shared" si="507"/>
        <v>2.5297482764358525</v>
      </c>
      <c r="AH440" s="18">
        <f t="shared" si="507"/>
        <v>0.83855672320270336</v>
      </c>
      <c r="AI440" s="18">
        <f t="shared" si="507"/>
        <v>1.5147424690848375</v>
      </c>
      <c r="AJ440" s="18">
        <f t="shared" si="507"/>
        <v>3.0589729406309392</v>
      </c>
      <c r="AK440" s="18">
        <f t="shared" si="507"/>
        <v>1.1124394820494268</v>
      </c>
      <c r="AL440" s="56">
        <f t="shared" ref="AL440:AL471" si="521">MATCH(MIN(AF440:AK440),AF440:AK440,0)</f>
        <v>3</v>
      </c>
      <c r="AN440" s="18">
        <f t="shared" si="508"/>
        <v>5.3357585274744697</v>
      </c>
      <c r="AO440" s="18">
        <f t="shared" si="508"/>
        <v>2.4874424734001663</v>
      </c>
      <c r="AP440" s="18">
        <f t="shared" si="508"/>
        <v>0.8134187371383359</v>
      </c>
      <c r="AQ440" s="18">
        <f t="shared" si="508"/>
        <v>1.5390833251948401</v>
      </c>
      <c r="AR440" s="18">
        <f t="shared" si="508"/>
        <v>3.0589729406309392</v>
      </c>
      <c r="AS440" s="18">
        <f t="shared" si="508"/>
        <v>1.0784616716834612</v>
      </c>
      <c r="AT440" s="56">
        <f t="shared" ref="AT440:AT471" si="522">MATCH(MIN(AN440:AS440),AN440:AS440,0)</f>
        <v>3</v>
      </c>
      <c r="AV440" s="18">
        <f t="shared" si="509"/>
        <v>5.3357585274744697</v>
      </c>
      <c r="AW440" s="18">
        <f t="shared" si="509"/>
        <v>2.4598975178801381</v>
      </c>
      <c r="AX440" s="18">
        <f t="shared" si="509"/>
        <v>0.8134187371383359</v>
      </c>
      <c r="AY440" s="18">
        <f t="shared" si="509"/>
        <v>1.5390833251948401</v>
      </c>
      <c r="AZ440" s="18">
        <f t="shared" si="509"/>
        <v>3.0589729406309392</v>
      </c>
      <c r="BA440" s="18">
        <f t="shared" si="509"/>
        <v>1.0589419256780435</v>
      </c>
      <c r="BB440" s="56">
        <f t="shared" ref="BB440:BB471" si="523">MATCH(MIN(AV440:BA440),AV440:BA440,0)</f>
        <v>3</v>
      </c>
      <c r="BD440" s="18">
        <f t="shared" si="510"/>
        <v>5.3357585274744697</v>
      </c>
      <c r="BE440" s="18">
        <f t="shared" si="510"/>
        <v>2.4340319116985643</v>
      </c>
      <c r="BF440" s="18">
        <f t="shared" si="510"/>
        <v>0.8134187371383359</v>
      </c>
      <c r="BG440" s="18">
        <f t="shared" si="510"/>
        <v>1.5390833251948401</v>
      </c>
      <c r="BH440" s="18">
        <f t="shared" si="510"/>
        <v>3.0589729406309392</v>
      </c>
      <c r="BI440" s="18">
        <f t="shared" si="510"/>
        <v>1.0376893792745121</v>
      </c>
      <c r="BJ440" s="56">
        <f t="shared" ref="BJ440:BJ471" si="524">MATCH(MIN(BD440:BI440),BD440:BI440,0)</f>
        <v>3</v>
      </c>
      <c r="BL440" s="18">
        <f t="shared" si="511"/>
        <v>5.3357585274744697</v>
      </c>
      <c r="BM440" s="18">
        <f t="shared" si="511"/>
        <v>2.4340319116985643</v>
      </c>
      <c r="BN440" s="18">
        <f t="shared" si="511"/>
        <v>0.8134187371383359</v>
      </c>
      <c r="BO440" s="18">
        <f t="shared" si="511"/>
        <v>1.5390833251948401</v>
      </c>
      <c r="BP440" s="18">
        <f t="shared" si="511"/>
        <v>3.0589729406309392</v>
      </c>
      <c r="BQ440" s="18">
        <f t="shared" si="511"/>
        <v>1.0376893792745121</v>
      </c>
      <c r="BR440" s="56">
        <f t="shared" ref="BR440:BR471" si="525">MATCH(MIN(BL440:BQ440),BL440:BQ440,0)</f>
        <v>3</v>
      </c>
      <c r="BT440" s="18">
        <f t="shared" si="512"/>
        <v>5.3357585274744697</v>
      </c>
      <c r="BU440" s="18">
        <f t="shared" si="512"/>
        <v>2.4340319116985643</v>
      </c>
      <c r="BV440" s="18">
        <f t="shared" si="512"/>
        <v>0.8134187371383359</v>
      </c>
      <c r="BW440" s="18">
        <f t="shared" si="512"/>
        <v>1.5390833251948401</v>
      </c>
      <c r="BX440" s="18">
        <f t="shared" si="512"/>
        <v>3.0589729406309392</v>
      </c>
      <c r="BY440" s="18">
        <f t="shared" si="512"/>
        <v>1.0376893792745121</v>
      </c>
      <c r="BZ440" s="56">
        <f t="shared" ref="BZ440:BZ471" si="526">MATCH(MIN(BT440:BY440),BT440:BY440,0)</f>
        <v>3</v>
      </c>
      <c r="CB440" s="18">
        <f t="shared" si="513"/>
        <v>5.3357585274744697</v>
      </c>
      <c r="CC440" s="18">
        <f t="shared" si="513"/>
        <v>2.4340319116985643</v>
      </c>
      <c r="CD440" s="18">
        <f t="shared" si="513"/>
        <v>0.8134187371383359</v>
      </c>
      <c r="CE440" s="18">
        <f t="shared" si="513"/>
        <v>1.5390833251948401</v>
      </c>
      <c r="CF440" s="18">
        <f t="shared" si="513"/>
        <v>3.0589729406309392</v>
      </c>
      <c r="CG440" s="18">
        <f t="shared" si="513"/>
        <v>1.0376893792745121</v>
      </c>
      <c r="CH440" s="56">
        <f t="shared" ref="CH440:CH471" si="527">MATCH(MIN(CB440:CG440),CB440:CG440,0)</f>
        <v>3</v>
      </c>
      <c r="CJ440" s="18">
        <f t="shared" si="514"/>
        <v>5.3357585274744697</v>
      </c>
      <c r="CK440" s="18">
        <f t="shared" si="514"/>
        <v>2.4340319116985643</v>
      </c>
      <c r="CL440" s="18">
        <f t="shared" si="514"/>
        <v>0.8134187371383359</v>
      </c>
      <c r="CM440" s="18">
        <f t="shared" si="514"/>
        <v>1.5390833251948401</v>
      </c>
      <c r="CN440" s="18">
        <f t="shared" si="514"/>
        <v>3.0589729406309392</v>
      </c>
      <c r="CO440" s="18">
        <f t="shared" si="514"/>
        <v>1.0376893792745121</v>
      </c>
      <c r="CP440" s="56">
        <f t="shared" ref="CP440:CP471" si="528">MATCH(MIN(CJ440:CO440),CJ440:CO440,0)</f>
        <v>3</v>
      </c>
      <c r="CR440" s="18">
        <f t="shared" si="515"/>
        <v>5.3357585274744697</v>
      </c>
      <c r="CS440" s="18">
        <f t="shared" si="515"/>
        <v>2.4340319116985643</v>
      </c>
      <c r="CT440" s="18">
        <f t="shared" si="515"/>
        <v>0.8134187371383359</v>
      </c>
      <c r="CU440" s="18">
        <f t="shared" si="515"/>
        <v>1.5390833251948401</v>
      </c>
      <c r="CV440" s="18">
        <f t="shared" si="515"/>
        <v>3.0589729406309392</v>
      </c>
      <c r="CW440" s="18">
        <f t="shared" si="515"/>
        <v>1.0376893792745121</v>
      </c>
      <c r="CX440" s="56">
        <f t="shared" ref="CX440:CX471" si="529">MATCH(MIN(CR440:CW440),CR440:CW440,0)</f>
        <v>3</v>
      </c>
      <c r="CZ440" s="18">
        <f t="shared" si="516"/>
        <v>5.3357585274744697</v>
      </c>
      <c r="DA440" s="18">
        <f t="shared" si="516"/>
        <v>2.4340319116985643</v>
      </c>
      <c r="DB440" s="18">
        <f t="shared" si="516"/>
        <v>0.8134187371383359</v>
      </c>
      <c r="DC440" s="18">
        <f t="shared" si="516"/>
        <v>1.5390833251948401</v>
      </c>
      <c r="DD440" s="18">
        <f t="shared" si="516"/>
        <v>3.0589729406309392</v>
      </c>
      <c r="DE440" s="18">
        <f t="shared" si="516"/>
        <v>1.0376893792745121</v>
      </c>
      <c r="DF440" s="56">
        <f t="shared" ref="DF440:DF471" si="530">MATCH(MIN(CZ440:DE440),CZ440:DE440,0)</f>
        <v>3</v>
      </c>
      <c r="DH440" s="18">
        <f t="shared" si="517"/>
        <v>5.3357585274744697</v>
      </c>
      <c r="DI440" s="18">
        <f t="shared" si="517"/>
        <v>2.4340319116985643</v>
      </c>
      <c r="DJ440" s="18">
        <f t="shared" si="517"/>
        <v>0.8134187371383359</v>
      </c>
      <c r="DK440" s="18">
        <f t="shared" si="517"/>
        <v>1.5390833251948401</v>
      </c>
      <c r="DL440" s="18">
        <f t="shared" si="517"/>
        <v>3.0589729406309392</v>
      </c>
      <c r="DM440" s="18">
        <f t="shared" si="517"/>
        <v>1.0376893792745121</v>
      </c>
      <c r="DN440" s="56">
        <f t="shared" ref="DN440:DN471" si="531">MATCH(MIN(DH440:DM440),DH440:DM440,0)</f>
        <v>3</v>
      </c>
    </row>
    <row r="441" spans="1:118" x14ac:dyDescent="0.25">
      <c r="A441" s="36" t="str">
        <f>KMeans_Data!A38</f>
        <v>Shangla</v>
      </c>
      <c r="B441" s="18">
        <f>KMeans_Data!H38</f>
        <v>0.48474983033217361</v>
      </c>
      <c r="C441" s="18">
        <f>KMeans_Data!I38</f>
        <v>-0.14698313392952958</v>
      </c>
      <c r="D441" s="18">
        <f>KMeans_Data!J38</f>
        <v>0.55201703639881239</v>
      </c>
      <c r="E441" s="56">
        <f t="shared" si="518"/>
        <v>6</v>
      </c>
      <c r="F441" s="38">
        <f t="shared" si="519"/>
        <v>0.60598177154849342</v>
      </c>
      <c r="G441" s="18">
        <f>IF(COUNTIF(Distance_Matrix!$E$12:$DQ$12,$E441)&lt;=1,0,SUMIF(Distance_Matrix!$E$12:$DQ$12,$E441,Distance_Matrix!$E$47:$DQ$47)/(COUNTIF(Distance_Matrix!$E$12:$DQ$12,$E441)-1))</f>
        <v>0.95982105716876465</v>
      </c>
      <c r="H441" s="18">
        <f>MIN(IF(1=$E441,1E+99,IF(COUNTIF(Distance_Matrix!$E$12:$DQ$12,1)=0,1E+99,SUMIF(Distance_Matrix!$E$12:$DQ$12,1,Distance_Matrix!$E$47:$DQ$47)/COUNTIF(Distance_Matrix!$E$12:$DQ$12,1))),IF(2=$E441,1E+99,IF(COUNTIF(Distance_Matrix!$E$12:$DQ$12,2)=0,1E+99,SUMIF(Distance_Matrix!$E$12:$DQ$12,2,Distance_Matrix!$E$47:$DQ$47)/COUNTIF(Distance_Matrix!$E$12:$DQ$12,2))),IF(3=$E441,1E+99,IF(COUNTIF(Distance_Matrix!$E$12:$DQ$12,3)=0,1E+99,SUMIF(Distance_Matrix!$E$12:$DQ$12,3,Distance_Matrix!$E$47:$DQ$47)/COUNTIF(Distance_Matrix!$E$12:$DQ$12,3))),IF(4=$E441,1E+99,IF(COUNTIF(Distance_Matrix!$E$12:$DQ$12,4)=0,1E+99,SUMIF(Distance_Matrix!$E$12:$DQ$12,4,Distance_Matrix!$E$47:$DQ$47)/COUNTIF(Distance_Matrix!$E$12:$DQ$12,4))),IF(5=$E441,1E+99,IF(COUNTIF(Distance_Matrix!$E$12:$DQ$12,5)=0,1E+99,SUMIF(Distance_Matrix!$E$12:$DQ$12,5,Distance_Matrix!$E$47:$DQ$47)/COUNTIF(Distance_Matrix!$E$12:$DQ$12,5))),IF(6=$E441,1E+99,IF(COUNTIF(Distance_Matrix!$E$12:$DQ$12,6)=0,1E+99,SUMIF(Distance_Matrix!$E$12:$DQ$12,6,Distance_Matrix!$E$47:$DQ$47)/COUNTIF(Distance_Matrix!$E$12:$DQ$12,6))))</f>
        <v>1.1960539312590037</v>
      </c>
      <c r="I441" s="18">
        <f>IF(COUNTIF(Distance_Matrix!$E$12:$DQ$12,$E441)&lt;=1,0,(H441-G441)/MAX(G441,H441))</f>
        <v>0.19751021916007833</v>
      </c>
      <c r="X441" s="18">
        <f t="shared" si="506"/>
        <v>5.7093441936674045</v>
      </c>
      <c r="Y441" s="18">
        <f t="shared" si="506"/>
        <v>3.1200925235572523</v>
      </c>
      <c r="Z441" s="18">
        <f t="shared" si="506"/>
        <v>1.193781578262858</v>
      </c>
      <c r="AA441" s="18">
        <f t="shared" si="506"/>
        <v>1.7052711441023685</v>
      </c>
      <c r="AB441" s="18">
        <f t="shared" si="506"/>
        <v>3.5785889331999092</v>
      </c>
      <c r="AC441" s="18">
        <f t="shared" si="506"/>
        <v>1.1933918336182814</v>
      </c>
      <c r="AD441" s="56">
        <f t="shared" si="520"/>
        <v>6</v>
      </c>
      <c r="AF441" s="18">
        <f t="shared" si="507"/>
        <v>5.6181177967369971</v>
      </c>
      <c r="AG441" s="18">
        <f t="shared" si="507"/>
        <v>2.4954193752059446</v>
      </c>
      <c r="AH441" s="18">
        <f t="shared" si="507"/>
        <v>1.0999209725586614</v>
      </c>
      <c r="AI441" s="18">
        <f t="shared" si="507"/>
        <v>1.4999463425622253</v>
      </c>
      <c r="AJ441" s="18">
        <f t="shared" si="507"/>
        <v>3.36545834553496</v>
      </c>
      <c r="AK441" s="18">
        <f t="shared" si="507"/>
        <v>0.87485349354647512</v>
      </c>
      <c r="AL441" s="56">
        <f t="shared" si="521"/>
        <v>6</v>
      </c>
      <c r="AN441" s="18">
        <f t="shared" si="508"/>
        <v>5.6181177967369971</v>
      </c>
      <c r="AO441" s="18">
        <f t="shared" si="508"/>
        <v>2.4505990796944812</v>
      </c>
      <c r="AP441" s="18">
        <f t="shared" si="508"/>
        <v>1.0785324237552436</v>
      </c>
      <c r="AQ441" s="18">
        <f t="shared" si="508"/>
        <v>1.5148720671269127</v>
      </c>
      <c r="AR441" s="18">
        <f t="shared" si="508"/>
        <v>3.36545834553496</v>
      </c>
      <c r="AS441" s="18">
        <f t="shared" si="508"/>
        <v>0.82956805408854772</v>
      </c>
      <c r="AT441" s="56">
        <f t="shared" si="522"/>
        <v>6</v>
      </c>
      <c r="AV441" s="18">
        <f t="shared" si="509"/>
        <v>5.6181177967369971</v>
      </c>
      <c r="AW441" s="18">
        <f t="shared" si="509"/>
        <v>2.4199849979306478</v>
      </c>
      <c r="AX441" s="18">
        <f t="shared" si="509"/>
        <v>1.0785324237552436</v>
      </c>
      <c r="AY441" s="18">
        <f t="shared" si="509"/>
        <v>1.5148720671269127</v>
      </c>
      <c r="AZ441" s="18">
        <f t="shared" si="509"/>
        <v>3.36545834553496</v>
      </c>
      <c r="BA441" s="18">
        <f t="shared" si="509"/>
        <v>0.80479545944842901</v>
      </c>
      <c r="BB441" s="56">
        <f t="shared" si="523"/>
        <v>6</v>
      </c>
      <c r="BD441" s="18">
        <f t="shared" si="510"/>
        <v>5.6181177967369971</v>
      </c>
      <c r="BE441" s="18">
        <f t="shared" si="510"/>
        <v>2.3908245290653189</v>
      </c>
      <c r="BF441" s="18">
        <f t="shared" si="510"/>
        <v>1.0785324237552436</v>
      </c>
      <c r="BG441" s="18">
        <f t="shared" si="510"/>
        <v>1.5148720671269127</v>
      </c>
      <c r="BH441" s="18">
        <f t="shared" si="510"/>
        <v>3.36545834553496</v>
      </c>
      <c r="BI441" s="18">
        <f t="shared" si="510"/>
        <v>0.77844831013272386</v>
      </c>
      <c r="BJ441" s="56">
        <f t="shared" si="524"/>
        <v>6</v>
      </c>
      <c r="BL441" s="18">
        <f t="shared" si="511"/>
        <v>5.6181177967369971</v>
      </c>
      <c r="BM441" s="18">
        <f t="shared" si="511"/>
        <v>2.3908245290653189</v>
      </c>
      <c r="BN441" s="18">
        <f t="shared" si="511"/>
        <v>1.0785324237552436</v>
      </c>
      <c r="BO441" s="18">
        <f t="shared" si="511"/>
        <v>1.5148720671269127</v>
      </c>
      <c r="BP441" s="18">
        <f t="shared" si="511"/>
        <v>3.36545834553496</v>
      </c>
      <c r="BQ441" s="18">
        <f t="shared" si="511"/>
        <v>0.77844831013272386</v>
      </c>
      <c r="BR441" s="56">
        <f t="shared" si="525"/>
        <v>6</v>
      </c>
      <c r="BT441" s="18">
        <f t="shared" si="512"/>
        <v>5.6181177967369971</v>
      </c>
      <c r="BU441" s="18">
        <f t="shared" si="512"/>
        <v>2.3908245290653189</v>
      </c>
      <c r="BV441" s="18">
        <f t="shared" si="512"/>
        <v>1.0785324237552436</v>
      </c>
      <c r="BW441" s="18">
        <f t="shared" si="512"/>
        <v>1.5148720671269127</v>
      </c>
      <c r="BX441" s="18">
        <f t="shared" si="512"/>
        <v>3.36545834553496</v>
      </c>
      <c r="BY441" s="18">
        <f t="shared" si="512"/>
        <v>0.77844831013272386</v>
      </c>
      <c r="BZ441" s="56">
        <f t="shared" si="526"/>
        <v>6</v>
      </c>
      <c r="CB441" s="18">
        <f t="shared" si="513"/>
        <v>5.6181177967369971</v>
      </c>
      <c r="CC441" s="18">
        <f t="shared" si="513"/>
        <v>2.3908245290653189</v>
      </c>
      <c r="CD441" s="18">
        <f t="shared" si="513"/>
        <v>1.0785324237552436</v>
      </c>
      <c r="CE441" s="18">
        <f t="shared" si="513"/>
        <v>1.5148720671269127</v>
      </c>
      <c r="CF441" s="18">
        <f t="shared" si="513"/>
        <v>3.36545834553496</v>
      </c>
      <c r="CG441" s="18">
        <f t="shared" si="513"/>
        <v>0.77844831013272386</v>
      </c>
      <c r="CH441" s="56">
        <f t="shared" si="527"/>
        <v>6</v>
      </c>
      <c r="CJ441" s="18">
        <f t="shared" si="514"/>
        <v>5.6181177967369971</v>
      </c>
      <c r="CK441" s="18">
        <f t="shared" si="514"/>
        <v>2.3908245290653189</v>
      </c>
      <c r="CL441" s="18">
        <f t="shared" si="514"/>
        <v>1.0785324237552436</v>
      </c>
      <c r="CM441" s="18">
        <f t="shared" si="514"/>
        <v>1.5148720671269127</v>
      </c>
      <c r="CN441" s="18">
        <f t="shared" si="514"/>
        <v>3.36545834553496</v>
      </c>
      <c r="CO441" s="18">
        <f t="shared" si="514"/>
        <v>0.77844831013272386</v>
      </c>
      <c r="CP441" s="56">
        <f t="shared" si="528"/>
        <v>6</v>
      </c>
      <c r="CR441" s="18">
        <f t="shared" si="515"/>
        <v>5.6181177967369971</v>
      </c>
      <c r="CS441" s="18">
        <f t="shared" si="515"/>
        <v>2.3908245290653189</v>
      </c>
      <c r="CT441" s="18">
        <f t="shared" si="515"/>
        <v>1.0785324237552436</v>
      </c>
      <c r="CU441" s="18">
        <f t="shared" si="515"/>
        <v>1.5148720671269127</v>
      </c>
      <c r="CV441" s="18">
        <f t="shared" si="515"/>
        <v>3.36545834553496</v>
      </c>
      <c r="CW441" s="18">
        <f t="shared" si="515"/>
        <v>0.77844831013272386</v>
      </c>
      <c r="CX441" s="56">
        <f t="shared" si="529"/>
        <v>6</v>
      </c>
      <c r="CZ441" s="18">
        <f t="shared" si="516"/>
        <v>5.6181177967369971</v>
      </c>
      <c r="DA441" s="18">
        <f t="shared" si="516"/>
        <v>2.3908245290653189</v>
      </c>
      <c r="DB441" s="18">
        <f t="shared" si="516"/>
        <v>1.0785324237552436</v>
      </c>
      <c r="DC441" s="18">
        <f t="shared" si="516"/>
        <v>1.5148720671269127</v>
      </c>
      <c r="DD441" s="18">
        <f t="shared" si="516"/>
        <v>3.36545834553496</v>
      </c>
      <c r="DE441" s="18">
        <f t="shared" si="516"/>
        <v>0.77844831013272386</v>
      </c>
      <c r="DF441" s="56">
        <f t="shared" si="530"/>
        <v>6</v>
      </c>
      <c r="DH441" s="18">
        <f t="shared" si="517"/>
        <v>5.6181177967369971</v>
      </c>
      <c r="DI441" s="18">
        <f t="shared" si="517"/>
        <v>2.3908245290653189</v>
      </c>
      <c r="DJ441" s="18">
        <f t="shared" si="517"/>
        <v>1.0785324237552436</v>
      </c>
      <c r="DK441" s="18">
        <f t="shared" si="517"/>
        <v>1.5148720671269127</v>
      </c>
      <c r="DL441" s="18">
        <f t="shared" si="517"/>
        <v>3.36545834553496</v>
      </c>
      <c r="DM441" s="18">
        <f t="shared" si="517"/>
        <v>0.77844831013272386</v>
      </c>
      <c r="DN441" s="56">
        <f t="shared" si="531"/>
        <v>6</v>
      </c>
    </row>
    <row r="442" spans="1:118" x14ac:dyDescent="0.25">
      <c r="A442" s="36" t="str">
        <f>KMeans_Data!A39</f>
        <v>Mansehra</v>
      </c>
      <c r="B442" s="18">
        <f>KMeans_Data!H39</f>
        <v>0.48474983033217361</v>
      </c>
      <c r="C442" s="18">
        <f>KMeans_Data!I39</f>
        <v>1.3810745208577742</v>
      </c>
      <c r="D442" s="18">
        <f>KMeans_Data!J39</f>
        <v>0.30731539115103124</v>
      </c>
      <c r="E442" s="56">
        <f t="shared" si="518"/>
        <v>3</v>
      </c>
      <c r="F442" s="38">
        <f t="shared" si="519"/>
        <v>0.75797183268730883</v>
      </c>
      <c r="G442" s="18">
        <f>IF(COUNTIF(Distance_Matrix!$E$12:$DQ$12,$E442)&lt;=1,0,SUMIF(Distance_Matrix!$E$12:$DQ$12,$E442,Distance_Matrix!$E$48:$DQ$48)/(COUNTIF(Distance_Matrix!$E$12:$DQ$12,$E442)-1))</f>
        <v>1.0541616150693209</v>
      </c>
      <c r="H442" s="18">
        <f>MIN(IF(1=$E442,1E+99,IF(COUNTIF(Distance_Matrix!$E$12:$DQ$12,1)=0,1E+99,SUMIF(Distance_Matrix!$E$12:$DQ$12,1,Distance_Matrix!$E$48:$DQ$48)/COUNTIF(Distance_Matrix!$E$12:$DQ$12,1))),IF(2=$E442,1E+99,IF(COUNTIF(Distance_Matrix!$E$12:$DQ$12,2)=0,1E+99,SUMIF(Distance_Matrix!$E$12:$DQ$12,2,Distance_Matrix!$E$48:$DQ$48)/COUNTIF(Distance_Matrix!$E$12:$DQ$12,2))),IF(3=$E442,1E+99,IF(COUNTIF(Distance_Matrix!$E$12:$DQ$12,3)=0,1E+99,SUMIF(Distance_Matrix!$E$12:$DQ$12,3,Distance_Matrix!$E$48:$DQ$48)/COUNTIF(Distance_Matrix!$E$12:$DQ$12,3))),IF(4=$E442,1E+99,IF(COUNTIF(Distance_Matrix!$E$12:$DQ$12,4)=0,1E+99,SUMIF(Distance_Matrix!$E$12:$DQ$12,4,Distance_Matrix!$E$48:$DQ$48)/COUNTIF(Distance_Matrix!$E$12:$DQ$12,4))),IF(5=$E442,1E+99,IF(COUNTIF(Distance_Matrix!$E$12:$DQ$12,5)=0,1E+99,SUMIF(Distance_Matrix!$E$12:$DQ$12,5,Distance_Matrix!$E$48:$DQ$48)/COUNTIF(Distance_Matrix!$E$12:$DQ$12,5))),IF(6=$E442,1E+99,IF(COUNTIF(Distance_Matrix!$E$12:$DQ$12,6)=0,1E+99,SUMIF(Distance_Matrix!$E$12:$DQ$12,6,Distance_Matrix!$E$48:$DQ$48)/COUNTIF(Distance_Matrix!$E$12:$DQ$12,6))))</f>
        <v>1.9408429050698148</v>
      </c>
      <c r="I442" s="18">
        <f>IF(COUNTIF(Distance_Matrix!$E$12:$DQ$12,$E442)&lt;=1,0,(H442-G442)/MAX(G442,H442))</f>
        <v>0.45685371427245869</v>
      </c>
      <c r="X442" s="18">
        <f t="shared" si="506"/>
        <v>4.8498232359863591</v>
      </c>
      <c r="Y442" s="18">
        <f t="shared" si="506"/>
        <v>3.592419201138521</v>
      </c>
      <c r="Z442" s="18">
        <f t="shared" si="506"/>
        <v>1.6318441222640736</v>
      </c>
      <c r="AA442" s="18">
        <f t="shared" si="506"/>
        <v>2.1146980427842497</v>
      </c>
      <c r="AB442" s="18">
        <f t="shared" si="506"/>
        <v>2.9379689416866364</v>
      </c>
      <c r="AC442" s="18">
        <f t="shared" si="506"/>
        <v>1.9637873553334679</v>
      </c>
      <c r="AD442" s="56">
        <f t="shared" si="520"/>
        <v>3</v>
      </c>
      <c r="AF442" s="18">
        <f t="shared" si="507"/>
        <v>4.7081959648159346</v>
      </c>
      <c r="AG442" s="18">
        <f t="shared" si="507"/>
        <v>3.0581481499386314</v>
      </c>
      <c r="AH442" s="18">
        <f t="shared" si="507"/>
        <v>0.88390290471883159</v>
      </c>
      <c r="AI442" s="18">
        <f t="shared" si="507"/>
        <v>2.2692152885502472</v>
      </c>
      <c r="AJ442" s="18">
        <f t="shared" si="507"/>
        <v>2.47386466289979</v>
      </c>
      <c r="AK442" s="18">
        <f t="shared" si="507"/>
        <v>1.9273970211628699</v>
      </c>
      <c r="AL442" s="56">
        <f t="shared" si="521"/>
        <v>3</v>
      </c>
      <c r="AN442" s="18">
        <f t="shared" si="508"/>
        <v>4.7081959648159346</v>
      </c>
      <c r="AO442" s="18">
        <f t="shared" si="508"/>
        <v>3.0243662839983627</v>
      </c>
      <c r="AP442" s="18">
        <f t="shared" si="508"/>
        <v>0.87061577787638833</v>
      </c>
      <c r="AQ442" s="18">
        <f t="shared" si="508"/>
        <v>2.2987442587657654</v>
      </c>
      <c r="AR442" s="18">
        <f t="shared" si="508"/>
        <v>2.47386466289979</v>
      </c>
      <c r="AS442" s="18">
        <f t="shared" si="508"/>
        <v>1.9059499683012313</v>
      </c>
      <c r="AT442" s="56">
        <f t="shared" si="522"/>
        <v>3</v>
      </c>
      <c r="AV442" s="18">
        <f t="shared" si="509"/>
        <v>4.7081959648159346</v>
      </c>
      <c r="AW442" s="18">
        <f t="shared" si="509"/>
        <v>3.0021395972689882</v>
      </c>
      <c r="AX442" s="18">
        <f t="shared" si="509"/>
        <v>0.87061577787638833</v>
      </c>
      <c r="AY442" s="18">
        <f t="shared" si="509"/>
        <v>2.2987442587657654</v>
      </c>
      <c r="AZ442" s="18">
        <f t="shared" si="509"/>
        <v>2.47386466289979</v>
      </c>
      <c r="BA442" s="18">
        <f t="shared" si="509"/>
        <v>1.8905681093241014</v>
      </c>
      <c r="BB442" s="56">
        <f t="shared" si="523"/>
        <v>3</v>
      </c>
      <c r="BD442" s="18">
        <f t="shared" si="510"/>
        <v>4.7081959648159346</v>
      </c>
      <c r="BE442" s="18">
        <f t="shared" si="510"/>
        <v>2.9812957580901105</v>
      </c>
      <c r="BF442" s="18">
        <f t="shared" si="510"/>
        <v>0.87061577787638833</v>
      </c>
      <c r="BG442" s="18">
        <f t="shared" si="510"/>
        <v>2.2987442587657654</v>
      </c>
      <c r="BH442" s="18">
        <f t="shared" si="510"/>
        <v>2.47386466289979</v>
      </c>
      <c r="BI442" s="18">
        <f t="shared" si="510"/>
        <v>1.8740897087155488</v>
      </c>
      <c r="BJ442" s="56">
        <f t="shared" si="524"/>
        <v>3</v>
      </c>
      <c r="BL442" s="18">
        <f t="shared" si="511"/>
        <v>4.7081959648159346</v>
      </c>
      <c r="BM442" s="18">
        <f t="shared" si="511"/>
        <v>2.9812957580901105</v>
      </c>
      <c r="BN442" s="18">
        <f t="shared" si="511"/>
        <v>0.87061577787638833</v>
      </c>
      <c r="BO442" s="18">
        <f t="shared" si="511"/>
        <v>2.2987442587657654</v>
      </c>
      <c r="BP442" s="18">
        <f t="shared" si="511"/>
        <v>2.47386466289979</v>
      </c>
      <c r="BQ442" s="18">
        <f t="shared" si="511"/>
        <v>1.8740897087155488</v>
      </c>
      <c r="BR442" s="56">
        <f t="shared" si="525"/>
        <v>3</v>
      </c>
      <c r="BT442" s="18">
        <f t="shared" si="512"/>
        <v>4.7081959648159346</v>
      </c>
      <c r="BU442" s="18">
        <f t="shared" si="512"/>
        <v>2.9812957580901105</v>
      </c>
      <c r="BV442" s="18">
        <f t="shared" si="512"/>
        <v>0.87061577787638833</v>
      </c>
      <c r="BW442" s="18">
        <f t="shared" si="512"/>
        <v>2.2987442587657654</v>
      </c>
      <c r="BX442" s="18">
        <f t="shared" si="512"/>
        <v>2.47386466289979</v>
      </c>
      <c r="BY442" s="18">
        <f t="shared" si="512"/>
        <v>1.8740897087155488</v>
      </c>
      <c r="BZ442" s="56">
        <f t="shared" si="526"/>
        <v>3</v>
      </c>
      <c r="CB442" s="18">
        <f t="shared" si="513"/>
        <v>4.7081959648159346</v>
      </c>
      <c r="CC442" s="18">
        <f t="shared" si="513"/>
        <v>2.9812957580901105</v>
      </c>
      <c r="CD442" s="18">
        <f t="shared" si="513"/>
        <v>0.87061577787638833</v>
      </c>
      <c r="CE442" s="18">
        <f t="shared" si="513"/>
        <v>2.2987442587657654</v>
      </c>
      <c r="CF442" s="18">
        <f t="shared" si="513"/>
        <v>2.47386466289979</v>
      </c>
      <c r="CG442" s="18">
        <f t="shared" si="513"/>
        <v>1.8740897087155488</v>
      </c>
      <c r="CH442" s="56">
        <f t="shared" si="527"/>
        <v>3</v>
      </c>
      <c r="CJ442" s="18">
        <f t="shared" si="514"/>
        <v>4.7081959648159346</v>
      </c>
      <c r="CK442" s="18">
        <f t="shared" si="514"/>
        <v>2.9812957580901105</v>
      </c>
      <c r="CL442" s="18">
        <f t="shared" si="514"/>
        <v>0.87061577787638833</v>
      </c>
      <c r="CM442" s="18">
        <f t="shared" si="514"/>
        <v>2.2987442587657654</v>
      </c>
      <c r="CN442" s="18">
        <f t="shared" si="514"/>
        <v>2.47386466289979</v>
      </c>
      <c r="CO442" s="18">
        <f t="shared" si="514"/>
        <v>1.8740897087155488</v>
      </c>
      <c r="CP442" s="56">
        <f t="shared" si="528"/>
        <v>3</v>
      </c>
      <c r="CR442" s="18">
        <f t="shared" si="515"/>
        <v>4.7081959648159346</v>
      </c>
      <c r="CS442" s="18">
        <f t="shared" si="515"/>
        <v>2.9812957580901105</v>
      </c>
      <c r="CT442" s="18">
        <f t="shared" si="515"/>
        <v>0.87061577787638833</v>
      </c>
      <c r="CU442" s="18">
        <f t="shared" si="515"/>
        <v>2.2987442587657654</v>
      </c>
      <c r="CV442" s="18">
        <f t="shared" si="515"/>
        <v>2.47386466289979</v>
      </c>
      <c r="CW442" s="18">
        <f t="shared" si="515"/>
        <v>1.8740897087155488</v>
      </c>
      <c r="CX442" s="56">
        <f t="shared" si="529"/>
        <v>3</v>
      </c>
      <c r="CZ442" s="18">
        <f t="shared" si="516"/>
        <v>4.7081959648159346</v>
      </c>
      <c r="DA442" s="18">
        <f t="shared" si="516"/>
        <v>2.9812957580901105</v>
      </c>
      <c r="DB442" s="18">
        <f t="shared" si="516"/>
        <v>0.87061577787638833</v>
      </c>
      <c r="DC442" s="18">
        <f t="shared" si="516"/>
        <v>2.2987442587657654</v>
      </c>
      <c r="DD442" s="18">
        <f t="shared" si="516"/>
        <v>2.47386466289979</v>
      </c>
      <c r="DE442" s="18">
        <f t="shared" si="516"/>
        <v>1.8740897087155488</v>
      </c>
      <c r="DF442" s="56">
        <f t="shared" si="530"/>
        <v>3</v>
      </c>
      <c r="DH442" s="18">
        <f t="shared" si="517"/>
        <v>4.7081959648159346</v>
      </c>
      <c r="DI442" s="18">
        <f t="shared" si="517"/>
        <v>2.9812957580901105</v>
      </c>
      <c r="DJ442" s="18">
        <f t="shared" si="517"/>
        <v>0.87061577787638833</v>
      </c>
      <c r="DK442" s="18">
        <f t="shared" si="517"/>
        <v>2.2987442587657654</v>
      </c>
      <c r="DL442" s="18">
        <f t="shared" si="517"/>
        <v>2.47386466289979</v>
      </c>
      <c r="DM442" s="18">
        <f t="shared" si="517"/>
        <v>1.8740897087155488</v>
      </c>
      <c r="DN442" s="56">
        <f t="shared" si="531"/>
        <v>3</v>
      </c>
    </row>
    <row r="443" spans="1:118" x14ac:dyDescent="0.25">
      <c r="A443" s="36" t="str">
        <f>KMeans_Data!A40</f>
        <v>Swabi</v>
      </c>
      <c r="B443" s="18">
        <f>KMeans_Data!H40</f>
        <v>0.45366775919714841</v>
      </c>
      <c r="C443" s="18">
        <f>KMeans_Data!I40</f>
        <v>1.1458599186993335</v>
      </c>
      <c r="D443" s="18">
        <f>KMeans_Data!J40</f>
        <v>0.71966725318196356</v>
      </c>
      <c r="E443" s="56">
        <f t="shared" si="518"/>
        <v>3</v>
      </c>
      <c r="F443" s="38">
        <f t="shared" si="519"/>
        <v>0.22745185759631739</v>
      </c>
      <c r="G443" s="18">
        <f>IF(COUNTIF(Distance_Matrix!$E$12:$DQ$12,$E443)&lt;=1,0,SUMIF(Distance_Matrix!$E$12:$DQ$12,$E443,Distance_Matrix!$E$49:$DQ$49)/(COUNTIF(Distance_Matrix!$E$12:$DQ$12,$E443)-1))</f>
        <v>0.78364869111254998</v>
      </c>
      <c r="H443" s="18">
        <f>MIN(IF(1=$E443,1E+99,IF(COUNTIF(Distance_Matrix!$E$12:$DQ$12,1)=0,1E+99,SUMIF(Distance_Matrix!$E$12:$DQ$12,1,Distance_Matrix!$E$49:$DQ$49)/COUNTIF(Distance_Matrix!$E$12:$DQ$12,1))),IF(2=$E443,1E+99,IF(COUNTIF(Distance_Matrix!$E$12:$DQ$12,2)=0,1E+99,SUMIF(Distance_Matrix!$E$12:$DQ$12,2,Distance_Matrix!$E$49:$DQ$49)/COUNTIF(Distance_Matrix!$E$12:$DQ$12,2))),IF(3=$E443,1E+99,IF(COUNTIF(Distance_Matrix!$E$12:$DQ$12,3)=0,1E+99,SUMIF(Distance_Matrix!$E$12:$DQ$12,3,Distance_Matrix!$E$49:$DQ$49)/COUNTIF(Distance_Matrix!$E$12:$DQ$12,3))),IF(4=$E443,1E+99,IF(COUNTIF(Distance_Matrix!$E$12:$DQ$12,4)=0,1E+99,SUMIF(Distance_Matrix!$E$12:$DQ$12,4,Distance_Matrix!$E$49:$DQ$49)/COUNTIF(Distance_Matrix!$E$12:$DQ$12,4))),IF(5=$E443,1E+99,IF(COUNTIF(Distance_Matrix!$E$12:$DQ$12,5)=0,1E+99,SUMIF(Distance_Matrix!$E$12:$DQ$12,5,Distance_Matrix!$E$49:$DQ$49)/COUNTIF(Distance_Matrix!$E$12:$DQ$12,5))),IF(6=$E443,1E+99,IF(COUNTIF(Distance_Matrix!$E$12:$DQ$12,6)=0,1E+99,SUMIF(Distance_Matrix!$E$12:$DQ$12,6,Distance_Matrix!$E$49:$DQ$49)/COUNTIF(Distance_Matrix!$E$12:$DQ$12,6))))</f>
        <v>1.7853326642596168</v>
      </c>
      <c r="I443" s="18">
        <f>IF(COUNTIF(Distance_Matrix!$E$12:$DQ$12,$E443)&lt;=1,0,(H443-G443)/MAX(G443,H443))</f>
        <v>0.56106292860690388</v>
      </c>
      <c r="X443" s="18">
        <f t="shared" si="506"/>
        <v>4.7688298155952484</v>
      </c>
      <c r="Y443" s="18">
        <f t="shared" si="506"/>
        <v>3.6338012413689014</v>
      </c>
      <c r="Z443" s="18">
        <f t="shared" si="506"/>
        <v>1.2218161570781203</v>
      </c>
      <c r="AA443" s="18">
        <f t="shared" si="506"/>
        <v>2.277651355890935</v>
      </c>
      <c r="AB443" s="18">
        <f t="shared" si="506"/>
        <v>2.7751268965196854</v>
      </c>
      <c r="AC443" s="18">
        <f t="shared" si="506"/>
        <v>1.7392576027665523</v>
      </c>
      <c r="AD443" s="56">
        <f t="shared" si="520"/>
        <v>3</v>
      </c>
      <c r="AF443" s="18">
        <f t="shared" si="507"/>
        <v>4.6530647193981176</v>
      </c>
      <c r="AG443" s="18">
        <f t="shared" si="507"/>
        <v>3.1093331871984531</v>
      </c>
      <c r="AH443" s="18">
        <f t="shared" si="507"/>
        <v>0.49458347088947407</v>
      </c>
      <c r="AI443" s="18">
        <f t="shared" si="507"/>
        <v>2.3261308953953157</v>
      </c>
      <c r="AJ443" s="18">
        <f t="shared" si="507"/>
        <v>2.4019774356085817</v>
      </c>
      <c r="AK443" s="18">
        <f t="shared" si="507"/>
        <v>1.7814704840819449</v>
      </c>
      <c r="AL443" s="56">
        <f t="shared" si="521"/>
        <v>3</v>
      </c>
      <c r="AN443" s="18">
        <f t="shared" si="508"/>
        <v>4.6530647193981176</v>
      </c>
      <c r="AO443" s="18">
        <f t="shared" si="508"/>
        <v>3.0734968368674669</v>
      </c>
      <c r="AP443" s="18">
        <f t="shared" si="508"/>
        <v>0.47691913108651596</v>
      </c>
      <c r="AQ443" s="18">
        <f t="shared" si="508"/>
        <v>2.3528631416022274</v>
      </c>
      <c r="AR443" s="18">
        <f t="shared" si="508"/>
        <v>2.4019774356085817</v>
      </c>
      <c r="AS443" s="18">
        <f t="shared" si="508"/>
        <v>1.754341224876848</v>
      </c>
      <c r="AT443" s="56">
        <f t="shared" si="522"/>
        <v>3</v>
      </c>
      <c r="AV443" s="18">
        <f t="shared" si="509"/>
        <v>4.6530647193981176</v>
      </c>
      <c r="AW443" s="18">
        <f t="shared" si="509"/>
        <v>3.0482532928514687</v>
      </c>
      <c r="AX443" s="18">
        <f t="shared" si="509"/>
        <v>0.47691913108651596</v>
      </c>
      <c r="AY443" s="18">
        <f t="shared" si="509"/>
        <v>2.3528631416022274</v>
      </c>
      <c r="AZ443" s="18">
        <f t="shared" si="509"/>
        <v>2.4019774356085817</v>
      </c>
      <c r="BA443" s="18">
        <f t="shared" si="509"/>
        <v>1.7348313414788279</v>
      </c>
      <c r="BB443" s="56">
        <f t="shared" si="523"/>
        <v>3</v>
      </c>
      <c r="BD443" s="18">
        <f t="shared" si="510"/>
        <v>4.6530647193981176</v>
      </c>
      <c r="BE443" s="18">
        <f t="shared" si="510"/>
        <v>3.024133751389722</v>
      </c>
      <c r="BF443" s="18">
        <f t="shared" si="510"/>
        <v>0.47691913108651596</v>
      </c>
      <c r="BG443" s="18">
        <f t="shared" si="510"/>
        <v>2.3528631416022274</v>
      </c>
      <c r="BH443" s="18">
        <f t="shared" si="510"/>
        <v>2.4019774356085817</v>
      </c>
      <c r="BI443" s="18">
        <f t="shared" si="510"/>
        <v>1.7145229689464725</v>
      </c>
      <c r="BJ443" s="56">
        <f t="shared" si="524"/>
        <v>3</v>
      </c>
      <c r="BL443" s="18">
        <f t="shared" si="511"/>
        <v>4.6530647193981176</v>
      </c>
      <c r="BM443" s="18">
        <f t="shared" si="511"/>
        <v>3.024133751389722</v>
      </c>
      <c r="BN443" s="18">
        <f t="shared" si="511"/>
        <v>0.47691913108651596</v>
      </c>
      <c r="BO443" s="18">
        <f t="shared" si="511"/>
        <v>2.3528631416022274</v>
      </c>
      <c r="BP443" s="18">
        <f t="shared" si="511"/>
        <v>2.4019774356085817</v>
      </c>
      <c r="BQ443" s="18">
        <f t="shared" si="511"/>
        <v>1.7145229689464725</v>
      </c>
      <c r="BR443" s="56">
        <f t="shared" si="525"/>
        <v>3</v>
      </c>
      <c r="BT443" s="18">
        <f t="shared" si="512"/>
        <v>4.6530647193981176</v>
      </c>
      <c r="BU443" s="18">
        <f t="shared" si="512"/>
        <v>3.024133751389722</v>
      </c>
      <c r="BV443" s="18">
        <f t="shared" si="512"/>
        <v>0.47691913108651596</v>
      </c>
      <c r="BW443" s="18">
        <f t="shared" si="512"/>
        <v>2.3528631416022274</v>
      </c>
      <c r="BX443" s="18">
        <f t="shared" si="512"/>
        <v>2.4019774356085817</v>
      </c>
      <c r="BY443" s="18">
        <f t="shared" si="512"/>
        <v>1.7145229689464725</v>
      </c>
      <c r="BZ443" s="56">
        <f t="shared" si="526"/>
        <v>3</v>
      </c>
      <c r="CB443" s="18">
        <f t="shared" si="513"/>
        <v>4.6530647193981176</v>
      </c>
      <c r="CC443" s="18">
        <f t="shared" si="513"/>
        <v>3.024133751389722</v>
      </c>
      <c r="CD443" s="18">
        <f t="shared" si="513"/>
        <v>0.47691913108651596</v>
      </c>
      <c r="CE443" s="18">
        <f t="shared" si="513"/>
        <v>2.3528631416022274</v>
      </c>
      <c r="CF443" s="18">
        <f t="shared" si="513"/>
        <v>2.4019774356085817</v>
      </c>
      <c r="CG443" s="18">
        <f t="shared" si="513"/>
        <v>1.7145229689464725</v>
      </c>
      <c r="CH443" s="56">
        <f t="shared" si="527"/>
        <v>3</v>
      </c>
      <c r="CJ443" s="18">
        <f t="shared" si="514"/>
        <v>4.6530647193981176</v>
      </c>
      <c r="CK443" s="18">
        <f t="shared" si="514"/>
        <v>3.024133751389722</v>
      </c>
      <c r="CL443" s="18">
        <f t="shared" si="514"/>
        <v>0.47691913108651596</v>
      </c>
      <c r="CM443" s="18">
        <f t="shared" si="514"/>
        <v>2.3528631416022274</v>
      </c>
      <c r="CN443" s="18">
        <f t="shared" si="514"/>
        <v>2.4019774356085817</v>
      </c>
      <c r="CO443" s="18">
        <f t="shared" si="514"/>
        <v>1.7145229689464725</v>
      </c>
      <c r="CP443" s="56">
        <f t="shared" si="528"/>
        <v>3</v>
      </c>
      <c r="CR443" s="18">
        <f t="shared" si="515"/>
        <v>4.6530647193981176</v>
      </c>
      <c r="CS443" s="18">
        <f t="shared" si="515"/>
        <v>3.024133751389722</v>
      </c>
      <c r="CT443" s="18">
        <f t="shared" si="515"/>
        <v>0.47691913108651596</v>
      </c>
      <c r="CU443" s="18">
        <f t="shared" si="515"/>
        <v>2.3528631416022274</v>
      </c>
      <c r="CV443" s="18">
        <f t="shared" si="515"/>
        <v>2.4019774356085817</v>
      </c>
      <c r="CW443" s="18">
        <f t="shared" si="515"/>
        <v>1.7145229689464725</v>
      </c>
      <c r="CX443" s="56">
        <f t="shared" si="529"/>
        <v>3</v>
      </c>
      <c r="CZ443" s="18">
        <f t="shared" si="516"/>
        <v>4.6530647193981176</v>
      </c>
      <c r="DA443" s="18">
        <f t="shared" si="516"/>
        <v>3.024133751389722</v>
      </c>
      <c r="DB443" s="18">
        <f t="shared" si="516"/>
        <v>0.47691913108651596</v>
      </c>
      <c r="DC443" s="18">
        <f t="shared" si="516"/>
        <v>2.3528631416022274</v>
      </c>
      <c r="DD443" s="18">
        <f t="shared" si="516"/>
        <v>2.4019774356085817</v>
      </c>
      <c r="DE443" s="18">
        <f t="shared" si="516"/>
        <v>1.7145229689464725</v>
      </c>
      <c r="DF443" s="56">
        <f t="shared" si="530"/>
        <v>3</v>
      </c>
      <c r="DH443" s="18">
        <f t="shared" si="517"/>
        <v>4.6530647193981176</v>
      </c>
      <c r="DI443" s="18">
        <f t="shared" si="517"/>
        <v>3.024133751389722</v>
      </c>
      <c r="DJ443" s="18">
        <f t="shared" si="517"/>
        <v>0.47691913108651596</v>
      </c>
      <c r="DK443" s="18">
        <f t="shared" si="517"/>
        <v>2.3528631416022274</v>
      </c>
      <c r="DL443" s="18">
        <f t="shared" si="517"/>
        <v>2.4019774356085817</v>
      </c>
      <c r="DM443" s="18">
        <f t="shared" si="517"/>
        <v>1.7145229689464725</v>
      </c>
      <c r="DN443" s="56">
        <f t="shared" si="531"/>
        <v>3</v>
      </c>
    </row>
    <row r="444" spans="1:118" x14ac:dyDescent="0.25">
      <c r="A444" s="36" t="str">
        <f>KMeans_Data!A41</f>
        <v>Haripur</v>
      </c>
      <c r="B444" s="18">
        <f>KMeans_Data!H41</f>
        <v>0.43325455393275542</v>
      </c>
      <c r="C444" s="18">
        <f>KMeans_Data!I41</f>
        <v>0.37868427752921691</v>
      </c>
      <c r="D444" s="18">
        <f>KMeans_Data!J41</f>
        <v>0.53998023220398461</v>
      </c>
      <c r="E444" s="56">
        <f t="shared" si="518"/>
        <v>3</v>
      </c>
      <c r="F444" s="38">
        <f t="shared" si="519"/>
        <v>0.45108437349709585</v>
      </c>
      <c r="G444" s="18">
        <f>IF(COUNTIF(Distance_Matrix!$E$12:$DQ$12,$E444)&lt;=1,0,SUMIF(Distance_Matrix!$E$12:$DQ$12,$E444,Distance_Matrix!$E$50:$DQ$50)/(COUNTIF(Distance_Matrix!$E$12:$DQ$12,$E444)-1))</f>
        <v>0.89128546705438028</v>
      </c>
      <c r="H444" s="18">
        <f>MIN(IF(1=$E444,1E+99,IF(COUNTIF(Distance_Matrix!$E$12:$DQ$12,1)=0,1E+99,SUMIF(Distance_Matrix!$E$12:$DQ$12,1,Distance_Matrix!$E$50:$DQ$50)/COUNTIF(Distance_Matrix!$E$12:$DQ$12,1))),IF(2=$E444,1E+99,IF(COUNTIF(Distance_Matrix!$E$12:$DQ$12,2)=0,1E+99,SUMIF(Distance_Matrix!$E$12:$DQ$12,2,Distance_Matrix!$E$50:$DQ$50)/COUNTIF(Distance_Matrix!$E$12:$DQ$12,2))),IF(3=$E444,1E+99,IF(COUNTIF(Distance_Matrix!$E$12:$DQ$12,3)=0,1E+99,SUMIF(Distance_Matrix!$E$12:$DQ$12,3,Distance_Matrix!$E$50:$DQ$50)/COUNTIF(Distance_Matrix!$E$12:$DQ$12,3))),IF(4=$E444,1E+99,IF(COUNTIF(Distance_Matrix!$E$12:$DQ$12,4)=0,1E+99,SUMIF(Distance_Matrix!$E$12:$DQ$12,4,Distance_Matrix!$E$50:$DQ$50)/COUNTIF(Distance_Matrix!$E$12:$DQ$12,4))),IF(5=$E444,1E+99,IF(COUNTIF(Distance_Matrix!$E$12:$DQ$12,5)=0,1E+99,SUMIF(Distance_Matrix!$E$12:$DQ$12,5,Distance_Matrix!$E$50:$DQ$50)/COUNTIF(Distance_Matrix!$E$12:$DQ$12,5))),IF(6=$E444,1E+99,IF(COUNTIF(Distance_Matrix!$E$12:$DQ$12,6)=0,1E+99,SUMIF(Distance_Matrix!$E$12:$DQ$12,6,Distance_Matrix!$E$50:$DQ$50)/COUNTIF(Distance_Matrix!$E$12:$DQ$12,6))))</f>
        <v>1.1348547390696075</v>
      </c>
      <c r="I444" s="18">
        <f>IF(COUNTIF(Distance_Matrix!$E$12:$DQ$12,$E444)&lt;=1,0,(H444-G444)/MAX(G444,H444))</f>
        <v>0.21462594606153174</v>
      </c>
      <c r="X444" s="18">
        <f t="shared" si="506"/>
        <v>5.3691092076194247</v>
      </c>
      <c r="Y444" s="18">
        <f t="shared" si="506"/>
        <v>3.2033991070309726</v>
      </c>
      <c r="Z444" s="18">
        <f t="shared" si="506"/>
        <v>1.1093263837568521</v>
      </c>
      <c r="AA444" s="18">
        <f t="shared" si="506"/>
        <v>1.778419886584109</v>
      </c>
      <c r="AB444" s="18">
        <f t="shared" si="506"/>
        <v>3.2796958727069581</v>
      </c>
      <c r="AC444" s="18">
        <f t="shared" si="506"/>
        <v>1.2579718472064023</v>
      </c>
      <c r="AD444" s="56">
        <f t="shared" si="520"/>
        <v>3</v>
      </c>
      <c r="AF444" s="18">
        <f t="shared" si="507"/>
        <v>5.2653409757746061</v>
      </c>
      <c r="AG444" s="18">
        <f t="shared" si="507"/>
        <v>2.6094548940226194</v>
      </c>
      <c r="AH444" s="18">
        <f t="shared" si="507"/>
        <v>0.70022585544331417</v>
      </c>
      <c r="AI444" s="18">
        <f t="shared" si="507"/>
        <v>1.6942672018092684</v>
      </c>
      <c r="AJ444" s="18">
        <f t="shared" si="507"/>
        <v>2.9963179573317893</v>
      </c>
      <c r="AK444" s="18">
        <f t="shared" si="507"/>
        <v>1.1013564999769216</v>
      </c>
      <c r="AL444" s="56">
        <f t="shared" si="521"/>
        <v>3</v>
      </c>
      <c r="AN444" s="18">
        <f t="shared" si="508"/>
        <v>5.2653409757746061</v>
      </c>
      <c r="AO444" s="18">
        <f t="shared" si="508"/>
        <v>2.5679601868475079</v>
      </c>
      <c r="AP444" s="18">
        <f t="shared" si="508"/>
        <v>0.67162815120950359</v>
      </c>
      <c r="AQ444" s="18">
        <f t="shared" si="508"/>
        <v>1.7166024965637783</v>
      </c>
      <c r="AR444" s="18">
        <f t="shared" si="508"/>
        <v>2.9963179573317893</v>
      </c>
      <c r="AS444" s="18">
        <f t="shared" si="508"/>
        <v>1.0653152848491922</v>
      </c>
      <c r="AT444" s="56">
        <f t="shared" si="522"/>
        <v>3</v>
      </c>
      <c r="AV444" s="18">
        <f t="shared" si="509"/>
        <v>5.2653409757746061</v>
      </c>
      <c r="AW444" s="18">
        <f t="shared" si="509"/>
        <v>2.5394354776657679</v>
      </c>
      <c r="AX444" s="18">
        <f t="shared" si="509"/>
        <v>0.67162815120950359</v>
      </c>
      <c r="AY444" s="18">
        <f t="shared" si="509"/>
        <v>1.7166024965637783</v>
      </c>
      <c r="AZ444" s="18">
        <f t="shared" si="509"/>
        <v>2.9963179573317893</v>
      </c>
      <c r="BA444" s="18">
        <f t="shared" si="509"/>
        <v>1.0427858360943592</v>
      </c>
      <c r="BB444" s="56">
        <f t="shared" si="523"/>
        <v>3</v>
      </c>
      <c r="BD444" s="18">
        <f t="shared" si="510"/>
        <v>5.2653409757746061</v>
      </c>
      <c r="BE444" s="18">
        <f t="shared" si="510"/>
        <v>2.5122734142515144</v>
      </c>
      <c r="BF444" s="18">
        <f t="shared" si="510"/>
        <v>0.67162815120950359</v>
      </c>
      <c r="BG444" s="18">
        <f t="shared" si="510"/>
        <v>1.7166024965637783</v>
      </c>
      <c r="BH444" s="18">
        <f t="shared" si="510"/>
        <v>2.9963179573317893</v>
      </c>
      <c r="BI444" s="18">
        <f t="shared" si="510"/>
        <v>1.0189826642270456</v>
      </c>
      <c r="BJ444" s="56">
        <f t="shared" si="524"/>
        <v>3</v>
      </c>
      <c r="BL444" s="18">
        <f t="shared" si="511"/>
        <v>5.2653409757746061</v>
      </c>
      <c r="BM444" s="18">
        <f t="shared" si="511"/>
        <v>2.5122734142515144</v>
      </c>
      <c r="BN444" s="18">
        <f t="shared" si="511"/>
        <v>0.67162815120950359</v>
      </c>
      <c r="BO444" s="18">
        <f t="shared" si="511"/>
        <v>1.7166024965637783</v>
      </c>
      <c r="BP444" s="18">
        <f t="shared" si="511"/>
        <v>2.9963179573317893</v>
      </c>
      <c r="BQ444" s="18">
        <f t="shared" si="511"/>
        <v>1.0189826642270456</v>
      </c>
      <c r="BR444" s="56">
        <f t="shared" si="525"/>
        <v>3</v>
      </c>
      <c r="BT444" s="18">
        <f t="shared" si="512"/>
        <v>5.2653409757746061</v>
      </c>
      <c r="BU444" s="18">
        <f t="shared" si="512"/>
        <v>2.5122734142515144</v>
      </c>
      <c r="BV444" s="18">
        <f t="shared" si="512"/>
        <v>0.67162815120950359</v>
      </c>
      <c r="BW444" s="18">
        <f t="shared" si="512"/>
        <v>1.7166024965637783</v>
      </c>
      <c r="BX444" s="18">
        <f t="shared" si="512"/>
        <v>2.9963179573317893</v>
      </c>
      <c r="BY444" s="18">
        <f t="shared" si="512"/>
        <v>1.0189826642270456</v>
      </c>
      <c r="BZ444" s="56">
        <f t="shared" si="526"/>
        <v>3</v>
      </c>
      <c r="CB444" s="18">
        <f t="shared" si="513"/>
        <v>5.2653409757746061</v>
      </c>
      <c r="CC444" s="18">
        <f t="shared" si="513"/>
        <v>2.5122734142515144</v>
      </c>
      <c r="CD444" s="18">
        <f t="shared" si="513"/>
        <v>0.67162815120950359</v>
      </c>
      <c r="CE444" s="18">
        <f t="shared" si="513"/>
        <v>1.7166024965637783</v>
      </c>
      <c r="CF444" s="18">
        <f t="shared" si="513"/>
        <v>2.9963179573317893</v>
      </c>
      <c r="CG444" s="18">
        <f t="shared" si="513"/>
        <v>1.0189826642270456</v>
      </c>
      <c r="CH444" s="56">
        <f t="shared" si="527"/>
        <v>3</v>
      </c>
      <c r="CJ444" s="18">
        <f t="shared" si="514"/>
        <v>5.2653409757746061</v>
      </c>
      <c r="CK444" s="18">
        <f t="shared" si="514"/>
        <v>2.5122734142515144</v>
      </c>
      <c r="CL444" s="18">
        <f t="shared" si="514"/>
        <v>0.67162815120950359</v>
      </c>
      <c r="CM444" s="18">
        <f t="shared" si="514"/>
        <v>1.7166024965637783</v>
      </c>
      <c r="CN444" s="18">
        <f t="shared" si="514"/>
        <v>2.9963179573317893</v>
      </c>
      <c r="CO444" s="18">
        <f t="shared" si="514"/>
        <v>1.0189826642270456</v>
      </c>
      <c r="CP444" s="56">
        <f t="shared" si="528"/>
        <v>3</v>
      </c>
      <c r="CR444" s="18">
        <f t="shared" si="515"/>
        <v>5.2653409757746061</v>
      </c>
      <c r="CS444" s="18">
        <f t="shared" si="515"/>
        <v>2.5122734142515144</v>
      </c>
      <c r="CT444" s="18">
        <f t="shared" si="515"/>
        <v>0.67162815120950359</v>
      </c>
      <c r="CU444" s="18">
        <f t="shared" si="515"/>
        <v>1.7166024965637783</v>
      </c>
      <c r="CV444" s="18">
        <f t="shared" si="515"/>
        <v>2.9963179573317893</v>
      </c>
      <c r="CW444" s="18">
        <f t="shared" si="515"/>
        <v>1.0189826642270456</v>
      </c>
      <c r="CX444" s="56">
        <f t="shared" si="529"/>
        <v>3</v>
      </c>
      <c r="CZ444" s="18">
        <f t="shared" si="516"/>
        <v>5.2653409757746061</v>
      </c>
      <c r="DA444" s="18">
        <f t="shared" si="516"/>
        <v>2.5122734142515144</v>
      </c>
      <c r="DB444" s="18">
        <f t="shared" si="516"/>
        <v>0.67162815120950359</v>
      </c>
      <c r="DC444" s="18">
        <f t="shared" si="516"/>
        <v>1.7166024965637783</v>
      </c>
      <c r="DD444" s="18">
        <f t="shared" si="516"/>
        <v>2.9963179573317893</v>
      </c>
      <c r="DE444" s="18">
        <f t="shared" si="516"/>
        <v>1.0189826642270456</v>
      </c>
      <c r="DF444" s="56">
        <f t="shared" si="530"/>
        <v>3</v>
      </c>
      <c r="DH444" s="18">
        <f t="shared" si="517"/>
        <v>5.2653409757746061</v>
      </c>
      <c r="DI444" s="18">
        <f t="shared" si="517"/>
        <v>2.5122734142515144</v>
      </c>
      <c r="DJ444" s="18">
        <f t="shared" si="517"/>
        <v>0.67162815120950359</v>
      </c>
      <c r="DK444" s="18">
        <f t="shared" si="517"/>
        <v>1.7166024965637783</v>
      </c>
      <c r="DL444" s="18">
        <f t="shared" si="517"/>
        <v>2.9963179573317893</v>
      </c>
      <c r="DM444" s="18">
        <f t="shared" si="517"/>
        <v>1.0189826642270456</v>
      </c>
      <c r="DN444" s="56">
        <f t="shared" si="531"/>
        <v>3</v>
      </c>
    </row>
    <row r="445" spans="1:118" x14ac:dyDescent="0.25">
      <c r="A445" s="36" t="str">
        <f>KMeans_Data!A42</f>
        <v>Battagram</v>
      </c>
      <c r="B445" s="18">
        <f>KMeans_Data!H42</f>
        <v>0.42907404938827359</v>
      </c>
      <c r="C445" s="18">
        <f>KMeans_Data!I42</f>
        <v>0.37868427752921691</v>
      </c>
      <c r="D445" s="18">
        <f>KMeans_Data!J42</f>
        <v>0.46034638584038468</v>
      </c>
      <c r="E445" s="56">
        <f t="shared" si="518"/>
        <v>3</v>
      </c>
      <c r="F445" s="38">
        <f t="shared" si="519"/>
        <v>0.5221404587891878</v>
      </c>
      <c r="G445" s="18">
        <f>IF(COUNTIF(Distance_Matrix!$E$12:$DQ$12,$E445)&lt;=1,0,SUMIF(Distance_Matrix!$E$12:$DQ$12,$E445,Distance_Matrix!$E$51:$DQ$51)/(COUNTIF(Distance_Matrix!$E$12:$DQ$12,$E445)-1))</f>
        <v>0.92699162183668959</v>
      </c>
      <c r="H445" s="18">
        <f>MIN(IF(1=$E445,1E+99,IF(COUNTIF(Distance_Matrix!$E$12:$DQ$12,1)=0,1E+99,SUMIF(Distance_Matrix!$E$12:$DQ$12,1,Distance_Matrix!$E$51:$DQ$51)/COUNTIF(Distance_Matrix!$E$12:$DQ$12,1))),IF(2=$E445,1E+99,IF(COUNTIF(Distance_Matrix!$E$12:$DQ$12,2)=0,1E+99,SUMIF(Distance_Matrix!$E$12:$DQ$12,2,Distance_Matrix!$E$51:$DQ$51)/COUNTIF(Distance_Matrix!$E$12:$DQ$12,2))),IF(3=$E445,1E+99,IF(COUNTIF(Distance_Matrix!$E$12:$DQ$12,3)=0,1E+99,SUMIF(Distance_Matrix!$E$12:$DQ$12,3,Distance_Matrix!$E$51:$DQ$51)/COUNTIF(Distance_Matrix!$E$12:$DQ$12,3))),IF(4=$E445,1E+99,IF(COUNTIF(Distance_Matrix!$E$12:$DQ$12,4)=0,1E+99,SUMIF(Distance_Matrix!$E$12:$DQ$12,4,Distance_Matrix!$E$51:$DQ$51)/COUNTIF(Distance_Matrix!$E$12:$DQ$12,4))),IF(5=$E445,1E+99,IF(COUNTIF(Distance_Matrix!$E$12:$DQ$12,5)=0,1E+99,SUMIF(Distance_Matrix!$E$12:$DQ$12,5,Distance_Matrix!$E$51:$DQ$51)/COUNTIF(Distance_Matrix!$E$12:$DQ$12,5))),IF(6=$E445,1E+99,IF(COUNTIF(Distance_Matrix!$E$12:$DQ$12,6)=0,1E+99,SUMIF(Distance_Matrix!$E$12:$DQ$12,6,Distance_Matrix!$E$51:$DQ$51)/COUNTIF(Distance_Matrix!$E$12:$DQ$12,6))))</f>
        <v>1.1153730543287788</v>
      </c>
      <c r="I445" s="18">
        <f>IF(COUNTIF(Distance_Matrix!$E$12:$DQ$12,$E445)&lt;=1,0,(H445-G445)/MAX(G445,H445))</f>
        <v>0.16889544871196066</v>
      </c>
      <c r="X445" s="18">
        <f t="shared" si="506"/>
        <v>5.4119772224383986</v>
      </c>
      <c r="Y445" s="18">
        <f t="shared" si="506"/>
        <v>3.158899841844244</v>
      </c>
      <c r="Z445" s="18">
        <f t="shared" si="506"/>
        <v>1.1790679955950032</v>
      </c>
      <c r="AA445" s="18">
        <f t="shared" si="506"/>
        <v>1.7036569054111126</v>
      </c>
      <c r="AB445" s="18">
        <f t="shared" si="506"/>
        <v>3.3272736080545511</v>
      </c>
      <c r="AC445" s="18">
        <f t="shared" si="506"/>
        <v>1.2623097063787316</v>
      </c>
      <c r="AD445" s="56">
        <f t="shared" si="520"/>
        <v>3</v>
      </c>
      <c r="AF445" s="18">
        <f t="shared" si="507"/>
        <v>5.3047442813209793</v>
      </c>
      <c r="AG445" s="18">
        <f t="shared" si="507"/>
        <v>2.5574317240954847</v>
      </c>
      <c r="AH445" s="18">
        <f t="shared" si="507"/>
        <v>0.75102532415062262</v>
      </c>
      <c r="AI445" s="18">
        <f t="shared" si="507"/>
        <v>1.6285657135414915</v>
      </c>
      <c r="AJ445" s="18">
        <f t="shared" si="507"/>
        <v>3.0326459434108317</v>
      </c>
      <c r="AK445" s="18">
        <f t="shared" si="507"/>
        <v>1.0746332304414148</v>
      </c>
      <c r="AL445" s="56">
        <f t="shared" si="521"/>
        <v>3</v>
      </c>
      <c r="AN445" s="18">
        <f t="shared" si="508"/>
        <v>5.3047442813209793</v>
      </c>
      <c r="AO445" s="18">
        <f t="shared" si="508"/>
        <v>2.5158365827200915</v>
      </c>
      <c r="AP445" s="18">
        <f t="shared" si="508"/>
        <v>0.72259287208578793</v>
      </c>
      <c r="AQ445" s="18">
        <f t="shared" si="508"/>
        <v>1.6514935081048618</v>
      </c>
      <c r="AR445" s="18">
        <f t="shared" si="508"/>
        <v>3.0326459434108317</v>
      </c>
      <c r="AS445" s="18">
        <f t="shared" si="508"/>
        <v>1.0395586445899005</v>
      </c>
      <c r="AT445" s="56">
        <f t="shared" si="522"/>
        <v>3</v>
      </c>
      <c r="AV445" s="18">
        <f t="shared" si="509"/>
        <v>5.3047442813209793</v>
      </c>
      <c r="AW445" s="18">
        <f t="shared" si="509"/>
        <v>2.4875758853139369</v>
      </c>
      <c r="AX445" s="18">
        <f t="shared" si="509"/>
        <v>0.72259287208578793</v>
      </c>
      <c r="AY445" s="18">
        <f t="shared" si="509"/>
        <v>1.6514935081048618</v>
      </c>
      <c r="AZ445" s="18">
        <f t="shared" si="509"/>
        <v>3.0326459434108317</v>
      </c>
      <c r="BA445" s="18">
        <f t="shared" si="509"/>
        <v>1.0179376962290447</v>
      </c>
      <c r="BB445" s="56">
        <f t="shared" si="523"/>
        <v>3</v>
      </c>
      <c r="BD445" s="18">
        <f t="shared" si="510"/>
        <v>5.3047442813209793</v>
      </c>
      <c r="BE445" s="18">
        <f t="shared" si="510"/>
        <v>2.4607463872295194</v>
      </c>
      <c r="BF445" s="18">
        <f t="shared" si="510"/>
        <v>0.72259287208578793</v>
      </c>
      <c r="BG445" s="18">
        <f t="shared" si="510"/>
        <v>1.6514935081048618</v>
      </c>
      <c r="BH445" s="18">
        <f t="shared" si="510"/>
        <v>3.0326459434108317</v>
      </c>
      <c r="BI445" s="18">
        <f t="shared" si="510"/>
        <v>0.99494184560548515</v>
      </c>
      <c r="BJ445" s="56">
        <f t="shared" si="524"/>
        <v>3</v>
      </c>
      <c r="BL445" s="18">
        <f t="shared" si="511"/>
        <v>5.3047442813209793</v>
      </c>
      <c r="BM445" s="18">
        <f t="shared" si="511"/>
        <v>2.4607463872295194</v>
      </c>
      <c r="BN445" s="18">
        <f t="shared" si="511"/>
        <v>0.72259287208578793</v>
      </c>
      <c r="BO445" s="18">
        <f t="shared" si="511"/>
        <v>1.6514935081048618</v>
      </c>
      <c r="BP445" s="18">
        <f t="shared" si="511"/>
        <v>3.0326459434108317</v>
      </c>
      <c r="BQ445" s="18">
        <f t="shared" si="511"/>
        <v>0.99494184560548515</v>
      </c>
      <c r="BR445" s="56">
        <f t="shared" si="525"/>
        <v>3</v>
      </c>
      <c r="BT445" s="18">
        <f t="shared" si="512"/>
        <v>5.3047442813209793</v>
      </c>
      <c r="BU445" s="18">
        <f t="shared" si="512"/>
        <v>2.4607463872295194</v>
      </c>
      <c r="BV445" s="18">
        <f t="shared" si="512"/>
        <v>0.72259287208578793</v>
      </c>
      <c r="BW445" s="18">
        <f t="shared" si="512"/>
        <v>1.6514935081048618</v>
      </c>
      <c r="BX445" s="18">
        <f t="shared" si="512"/>
        <v>3.0326459434108317</v>
      </c>
      <c r="BY445" s="18">
        <f t="shared" si="512"/>
        <v>0.99494184560548515</v>
      </c>
      <c r="BZ445" s="56">
        <f t="shared" si="526"/>
        <v>3</v>
      </c>
      <c r="CB445" s="18">
        <f t="shared" si="513"/>
        <v>5.3047442813209793</v>
      </c>
      <c r="CC445" s="18">
        <f t="shared" si="513"/>
        <v>2.4607463872295194</v>
      </c>
      <c r="CD445" s="18">
        <f t="shared" si="513"/>
        <v>0.72259287208578793</v>
      </c>
      <c r="CE445" s="18">
        <f t="shared" si="513"/>
        <v>1.6514935081048618</v>
      </c>
      <c r="CF445" s="18">
        <f t="shared" si="513"/>
        <v>3.0326459434108317</v>
      </c>
      <c r="CG445" s="18">
        <f t="shared" si="513"/>
        <v>0.99494184560548515</v>
      </c>
      <c r="CH445" s="56">
        <f t="shared" si="527"/>
        <v>3</v>
      </c>
      <c r="CJ445" s="18">
        <f t="shared" si="514"/>
        <v>5.3047442813209793</v>
      </c>
      <c r="CK445" s="18">
        <f t="shared" si="514"/>
        <v>2.4607463872295194</v>
      </c>
      <c r="CL445" s="18">
        <f t="shared" si="514"/>
        <v>0.72259287208578793</v>
      </c>
      <c r="CM445" s="18">
        <f t="shared" si="514"/>
        <v>1.6514935081048618</v>
      </c>
      <c r="CN445" s="18">
        <f t="shared" si="514"/>
        <v>3.0326459434108317</v>
      </c>
      <c r="CO445" s="18">
        <f t="shared" si="514"/>
        <v>0.99494184560548515</v>
      </c>
      <c r="CP445" s="56">
        <f t="shared" si="528"/>
        <v>3</v>
      </c>
      <c r="CR445" s="18">
        <f t="shared" si="515"/>
        <v>5.3047442813209793</v>
      </c>
      <c r="CS445" s="18">
        <f t="shared" si="515"/>
        <v>2.4607463872295194</v>
      </c>
      <c r="CT445" s="18">
        <f t="shared" si="515"/>
        <v>0.72259287208578793</v>
      </c>
      <c r="CU445" s="18">
        <f t="shared" si="515"/>
        <v>1.6514935081048618</v>
      </c>
      <c r="CV445" s="18">
        <f t="shared" si="515"/>
        <v>3.0326459434108317</v>
      </c>
      <c r="CW445" s="18">
        <f t="shared" si="515"/>
        <v>0.99494184560548515</v>
      </c>
      <c r="CX445" s="56">
        <f t="shared" si="529"/>
        <v>3</v>
      </c>
      <c r="CZ445" s="18">
        <f t="shared" si="516"/>
        <v>5.3047442813209793</v>
      </c>
      <c r="DA445" s="18">
        <f t="shared" si="516"/>
        <v>2.4607463872295194</v>
      </c>
      <c r="DB445" s="18">
        <f t="shared" si="516"/>
        <v>0.72259287208578793</v>
      </c>
      <c r="DC445" s="18">
        <f t="shared" si="516"/>
        <v>1.6514935081048618</v>
      </c>
      <c r="DD445" s="18">
        <f t="shared" si="516"/>
        <v>3.0326459434108317</v>
      </c>
      <c r="DE445" s="18">
        <f t="shared" si="516"/>
        <v>0.99494184560548515</v>
      </c>
      <c r="DF445" s="56">
        <f t="shared" si="530"/>
        <v>3</v>
      </c>
      <c r="DH445" s="18">
        <f t="shared" si="517"/>
        <v>5.3047442813209793</v>
      </c>
      <c r="DI445" s="18">
        <f t="shared" si="517"/>
        <v>2.4607463872295194</v>
      </c>
      <c r="DJ445" s="18">
        <f t="shared" si="517"/>
        <v>0.72259287208578793</v>
      </c>
      <c r="DK445" s="18">
        <f t="shared" si="517"/>
        <v>1.6514935081048618</v>
      </c>
      <c r="DL445" s="18">
        <f t="shared" si="517"/>
        <v>3.0326459434108317</v>
      </c>
      <c r="DM445" s="18">
        <f t="shared" si="517"/>
        <v>0.99494184560548515</v>
      </c>
      <c r="DN445" s="56">
        <f t="shared" si="531"/>
        <v>3</v>
      </c>
    </row>
    <row r="446" spans="1:118" x14ac:dyDescent="0.25">
      <c r="A446" s="36" t="str">
        <f>KMeans_Data!A43</f>
        <v>Kohat</v>
      </c>
      <c r="B446" s="18">
        <f>KMeans_Data!H43</f>
        <v>0.40765250667401376</v>
      </c>
      <c r="C446" s="18">
        <f>KMeans_Data!I43</f>
        <v>1.2725500225060853</v>
      </c>
      <c r="D446" s="18">
        <f>KMeans_Data!J43</f>
        <v>0.62851349158581915</v>
      </c>
      <c r="E446" s="56">
        <f t="shared" si="518"/>
        <v>3</v>
      </c>
      <c r="F446" s="38">
        <f t="shared" si="519"/>
        <v>0.39892298362643114</v>
      </c>
      <c r="G446" s="18">
        <f>IF(COUNTIF(Distance_Matrix!$E$12:$DQ$12,$E446)&lt;=1,0,SUMIF(Distance_Matrix!$E$12:$DQ$12,$E446,Distance_Matrix!$E$52:$DQ$52)/(COUNTIF(Distance_Matrix!$E$12:$DQ$12,$E446)-1))</f>
        <v>0.87209420856881636</v>
      </c>
      <c r="H446" s="18">
        <f>MIN(IF(1=$E446,1E+99,IF(COUNTIF(Distance_Matrix!$E$12:$DQ$12,1)=0,1E+99,SUMIF(Distance_Matrix!$E$12:$DQ$12,1,Distance_Matrix!$E$52:$DQ$52)/COUNTIF(Distance_Matrix!$E$12:$DQ$12,1))),IF(2=$E446,1E+99,IF(COUNTIF(Distance_Matrix!$E$12:$DQ$12,2)=0,1E+99,SUMIF(Distance_Matrix!$E$12:$DQ$12,2,Distance_Matrix!$E$52:$DQ$52)/COUNTIF(Distance_Matrix!$E$12:$DQ$12,2))),IF(3=$E446,1E+99,IF(COUNTIF(Distance_Matrix!$E$12:$DQ$12,3)=0,1E+99,SUMIF(Distance_Matrix!$E$12:$DQ$12,3,Distance_Matrix!$E$52:$DQ$52)/COUNTIF(Distance_Matrix!$E$12:$DQ$12,3))),IF(4=$E446,1E+99,IF(COUNTIF(Distance_Matrix!$E$12:$DQ$12,4)=0,1E+99,SUMIF(Distance_Matrix!$E$12:$DQ$12,4,Distance_Matrix!$E$52:$DQ$52)/COUNTIF(Distance_Matrix!$E$12:$DQ$12,4))),IF(5=$E446,1E+99,IF(COUNTIF(Distance_Matrix!$E$12:$DQ$12,5)=0,1E+99,SUMIF(Distance_Matrix!$E$12:$DQ$12,5,Distance_Matrix!$E$52:$DQ$52)/COUNTIF(Distance_Matrix!$E$12:$DQ$12,5))),IF(6=$E446,1E+99,IF(COUNTIF(Distance_Matrix!$E$12:$DQ$12,6)=0,1E+99,SUMIF(Distance_Matrix!$E$12:$DQ$12,6,Distance_Matrix!$E$52:$DQ$52)/COUNTIF(Distance_Matrix!$E$12:$DQ$12,6))))</f>
        <v>1.8583046187219243</v>
      </c>
      <c r="I446" s="18">
        <f>IF(COUNTIF(Distance_Matrix!$E$12:$DQ$12,$E446)&lt;=1,0,(H446-G446)/MAX(G446,H446))</f>
        <v>0.53070438517845819</v>
      </c>
      <c r="X446" s="18">
        <f t="shared" si="506"/>
        <v>4.7703842622670001</v>
      </c>
      <c r="Y446" s="18">
        <f t="shared" si="506"/>
        <v>3.6219541561486244</v>
      </c>
      <c r="Z446" s="18">
        <f t="shared" si="506"/>
        <v>1.3799561862055567</v>
      </c>
      <c r="AA446" s="18">
        <f t="shared" si="506"/>
        <v>2.2845926076918595</v>
      </c>
      <c r="AB446" s="18">
        <f t="shared" si="506"/>
        <v>2.8131849853969211</v>
      </c>
      <c r="AC446" s="18">
        <f t="shared" si="506"/>
        <v>1.8043598692111735</v>
      </c>
      <c r="AD446" s="56">
        <f t="shared" si="520"/>
        <v>3</v>
      </c>
      <c r="AF446" s="18">
        <f t="shared" si="507"/>
        <v>4.6473241361613065</v>
      </c>
      <c r="AG446" s="18">
        <f t="shared" si="507"/>
        <v>3.1072789038112232</v>
      </c>
      <c r="AH446" s="18">
        <f t="shared" si="507"/>
        <v>0.6472017122445477</v>
      </c>
      <c r="AI446" s="18">
        <f t="shared" si="507"/>
        <v>2.3554649206323663</v>
      </c>
      <c r="AJ446" s="18">
        <f t="shared" si="507"/>
        <v>2.4060132127550151</v>
      </c>
      <c r="AK446" s="18">
        <f t="shared" si="507"/>
        <v>1.8501551737199846</v>
      </c>
      <c r="AL446" s="56">
        <f t="shared" si="521"/>
        <v>3</v>
      </c>
      <c r="AN446" s="18">
        <f t="shared" si="508"/>
        <v>4.6473241361613065</v>
      </c>
      <c r="AO446" s="18">
        <f t="shared" si="508"/>
        <v>3.0727778226219877</v>
      </c>
      <c r="AP446" s="18">
        <f t="shared" si="508"/>
        <v>0.63160350191115244</v>
      </c>
      <c r="AQ446" s="18">
        <f t="shared" si="508"/>
        <v>2.3831490341986497</v>
      </c>
      <c r="AR446" s="18">
        <f t="shared" si="508"/>
        <v>2.4060132127550151</v>
      </c>
      <c r="AS446" s="18">
        <f t="shared" si="508"/>
        <v>1.8258133439827977</v>
      </c>
      <c r="AT446" s="56">
        <f t="shared" si="522"/>
        <v>3</v>
      </c>
      <c r="AV446" s="18">
        <f t="shared" si="509"/>
        <v>4.6473241361613065</v>
      </c>
      <c r="AW446" s="18">
        <f t="shared" si="509"/>
        <v>3.0486226406410535</v>
      </c>
      <c r="AX446" s="18">
        <f t="shared" si="509"/>
        <v>0.63160350191115244</v>
      </c>
      <c r="AY446" s="18">
        <f t="shared" si="509"/>
        <v>2.3831490341986497</v>
      </c>
      <c r="AZ446" s="18">
        <f t="shared" si="509"/>
        <v>2.4060132127550151</v>
      </c>
      <c r="BA446" s="18">
        <f t="shared" si="509"/>
        <v>1.8078033277030923</v>
      </c>
      <c r="BB446" s="56">
        <f t="shared" si="523"/>
        <v>3</v>
      </c>
      <c r="BD446" s="18">
        <f t="shared" si="510"/>
        <v>4.6473241361613065</v>
      </c>
      <c r="BE446" s="18">
        <f t="shared" si="510"/>
        <v>3.0255957897296262</v>
      </c>
      <c r="BF446" s="18">
        <f t="shared" si="510"/>
        <v>0.63160350191115244</v>
      </c>
      <c r="BG446" s="18">
        <f t="shared" si="510"/>
        <v>2.3831490341986497</v>
      </c>
      <c r="BH446" s="18">
        <f t="shared" si="510"/>
        <v>2.4060132127550151</v>
      </c>
      <c r="BI446" s="18">
        <f t="shared" si="510"/>
        <v>1.7890073673952349</v>
      </c>
      <c r="BJ446" s="56">
        <f t="shared" si="524"/>
        <v>3</v>
      </c>
      <c r="BL446" s="18">
        <f t="shared" si="511"/>
        <v>4.6473241361613065</v>
      </c>
      <c r="BM446" s="18">
        <f t="shared" si="511"/>
        <v>3.0255957897296262</v>
      </c>
      <c r="BN446" s="18">
        <f t="shared" si="511"/>
        <v>0.63160350191115244</v>
      </c>
      <c r="BO446" s="18">
        <f t="shared" si="511"/>
        <v>2.3831490341986497</v>
      </c>
      <c r="BP446" s="18">
        <f t="shared" si="511"/>
        <v>2.4060132127550151</v>
      </c>
      <c r="BQ446" s="18">
        <f t="shared" si="511"/>
        <v>1.7890073673952349</v>
      </c>
      <c r="BR446" s="56">
        <f t="shared" si="525"/>
        <v>3</v>
      </c>
      <c r="BT446" s="18">
        <f t="shared" si="512"/>
        <v>4.6473241361613065</v>
      </c>
      <c r="BU446" s="18">
        <f t="shared" si="512"/>
        <v>3.0255957897296262</v>
      </c>
      <c r="BV446" s="18">
        <f t="shared" si="512"/>
        <v>0.63160350191115244</v>
      </c>
      <c r="BW446" s="18">
        <f t="shared" si="512"/>
        <v>2.3831490341986497</v>
      </c>
      <c r="BX446" s="18">
        <f t="shared" si="512"/>
        <v>2.4060132127550151</v>
      </c>
      <c r="BY446" s="18">
        <f t="shared" si="512"/>
        <v>1.7890073673952349</v>
      </c>
      <c r="BZ446" s="56">
        <f t="shared" si="526"/>
        <v>3</v>
      </c>
      <c r="CB446" s="18">
        <f t="shared" si="513"/>
        <v>4.6473241361613065</v>
      </c>
      <c r="CC446" s="18">
        <f t="shared" si="513"/>
        <v>3.0255957897296262</v>
      </c>
      <c r="CD446" s="18">
        <f t="shared" si="513"/>
        <v>0.63160350191115244</v>
      </c>
      <c r="CE446" s="18">
        <f t="shared" si="513"/>
        <v>2.3831490341986497</v>
      </c>
      <c r="CF446" s="18">
        <f t="shared" si="513"/>
        <v>2.4060132127550151</v>
      </c>
      <c r="CG446" s="18">
        <f t="shared" si="513"/>
        <v>1.7890073673952349</v>
      </c>
      <c r="CH446" s="56">
        <f t="shared" si="527"/>
        <v>3</v>
      </c>
      <c r="CJ446" s="18">
        <f t="shared" si="514"/>
        <v>4.6473241361613065</v>
      </c>
      <c r="CK446" s="18">
        <f t="shared" si="514"/>
        <v>3.0255957897296262</v>
      </c>
      <c r="CL446" s="18">
        <f t="shared" si="514"/>
        <v>0.63160350191115244</v>
      </c>
      <c r="CM446" s="18">
        <f t="shared" si="514"/>
        <v>2.3831490341986497</v>
      </c>
      <c r="CN446" s="18">
        <f t="shared" si="514"/>
        <v>2.4060132127550151</v>
      </c>
      <c r="CO446" s="18">
        <f t="shared" si="514"/>
        <v>1.7890073673952349</v>
      </c>
      <c r="CP446" s="56">
        <f t="shared" si="528"/>
        <v>3</v>
      </c>
      <c r="CR446" s="18">
        <f t="shared" si="515"/>
        <v>4.6473241361613065</v>
      </c>
      <c r="CS446" s="18">
        <f t="shared" si="515"/>
        <v>3.0255957897296262</v>
      </c>
      <c r="CT446" s="18">
        <f t="shared" si="515"/>
        <v>0.63160350191115244</v>
      </c>
      <c r="CU446" s="18">
        <f t="shared" si="515"/>
        <v>2.3831490341986497</v>
      </c>
      <c r="CV446" s="18">
        <f t="shared" si="515"/>
        <v>2.4060132127550151</v>
      </c>
      <c r="CW446" s="18">
        <f t="shared" si="515"/>
        <v>1.7890073673952349</v>
      </c>
      <c r="CX446" s="56">
        <f t="shared" si="529"/>
        <v>3</v>
      </c>
      <c r="CZ446" s="18">
        <f t="shared" si="516"/>
        <v>4.6473241361613065</v>
      </c>
      <c r="DA446" s="18">
        <f t="shared" si="516"/>
        <v>3.0255957897296262</v>
      </c>
      <c r="DB446" s="18">
        <f t="shared" si="516"/>
        <v>0.63160350191115244</v>
      </c>
      <c r="DC446" s="18">
        <f t="shared" si="516"/>
        <v>2.3831490341986497</v>
      </c>
      <c r="DD446" s="18">
        <f t="shared" si="516"/>
        <v>2.4060132127550151</v>
      </c>
      <c r="DE446" s="18">
        <f t="shared" si="516"/>
        <v>1.7890073673952349</v>
      </c>
      <c r="DF446" s="56">
        <f t="shared" si="530"/>
        <v>3</v>
      </c>
      <c r="DH446" s="18">
        <f t="shared" si="517"/>
        <v>4.6473241361613065</v>
      </c>
      <c r="DI446" s="18">
        <f t="shared" si="517"/>
        <v>3.0255957897296262</v>
      </c>
      <c r="DJ446" s="18">
        <f t="shared" si="517"/>
        <v>0.63160350191115244</v>
      </c>
      <c r="DK446" s="18">
        <f t="shared" si="517"/>
        <v>2.3831490341986497</v>
      </c>
      <c r="DL446" s="18">
        <f t="shared" si="517"/>
        <v>2.4060132127550151</v>
      </c>
      <c r="DM446" s="18">
        <f t="shared" si="517"/>
        <v>1.7890073673952349</v>
      </c>
      <c r="DN446" s="56">
        <f t="shared" si="531"/>
        <v>3</v>
      </c>
    </row>
    <row r="447" spans="1:118" x14ac:dyDescent="0.25">
      <c r="A447" s="36" t="str">
        <f>KMeans_Data!A44</f>
        <v>Kurram</v>
      </c>
      <c r="B447" s="18">
        <f>KMeans_Data!H44</f>
        <v>0.38985692646238834</v>
      </c>
      <c r="C447" s="18">
        <f>KMeans_Data!I44</f>
        <v>0.16051258962499582</v>
      </c>
      <c r="D447" s="18">
        <f>KMeans_Data!J44</f>
        <v>-7.8647122474779993E-2</v>
      </c>
      <c r="E447" s="56">
        <f t="shared" si="518"/>
        <v>6</v>
      </c>
      <c r="F447" s="38">
        <f t="shared" si="519"/>
        <v>0.70642824132936766</v>
      </c>
      <c r="G447" s="18">
        <f>IF(COUNTIF(Distance_Matrix!$E$12:$DQ$12,$E447)&lt;=1,0,SUMIF(Distance_Matrix!$E$12:$DQ$12,$E447,Distance_Matrix!$E$53:$DQ$53)/(COUNTIF(Distance_Matrix!$E$12:$DQ$12,$E447)-1))</f>
        <v>1.0366209332085969</v>
      </c>
      <c r="H447" s="18">
        <f>MIN(IF(1=$E447,1E+99,IF(COUNTIF(Distance_Matrix!$E$12:$DQ$12,1)=0,1E+99,SUMIF(Distance_Matrix!$E$12:$DQ$12,1,Distance_Matrix!$E$53:$DQ$53)/COUNTIF(Distance_Matrix!$E$12:$DQ$12,1))),IF(2=$E447,1E+99,IF(COUNTIF(Distance_Matrix!$E$12:$DQ$12,2)=0,1E+99,SUMIF(Distance_Matrix!$E$12:$DQ$12,2,Distance_Matrix!$E$53:$DQ$53)/COUNTIF(Distance_Matrix!$E$12:$DQ$12,2))),IF(3=$E447,1E+99,IF(COUNTIF(Distance_Matrix!$E$12:$DQ$12,3)=0,1E+99,SUMIF(Distance_Matrix!$E$12:$DQ$12,3,Distance_Matrix!$E$53:$DQ$53)/COUNTIF(Distance_Matrix!$E$12:$DQ$12,3))),IF(4=$E447,1E+99,IF(COUNTIF(Distance_Matrix!$E$12:$DQ$12,4)=0,1E+99,SUMIF(Distance_Matrix!$E$12:$DQ$12,4,Distance_Matrix!$E$53:$DQ$53)/COUNTIF(Distance_Matrix!$E$12:$DQ$12,4))),IF(5=$E447,1E+99,IF(COUNTIF(Distance_Matrix!$E$12:$DQ$12,5)=0,1E+99,SUMIF(Distance_Matrix!$E$12:$DQ$12,5,Distance_Matrix!$E$53:$DQ$53)/COUNTIF(Distance_Matrix!$E$12:$DQ$12,5))),IF(6=$E447,1E+99,IF(COUNTIF(Distance_Matrix!$E$12:$DQ$12,6)=0,1E+99,SUMIF(Distance_Matrix!$E$12:$DQ$12,6,Distance_Matrix!$E$53:$DQ$53)/COUNTIF(Distance_Matrix!$E$12:$DQ$12,6))))</f>
        <v>1.2349720282199783</v>
      </c>
      <c r="I447" s="18">
        <f>IF(COUNTIF(Distance_Matrix!$E$12:$DQ$12,$E447)&lt;=1,0,(H447-G447)/MAX(G447,H447))</f>
        <v>0.16061181182967674</v>
      </c>
      <c r="X447" s="18">
        <f t="shared" si="506"/>
        <v>5.8702245972691269</v>
      </c>
      <c r="Y447" s="18">
        <f t="shared" si="506"/>
        <v>2.8162994168555233</v>
      </c>
      <c r="Z447" s="18">
        <f t="shared" si="506"/>
        <v>1.6930417975150076</v>
      </c>
      <c r="AA447" s="18">
        <f t="shared" si="506"/>
        <v>1.1395078316512035</v>
      </c>
      <c r="AB447" s="18">
        <f t="shared" si="506"/>
        <v>3.8025155512720685</v>
      </c>
      <c r="AC447" s="18">
        <f t="shared" si="506"/>
        <v>1.3401282491945261</v>
      </c>
      <c r="AD447" s="56">
        <f t="shared" si="520"/>
        <v>4</v>
      </c>
      <c r="AF447" s="18">
        <f t="shared" si="507"/>
        <v>5.7468890471924636</v>
      </c>
      <c r="AG447" s="18">
        <f t="shared" si="507"/>
        <v>2.1486799960005856</v>
      </c>
      <c r="AH447" s="18">
        <f t="shared" si="507"/>
        <v>1.2862284190664399</v>
      </c>
      <c r="AI447" s="18">
        <f t="shared" si="507"/>
        <v>1.0729712233675412</v>
      </c>
      <c r="AJ447" s="18">
        <f t="shared" si="507"/>
        <v>3.4699676322254489</v>
      </c>
      <c r="AK447" s="18">
        <f t="shared" si="507"/>
        <v>0.89086794648753276</v>
      </c>
      <c r="AL447" s="56">
        <f t="shared" si="521"/>
        <v>6</v>
      </c>
      <c r="AN447" s="18">
        <f t="shared" si="508"/>
        <v>5.7468890471924636</v>
      </c>
      <c r="AO447" s="18">
        <f t="shared" si="508"/>
        <v>2.1051697046394104</v>
      </c>
      <c r="AP447" s="18">
        <f t="shared" si="508"/>
        <v>1.2607292129141849</v>
      </c>
      <c r="AQ447" s="18">
        <f t="shared" si="508"/>
        <v>1.0984009449935288</v>
      </c>
      <c r="AR447" s="18">
        <f t="shared" si="508"/>
        <v>3.4699676322254489</v>
      </c>
      <c r="AS447" s="18">
        <f t="shared" si="508"/>
        <v>0.86561634441032231</v>
      </c>
      <c r="AT447" s="56">
        <f t="shared" si="522"/>
        <v>6</v>
      </c>
      <c r="AV447" s="18">
        <f t="shared" si="509"/>
        <v>5.7468890471924636</v>
      </c>
      <c r="AW447" s="18">
        <f t="shared" si="509"/>
        <v>2.0783205037652457</v>
      </c>
      <c r="AX447" s="18">
        <f t="shared" si="509"/>
        <v>1.2607292129141849</v>
      </c>
      <c r="AY447" s="18">
        <f t="shared" si="509"/>
        <v>1.0984009449935288</v>
      </c>
      <c r="AZ447" s="18">
        <f t="shared" si="509"/>
        <v>3.4699676322254489</v>
      </c>
      <c r="BA447" s="18">
        <f t="shared" si="509"/>
        <v>0.8540266857120995</v>
      </c>
      <c r="BB447" s="56">
        <f t="shared" si="523"/>
        <v>6</v>
      </c>
      <c r="BD447" s="18">
        <f t="shared" si="510"/>
        <v>5.7468890471924636</v>
      </c>
      <c r="BE447" s="18">
        <f t="shared" si="510"/>
        <v>2.0534895766687242</v>
      </c>
      <c r="BF447" s="18">
        <f t="shared" si="510"/>
        <v>1.2607292129141849</v>
      </c>
      <c r="BG447" s="18">
        <f t="shared" si="510"/>
        <v>1.0984009449935288</v>
      </c>
      <c r="BH447" s="18">
        <f t="shared" si="510"/>
        <v>3.4699676322254489</v>
      </c>
      <c r="BI447" s="18">
        <f t="shared" si="510"/>
        <v>0.84049285620364889</v>
      </c>
      <c r="BJ447" s="56">
        <f t="shared" si="524"/>
        <v>6</v>
      </c>
      <c r="BL447" s="18">
        <f t="shared" si="511"/>
        <v>5.7468890471924636</v>
      </c>
      <c r="BM447" s="18">
        <f t="shared" si="511"/>
        <v>2.0534895766687242</v>
      </c>
      <c r="BN447" s="18">
        <f t="shared" si="511"/>
        <v>1.2607292129141849</v>
      </c>
      <c r="BO447" s="18">
        <f t="shared" si="511"/>
        <v>1.0984009449935288</v>
      </c>
      <c r="BP447" s="18">
        <f t="shared" si="511"/>
        <v>3.4699676322254489</v>
      </c>
      <c r="BQ447" s="18">
        <f t="shared" si="511"/>
        <v>0.84049285620364889</v>
      </c>
      <c r="BR447" s="56">
        <f t="shared" si="525"/>
        <v>6</v>
      </c>
      <c r="BT447" s="18">
        <f t="shared" si="512"/>
        <v>5.7468890471924636</v>
      </c>
      <c r="BU447" s="18">
        <f t="shared" si="512"/>
        <v>2.0534895766687242</v>
      </c>
      <c r="BV447" s="18">
        <f t="shared" si="512"/>
        <v>1.2607292129141849</v>
      </c>
      <c r="BW447" s="18">
        <f t="shared" si="512"/>
        <v>1.0984009449935288</v>
      </c>
      <c r="BX447" s="18">
        <f t="shared" si="512"/>
        <v>3.4699676322254489</v>
      </c>
      <c r="BY447" s="18">
        <f t="shared" si="512"/>
        <v>0.84049285620364889</v>
      </c>
      <c r="BZ447" s="56">
        <f t="shared" si="526"/>
        <v>6</v>
      </c>
      <c r="CB447" s="18">
        <f t="shared" si="513"/>
        <v>5.7468890471924636</v>
      </c>
      <c r="CC447" s="18">
        <f t="shared" si="513"/>
        <v>2.0534895766687242</v>
      </c>
      <c r="CD447" s="18">
        <f t="shared" si="513"/>
        <v>1.2607292129141849</v>
      </c>
      <c r="CE447" s="18">
        <f t="shared" si="513"/>
        <v>1.0984009449935288</v>
      </c>
      <c r="CF447" s="18">
        <f t="shared" si="513"/>
        <v>3.4699676322254489</v>
      </c>
      <c r="CG447" s="18">
        <f t="shared" si="513"/>
        <v>0.84049285620364889</v>
      </c>
      <c r="CH447" s="56">
        <f t="shared" si="527"/>
        <v>6</v>
      </c>
      <c r="CJ447" s="18">
        <f t="shared" si="514"/>
        <v>5.7468890471924636</v>
      </c>
      <c r="CK447" s="18">
        <f t="shared" si="514"/>
        <v>2.0534895766687242</v>
      </c>
      <c r="CL447" s="18">
        <f t="shared" si="514"/>
        <v>1.2607292129141849</v>
      </c>
      <c r="CM447" s="18">
        <f t="shared" si="514"/>
        <v>1.0984009449935288</v>
      </c>
      <c r="CN447" s="18">
        <f t="shared" si="514"/>
        <v>3.4699676322254489</v>
      </c>
      <c r="CO447" s="18">
        <f t="shared" si="514"/>
        <v>0.84049285620364889</v>
      </c>
      <c r="CP447" s="56">
        <f t="shared" si="528"/>
        <v>6</v>
      </c>
      <c r="CR447" s="18">
        <f t="shared" si="515"/>
        <v>5.7468890471924636</v>
      </c>
      <c r="CS447" s="18">
        <f t="shared" si="515"/>
        <v>2.0534895766687242</v>
      </c>
      <c r="CT447" s="18">
        <f t="shared" si="515"/>
        <v>1.2607292129141849</v>
      </c>
      <c r="CU447" s="18">
        <f t="shared" si="515"/>
        <v>1.0984009449935288</v>
      </c>
      <c r="CV447" s="18">
        <f t="shared" si="515"/>
        <v>3.4699676322254489</v>
      </c>
      <c r="CW447" s="18">
        <f t="shared" si="515"/>
        <v>0.84049285620364889</v>
      </c>
      <c r="CX447" s="56">
        <f t="shared" si="529"/>
        <v>6</v>
      </c>
      <c r="CZ447" s="18">
        <f t="shared" si="516"/>
        <v>5.7468890471924636</v>
      </c>
      <c r="DA447" s="18">
        <f t="shared" si="516"/>
        <v>2.0534895766687242</v>
      </c>
      <c r="DB447" s="18">
        <f t="shared" si="516"/>
        <v>1.2607292129141849</v>
      </c>
      <c r="DC447" s="18">
        <f t="shared" si="516"/>
        <v>1.0984009449935288</v>
      </c>
      <c r="DD447" s="18">
        <f t="shared" si="516"/>
        <v>3.4699676322254489</v>
      </c>
      <c r="DE447" s="18">
        <f t="shared" si="516"/>
        <v>0.84049285620364889</v>
      </c>
      <c r="DF447" s="56">
        <f t="shared" si="530"/>
        <v>6</v>
      </c>
      <c r="DH447" s="18">
        <f t="shared" si="517"/>
        <v>5.7468890471924636</v>
      </c>
      <c r="DI447" s="18">
        <f t="shared" si="517"/>
        <v>2.0534895766687242</v>
      </c>
      <c r="DJ447" s="18">
        <f t="shared" si="517"/>
        <v>1.2607292129141849</v>
      </c>
      <c r="DK447" s="18">
        <f t="shared" si="517"/>
        <v>1.0984009449935288</v>
      </c>
      <c r="DL447" s="18">
        <f t="shared" si="517"/>
        <v>3.4699676322254489</v>
      </c>
      <c r="DM447" s="18">
        <f t="shared" si="517"/>
        <v>0.84049285620364889</v>
      </c>
      <c r="DN447" s="56">
        <f t="shared" si="531"/>
        <v>6</v>
      </c>
    </row>
    <row r="448" spans="1:118" x14ac:dyDescent="0.25">
      <c r="A448" s="36" t="str">
        <f>KMeans_Data!A45</f>
        <v>Kambar Shahdadkot</v>
      </c>
      <c r="B448" s="18">
        <f>KMeans_Data!H45</f>
        <v>0.31711502585735735</v>
      </c>
      <c r="C448" s="18">
        <f>KMeans_Data!I45</f>
        <v>-0.67265054538827607</v>
      </c>
      <c r="D448" s="18">
        <f>KMeans_Data!J45</f>
        <v>1.0109587897935928</v>
      </c>
      <c r="E448" s="56">
        <f t="shared" si="518"/>
        <v>6</v>
      </c>
      <c r="F448" s="38">
        <f t="shared" si="519"/>
        <v>0.96167728184236001</v>
      </c>
      <c r="G448" s="18">
        <f>IF(COUNTIF(Distance_Matrix!$E$12:$DQ$12,$E448)&lt;=1,0,SUMIF(Distance_Matrix!$E$12:$DQ$12,$E448,Distance_Matrix!$E$54:$DQ$54)/(COUNTIF(Distance_Matrix!$E$12:$DQ$12,$E448)-1))</f>
        <v>1.1224980116806849</v>
      </c>
      <c r="H448" s="18">
        <f>MIN(IF(1=$E448,1E+99,IF(COUNTIF(Distance_Matrix!$E$12:$DQ$12,1)=0,1E+99,SUMIF(Distance_Matrix!$E$12:$DQ$12,1,Distance_Matrix!$E$54:$DQ$54)/COUNTIF(Distance_Matrix!$E$12:$DQ$12,1))),IF(2=$E448,1E+99,IF(COUNTIF(Distance_Matrix!$E$12:$DQ$12,2)=0,1E+99,SUMIF(Distance_Matrix!$E$12:$DQ$12,2,Distance_Matrix!$E$54:$DQ$54)/COUNTIF(Distance_Matrix!$E$12:$DQ$12,2))),IF(3=$E448,1E+99,IF(COUNTIF(Distance_Matrix!$E$12:$DQ$12,3)=0,1E+99,SUMIF(Distance_Matrix!$E$12:$DQ$12,3,Distance_Matrix!$E$54:$DQ$54)/COUNTIF(Distance_Matrix!$E$12:$DQ$12,3))),IF(4=$E448,1E+99,IF(COUNTIF(Distance_Matrix!$E$12:$DQ$12,4)=0,1E+99,SUMIF(Distance_Matrix!$E$12:$DQ$12,4,Distance_Matrix!$E$54:$DQ$54)/COUNTIF(Distance_Matrix!$E$12:$DQ$12,4))),IF(5=$E448,1E+99,IF(COUNTIF(Distance_Matrix!$E$12:$DQ$12,5)=0,1E+99,SUMIF(Distance_Matrix!$E$12:$DQ$12,5,Distance_Matrix!$E$54:$DQ$54)/COUNTIF(Distance_Matrix!$E$12:$DQ$12,5))),IF(6=$E448,1E+99,IF(COUNTIF(Distance_Matrix!$E$12:$DQ$12,6)=0,1E+99,SUMIF(Distance_Matrix!$E$12:$DQ$12,6,Distance_Matrix!$E$54:$DQ$54)/COUNTIF(Distance_Matrix!$E$12:$DQ$12,6))))</f>
        <v>1.6459131449876614</v>
      </c>
      <c r="I448" s="18">
        <f>IF(COUNTIF(Distance_Matrix!$E$12:$DQ$12,$E448)&lt;=1,0,(H448-G448)/MAX(G448,H448))</f>
        <v>0.31800896353549707</v>
      </c>
      <c r="X448" s="18">
        <f t="shared" ref="X448:AC457" si="532">SQRT(($B448-X$401)^2+($C448-X$402)^2+($D448-X$403)^2)</f>
        <v>5.997391976545833</v>
      </c>
      <c r="Y448" s="18">
        <f t="shared" si="532"/>
        <v>3.2242581216534347</v>
      </c>
      <c r="Z448" s="18">
        <f t="shared" si="532"/>
        <v>1.3546641306834701</v>
      </c>
      <c r="AA448" s="18">
        <f t="shared" si="532"/>
        <v>2.2439279629919282</v>
      </c>
      <c r="AB448" s="18">
        <f t="shared" si="532"/>
        <v>3.8532022467443805</v>
      </c>
      <c r="AC448" s="18">
        <f t="shared" si="532"/>
        <v>1.212328024748516</v>
      </c>
      <c r="AD448" s="56">
        <f t="shared" si="520"/>
        <v>6</v>
      </c>
      <c r="AF448" s="18">
        <f t="shared" ref="AF448:AK457" si="533">SQRT(($B448-AF$401)^2+($C448-AF$402)^2+($D448-AF$403)^2)</f>
        <v>5.9376701584307998</v>
      </c>
      <c r="AG448" s="18">
        <f t="shared" si="533"/>
        <v>2.6684323971758834</v>
      </c>
      <c r="AH448" s="18">
        <f t="shared" si="533"/>
        <v>1.5802041175614379</v>
      </c>
      <c r="AI448" s="18">
        <f t="shared" si="533"/>
        <v>1.8793468017311032</v>
      </c>
      <c r="AJ448" s="18">
        <f t="shared" si="533"/>
        <v>3.750894903213239</v>
      </c>
      <c r="AK448" s="18">
        <f t="shared" si="533"/>
        <v>1.0599237081752164</v>
      </c>
      <c r="AL448" s="56">
        <f t="shared" si="521"/>
        <v>6</v>
      </c>
      <c r="AN448" s="18">
        <f t="shared" ref="AN448:AS457" si="534">SQRT(($B448-AN$401)^2+($C448-AN$402)^2+($D448-AN$403)^2)</f>
        <v>5.9376701584307998</v>
      </c>
      <c r="AO448" s="18">
        <f t="shared" si="534"/>
        <v>2.625137799840787</v>
      </c>
      <c r="AP448" s="18">
        <f t="shared" si="534"/>
        <v>1.5635262129836542</v>
      </c>
      <c r="AQ448" s="18">
        <f t="shared" si="534"/>
        <v>1.883748392371553</v>
      </c>
      <c r="AR448" s="18">
        <f t="shared" si="534"/>
        <v>3.750894903213239</v>
      </c>
      <c r="AS448" s="18">
        <f t="shared" si="534"/>
        <v>1.0219299280185328</v>
      </c>
      <c r="AT448" s="56">
        <f t="shared" si="522"/>
        <v>6</v>
      </c>
      <c r="AV448" s="18">
        <f t="shared" ref="AV448:BA457" si="535">SQRT(($B448-AV$401)^2+($C448-AV$402)^2+($D448-AV$403)^2)</f>
        <v>5.9376701584307998</v>
      </c>
      <c r="AW448" s="18">
        <f t="shared" si="535"/>
        <v>2.5930546649595652</v>
      </c>
      <c r="AX448" s="18">
        <f t="shared" si="535"/>
        <v>1.5635262129836542</v>
      </c>
      <c r="AY448" s="18">
        <f t="shared" si="535"/>
        <v>1.883748392371553</v>
      </c>
      <c r="AZ448" s="18">
        <f t="shared" si="535"/>
        <v>3.750894903213239</v>
      </c>
      <c r="BA448" s="18">
        <f t="shared" si="535"/>
        <v>1.0011115186471413</v>
      </c>
      <c r="BB448" s="56">
        <f t="shared" si="523"/>
        <v>6</v>
      </c>
      <c r="BD448" s="18">
        <f t="shared" ref="BD448:BI457" si="536">SQRT(($B448-BD$401)^2+($C448-BD$402)^2+($D448-BD$403)^2)</f>
        <v>5.9376701584307998</v>
      </c>
      <c r="BE448" s="18">
        <f t="shared" si="536"/>
        <v>2.5618862433518577</v>
      </c>
      <c r="BF448" s="18">
        <f t="shared" si="536"/>
        <v>1.5635262129836542</v>
      </c>
      <c r="BG448" s="18">
        <f t="shared" si="536"/>
        <v>1.883748392371553</v>
      </c>
      <c r="BH448" s="18">
        <f t="shared" si="536"/>
        <v>3.750894903213239</v>
      </c>
      <c r="BI448" s="18">
        <f t="shared" si="536"/>
        <v>0.98065145788009722</v>
      </c>
      <c r="BJ448" s="56">
        <f t="shared" si="524"/>
        <v>6</v>
      </c>
      <c r="BL448" s="18">
        <f t="shared" ref="BL448:BQ457" si="537">SQRT(($B448-BL$401)^2+($C448-BL$402)^2+($D448-BL$403)^2)</f>
        <v>5.9376701584307998</v>
      </c>
      <c r="BM448" s="18">
        <f t="shared" si="537"/>
        <v>2.5618862433518577</v>
      </c>
      <c r="BN448" s="18">
        <f t="shared" si="537"/>
        <v>1.5635262129836542</v>
      </c>
      <c r="BO448" s="18">
        <f t="shared" si="537"/>
        <v>1.883748392371553</v>
      </c>
      <c r="BP448" s="18">
        <f t="shared" si="537"/>
        <v>3.750894903213239</v>
      </c>
      <c r="BQ448" s="18">
        <f t="shared" si="537"/>
        <v>0.98065145788009722</v>
      </c>
      <c r="BR448" s="56">
        <f t="shared" si="525"/>
        <v>6</v>
      </c>
      <c r="BT448" s="18">
        <f t="shared" ref="BT448:BY457" si="538">SQRT(($B448-BT$401)^2+($C448-BT$402)^2+($D448-BT$403)^2)</f>
        <v>5.9376701584307998</v>
      </c>
      <c r="BU448" s="18">
        <f t="shared" si="538"/>
        <v>2.5618862433518577</v>
      </c>
      <c r="BV448" s="18">
        <f t="shared" si="538"/>
        <v>1.5635262129836542</v>
      </c>
      <c r="BW448" s="18">
        <f t="shared" si="538"/>
        <v>1.883748392371553</v>
      </c>
      <c r="BX448" s="18">
        <f t="shared" si="538"/>
        <v>3.750894903213239</v>
      </c>
      <c r="BY448" s="18">
        <f t="shared" si="538"/>
        <v>0.98065145788009722</v>
      </c>
      <c r="BZ448" s="56">
        <f t="shared" si="526"/>
        <v>6</v>
      </c>
      <c r="CB448" s="18">
        <f t="shared" ref="CB448:CG457" si="539">SQRT(($B448-CB$401)^2+($C448-CB$402)^2+($D448-CB$403)^2)</f>
        <v>5.9376701584307998</v>
      </c>
      <c r="CC448" s="18">
        <f t="shared" si="539"/>
        <v>2.5618862433518577</v>
      </c>
      <c r="CD448" s="18">
        <f t="shared" si="539"/>
        <v>1.5635262129836542</v>
      </c>
      <c r="CE448" s="18">
        <f t="shared" si="539"/>
        <v>1.883748392371553</v>
      </c>
      <c r="CF448" s="18">
        <f t="shared" si="539"/>
        <v>3.750894903213239</v>
      </c>
      <c r="CG448" s="18">
        <f t="shared" si="539"/>
        <v>0.98065145788009722</v>
      </c>
      <c r="CH448" s="56">
        <f t="shared" si="527"/>
        <v>6</v>
      </c>
      <c r="CJ448" s="18">
        <f t="shared" ref="CJ448:CO457" si="540">SQRT(($B448-CJ$401)^2+($C448-CJ$402)^2+($D448-CJ$403)^2)</f>
        <v>5.9376701584307998</v>
      </c>
      <c r="CK448" s="18">
        <f t="shared" si="540"/>
        <v>2.5618862433518577</v>
      </c>
      <c r="CL448" s="18">
        <f t="shared" si="540"/>
        <v>1.5635262129836542</v>
      </c>
      <c r="CM448" s="18">
        <f t="shared" si="540"/>
        <v>1.883748392371553</v>
      </c>
      <c r="CN448" s="18">
        <f t="shared" si="540"/>
        <v>3.750894903213239</v>
      </c>
      <c r="CO448" s="18">
        <f t="shared" si="540"/>
        <v>0.98065145788009722</v>
      </c>
      <c r="CP448" s="56">
        <f t="shared" si="528"/>
        <v>6</v>
      </c>
      <c r="CR448" s="18">
        <f t="shared" ref="CR448:CW457" si="541">SQRT(($B448-CR$401)^2+($C448-CR$402)^2+($D448-CR$403)^2)</f>
        <v>5.9376701584307998</v>
      </c>
      <c r="CS448" s="18">
        <f t="shared" si="541"/>
        <v>2.5618862433518577</v>
      </c>
      <c r="CT448" s="18">
        <f t="shared" si="541"/>
        <v>1.5635262129836542</v>
      </c>
      <c r="CU448" s="18">
        <f t="shared" si="541"/>
        <v>1.883748392371553</v>
      </c>
      <c r="CV448" s="18">
        <f t="shared" si="541"/>
        <v>3.750894903213239</v>
      </c>
      <c r="CW448" s="18">
        <f t="shared" si="541"/>
        <v>0.98065145788009722</v>
      </c>
      <c r="CX448" s="56">
        <f t="shared" si="529"/>
        <v>6</v>
      </c>
      <c r="CZ448" s="18">
        <f t="shared" ref="CZ448:DE457" si="542">SQRT(($B448-CZ$401)^2+($C448-CZ$402)^2+($D448-CZ$403)^2)</f>
        <v>5.9376701584307998</v>
      </c>
      <c r="DA448" s="18">
        <f t="shared" si="542"/>
        <v>2.5618862433518577</v>
      </c>
      <c r="DB448" s="18">
        <f t="shared" si="542"/>
        <v>1.5635262129836542</v>
      </c>
      <c r="DC448" s="18">
        <f t="shared" si="542"/>
        <v>1.883748392371553</v>
      </c>
      <c r="DD448" s="18">
        <f t="shared" si="542"/>
        <v>3.750894903213239</v>
      </c>
      <c r="DE448" s="18">
        <f t="shared" si="542"/>
        <v>0.98065145788009722</v>
      </c>
      <c r="DF448" s="56">
        <f t="shared" si="530"/>
        <v>6</v>
      </c>
      <c r="DH448" s="18">
        <f t="shared" ref="DH448:DM457" si="543">SQRT(($B448-DH$401)^2+($C448-DH$402)^2+($D448-DH$403)^2)</f>
        <v>5.9376701584307998</v>
      </c>
      <c r="DI448" s="18">
        <f t="shared" si="543"/>
        <v>2.5618862433518577</v>
      </c>
      <c r="DJ448" s="18">
        <f t="shared" si="543"/>
        <v>1.5635262129836542</v>
      </c>
      <c r="DK448" s="18">
        <f t="shared" si="543"/>
        <v>1.883748392371553</v>
      </c>
      <c r="DL448" s="18">
        <f t="shared" si="543"/>
        <v>3.750894903213239</v>
      </c>
      <c r="DM448" s="18">
        <f t="shared" si="543"/>
        <v>0.98065145788009722</v>
      </c>
      <c r="DN448" s="56">
        <f t="shared" si="531"/>
        <v>6</v>
      </c>
    </row>
    <row r="449" spans="1:118" x14ac:dyDescent="0.25">
      <c r="A449" s="36" t="str">
        <f>KMeans_Data!A46</f>
        <v>Nagar</v>
      </c>
      <c r="B449" s="18">
        <f>KMeans_Data!H46</f>
        <v>0.27371739838699027</v>
      </c>
      <c r="C449" s="18">
        <f>KMeans_Data!I46</f>
        <v>-0.14698313392952958</v>
      </c>
      <c r="D449" s="18">
        <f>KMeans_Data!J46</f>
        <v>0.77424684086161255</v>
      </c>
      <c r="E449" s="56">
        <f t="shared" si="518"/>
        <v>6</v>
      </c>
      <c r="F449" s="38">
        <f t="shared" si="519"/>
        <v>0.5593899242566267</v>
      </c>
      <c r="G449" s="18">
        <f>IF(COUNTIF(Distance_Matrix!$E$12:$DQ$12,$E449)&lt;=1,0,SUMIF(Distance_Matrix!$E$12:$DQ$12,$E449,Distance_Matrix!$E$55:$DQ$55)/(COUNTIF(Distance_Matrix!$E$12:$DQ$12,$E449)-1))</f>
        <v>0.92329049198197555</v>
      </c>
      <c r="H449" s="18">
        <f>MIN(IF(1=$E449,1E+99,IF(COUNTIF(Distance_Matrix!$E$12:$DQ$12,1)=0,1E+99,SUMIF(Distance_Matrix!$E$12:$DQ$12,1,Distance_Matrix!$E$55:$DQ$55)/COUNTIF(Distance_Matrix!$E$12:$DQ$12,1))),IF(2=$E449,1E+99,IF(COUNTIF(Distance_Matrix!$E$12:$DQ$12,2)=0,1E+99,SUMIF(Distance_Matrix!$E$12:$DQ$12,2,Distance_Matrix!$E$55:$DQ$55)/COUNTIF(Distance_Matrix!$E$12:$DQ$12,2))),IF(3=$E449,1E+99,IF(COUNTIF(Distance_Matrix!$E$12:$DQ$12,3)=0,1E+99,SUMIF(Distance_Matrix!$E$12:$DQ$12,3,Distance_Matrix!$E$55:$DQ$55)/COUNTIF(Distance_Matrix!$E$12:$DQ$12,3))),IF(4=$E449,1E+99,IF(COUNTIF(Distance_Matrix!$E$12:$DQ$12,4)=0,1E+99,SUMIF(Distance_Matrix!$E$12:$DQ$12,4,Distance_Matrix!$E$55:$DQ$55)/COUNTIF(Distance_Matrix!$E$12:$DQ$12,4))),IF(5=$E449,1E+99,IF(COUNTIF(Distance_Matrix!$E$12:$DQ$12,5)=0,1E+99,SUMIF(Distance_Matrix!$E$12:$DQ$12,5,Distance_Matrix!$E$55:$DQ$55)/COUNTIF(Distance_Matrix!$E$12:$DQ$12,5))),IF(6=$E449,1E+99,IF(COUNTIF(Distance_Matrix!$E$12:$DQ$12,6)=0,1E+99,SUMIF(Distance_Matrix!$E$12:$DQ$12,6,Distance_Matrix!$E$55:$DQ$55)/COUNTIF(Distance_Matrix!$E$12:$DQ$12,6))))</f>
        <v>1.2150341130843718</v>
      </c>
      <c r="I449" s="18">
        <f>IF(COUNTIF(Distance_Matrix!$E$12:$DQ$12,$E449)&lt;=1,0,(H449-G449)/MAX(G449,H449))</f>
        <v>0.2401114651520386</v>
      </c>
      <c r="X449" s="18">
        <f t="shared" si="532"/>
        <v>5.7155539104585298</v>
      </c>
      <c r="Y449" s="18">
        <f t="shared" si="532"/>
        <v>3.0823789094685083</v>
      </c>
      <c r="Z449" s="18">
        <f t="shared" si="532"/>
        <v>1.1593431801629535</v>
      </c>
      <c r="AA449" s="18">
        <f t="shared" si="532"/>
        <v>1.9555900134537492</v>
      </c>
      <c r="AB449" s="18">
        <f t="shared" si="532"/>
        <v>3.5895044983065381</v>
      </c>
      <c r="AC449" s="18">
        <f t="shared" si="532"/>
        <v>0.99068276575689507</v>
      </c>
      <c r="AD449" s="56">
        <f t="shared" si="520"/>
        <v>6</v>
      </c>
      <c r="AF449" s="18">
        <f t="shared" si="533"/>
        <v>5.6352688359927674</v>
      </c>
      <c r="AG449" s="18">
        <f t="shared" si="533"/>
        <v>2.5082470457498833</v>
      </c>
      <c r="AH449" s="18">
        <f t="shared" si="533"/>
        <v>1.117748839957676</v>
      </c>
      <c r="AI449" s="18">
        <f t="shared" si="533"/>
        <v>1.6809060484291205</v>
      </c>
      <c r="AJ449" s="18">
        <f t="shared" si="533"/>
        <v>3.3985180829277222</v>
      </c>
      <c r="AK449" s="18">
        <f t="shared" si="533"/>
        <v>0.84379839659544897</v>
      </c>
      <c r="AL449" s="56">
        <f t="shared" si="521"/>
        <v>6</v>
      </c>
      <c r="AN449" s="18">
        <f t="shared" si="534"/>
        <v>5.6352688359927674</v>
      </c>
      <c r="AO449" s="18">
        <f t="shared" si="534"/>
        <v>2.4653643547561859</v>
      </c>
      <c r="AP449" s="18">
        <f t="shared" si="534"/>
        <v>1.0944734373218579</v>
      </c>
      <c r="AQ449" s="18">
        <f t="shared" si="534"/>
        <v>1.6943015893453448</v>
      </c>
      <c r="AR449" s="18">
        <f t="shared" si="534"/>
        <v>3.3985180829277222</v>
      </c>
      <c r="AS449" s="18">
        <f t="shared" si="534"/>
        <v>0.80094728311427188</v>
      </c>
      <c r="AT449" s="56">
        <f t="shared" si="522"/>
        <v>6</v>
      </c>
      <c r="AV449" s="18">
        <f t="shared" si="535"/>
        <v>5.6352688359927674</v>
      </c>
      <c r="AW449" s="18">
        <f t="shared" si="535"/>
        <v>2.434208294404709</v>
      </c>
      <c r="AX449" s="18">
        <f t="shared" si="535"/>
        <v>1.0944734373218579</v>
      </c>
      <c r="AY449" s="18">
        <f t="shared" si="535"/>
        <v>1.6943015893453448</v>
      </c>
      <c r="AZ449" s="18">
        <f t="shared" si="535"/>
        <v>3.3985180829277222</v>
      </c>
      <c r="BA449" s="18">
        <f t="shared" si="535"/>
        <v>0.77473015741425078</v>
      </c>
      <c r="BB449" s="56">
        <f t="shared" si="523"/>
        <v>6</v>
      </c>
      <c r="BD449" s="18">
        <f t="shared" si="536"/>
        <v>5.6352688359927674</v>
      </c>
      <c r="BE449" s="18">
        <f t="shared" si="536"/>
        <v>2.4041017833937253</v>
      </c>
      <c r="BF449" s="18">
        <f t="shared" si="536"/>
        <v>1.0944734373218579</v>
      </c>
      <c r="BG449" s="18">
        <f t="shared" si="536"/>
        <v>1.6943015893453448</v>
      </c>
      <c r="BH449" s="18">
        <f t="shared" si="536"/>
        <v>3.3985180829277222</v>
      </c>
      <c r="BI449" s="18">
        <f t="shared" si="536"/>
        <v>0.74792374227365366</v>
      </c>
      <c r="BJ449" s="56">
        <f t="shared" si="524"/>
        <v>6</v>
      </c>
      <c r="BL449" s="18">
        <f t="shared" si="537"/>
        <v>5.6352688359927674</v>
      </c>
      <c r="BM449" s="18">
        <f t="shared" si="537"/>
        <v>2.4041017833937253</v>
      </c>
      <c r="BN449" s="18">
        <f t="shared" si="537"/>
        <v>1.0944734373218579</v>
      </c>
      <c r="BO449" s="18">
        <f t="shared" si="537"/>
        <v>1.6943015893453448</v>
      </c>
      <c r="BP449" s="18">
        <f t="shared" si="537"/>
        <v>3.3985180829277222</v>
      </c>
      <c r="BQ449" s="18">
        <f t="shared" si="537"/>
        <v>0.74792374227365366</v>
      </c>
      <c r="BR449" s="56">
        <f t="shared" si="525"/>
        <v>6</v>
      </c>
      <c r="BT449" s="18">
        <f t="shared" si="538"/>
        <v>5.6352688359927674</v>
      </c>
      <c r="BU449" s="18">
        <f t="shared" si="538"/>
        <v>2.4041017833937253</v>
      </c>
      <c r="BV449" s="18">
        <f t="shared" si="538"/>
        <v>1.0944734373218579</v>
      </c>
      <c r="BW449" s="18">
        <f t="shared" si="538"/>
        <v>1.6943015893453448</v>
      </c>
      <c r="BX449" s="18">
        <f t="shared" si="538"/>
        <v>3.3985180829277222</v>
      </c>
      <c r="BY449" s="18">
        <f t="shared" si="538"/>
        <v>0.74792374227365366</v>
      </c>
      <c r="BZ449" s="56">
        <f t="shared" si="526"/>
        <v>6</v>
      </c>
      <c r="CB449" s="18">
        <f t="shared" si="539"/>
        <v>5.6352688359927674</v>
      </c>
      <c r="CC449" s="18">
        <f t="shared" si="539"/>
        <v>2.4041017833937253</v>
      </c>
      <c r="CD449" s="18">
        <f t="shared" si="539"/>
        <v>1.0944734373218579</v>
      </c>
      <c r="CE449" s="18">
        <f t="shared" si="539"/>
        <v>1.6943015893453448</v>
      </c>
      <c r="CF449" s="18">
        <f t="shared" si="539"/>
        <v>3.3985180829277222</v>
      </c>
      <c r="CG449" s="18">
        <f t="shared" si="539"/>
        <v>0.74792374227365366</v>
      </c>
      <c r="CH449" s="56">
        <f t="shared" si="527"/>
        <v>6</v>
      </c>
      <c r="CJ449" s="18">
        <f t="shared" si="540"/>
        <v>5.6352688359927674</v>
      </c>
      <c r="CK449" s="18">
        <f t="shared" si="540"/>
        <v>2.4041017833937253</v>
      </c>
      <c r="CL449" s="18">
        <f t="shared" si="540"/>
        <v>1.0944734373218579</v>
      </c>
      <c r="CM449" s="18">
        <f t="shared" si="540"/>
        <v>1.6943015893453448</v>
      </c>
      <c r="CN449" s="18">
        <f t="shared" si="540"/>
        <v>3.3985180829277222</v>
      </c>
      <c r="CO449" s="18">
        <f t="shared" si="540"/>
        <v>0.74792374227365366</v>
      </c>
      <c r="CP449" s="56">
        <f t="shared" si="528"/>
        <v>6</v>
      </c>
      <c r="CR449" s="18">
        <f t="shared" si="541"/>
        <v>5.6352688359927674</v>
      </c>
      <c r="CS449" s="18">
        <f t="shared" si="541"/>
        <v>2.4041017833937253</v>
      </c>
      <c r="CT449" s="18">
        <f t="shared" si="541"/>
        <v>1.0944734373218579</v>
      </c>
      <c r="CU449" s="18">
        <f t="shared" si="541"/>
        <v>1.6943015893453448</v>
      </c>
      <c r="CV449" s="18">
        <f t="shared" si="541"/>
        <v>3.3985180829277222</v>
      </c>
      <c r="CW449" s="18">
        <f t="shared" si="541"/>
        <v>0.74792374227365366</v>
      </c>
      <c r="CX449" s="56">
        <f t="shared" si="529"/>
        <v>6</v>
      </c>
      <c r="CZ449" s="18">
        <f t="shared" si="542"/>
        <v>5.6352688359927674</v>
      </c>
      <c r="DA449" s="18">
        <f t="shared" si="542"/>
        <v>2.4041017833937253</v>
      </c>
      <c r="DB449" s="18">
        <f t="shared" si="542"/>
        <v>1.0944734373218579</v>
      </c>
      <c r="DC449" s="18">
        <f t="shared" si="542"/>
        <v>1.6943015893453448</v>
      </c>
      <c r="DD449" s="18">
        <f t="shared" si="542"/>
        <v>3.3985180829277222</v>
      </c>
      <c r="DE449" s="18">
        <f t="shared" si="542"/>
        <v>0.74792374227365366</v>
      </c>
      <c r="DF449" s="56">
        <f t="shared" si="530"/>
        <v>6</v>
      </c>
      <c r="DH449" s="18">
        <f t="shared" si="543"/>
        <v>5.6352688359927674</v>
      </c>
      <c r="DI449" s="18">
        <f t="shared" si="543"/>
        <v>2.4041017833937253</v>
      </c>
      <c r="DJ449" s="18">
        <f t="shared" si="543"/>
        <v>1.0944734373218579</v>
      </c>
      <c r="DK449" s="18">
        <f t="shared" si="543"/>
        <v>1.6943015893453448</v>
      </c>
      <c r="DL449" s="18">
        <f t="shared" si="543"/>
        <v>3.3985180829277222</v>
      </c>
      <c r="DM449" s="18">
        <f t="shared" si="543"/>
        <v>0.74792374227365366</v>
      </c>
      <c r="DN449" s="56">
        <f t="shared" si="531"/>
        <v>6</v>
      </c>
    </row>
    <row r="450" spans="1:118" x14ac:dyDescent="0.25">
      <c r="A450" s="36" t="str">
        <f>KMeans_Data!A47</f>
        <v>Rahim Yar Khan</v>
      </c>
      <c r="B450" s="18">
        <f>KMeans_Data!H47</f>
        <v>0.26227803642067726</v>
      </c>
      <c r="C450" s="18">
        <f>KMeans_Data!I47</f>
        <v>-0.14698313392952958</v>
      </c>
      <c r="D450" s="18">
        <f>KMeans_Data!J47</f>
        <v>-0.63655717184154814</v>
      </c>
      <c r="E450" s="56">
        <f t="shared" si="518"/>
        <v>4</v>
      </c>
      <c r="F450" s="38">
        <f t="shared" si="519"/>
        <v>0.24306915189447922</v>
      </c>
      <c r="G450" s="18">
        <f>IF(COUNTIF(Distance_Matrix!$E$12:$DQ$12,$E450)&lt;=1,0,SUMIF(Distance_Matrix!$E$12:$DQ$12,$E450,Distance_Matrix!$E$56:$DQ$56)/(COUNTIF(Distance_Matrix!$E$12:$DQ$12,$E450)-1))</f>
        <v>0.79187616266350347</v>
      </c>
      <c r="H450" s="18">
        <f>MIN(IF(1=$E450,1E+99,IF(COUNTIF(Distance_Matrix!$E$12:$DQ$12,1)=0,1E+99,SUMIF(Distance_Matrix!$E$12:$DQ$12,1,Distance_Matrix!$E$56:$DQ$56)/COUNTIF(Distance_Matrix!$E$12:$DQ$12,1))),IF(2=$E450,1E+99,IF(COUNTIF(Distance_Matrix!$E$12:$DQ$12,2)=0,1E+99,SUMIF(Distance_Matrix!$E$12:$DQ$12,2,Distance_Matrix!$E$56:$DQ$56)/COUNTIF(Distance_Matrix!$E$12:$DQ$12,2))),IF(3=$E450,1E+99,IF(COUNTIF(Distance_Matrix!$E$12:$DQ$12,3)=0,1E+99,SUMIF(Distance_Matrix!$E$12:$DQ$12,3,Distance_Matrix!$E$56:$DQ$56)/COUNTIF(Distance_Matrix!$E$12:$DQ$12,3))),IF(4=$E450,1E+99,IF(COUNTIF(Distance_Matrix!$E$12:$DQ$12,4)=0,1E+99,SUMIF(Distance_Matrix!$E$12:$DQ$12,4,Distance_Matrix!$E$56:$DQ$56)/COUNTIF(Distance_Matrix!$E$12:$DQ$12,4))),IF(5=$E450,1E+99,IF(COUNTIF(Distance_Matrix!$E$12:$DQ$12,5)=0,1E+99,SUMIF(Distance_Matrix!$E$12:$DQ$12,5,Distance_Matrix!$E$56:$DQ$56)/COUNTIF(Distance_Matrix!$E$12:$DQ$12,5))),IF(6=$E450,1E+99,IF(COUNTIF(Distance_Matrix!$E$12:$DQ$12,6)=0,1E+99,SUMIF(Distance_Matrix!$E$12:$DQ$12,6,Distance_Matrix!$E$56:$DQ$56)/COUNTIF(Distance_Matrix!$E$12:$DQ$12,6))))</f>
        <v>1.1604038425676138</v>
      </c>
      <c r="I450" s="18">
        <f>IF(COUNTIF(Distance_Matrix!$E$12:$DQ$12,$E450)&lt;=1,0,(H450-G450)/MAX(G450,H450))</f>
        <v>0.31758571144393388</v>
      </c>
      <c r="X450" s="18">
        <f t="shared" si="532"/>
        <v>6.4590993672190296</v>
      </c>
      <c r="Y450" s="18">
        <f t="shared" si="532"/>
        <v>2.4536778056908317</v>
      </c>
      <c r="Z450" s="18">
        <f t="shared" si="532"/>
        <v>2.3057169172843408</v>
      </c>
      <c r="AA450" s="18">
        <f t="shared" si="532"/>
        <v>0.63730782210871562</v>
      </c>
      <c r="AB450" s="18">
        <f t="shared" si="532"/>
        <v>4.4081870354271695</v>
      </c>
      <c r="AC450" s="18">
        <f t="shared" si="532"/>
        <v>1.5932136692806931</v>
      </c>
      <c r="AD450" s="56">
        <f t="shared" si="520"/>
        <v>4</v>
      </c>
      <c r="AF450" s="18">
        <f t="shared" si="533"/>
        <v>6.3246442303409616</v>
      </c>
      <c r="AG450" s="18">
        <f t="shared" si="533"/>
        <v>1.7231964425513695</v>
      </c>
      <c r="AH450" s="18">
        <f t="shared" si="533"/>
        <v>1.9322917683123499</v>
      </c>
      <c r="AI450" s="18">
        <f t="shared" si="533"/>
        <v>0.46311980516909246</v>
      </c>
      <c r="AJ450" s="18">
        <f t="shared" si="533"/>
        <v>4.0549523868618715</v>
      </c>
      <c r="AK450" s="18">
        <f t="shared" si="533"/>
        <v>0.99485014449880649</v>
      </c>
      <c r="AL450" s="56">
        <f t="shared" si="521"/>
        <v>4</v>
      </c>
      <c r="AN450" s="18">
        <f t="shared" si="534"/>
        <v>6.3246442303409616</v>
      </c>
      <c r="AO450" s="18">
        <f t="shared" si="534"/>
        <v>1.6787807162640549</v>
      </c>
      <c r="AP450" s="18">
        <f t="shared" si="534"/>
        <v>1.9074818346828244</v>
      </c>
      <c r="AQ450" s="18">
        <f t="shared" si="534"/>
        <v>0.49302043760322878</v>
      </c>
      <c r="AR450" s="18">
        <f t="shared" si="534"/>
        <v>4.0549523868618715</v>
      </c>
      <c r="AS450" s="18">
        <f t="shared" si="534"/>
        <v>0.99196181065418609</v>
      </c>
      <c r="AT450" s="56">
        <f t="shared" si="522"/>
        <v>4</v>
      </c>
      <c r="AV450" s="18">
        <f t="shared" si="535"/>
        <v>6.3246442303409616</v>
      </c>
      <c r="AW450" s="18">
        <f t="shared" si="535"/>
        <v>1.6550635532478073</v>
      </c>
      <c r="AX450" s="18">
        <f t="shared" si="535"/>
        <v>1.9074818346828244</v>
      </c>
      <c r="AY450" s="18">
        <f t="shared" si="535"/>
        <v>0.49302043760322878</v>
      </c>
      <c r="AZ450" s="18">
        <f t="shared" si="535"/>
        <v>4.0549523868618715</v>
      </c>
      <c r="BA450" s="18">
        <f t="shared" si="535"/>
        <v>0.99692626880402646</v>
      </c>
      <c r="BB450" s="56">
        <f t="shared" si="523"/>
        <v>4</v>
      </c>
      <c r="BD450" s="18">
        <f t="shared" si="536"/>
        <v>6.3246442303409616</v>
      </c>
      <c r="BE450" s="18">
        <f t="shared" si="536"/>
        <v>1.6341643206731407</v>
      </c>
      <c r="BF450" s="18">
        <f t="shared" si="536"/>
        <v>1.9074818346828244</v>
      </c>
      <c r="BG450" s="18">
        <f t="shared" si="536"/>
        <v>0.49302043760322878</v>
      </c>
      <c r="BH450" s="18">
        <f t="shared" si="536"/>
        <v>4.0549523868618715</v>
      </c>
      <c r="BI450" s="18">
        <f t="shared" si="536"/>
        <v>1.0000051682503734</v>
      </c>
      <c r="BJ450" s="56">
        <f t="shared" si="524"/>
        <v>4</v>
      </c>
      <c r="BL450" s="18">
        <f t="shared" si="537"/>
        <v>6.3246442303409616</v>
      </c>
      <c r="BM450" s="18">
        <f t="shared" si="537"/>
        <v>1.6341643206731407</v>
      </c>
      <c r="BN450" s="18">
        <f t="shared" si="537"/>
        <v>1.9074818346828244</v>
      </c>
      <c r="BO450" s="18">
        <f t="shared" si="537"/>
        <v>0.49302043760322878</v>
      </c>
      <c r="BP450" s="18">
        <f t="shared" si="537"/>
        <v>4.0549523868618715</v>
      </c>
      <c r="BQ450" s="18">
        <f t="shared" si="537"/>
        <v>1.0000051682503734</v>
      </c>
      <c r="BR450" s="56">
        <f t="shared" si="525"/>
        <v>4</v>
      </c>
      <c r="BT450" s="18">
        <f t="shared" si="538"/>
        <v>6.3246442303409616</v>
      </c>
      <c r="BU450" s="18">
        <f t="shared" si="538"/>
        <v>1.6341643206731407</v>
      </c>
      <c r="BV450" s="18">
        <f t="shared" si="538"/>
        <v>1.9074818346828244</v>
      </c>
      <c r="BW450" s="18">
        <f t="shared" si="538"/>
        <v>0.49302043760322878</v>
      </c>
      <c r="BX450" s="18">
        <f t="shared" si="538"/>
        <v>4.0549523868618715</v>
      </c>
      <c r="BY450" s="18">
        <f t="shared" si="538"/>
        <v>1.0000051682503734</v>
      </c>
      <c r="BZ450" s="56">
        <f t="shared" si="526"/>
        <v>4</v>
      </c>
      <c r="CB450" s="18">
        <f t="shared" si="539"/>
        <v>6.3246442303409616</v>
      </c>
      <c r="CC450" s="18">
        <f t="shared" si="539"/>
        <v>1.6341643206731407</v>
      </c>
      <c r="CD450" s="18">
        <f t="shared" si="539"/>
        <v>1.9074818346828244</v>
      </c>
      <c r="CE450" s="18">
        <f t="shared" si="539"/>
        <v>0.49302043760322878</v>
      </c>
      <c r="CF450" s="18">
        <f t="shared" si="539"/>
        <v>4.0549523868618715</v>
      </c>
      <c r="CG450" s="18">
        <f t="shared" si="539"/>
        <v>1.0000051682503734</v>
      </c>
      <c r="CH450" s="56">
        <f t="shared" si="527"/>
        <v>4</v>
      </c>
      <c r="CJ450" s="18">
        <f t="shared" si="540"/>
        <v>6.3246442303409616</v>
      </c>
      <c r="CK450" s="18">
        <f t="shared" si="540"/>
        <v>1.6341643206731407</v>
      </c>
      <c r="CL450" s="18">
        <f t="shared" si="540"/>
        <v>1.9074818346828244</v>
      </c>
      <c r="CM450" s="18">
        <f t="shared" si="540"/>
        <v>0.49302043760322878</v>
      </c>
      <c r="CN450" s="18">
        <f t="shared" si="540"/>
        <v>4.0549523868618715</v>
      </c>
      <c r="CO450" s="18">
        <f t="shared" si="540"/>
        <v>1.0000051682503734</v>
      </c>
      <c r="CP450" s="56">
        <f t="shared" si="528"/>
        <v>4</v>
      </c>
      <c r="CR450" s="18">
        <f t="shared" si="541"/>
        <v>6.3246442303409616</v>
      </c>
      <c r="CS450" s="18">
        <f t="shared" si="541"/>
        <v>1.6341643206731407</v>
      </c>
      <c r="CT450" s="18">
        <f t="shared" si="541"/>
        <v>1.9074818346828244</v>
      </c>
      <c r="CU450" s="18">
        <f t="shared" si="541"/>
        <v>0.49302043760322878</v>
      </c>
      <c r="CV450" s="18">
        <f t="shared" si="541"/>
        <v>4.0549523868618715</v>
      </c>
      <c r="CW450" s="18">
        <f t="shared" si="541"/>
        <v>1.0000051682503734</v>
      </c>
      <c r="CX450" s="56">
        <f t="shared" si="529"/>
        <v>4</v>
      </c>
      <c r="CZ450" s="18">
        <f t="shared" si="542"/>
        <v>6.3246442303409616</v>
      </c>
      <c r="DA450" s="18">
        <f t="shared" si="542"/>
        <v>1.6341643206731407</v>
      </c>
      <c r="DB450" s="18">
        <f t="shared" si="542"/>
        <v>1.9074818346828244</v>
      </c>
      <c r="DC450" s="18">
        <f t="shared" si="542"/>
        <v>0.49302043760322878</v>
      </c>
      <c r="DD450" s="18">
        <f t="shared" si="542"/>
        <v>4.0549523868618715</v>
      </c>
      <c r="DE450" s="18">
        <f t="shared" si="542"/>
        <v>1.0000051682503734</v>
      </c>
      <c r="DF450" s="56">
        <f t="shared" si="530"/>
        <v>4</v>
      </c>
      <c r="DH450" s="18">
        <f t="shared" si="543"/>
        <v>6.3246442303409616</v>
      </c>
      <c r="DI450" s="18">
        <f t="shared" si="543"/>
        <v>1.6341643206731407</v>
      </c>
      <c r="DJ450" s="18">
        <f t="shared" si="543"/>
        <v>1.9074818346828244</v>
      </c>
      <c r="DK450" s="18">
        <f t="shared" si="543"/>
        <v>0.49302043760322878</v>
      </c>
      <c r="DL450" s="18">
        <f t="shared" si="543"/>
        <v>4.0549523868618715</v>
      </c>
      <c r="DM450" s="18">
        <f t="shared" si="543"/>
        <v>1.0000051682503734</v>
      </c>
      <c r="DN450" s="56">
        <f t="shared" si="531"/>
        <v>4</v>
      </c>
    </row>
    <row r="451" spans="1:118" x14ac:dyDescent="0.25">
      <c r="A451" s="36" t="str">
        <f>KMeans_Data!A48</f>
        <v>Jamshoro</v>
      </c>
      <c r="B451" s="18">
        <f>KMeans_Data!H48</f>
        <v>0.25646266846194293</v>
      </c>
      <c r="C451" s="18">
        <f>KMeans_Data!I48</f>
        <v>-0.67265054538827607</v>
      </c>
      <c r="D451" s="18">
        <f>KMeans_Data!J48</f>
        <v>0.514925973520034</v>
      </c>
      <c r="E451" s="56">
        <f t="shared" si="518"/>
        <v>6</v>
      </c>
      <c r="F451" s="38">
        <f t="shared" si="519"/>
        <v>0.3740095780310686</v>
      </c>
      <c r="G451" s="18">
        <f>IF(COUNTIF(Distance_Matrix!$E$12:$DQ$12,$E451)&lt;=1,0,SUMIF(Distance_Matrix!$E$12:$DQ$12,$E451,Distance_Matrix!$E$57:$DQ$57)/(COUNTIF(Distance_Matrix!$E$12:$DQ$12,$E451)-1))</f>
        <v>0.85432736545725507</v>
      </c>
      <c r="H451" s="18">
        <f>MIN(IF(1=$E451,1E+99,IF(COUNTIF(Distance_Matrix!$E$12:$DQ$12,1)=0,1E+99,SUMIF(Distance_Matrix!$E$12:$DQ$12,1,Distance_Matrix!$E$57:$DQ$57)/COUNTIF(Distance_Matrix!$E$12:$DQ$12,1))),IF(2=$E451,1E+99,IF(COUNTIF(Distance_Matrix!$E$12:$DQ$12,2)=0,1E+99,SUMIF(Distance_Matrix!$E$12:$DQ$12,2,Distance_Matrix!$E$57:$DQ$57)/COUNTIF(Distance_Matrix!$E$12:$DQ$12,2))),IF(3=$E451,1E+99,IF(COUNTIF(Distance_Matrix!$E$12:$DQ$12,3)=0,1E+99,SUMIF(Distance_Matrix!$E$12:$DQ$12,3,Distance_Matrix!$E$57:$DQ$57)/COUNTIF(Distance_Matrix!$E$12:$DQ$12,3))),IF(4=$E451,1E+99,IF(COUNTIF(Distance_Matrix!$E$12:$DQ$12,4)=0,1E+99,SUMIF(Distance_Matrix!$E$12:$DQ$12,4,Distance_Matrix!$E$57:$DQ$57)/COUNTIF(Distance_Matrix!$E$12:$DQ$12,4))),IF(5=$E451,1E+99,IF(COUNTIF(Distance_Matrix!$E$12:$DQ$12,5)=0,1E+99,SUMIF(Distance_Matrix!$E$12:$DQ$12,5,Distance_Matrix!$E$57:$DQ$57)/COUNTIF(Distance_Matrix!$E$12:$DQ$12,5))),IF(6=$E451,1E+99,IF(COUNTIF(Distance_Matrix!$E$12:$DQ$12,6)=0,1E+99,SUMIF(Distance_Matrix!$E$12:$DQ$12,6,Distance_Matrix!$E$57:$DQ$57)/COUNTIF(Distance_Matrix!$E$12:$DQ$12,6))))</f>
        <v>1.4797542223002951</v>
      </c>
      <c r="I451" s="18">
        <f>IF(COUNTIF(Distance_Matrix!$E$12:$DQ$12,$E451)&lt;=1,0,(H451-G451)/MAX(G451,H451))</f>
        <v>0.42265590286392746</v>
      </c>
      <c r="X451" s="18">
        <f t="shared" si="532"/>
        <v>6.2290550244489014</v>
      </c>
      <c r="Y451" s="18">
        <f t="shared" si="532"/>
        <v>2.8662390866109257</v>
      </c>
      <c r="Z451" s="18">
        <f t="shared" si="532"/>
        <v>1.6211134796330222</v>
      </c>
      <c r="AA451" s="18">
        <f t="shared" si="532"/>
        <v>1.7847419921699987</v>
      </c>
      <c r="AB451" s="18">
        <f t="shared" si="532"/>
        <v>4.0860556890237891</v>
      </c>
      <c r="AC451" s="18">
        <f t="shared" si="532"/>
        <v>1.102689535974404</v>
      </c>
      <c r="AD451" s="56">
        <f t="shared" si="520"/>
        <v>6</v>
      </c>
      <c r="AF451" s="18">
        <f t="shared" si="533"/>
        <v>6.1484183110296211</v>
      </c>
      <c r="AG451" s="18">
        <f t="shared" si="533"/>
        <v>2.2542753130555337</v>
      </c>
      <c r="AH451" s="18">
        <f t="shared" si="533"/>
        <v>1.6542472391268532</v>
      </c>
      <c r="AI451" s="18">
        <f t="shared" si="533"/>
        <v>1.3816674963813789</v>
      </c>
      <c r="AJ451" s="18">
        <f t="shared" si="533"/>
        <v>3.9122086242870422</v>
      </c>
      <c r="AK451" s="18">
        <f t="shared" si="533"/>
        <v>0.68546916723573181</v>
      </c>
      <c r="AL451" s="56">
        <f t="shared" si="521"/>
        <v>6</v>
      </c>
      <c r="AN451" s="18">
        <f t="shared" si="534"/>
        <v>6.1484183110296211</v>
      </c>
      <c r="AO451" s="18">
        <f t="shared" si="534"/>
        <v>2.2089087466477841</v>
      </c>
      <c r="AP451" s="18">
        <f t="shared" si="534"/>
        <v>1.6326588059291574</v>
      </c>
      <c r="AQ451" s="18">
        <f t="shared" si="534"/>
        <v>1.3853101527336638</v>
      </c>
      <c r="AR451" s="18">
        <f t="shared" si="534"/>
        <v>3.9122086242870422</v>
      </c>
      <c r="AS451" s="18">
        <f t="shared" si="534"/>
        <v>0.64655304920391576</v>
      </c>
      <c r="AT451" s="56">
        <f t="shared" si="522"/>
        <v>6</v>
      </c>
      <c r="AV451" s="18">
        <f t="shared" si="535"/>
        <v>6.1484183110296211</v>
      </c>
      <c r="AW451" s="18">
        <f t="shared" si="535"/>
        <v>2.1771252456216095</v>
      </c>
      <c r="AX451" s="18">
        <f t="shared" si="535"/>
        <v>1.6326588059291574</v>
      </c>
      <c r="AY451" s="18">
        <f t="shared" si="535"/>
        <v>1.3853101527336638</v>
      </c>
      <c r="AZ451" s="18">
        <f t="shared" si="535"/>
        <v>3.9122086242870422</v>
      </c>
      <c r="BA451" s="18">
        <f t="shared" si="535"/>
        <v>0.62915551968131844</v>
      </c>
      <c r="BB451" s="56">
        <f t="shared" si="523"/>
        <v>6</v>
      </c>
      <c r="BD451" s="18">
        <f t="shared" si="536"/>
        <v>6.1484183110296211</v>
      </c>
      <c r="BE451" s="18">
        <f t="shared" si="536"/>
        <v>2.1466348663834274</v>
      </c>
      <c r="BF451" s="18">
        <f t="shared" si="536"/>
        <v>1.6326588059291574</v>
      </c>
      <c r="BG451" s="18">
        <f t="shared" si="536"/>
        <v>1.3853101527336638</v>
      </c>
      <c r="BH451" s="18">
        <f t="shared" si="536"/>
        <v>3.9122086242870422</v>
      </c>
      <c r="BI451" s="18">
        <f t="shared" si="536"/>
        <v>0.61156322488445014</v>
      </c>
      <c r="BJ451" s="56">
        <f t="shared" si="524"/>
        <v>6</v>
      </c>
      <c r="BL451" s="18">
        <f t="shared" si="537"/>
        <v>6.1484183110296211</v>
      </c>
      <c r="BM451" s="18">
        <f t="shared" si="537"/>
        <v>2.1466348663834274</v>
      </c>
      <c r="BN451" s="18">
        <f t="shared" si="537"/>
        <v>1.6326588059291574</v>
      </c>
      <c r="BO451" s="18">
        <f t="shared" si="537"/>
        <v>1.3853101527336638</v>
      </c>
      <c r="BP451" s="18">
        <f t="shared" si="537"/>
        <v>3.9122086242870422</v>
      </c>
      <c r="BQ451" s="18">
        <f t="shared" si="537"/>
        <v>0.61156322488445014</v>
      </c>
      <c r="BR451" s="56">
        <f t="shared" si="525"/>
        <v>6</v>
      </c>
      <c r="BT451" s="18">
        <f t="shared" si="538"/>
        <v>6.1484183110296211</v>
      </c>
      <c r="BU451" s="18">
        <f t="shared" si="538"/>
        <v>2.1466348663834274</v>
      </c>
      <c r="BV451" s="18">
        <f t="shared" si="538"/>
        <v>1.6326588059291574</v>
      </c>
      <c r="BW451" s="18">
        <f t="shared" si="538"/>
        <v>1.3853101527336638</v>
      </c>
      <c r="BX451" s="18">
        <f t="shared" si="538"/>
        <v>3.9122086242870422</v>
      </c>
      <c r="BY451" s="18">
        <f t="shared" si="538"/>
        <v>0.61156322488445014</v>
      </c>
      <c r="BZ451" s="56">
        <f t="shared" si="526"/>
        <v>6</v>
      </c>
      <c r="CB451" s="18">
        <f t="shared" si="539"/>
        <v>6.1484183110296211</v>
      </c>
      <c r="CC451" s="18">
        <f t="shared" si="539"/>
        <v>2.1466348663834274</v>
      </c>
      <c r="CD451" s="18">
        <f t="shared" si="539"/>
        <v>1.6326588059291574</v>
      </c>
      <c r="CE451" s="18">
        <f t="shared" si="539"/>
        <v>1.3853101527336638</v>
      </c>
      <c r="CF451" s="18">
        <f t="shared" si="539"/>
        <v>3.9122086242870422</v>
      </c>
      <c r="CG451" s="18">
        <f t="shared" si="539"/>
        <v>0.61156322488445014</v>
      </c>
      <c r="CH451" s="56">
        <f t="shared" si="527"/>
        <v>6</v>
      </c>
      <c r="CJ451" s="18">
        <f t="shared" si="540"/>
        <v>6.1484183110296211</v>
      </c>
      <c r="CK451" s="18">
        <f t="shared" si="540"/>
        <v>2.1466348663834274</v>
      </c>
      <c r="CL451" s="18">
        <f t="shared" si="540"/>
        <v>1.6326588059291574</v>
      </c>
      <c r="CM451" s="18">
        <f t="shared" si="540"/>
        <v>1.3853101527336638</v>
      </c>
      <c r="CN451" s="18">
        <f t="shared" si="540"/>
        <v>3.9122086242870422</v>
      </c>
      <c r="CO451" s="18">
        <f t="shared" si="540"/>
        <v>0.61156322488445014</v>
      </c>
      <c r="CP451" s="56">
        <f t="shared" si="528"/>
        <v>6</v>
      </c>
      <c r="CR451" s="18">
        <f t="shared" si="541"/>
        <v>6.1484183110296211</v>
      </c>
      <c r="CS451" s="18">
        <f t="shared" si="541"/>
        <v>2.1466348663834274</v>
      </c>
      <c r="CT451" s="18">
        <f t="shared" si="541"/>
        <v>1.6326588059291574</v>
      </c>
      <c r="CU451" s="18">
        <f t="shared" si="541"/>
        <v>1.3853101527336638</v>
      </c>
      <c r="CV451" s="18">
        <f t="shared" si="541"/>
        <v>3.9122086242870422</v>
      </c>
      <c r="CW451" s="18">
        <f t="shared" si="541"/>
        <v>0.61156322488445014</v>
      </c>
      <c r="CX451" s="56">
        <f t="shared" si="529"/>
        <v>6</v>
      </c>
      <c r="CZ451" s="18">
        <f t="shared" si="542"/>
        <v>6.1484183110296211</v>
      </c>
      <c r="DA451" s="18">
        <f t="shared" si="542"/>
        <v>2.1466348663834274</v>
      </c>
      <c r="DB451" s="18">
        <f t="shared" si="542"/>
        <v>1.6326588059291574</v>
      </c>
      <c r="DC451" s="18">
        <f t="shared" si="542"/>
        <v>1.3853101527336638</v>
      </c>
      <c r="DD451" s="18">
        <f t="shared" si="542"/>
        <v>3.9122086242870422</v>
      </c>
      <c r="DE451" s="18">
        <f t="shared" si="542"/>
        <v>0.61156322488445014</v>
      </c>
      <c r="DF451" s="56">
        <f t="shared" si="530"/>
        <v>6</v>
      </c>
      <c r="DH451" s="18">
        <f t="shared" si="543"/>
        <v>6.1484183110296211</v>
      </c>
      <c r="DI451" s="18">
        <f t="shared" si="543"/>
        <v>2.1466348663834274</v>
      </c>
      <c r="DJ451" s="18">
        <f t="shared" si="543"/>
        <v>1.6326588059291574</v>
      </c>
      <c r="DK451" s="18">
        <f t="shared" si="543"/>
        <v>1.3853101527336638</v>
      </c>
      <c r="DL451" s="18">
        <f t="shared" si="543"/>
        <v>3.9122086242870422</v>
      </c>
      <c r="DM451" s="18">
        <f t="shared" si="543"/>
        <v>0.61156322488445014</v>
      </c>
      <c r="DN451" s="56">
        <f t="shared" si="531"/>
        <v>6</v>
      </c>
    </row>
    <row r="452" spans="1:118" x14ac:dyDescent="0.25">
      <c r="A452" s="36" t="str">
        <f>KMeans_Data!A49</f>
        <v>Gujranwala</v>
      </c>
      <c r="B452" s="18">
        <f>KMeans_Data!H49</f>
        <v>0.23861623378571303</v>
      </c>
      <c r="C452" s="18">
        <f>KMeans_Data!I49</f>
        <v>-0.67265054538827607</v>
      </c>
      <c r="D452" s="18">
        <f>KMeans_Data!J49</f>
        <v>-0.82444601589876665</v>
      </c>
      <c r="E452" s="56">
        <f t="shared" si="518"/>
        <v>4</v>
      </c>
      <c r="F452" s="38">
        <f t="shared" si="519"/>
        <v>2.2432233985884915E-2</v>
      </c>
      <c r="G452" s="18">
        <f>IF(COUNTIF(Distance_Matrix!$E$12:$DQ$12,$E452)&lt;=1,0,SUMIF(Distance_Matrix!$E$12:$DQ$12,$E452,Distance_Matrix!$E$58:$DQ$58)/(COUNTIF(Distance_Matrix!$E$12:$DQ$12,$E452)-1))</f>
        <v>0.59468376621931751</v>
      </c>
      <c r="H452" s="18">
        <f>MIN(IF(1=$E452,1E+99,IF(COUNTIF(Distance_Matrix!$E$12:$DQ$12,1)=0,1E+99,SUMIF(Distance_Matrix!$E$12:$DQ$12,1,Distance_Matrix!$E$58:$DQ$58)/COUNTIF(Distance_Matrix!$E$12:$DQ$12,1))),IF(2=$E452,1E+99,IF(COUNTIF(Distance_Matrix!$E$12:$DQ$12,2)=0,1E+99,SUMIF(Distance_Matrix!$E$12:$DQ$12,2,Distance_Matrix!$E$58:$DQ$58)/COUNTIF(Distance_Matrix!$E$12:$DQ$12,2))),IF(3=$E452,1E+99,IF(COUNTIF(Distance_Matrix!$E$12:$DQ$12,3)=0,1E+99,SUMIF(Distance_Matrix!$E$12:$DQ$12,3,Distance_Matrix!$E$58:$DQ$58)/COUNTIF(Distance_Matrix!$E$12:$DQ$12,3))),IF(4=$E452,1E+99,IF(COUNTIF(Distance_Matrix!$E$12:$DQ$12,4)=0,1E+99,SUMIF(Distance_Matrix!$E$12:$DQ$12,4,Distance_Matrix!$E$58:$DQ$58)/COUNTIF(Distance_Matrix!$E$12:$DQ$12,4))),IF(5=$E452,1E+99,IF(COUNTIF(Distance_Matrix!$E$12:$DQ$12,5)=0,1E+99,SUMIF(Distance_Matrix!$E$12:$DQ$12,5,Distance_Matrix!$E$58:$DQ$58)/COUNTIF(Distance_Matrix!$E$12:$DQ$12,5))),IF(6=$E452,1E+99,IF(COUNTIF(Distance_Matrix!$E$12:$DQ$12,6)=0,1E+99,SUMIF(Distance_Matrix!$E$12:$DQ$12,6,Distance_Matrix!$E$58:$DQ$58)/COUNTIF(Distance_Matrix!$E$12:$DQ$12,6))))</f>
        <v>1.3098124349294029</v>
      </c>
      <c r="I452" s="18">
        <f>IF(COUNTIF(Distance_Matrix!$E$12:$DQ$12,$E452)&lt;=1,0,(H452-G452)/MAX(G452,H452))</f>
        <v>0.54597791992151135</v>
      </c>
      <c r="X452" s="18">
        <f t="shared" si="532"/>
        <v>6.9308663269636464</v>
      </c>
      <c r="Y452" s="18">
        <f t="shared" si="532"/>
        <v>2.3404987692076227</v>
      </c>
      <c r="Z452" s="18">
        <f t="shared" si="532"/>
        <v>2.6475647490986587</v>
      </c>
      <c r="AA452" s="18">
        <f t="shared" si="532"/>
        <v>0.73836962685343654</v>
      </c>
      <c r="AB452" s="18">
        <f t="shared" si="532"/>
        <v>4.8518973911591621</v>
      </c>
      <c r="AC452" s="18">
        <f t="shared" si="532"/>
        <v>1.8110969487800221</v>
      </c>
      <c r="AD452" s="56">
        <f t="shared" si="520"/>
        <v>4</v>
      </c>
      <c r="AF452" s="18">
        <f t="shared" si="533"/>
        <v>6.80235323612877</v>
      </c>
      <c r="AG452" s="18">
        <f t="shared" si="533"/>
        <v>1.5828981726659341</v>
      </c>
      <c r="AH452" s="18">
        <f t="shared" si="533"/>
        <v>2.3878563026735065</v>
      </c>
      <c r="AI452" s="18">
        <f t="shared" si="533"/>
        <v>0.16796979043686039</v>
      </c>
      <c r="AJ452" s="18">
        <f t="shared" si="533"/>
        <v>4.5360314145838485</v>
      </c>
      <c r="AK452" s="18">
        <f t="shared" si="533"/>
        <v>1.1514348468830877</v>
      </c>
      <c r="AL452" s="56">
        <f t="shared" si="521"/>
        <v>4</v>
      </c>
      <c r="AN452" s="18">
        <f t="shared" si="534"/>
        <v>6.80235323612877</v>
      </c>
      <c r="AO452" s="18">
        <f t="shared" si="534"/>
        <v>1.537113123220412</v>
      </c>
      <c r="AP452" s="18">
        <f t="shared" si="534"/>
        <v>2.364096809363232</v>
      </c>
      <c r="AQ452" s="18">
        <f t="shared" si="534"/>
        <v>0.14977394294697899</v>
      </c>
      <c r="AR452" s="18">
        <f t="shared" si="534"/>
        <v>4.5360314145838485</v>
      </c>
      <c r="AS452" s="18">
        <f t="shared" si="534"/>
        <v>1.1558471374795769</v>
      </c>
      <c r="AT452" s="56">
        <f t="shared" si="522"/>
        <v>4</v>
      </c>
      <c r="AV452" s="18">
        <f t="shared" si="535"/>
        <v>6.80235323612877</v>
      </c>
      <c r="AW452" s="18">
        <f t="shared" si="535"/>
        <v>1.5144087427119151</v>
      </c>
      <c r="AX452" s="18">
        <f t="shared" si="535"/>
        <v>2.364096809363232</v>
      </c>
      <c r="AY452" s="18">
        <f t="shared" si="535"/>
        <v>0.14977394294697899</v>
      </c>
      <c r="AZ452" s="18">
        <f t="shared" si="535"/>
        <v>4.5360314145838485</v>
      </c>
      <c r="BA452" s="18">
        <f t="shared" si="535"/>
        <v>1.167312314574706</v>
      </c>
      <c r="BB452" s="56">
        <f t="shared" si="523"/>
        <v>4</v>
      </c>
      <c r="BD452" s="18">
        <f t="shared" si="536"/>
        <v>6.80235323612877</v>
      </c>
      <c r="BE452" s="18">
        <f t="shared" si="536"/>
        <v>1.4949412942957738</v>
      </c>
      <c r="BF452" s="18">
        <f t="shared" si="536"/>
        <v>2.364096809363232</v>
      </c>
      <c r="BG452" s="18">
        <f t="shared" si="536"/>
        <v>0.14977394294697899</v>
      </c>
      <c r="BH452" s="18">
        <f t="shared" si="536"/>
        <v>4.5360314145838485</v>
      </c>
      <c r="BI452" s="18">
        <f t="shared" si="536"/>
        <v>1.1771365794081567</v>
      </c>
      <c r="BJ452" s="56">
        <f t="shared" si="524"/>
        <v>4</v>
      </c>
      <c r="BL452" s="18">
        <f t="shared" si="537"/>
        <v>6.80235323612877</v>
      </c>
      <c r="BM452" s="18">
        <f t="shared" si="537"/>
        <v>1.4949412942957738</v>
      </c>
      <c r="BN452" s="18">
        <f t="shared" si="537"/>
        <v>2.364096809363232</v>
      </c>
      <c r="BO452" s="18">
        <f t="shared" si="537"/>
        <v>0.14977394294697899</v>
      </c>
      <c r="BP452" s="18">
        <f t="shared" si="537"/>
        <v>4.5360314145838485</v>
      </c>
      <c r="BQ452" s="18">
        <f t="shared" si="537"/>
        <v>1.1771365794081567</v>
      </c>
      <c r="BR452" s="56">
        <f t="shared" si="525"/>
        <v>4</v>
      </c>
      <c r="BT452" s="18">
        <f t="shared" si="538"/>
        <v>6.80235323612877</v>
      </c>
      <c r="BU452" s="18">
        <f t="shared" si="538"/>
        <v>1.4949412942957738</v>
      </c>
      <c r="BV452" s="18">
        <f t="shared" si="538"/>
        <v>2.364096809363232</v>
      </c>
      <c r="BW452" s="18">
        <f t="shared" si="538"/>
        <v>0.14977394294697899</v>
      </c>
      <c r="BX452" s="18">
        <f t="shared" si="538"/>
        <v>4.5360314145838485</v>
      </c>
      <c r="BY452" s="18">
        <f t="shared" si="538"/>
        <v>1.1771365794081567</v>
      </c>
      <c r="BZ452" s="56">
        <f t="shared" si="526"/>
        <v>4</v>
      </c>
      <c r="CB452" s="18">
        <f t="shared" si="539"/>
        <v>6.80235323612877</v>
      </c>
      <c r="CC452" s="18">
        <f t="shared" si="539"/>
        <v>1.4949412942957738</v>
      </c>
      <c r="CD452" s="18">
        <f t="shared" si="539"/>
        <v>2.364096809363232</v>
      </c>
      <c r="CE452" s="18">
        <f t="shared" si="539"/>
        <v>0.14977394294697899</v>
      </c>
      <c r="CF452" s="18">
        <f t="shared" si="539"/>
        <v>4.5360314145838485</v>
      </c>
      <c r="CG452" s="18">
        <f t="shared" si="539"/>
        <v>1.1771365794081567</v>
      </c>
      <c r="CH452" s="56">
        <f t="shared" si="527"/>
        <v>4</v>
      </c>
      <c r="CJ452" s="18">
        <f t="shared" si="540"/>
        <v>6.80235323612877</v>
      </c>
      <c r="CK452" s="18">
        <f t="shared" si="540"/>
        <v>1.4949412942957738</v>
      </c>
      <c r="CL452" s="18">
        <f t="shared" si="540"/>
        <v>2.364096809363232</v>
      </c>
      <c r="CM452" s="18">
        <f t="shared" si="540"/>
        <v>0.14977394294697899</v>
      </c>
      <c r="CN452" s="18">
        <f t="shared" si="540"/>
        <v>4.5360314145838485</v>
      </c>
      <c r="CO452" s="18">
        <f t="shared" si="540"/>
        <v>1.1771365794081567</v>
      </c>
      <c r="CP452" s="56">
        <f t="shared" si="528"/>
        <v>4</v>
      </c>
      <c r="CR452" s="18">
        <f t="shared" si="541"/>
        <v>6.80235323612877</v>
      </c>
      <c r="CS452" s="18">
        <f t="shared" si="541"/>
        <v>1.4949412942957738</v>
      </c>
      <c r="CT452" s="18">
        <f t="shared" si="541"/>
        <v>2.364096809363232</v>
      </c>
      <c r="CU452" s="18">
        <f t="shared" si="541"/>
        <v>0.14977394294697899</v>
      </c>
      <c r="CV452" s="18">
        <f t="shared" si="541"/>
        <v>4.5360314145838485</v>
      </c>
      <c r="CW452" s="18">
        <f t="shared" si="541"/>
        <v>1.1771365794081567</v>
      </c>
      <c r="CX452" s="56">
        <f t="shared" si="529"/>
        <v>4</v>
      </c>
      <c r="CZ452" s="18">
        <f t="shared" si="542"/>
        <v>6.80235323612877</v>
      </c>
      <c r="DA452" s="18">
        <f t="shared" si="542"/>
        <v>1.4949412942957738</v>
      </c>
      <c r="DB452" s="18">
        <f t="shared" si="542"/>
        <v>2.364096809363232</v>
      </c>
      <c r="DC452" s="18">
        <f t="shared" si="542"/>
        <v>0.14977394294697899</v>
      </c>
      <c r="DD452" s="18">
        <f t="shared" si="542"/>
        <v>4.5360314145838485</v>
      </c>
      <c r="DE452" s="18">
        <f t="shared" si="542"/>
        <v>1.1771365794081567</v>
      </c>
      <c r="DF452" s="56">
        <f t="shared" si="530"/>
        <v>4</v>
      </c>
      <c r="DH452" s="18">
        <f t="shared" si="543"/>
        <v>6.80235323612877</v>
      </c>
      <c r="DI452" s="18">
        <f t="shared" si="543"/>
        <v>1.4949412942957738</v>
      </c>
      <c r="DJ452" s="18">
        <f t="shared" si="543"/>
        <v>2.364096809363232</v>
      </c>
      <c r="DK452" s="18">
        <f t="shared" si="543"/>
        <v>0.14977394294697899</v>
      </c>
      <c r="DL452" s="18">
        <f t="shared" si="543"/>
        <v>4.5360314145838485</v>
      </c>
      <c r="DM452" s="18">
        <f t="shared" si="543"/>
        <v>1.1771365794081567</v>
      </c>
      <c r="DN452" s="56">
        <f t="shared" si="531"/>
        <v>4</v>
      </c>
    </row>
    <row r="453" spans="1:118" x14ac:dyDescent="0.25">
      <c r="A453" s="36" t="str">
        <f>KMeans_Data!A50</f>
        <v>Bannu</v>
      </c>
      <c r="B453" s="18">
        <f>KMeans_Data!H50</f>
        <v>0.23252879576454735</v>
      </c>
      <c r="C453" s="18">
        <f>KMeans_Data!I50</f>
        <v>0.16051258962499582</v>
      </c>
      <c r="D453" s="18">
        <f>KMeans_Data!J50</f>
        <v>0.38161671714246476</v>
      </c>
      <c r="E453" s="56">
        <f t="shared" si="518"/>
        <v>6</v>
      </c>
      <c r="F453" s="38">
        <f t="shared" si="519"/>
        <v>0.4780701732738345</v>
      </c>
      <c r="G453" s="18">
        <f>IF(COUNTIF(Distance_Matrix!$E$12:$DQ$12,$E453)&lt;=1,0,SUMIF(Distance_Matrix!$E$12:$DQ$12,$E453,Distance_Matrix!$E$59:$DQ$59)/(COUNTIF(Distance_Matrix!$E$12:$DQ$12,$E453)-1))</f>
        <v>0.89920149331748456</v>
      </c>
      <c r="H453" s="18">
        <f>MIN(IF(1=$E453,1E+99,IF(COUNTIF(Distance_Matrix!$E$12:$DQ$12,1)=0,1E+99,SUMIF(Distance_Matrix!$E$12:$DQ$12,1,Distance_Matrix!$E$59:$DQ$59)/COUNTIF(Distance_Matrix!$E$12:$DQ$12,1))),IF(2=$E453,1E+99,IF(COUNTIF(Distance_Matrix!$E$12:$DQ$12,2)=0,1E+99,SUMIF(Distance_Matrix!$E$12:$DQ$12,2,Distance_Matrix!$E$59:$DQ$59)/COUNTIF(Distance_Matrix!$E$12:$DQ$12,2))),IF(3=$E453,1E+99,IF(COUNTIF(Distance_Matrix!$E$12:$DQ$12,3)=0,1E+99,SUMIF(Distance_Matrix!$E$12:$DQ$12,3,Distance_Matrix!$E$59:$DQ$59)/COUNTIF(Distance_Matrix!$E$12:$DQ$12,3))),IF(4=$E453,1E+99,IF(COUNTIF(Distance_Matrix!$E$12:$DQ$12,4)=0,1E+99,SUMIF(Distance_Matrix!$E$12:$DQ$12,4,Distance_Matrix!$E$59:$DQ$59)/COUNTIF(Distance_Matrix!$E$12:$DQ$12,4))),IF(5=$E453,1E+99,IF(COUNTIF(Distance_Matrix!$E$12:$DQ$12,5)=0,1E+99,SUMIF(Distance_Matrix!$E$12:$DQ$12,5,Distance_Matrix!$E$59:$DQ$59)/COUNTIF(Distance_Matrix!$E$12:$DQ$12,5))),IF(6=$E453,1E+99,IF(COUNTIF(Distance_Matrix!$E$12:$DQ$12,6)=0,1E+99,SUMIF(Distance_Matrix!$E$12:$DQ$12,6,Distance_Matrix!$E$59:$DQ$59)/COUNTIF(Distance_Matrix!$E$12:$DQ$12,6))))</f>
        <v>1.1270715926392689</v>
      </c>
      <c r="I453" s="18">
        <f>IF(COUNTIF(Distance_Matrix!$E$12:$DQ$12,$E453)&lt;=1,0,(H453-G453)/MAX(G453,H453))</f>
        <v>0.20217890399329458</v>
      </c>
      <c r="X453" s="18">
        <f t="shared" si="532"/>
        <v>5.7041330215925905</v>
      </c>
      <c r="Y453" s="18">
        <f t="shared" si="532"/>
        <v>2.8936592946750208</v>
      </c>
      <c r="Z453" s="18">
        <f t="shared" si="532"/>
        <v>1.3714131638754321</v>
      </c>
      <c r="AA453" s="18">
        <f t="shared" si="532"/>
        <v>1.6117591183014166</v>
      </c>
      <c r="AB453" s="18">
        <f t="shared" si="532"/>
        <v>3.6139794536730636</v>
      </c>
      <c r="AC453" s="18">
        <f t="shared" si="532"/>
        <v>1.0181848665947619</v>
      </c>
      <c r="AD453" s="56">
        <f t="shared" si="520"/>
        <v>6</v>
      </c>
      <c r="AF453" s="18">
        <f t="shared" si="533"/>
        <v>5.6003475554281614</v>
      </c>
      <c r="AG453" s="18">
        <f t="shared" si="533"/>
        <v>2.291569618147749</v>
      </c>
      <c r="AH453" s="18">
        <f t="shared" si="533"/>
        <v>1.0334693223673483</v>
      </c>
      <c r="AI453" s="18">
        <f t="shared" si="533"/>
        <v>1.4232192984164573</v>
      </c>
      <c r="AJ453" s="18">
        <f t="shared" si="533"/>
        <v>3.3309201889469655</v>
      </c>
      <c r="AK453" s="18">
        <f t="shared" si="533"/>
        <v>0.77063665670128301</v>
      </c>
      <c r="AL453" s="56">
        <f t="shared" si="521"/>
        <v>6</v>
      </c>
      <c r="AN453" s="18">
        <f t="shared" si="534"/>
        <v>5.6003475554281614</v>
      </c>
      <c r="AO453" s="18">
        <f t="shared" si="534"/>
        <v>2.2493750040938454</v>
      </c>
      <c r="AP453" s="18">
        <f t="shared" si="534"/>
        <v>1.0042266529590906</v>
      </c>
      <c r="AQ453" s="18">
        <f t="shared" si="534"/>
        <v>1.4437363127179108</v>
      </c>
      <c r="AR453" s="18">
        <f t="shared" si="534"/>
        <v>3.3309201889469655</v>
      </c>
      <c r="AS453" s="18">
        <f t="shared" si="534"/>
        <v>0.73566146631838392</v>
      </c>
      <c r="AT453" s="56">
        <f t="shared" si="522"/>
        <v>6</v>
      </c>
      <c r="AV453" s="18">
        <f t="shared" si="535"/>
        <v>5.6003475554281614</v>
      </c>
      <c r="AW453" s="18">
        <f t="shared" si="535"/>
        <v>2.2202362474067443</v>
      </c>
      <c r="AX453" s="18">
        <f t="shared" si="535"/>
        <v>1.0042266529590906</v>
      </c>
      <c r="AY453" s="18">
        <f t="shared" si="535"/>
        <v>1.4437363127179108</v>
      </c>
      <c r="AZ453" s="18">
        <f t="shared" si="535"/>
        <v>3.3309201889469655</v>
      </c>
      <c r="BA453" s="18">
        <f t="shared" si="535"/>
        <v>0.71417671551244777</v>
      </c>
      <c r="BB453" s="56">
        <f t="shared" si="523"/>
        <v>6</v>
      </c>
      <c r="BD453" s="18">
        <f t="shared" si="536"/>
        <v>5.6003475554281614</v>
      </c>
      <c r="BE453" s="18">
        <f t="shared" si="536"/>
        <v>2.1924542510486771</v>
      </c>
      <c r="BF453" s="18">
        <f t="shared" si="536"/>
        <v>1.0042266529590906</v>
      </c>
      <c r="BG453" s="18">
        <f t="shared" si="536"/>
        <v>1.4437363127179108</v>
      </c>
      <c r="BH453" s="18">
        <f t="shared" si="536"/>
        <v>3.3309201889469655</v>
      </c>
      <c r="BI453" s="18">
        <f t="shared" si="536"/>
        <v>0.69142618787100807</v>
      </c>
      <c r="BJ453" s="56">
        <f t="shared" si="524"/>
        <v>6</v>
      </c>
      <c r="BL453" s="18">
        <f t="shared" si="537"/>
        <v>5.6003475554281614</v>
      </c>
      <c r="BM453" s="18">
        <f t="shared" si="537"/>
        <v>2.1924542510486771</v>
      </c>
      <c r="BN453" s="18">
        <f t="shared" si="537"/>
        <v>1.0042266529590906</v>
      </c>
      <c r="BO453" s="18">
        <f t="shared" si="537"/>
        <v>1.4437363127179108</v>
      </c>
      <c r="BP453" s="18">
        <f t="shared" si="537"/>
        <v>3.3309201889469655</v>
      </c>
      <c r="BQ453" s="18">
        <f t="shared" si="537"/>
        <v>0.69142618787100807</v>
      </c>
      <c r="BR453" s="56">
        <f t="shared" si="525"/>
        <v>6</v>
      </c>
      <c r="BT453" s="18">
        <f t="shared" si="538"/>
        <v>5.6003475554281614</v>
      </c>
      <c r="BU453" s="18">
        <f t="shared" si="538"/>
        <v>2.1924542510486771</v>
      </c>
      <c r="BV453" s="18">
        <f t="shared" si="538"/>
        <v>1.0042266529590906</v>
      </c>
      <c r="BW453" s="18">
        <f t="shared" si="538"/>
        <v>1.4437363127179108</v>
      </c>
      <c r="BX453" s="18">
        <f t="shared" si="538"/>
        <v>3.3309201889469655</v>
      </c>
      <c r="BY453" s="18">
        <f t="shared" si="538"/>
        <v>0.69142618787100807</v>
      </c>
      <c r="BZ453" s="56">
        <f t="shared" si="526"/>
        <v>6</v>
      </c>
      <c r="CB453" s="18">
        <f t="shared" si="539"/>
        <v>5.6003475554281614</v>
      </c>
      <c r="CC453" s="18">
        <f t="shared" si="539"/>
        <v>2.1924542510486771</v>
      </c>
      <c r="CD453" s="18">
        <f t="shared" si="539"/>
        <v>1.0042266529590906</v>
      </c>
      <c r="CE453" s="18">
        <f t="shared" si="539"/>
        <v>1.4437363127179108</v>
      </c>
      <c r="CF453" s="18">
        <f t="shared" si="539"/>
        <v>3.3309201889469655</v>
      </c>
      <c r="CG453" s="18">
        <f t="shared" si="539"/>
        <v>0.69142618787100807</v>
      </c>
      <c r="CH453" s="56">
        <f t="shared" si="527"/>
        <v>6</v>
      </c>
      <c r="CJ453" s="18">
        <f t="shared" si="540"/>
        <v>5.6003475554281614</v>
      </c>
      <c r="CK453" s="18">
        <f t="shared" si="540"/>
        <v>2.1924542510486771</v>
      </c>
      <c r="CL453" s="18">
        <f t="shared" si="540"/>
        <v>1.0042266529590906</v>
      </c>
      <c r="CM453" s="18">
        <f t="shared" si="540"/>
        <v>1.4437363127179108</v>
      </c>
      <c r="CN453" s="18">
        <f t="shared" si="540"/>
        <v>3.3309201889469655</v>
      </c>
      <c r="CO453" s="18">
        <f t="shared" si="540"/>
        <v>0.69142618787100807</v>
      </c>
      <c r="CP453" s="56">
        <f t="shared" si="528"/>
        <v>6</v>
      </c>
      <c r="CR453" s="18">
        <f t="shared" si="541"/>
        <v>5.6003475554281614</v>
      </c>
      <c r="CS453" s="18">
        <f t="shared" si="541"/>
        <v>2.1924542510486771</v>
      </c>
      <c r="CT453" s="18">
        <f t="shared" si="541"/>
        <v>1.0042266529590906</v>
      </c>
      <c r="CU453" s="18">
        <f t="shared" si="541"/>
        <v>1.4437363127179108</v>
      </c>
      <c r="CV453" s="18">
        <f t="shared" si="541"/>
        <v>3.3309201889469655</v>
      </c>
      <c r="CW453" s="18">
        <f t="shared" si="541"/>
        <v>0.69142618787100807</v>
      </c>
      <c r="CX453" s="56">
        <f t="shared" si="529"/>
        <v>6</v>
      </c>
      <c r="CZ453" s="18">
        <f t="shared" si="542"/>
        <v>5.6003475554281614</v>
      </c>
      <c r="DA453" s="18">
        <f t="shared" si="542"/>
        <v>2.1924542510486771</v>
      </c>
      <c r="DB453" s="18">
        <f t="shared" si="542"/>
        <v>1.0042266529590906</v>
      </c>
      <c r="DC453" s="18">
        <f t="shared" si="542"/>
        <v>1.4437363127179108</v>
      </c>
      <c r="DD453" s="18">
        <f t="shared" si="542"/>
        <v>3.3309201889469655</v>
      </c>
      <c r="DE453" s="18">
        <f t="shared" si="542"/>
        <v>0.69142618787100807</v>
      </c>
      <c r="DF453" s="56">
        <f t="shared" si="530"/>
        <v>6</v>
      </c>
      <c r="DH453" s="18">
        <f t="shared" si="543"/>
        <v>5.6003475554281614</v>
      </c>
      <c r="DI453" s="18">
        <f t="shared" si="543"/>
        <v>2.1924542510486771</v>
      </c>
      <c r="DJ453" s="18">
        <f t="shared" si="543"/>
        <v>1.0042266529590906</v>
      </c>
      <c r="DK453" s="18">
        <f t="shared" si="543"/>
        <v>1.4437363127179108</v>
      </c>
      <c r="DL453" s="18">
        <f t="shared" si="543"/>
        <v>3.3309201889469655</v>
      </c>
      <c r="DM453" s="18">
        <f t="shared" si="543"/>
        <v>0.69142618787100807</v>
      </c>
      <c r="DN453" s="56">
        <f t="shared" si="531"/>
        <v>6</v>
      </c>
    </row>
    <row r="454" spans="1:118" x14ac:dyDescent="0.25">
      <c r="A454" s="36" t="str">
        <f>KMeans_Data!A51</f>
        <v>Lodhran</v>
      </c>
      <c r="B454" s="18">
        <f>KMeans_Data!H51</f>
        <v>0.20097549778195881</v>
      </c>
      <c r="C454" s="18">
        <f>KMeans_Data!I51</f>
        <v>-0.67265054538827607</v>
      </c>
      <c r="D454" s="18">
        <f>KMeans_Data!J51</f>
        <v>-1.1456441163335547</v>
      </c>
      <c r="E454" s="56">
        <f t="shared" si="518"/>
        <v>4</v>
      </c>
      <c r="F454" s="38">
        <f t="shared" si="519"/>
        <v>9.5754417186890581E-2</v>
      </c>
      <c r="G454" s="18">
        <f>IF(COUNTIF(Distance_Matrix!$E$12:$DQ$12,$E454)&lt;=1,0,SUMIF(Distance_Matrix!$E$12:$DQ$12,$E454,Distance_Matrix!$E$60:$DQ$60)/(COUNTIF(Distance_Matrix!$E$12:$DQ$12,$E454)-1))</f>
        <v>0.60991393349893375</v>
      </c>
      <c r="H454" s="18">
        <f>MIN(IF(1=$E454,1E+99,IF(COUNTIF(Distance_Matrix!$E$12:$DQ$12,1)=0,1E+99,SUMIF(Distance_Matrix!$E$12:$DQ$12,1,Distance_Matrix!$E$60:$DQ$60)/COUNTIF(Distance_Matrix!$E$12:$DQ$12,1))),IF(2=$E454,1E+99,IF(COUNTIF(Distance_Matrix!$E$12:$DQ$12,2)=0,1E+99,SUMIF(Distance_Matrix!$E$12:$DQ$12,2,Distance_Matrix!$E$60:$DQ$60)/COUNTIF(Distance_Matrix!$E$12:$DQ$12,2))),IF(3=$E454,1E+99,IF(COUNTIF(Distance_Matrix!$E$12:$DQ$12,3)=0,1E+99,SUMIF(Distance_Matrix!$E$12:$DQ$12,3,Distance_Matrix!$E$60:$DQ$60)/COUNTIF(Distance_Matrix!$E$12:$DQ$12,3))),IF(4=$E454,1E+99,IF(COUNTIF(Distance_Matrix!$E$12:$DQ$12,4)=0,1E+99,SUMIF(Distance_Matrix!$E$12:$DQ$12,4,Distance_Matrix!$E$60:$DQ$60)/COUNTIF(Distance_Matrix!$E$12:$DQ$12,4))),IF(5=$E454,1E+99,IF(COUNTIF(Distance_Matrix!$E$12:$DQ$12,5)=0,1E+99,SUMIF(Distance_Matrix!$E$12:$DQ$12,5,Distance_Matrix!$E$60:$DQ$60)/COUNTIF(Distance_Matrix!$E$12:$DQ$12,5))),IF(6=$E454,1E+99,IF(COUNTIF(Distance_Matrix!$E$12:$DQ$12,6)=0,1E+99,SUMIF(Distance_Matrix!$E$12:$DQ$12,6,Distance_Matrix!$E$60:$DQ$60)/COUNTIF(Distance_Matrix!$E$12:$DQ$12,6))))</f>
        <v>1.4818368462815992</v>
      </c>
      <c r="I454" s="18">
        <f>IF(COUNTIF(Distance_Matrix!$E$12:$DQ$12,$E454)&lt;=1,0,(H454-G454)/MAX(G454,H454))</f>
        <v>0.58840682425369417</v>
      </c>
      <c r="X454" s="18">
        <f t="shared" si="532"/>
        <v>7.1406705471015224</v>
      </c>
      <c r="Y454" s="18">
        <f t="shared" si="532"/>
        <v>2.2807134795852875</v>
      </c>
      <c r="Z454" s="18">
        <f t="shared" si="532"/>
        <v>2.9408359957094516</v>
      </c>
      <c r="AA454" s="18">
        <f t="shared" si="532"/>
        <v>0.68853623587289314</v>
      </c>
      <c r="AB454" s="18">
        <f t="shared" si="532"/>
        <v>5.0851891402756753</v>
      </c>
      <c r="AC454" s="18">
        <f t="shared" si="532"/>
        <v>2.0608024248561629</v>
      </c>
      <c r="AD454" s="56">
        <f t="shared" si="520"/>
        <v>4</v>
      </c>
      <c r="AF454" s="18">
        <f t="shared" si="533"/>
        <v>7.0028264670033069</v>
      </c>
      <c r="AG454" s="18">
        <f t="shared" si="533"/>
        <v>1.5226908108964035</v>
      </c>
      <c r="AH454" s="18">
        <f t="shared" si="533"/>
        <v>2.6425933930638026</v>
      </c>
      <c r="AI454" s="18">
        <f t="shared" si="533"/>
        <v>0.32514071534078531</v>
      </c>
      <c r="AJ454" s="18">
        <f t="shared" si="533"/>
        <v>4.7432139921289549</v>
      </c>
      <c r="AK454" s="18">
        <f t="shared" si="533"/>
        <v>1.4256014483226196</v>
      </c>
      <c r="AL454" s="56">
        <f t="shared" si="521"/>
        <v>4</v>
      </c>
      <c r="AN454" s="18">
        <f t="shared" si="534"/>
        <v>7.0028264670033069</v>
      </c>
      <c r="AO454" s="18">
        <f t="shared" si="534"/>
        <v>1.4808407385446647</v>
      </c>
      <c r="AP454" s="18">
        <f t="shared" si="534"/>
        <v>2.618871635227169</v>
      </c>
      <c r="AQ454" s="18">
        <f t="shared" si="534"/>
        <v>0.30944210635737757</v>
      </c>
      <c r="AR454" s="18">
        <f t="shared" si="534"/>
        <v>4.7432139921289549</v>
      </c>
      <c r="AS454" s="18">
        <f t="shared" si="534"/>
        <v>1.4352846884079566</v>
      </c>
      <c r="AT454" s="56">
        <f t="shared" si="522"/>
        <v>4</v>
      </c>
      <c r="AV454" s="18">
        <f t="shared" si="535"/>
        <v>7.0028264670033069</v>
      </c>
      <c r="AW454" s="18">
        <f t="shared" si="535"/>
        <v>1.4634492208980165</v>
      </c>
      <c r="AX454" s="18">
        <f t="shared" si="535"/>
        <v>2.618871635227169</v>
      </c>
      <c r="AY454" s="18">
        <f t="shared" si="535"/>
        <v>0.30944210635737757</v>
      </c>
      <c r="AZ454" s="18">
        <f t="shared" si="535"/>
        <v>4.7432139921289549</v>
      </c>
      <c r="BA454" s="18">
        <f t="shared" si="535"/>
        <v>1.4489728706200156</v>
      </c>
      <c r="BB454" s="56">
        <f t="shared" si="523"/>
        <v>4</v>
      </c>
      <c r="BD454" s="18">
        <f t="shared" si="536"/>
        <v>7.0028264670033069</v>
      </c>
      <c r="BE454" s="18">
        <f t="shared" si="536"/>
        <v>1.4497314603690366</v>
      </c>
      <c r="BF454" s="18">
        <f t="shared" si="536"/>
        <v>2.618871635227169</v>
      </c>
      <c r="BG454" s="18">
        <f t="shared" si="536"/>
        <v>0.30944210635737757</v>
      </c>
      <c r="BH454" s="18">
        <f t="shared" si="536"/>
        <v>4.7432139921289549</v>
      </c>
      <c r="BI454" s="18">
        <f t="shared" si="536"/>
        <v>1.4610314731283573</v>
      </c>
      <c r="BJ454" s="56">
        <f t="shared" si="524"/>
        <v>4</v>
      </c>
      <c r="BL454" s="18">
        <f t="shared" si="537"/>
        <v>7.0028264670033069</v>
      </c>
      <c r="BM454" s="18">
        <f t="shared" si="537"/>
        <v>1.4497314603690366</v>
      </c>
      <c r="BN454" s="18">
        <f t="shared" si="537"/>
        <v>2.618871635227169</v>
      </c>
      <c r="BO454" s="18">
        <f t="shared" si="537"/>
        <v>0.30944210635737757</v>
      </c>
      <c r="BP454" s="18">
        <f t="shared" si="537"/>
        <v>4.7432139921289549</v>
      </c>
      <c r="BQ454" s="18">
        <f t="shared" si="537"/>
        <v>1.4610314731283573</v>
      </c>
      <c r="BR454" s="56">
        <f t="shared" si="525"/>
        <v>4</v>
      </c>
      <c r="BT454" s="18">
        <f t="shared" si="538"/>
        <v>7.0028264670033069</v>
      </c>
      <c r="BU454" s="18">
        <f t="shared" si="538"/>
        <v>1.4497314603690366</v>
      </c>
      <c r="BV454" s="18">
        <f t="shared" si="538"/>
        <v>2.618871635227169</v>
      </c>
      <c r="BW454" s="18">
        <f t="shared" si="538"/>
        <v>0.30944210635737757</v>
      </c>
      <c r="BX454" s="18">
        <f t="shared" si="538"/>
        <v>4.7432139921289549</v>
      </c>
      <c r="BY454" s="18">
        <f t="shared" si="538"/>
        <v>1.4610314731283573</v>
      </c>
      <c r="BZ454" s="56">
        <f t="shared" si="526"/>
        <v>4</v>
      </c>
      <c r="CB454" s="18">
        <f t="shared" si="539"/>
        <v>7.0028264670033069</v>
      </c>
      <c r="CC454" s="18">
        <f t="shared" si="539"/>
        <v>1.4497314603690366</v>
      </c>
      <c r="CD454" s="18">
        <f t="shared" si="539"/>
        <v>2.618871635227169</v>
      </c>
      <c r="CE454" s="18">
        <f t="shared" si="539"/>
        <v>0.30944210635737757</v>
      </c>
      <c r="CF454" s="18">
        <f t="shared" si="539"/>
        <v>4.7432139921289549</v>
      </c>
      <c r="CG454" s="18">
        <f t="shared" si="539"/>
        <v>1.4610314731283573</v>
      </c>
      <c r="CH454" s="56">
        <f t="shared" si="527"/>
        <v>4</v>
      </c>
      <c r="CJ454" s="18">
        <f t="shared" si="540"/>
        <v>7.0028264670033069</v>
      </c>
      <c r="CK454" s="18">
        <f t="shared" si="540"/>
        <v>1.4497314603690366</v>
      </c>
      <c r="CL454" s="18">
        <f t="shared" si="540"/>
        <v>2.618871635227169</v>
      </c>
      <c r="CM454" s="18">
        <f t="shared" si="540"/>
        <v>0.30944210635737757</v>
      </c>
      <c r="CN454" s="18">
        <f t="shared" si="540"/>
        <v>4.7432139921289549</v>
      </c>
      <c r="CO454" s="18">
        <f t="shared" si="540"/>
        <v>1.4610314731283573</v>
      </c>
      <c r="CP454" s="56">
        <f t="shared" si="528"/>
        <v>4</v>
      </c>
      <c r="CR454" s="18">
        <f t="shared" si="541"/>
        <v>7.0028264670033069</v>
      </c>
      <c r="CS454" s="18">
        <f t="shared" si="541"/>
        <v>1.4497314603690366</v>
      </c>
      <c r="CT454" s="18">
        <f t="shared" si="541"/>
        <v>2.618871635227169</v>
      </c>
      <c r="CU454" s="18">
        <f t="shared" si="541"/>
        <v>0.30944210635737757</v>
      </c>
      <c r="CV454" s="18">
        <f t="shared" si="541"/>
        <v>4.7432139921289549</v>
      </c>
      <c r="CW454" s="18">
        <f t="shared" si="541"/>
        <v>1.4610314731283573</v>
      </c>
      <c r="CX454" s="56">
        <f t="shared" si="529"/>
        <v>4</v>
      </c>
      <c r="CZ454" s="18">
        <f t="shared" si="542"/>
        <v>7.0028264670033069</v>
      </c>
      <c r="DA454" s="18">
        <f t="shared" si="542"/>
        <v>1.4497314603690366</v>
      </c>
      <c r="DB454" s="18">
        <f t="shared" si="542"/>
        <v>2.618871635227169</v>
      </c>
      <c r="DC454" s="18">
        <f t="shared" si="542"/>
        <v>0.30944210635737757</v>
      </c>
      <c r="DD454" s="18">
        <f t="shared" si="542"/>
        <v>4.7432139921289549</v>
      </c>
      <c r="DE454" s="18">
        <f t="shared" si="542"/>
        <v>1.4610314731283573</v>
      </c>
      <c r="DF454" s="56">
        <f t="shared" si="530"/>
        <v>4</v>
      </c>
      <c r="DH454" s="18">
        <f t="shared" si="543"/>
        <v>7.0028264670033069</v>
      </c>
      <c r="DI454" s="18">
        <f t="shared" si="543"/>
        <v>1.4497314603690366</v>
      </c>
      <c r="DJ454" s="18">
        <f t="shared" si="543"/>
        <v>2.618871635227169</v>
      </c>
      <c r="DK454" s="18">
        <f t="shared" si="543"/>
        <v>0.30944210635737757</v>
      </c>
      <c r="DL454" s="18">
        <f t="shared" si="543"/>
        <v>4.7432139921289549</v>
      </c>
      <c r="DM454" s="18">
        <f t="shared" si="543"/>
        <v>1.4610314731283573</v>
      </c>
      <c r="DN454" s="56">
        <f t="shared" si="531"/>
        <v>4</v>
      </c>
    </row>
    <row r="455" spans="1:118" x14ac:dyDescent="0.25">
      <c r="A455" s="36" t="str">
        <f>KMeans_Data!A52</f>
        <v>Jacobabad</v>
      </c>
      <c r="B455" s="18">
        <f>KMeans_Data!H52</f>
        <v>0.20097549778195881</v>
      </c>
      <c r="C455" s="18">
        <f>KMeans_Data!I52</f>
        <v>-0.67265054538827607</v>
      </c>
      <c r="D455" s="18">
        <f>KMeans_Data!J52</f>
        <v>1.0325157420155633</v>
      </c>
      <c r="E455" s="56">
        <f t="shared" si="518"/>
        <v>6</v>
      </c>
      <c r="F455" s="38">
        <f t="shared" si="519"/>
        <v>0.89188176671880948</v>
      </c>
      <c r="G455" s="18">
        <f>IF(COUNTIF(Distance_Matrix!$E$12:$DQ$12,$E455)&lt;=1,0,SUMIF(Distance_Matrix!$E$12:$DQ$12,$E455,Distance_Matrix!$E$61:$DQ$61)/(COUNTIF(Distance_Matrix!$E$12:$DQ$12,$E455)-1))</f>
        <v>1.0943424793871583</v>
      </c>
      <c r="H455" s="18">
        <f>MIN(IF(1=$E455,1E+99,IF(COUNTIF(Distance_Matrix!$E$12:$DQ$12,1)=0,1E+99,SUMIF(Distance_Matrix!$E$12:$DQ$12,1,Distance_Matrix!$E$61:$DQ$61)/COUNTIF(Distance_Matrix!$E$12:$DQ$12,1))),IF(2=$E455,1E+99,IF(COUNTIF(Distance_Matrix!$E$12:$DQ$12,2)=0,1E+99,SUMIF(Distance_Matrix!$E$12:$DQ$12,2,Distance_Matrix!$E$61:$DQ$61)/COUNTIF(Distance_Matrix!$E$12:$DQ$12,2))),IF(3=$E455,1E+99,IF(COUNTIF(Distance_Matrix!$E$12:$DQ$12,3)=0,1E+99,SUMIF(Distance_Matrix!$E$12:$DQ$12,3,Distance_Matrix!$E$61:$DQ$61)/COUNTIF(Distance_Matrix!$E$12:$DQ$12,3))),IF(4=$E455,1E+99,IF(COUNTIF(Distance_Matrix!$E$12:$DQ$12,4)=0,1E+99,SUMIF(Distance_Matrix!$E$12:$DQ$12,4,Distance_Matrix!$E$61:$DQ$61)/COUNTIF(Distance_Matrix!$E$12:$DQ$12,4))),IF(5=$E455,1E+99,IF(COUNTIF(Distance_Matrix!$E$12:$DQ$12,5)=0,1E+99,SUMIF(Distance_Matrix!$E$12:$DQ$12,5,Distance_Matrix!$E$61:$DQ$61)/COUNTIF(Distance_Matrix!$E$12:$DQ$12,5))),IF(6=$E455,1E+99,IF(COUNTIF(Distance_Matrix!$E$12:$DQ$12,6)=0,1E+99,SUMIF(Distance_Matrix!$E$12:$DQ$12,6,Distance_Matrix!$E$61:$DQ$61)/COUNTIF(Distance_Matrix!$E$12:$DQ$12,6))))</f>
        <v>1.6822593604331102</v>
      </c>
      <c r="I455" s="18">
        <f>IF(COUNTIF(Distance_Matrix!$E$12:$DQ$12,$E455)&lt;=1,0,(H455-G455)/MAX(G455,H455))</f>
        <v>0.34948052296441867</v>
      </c>
      <c r="X455" s="18">
        <f t="shared" si="532"/>
        <v>6.0475538042601258</v>
      </c>
      <c r="Y455" s="18">
        <f t="shared" si="532"/>
        <v>3.1537333978136894</v>
      </c>
      <c r="Z455" s="18">
        <f t="shared" si="532"/>
        <v>1.4129939650691847</v>
      </c>
      <c r="AA455" s="18">
        <f t="shared" si="532"/>
        <v>2.2843954378858013</v>
      </c>
      <c r="AB455" s="18">
        <f t="shared" si="532"/>
        <v>3.9087079166722605</v>
      </c>
      <c r="AC455" s="18">
        <f t="shared" si="532"/>
        <v>1.1236054622985525</v>
      </c>
      <c r="AD455" s="56">
        <f t="shared" si="520"/>
        <v>6</v>
      </c>
      <c r="AF455" s="18">
        <f t="shared" si="533"/>
        <v>5.9891278718744863</v>
      </c>
      <c r="AG455" s="18">
        <f t="shared" si="533"/>
        <v>2.6162703936759897</v>
      </c>
      <c r="AH455" s="18">
        <f t="shared" si="533"/>
        <v>1.6183410580613315</v>
      </c>
      <c r="AI455" s="18">
        <f t="shared" si="533"/>
        <v>1.8937036518264869</v>
      </c>
      <c r="AJ455" s="18">
        <f t="shared" si="533"/>
        <v>3.8029352094464244</v>
      </c>
      <c r="AK455" s="18">
        <f t="shared" si="533"/>
        <v>1.019020860406054</v>
      </c>
      <c r="AL455" s="56">
        <f t="shared" si="521"/>
        <v>6</v>
      </c>
      <c r="AN455" s="18">
        <f t="shared" si="534"/>
        <v>5.9891278718744863</v>
      </c>
      <c r="AO455" s="18">
        <f t="shared" si="534"/>
        <v>2.5738456019820566</v>
      </c>
      <c r="AP455" s="18">
        <f t="shared" si="534"/>
        <v>1.6002567359688393</v>
      </c>
      <c r="AQ455" s="18">
        <f t="shared" si="534"/>
        <v>1.897792732773333</v>
      </c>
      <c r="AR455" s="18">
        <f t="shared" si="534"/>
        <v>3.8029352094464244</v>
      </c>
      <c r="AS455" s="18">
        <f t="shared" si="534"/>
        <v>0.98364372871857808</v>
      </c>
      <c r="AT455" s="56">
        <f t="shared" si="522"/>
        <v>6</v>
      </c>
      <c r="AV455" s="18">
        <f t="shared" si="535"/>
        <v>5.9891278718744863</v>
      </c>
      <c r="AW455" s="18">
        <f t="shared" si="535"/>
        <v>2.541759031790876</v>
      </c>
      <c r="AX455" s="18">
        <f t="shared" si="535"/>
        <v>1.6002567359688393</v>
      </c>
      <c r="AY455" s="18">
        <f t="shared" si="535"/>
        <v>1.897792732773333</v>
      </c>
      <c r="AZ455" s="18">
        <f t="shared" si="535"/>
        <v>3.8029352094464244</v>
      </c>
      <c r="BA455" s="18">
        <f t="shared" si="535"/>
        <v>0.96364575142500053</v>
      </c>
      <c r="BB455" s="56">
        <f t="shared" si="523"/>
        <v>6</v>
      </c>
      <c r="BD455" s="18">
        <f t="shared" si="536"/>
        <v>5.9891278718744863</v>
      </c>
      <c r="BE455" s="18">
        <f t="shared" si="536"/>
        <v>2.5104530190483376</v>
      </c>
      <c r="BF455" s="18">
        <f t="shared" si="536"/>
        <v>1.6002567359688393</v>
      </c>
      <c r="BG455" s="18">
        <f t="shared" si="536"/>
        <v>1.897792732773333</v>
      </c>
      <c r="BH455" s="18">
        <f t="shared" si="536"/>
        <v>3.8029352094464244</v>
      </c>
      <c r="BI455" s="18">
        <f t="shared" si="536"/>
        <v>0.94439492095140443</v>
      </c>
      <c r="BJ455" s="56">
        <f t="shared" si="524"/>
        <v>6</v>
      </c>
      <c r="BL455" s="18">
        <f t="shared" si="537"/>
        <v>5.9891278718744863</v>
      </c>
      <c r="BM455" s="18">
        <f t="shared" si="537"/>
        <v>2.5104530190483376</v>
      </c>
      <c r="BN455" s="18">
        <f t="shared" si="537"/>
        <v>1.6002567359688393</v>
      </c>
      <c r="BO455" s="18">
        <f t="shared" si="537"/>
        <v>1.897792732773333</v>
      </c>
      <c r="BP455" s="18">
        <f t="shared" si="537"/>
        <v>3.8029352094464244</v>
      </c>
      <c r="BQ455" s="18">
        <f t="shared" si="537"/>
        <v>0.94439492095140443</v>
      </c>
      <c r="BR455" s="56">
        <f t="shared" si="525"/>
        <v>6</v>
      </c>
      <c r="BT455" s="18">
        <f t="shared" si="538"/>
        <v>5.9891278718744863</v>
      </c>
      <c r="BU455" s="18">
        <f t="shared" si="538"/>
        <v>2.5104530190483376</v>
      </c>
      <c r="BV455" s="18">
        <f t="shared" si="538"/>
        <v>1.6002567359688393</v>
      </c>
      <c r="BW455" s="18">
        <f t="shared" si="538"/>
        <v>1.897792732773333</v>
      </c>
      <c r="BX455" s="18">
        <f t="shared" si="538"/>
        <v>3.8029352094464244</v>
      </c>
      <c r="BY455" s="18">
        <f t="shared" si="538"/>
        <v>0.94439492095140443</v>
      </c>
      <c r="BZ455" s="56">
        <f t="shared" si="526"/>
        <v>6</v>
      </c>
      <c r="CB455" s="18">
        <f t="shared" si="539"/>
        <v>5.9891278718744863</v>
      </c>
      <c r="CC455" s="18">
        <f t="shared" si="539"/>
        <v>2.5104530190483376</v>
      </c>
      <c r="CD455" s="18">
        <f t="shared" si="539"/>
        <v>1.6002567359688393</v>
      </c>
      <c r="CE455" s="18">
        <f t="shared" si="539"/>
        <v>1.897792732773333</v>
      </c>
      <c r="CF455" s="18">
        <f t="shared" si="539"/>
        <v>3.8029352094464244</v>
      </c>
      <c r="CG455" s="18">
        <f t="shared" si="539"/>
        <v>0.94439492095140443</v>
      </c>
      <c r="CH455" s="56">
        <f t="shared" si="527"/>
        <v>6</v>
      </c>
      <c r="CJ455" s="18">
        <f t="shared" si="540"/>
        <v>5.9891278718744863</v>
      </c>
      <c r="CK455" s="18">
        <f t="shared" si="540"/>
        <v>2.5104530190483376</v>
      </c>
      <c r="CL455" s="18">
        <f t="shared" si="540"/>
        <v>1.6002567359688393</v>
      </c>
      <c r="CM455" s="18">
        <f t="shared" si="540"/>
        <v>1.897792732773333</v>
      </c>
      <c r="CN455" s="18">
        <f t="shared" si="540"/>
        <v>3.8029352094464244</v>
      </c>
      <c r="CO455" s="18">
        <f t="shared" si="540"/>
        <v>0.94439492095140443</v>
      </c>
      <c r="CP455" s="56">
        <f t="shared" si="528"/>
        <v>6</v>
      </c>
      <c r="CR455" s="18">
        <f t="shared" si="541"/>
        <v>5.9891278718744863</v>
      </c>
      <c r="CS455" s="18">
        <f t="shared" si="541"/>
        <v>2.5104530190483376</v>
      </c>
      <c r="CT455" s="18">
        <f t="shared" si="541"/>
        <v>1.6002567359688393</v>
      </c>
      <c r="CU455" s="18">
        <f t="shared" si="541"/>
        <v>1.897792732773333</v>
      </c>
      <c r="CV455" s="18">
        <f t="shared" si="541"/>
        <v>3.8029352094464244</v>
      </c>
      <c r="CW455" s="18">
        <f t="shared" si="541"/>
        <v>0.94439492095140443</v>
      </c>
      <c r="CX455" s="56">
        <f t="shared" si="529"/>
        <v>6</v>
      </c>
      <c r="CZ455" s="18">
        <f t="shared" si="542"/>
        <v>5.9891278718744863</v>
      </c>
      <c r="DA455" s="18">
        <f t="shared" si="542"/>
        <v>2.5104530190483376</v>
      </c>
      <c r="DB455" s="18">
        <f t="shared" si="542"/>
        <v>1.6002567359688393</v>
      </c>
      <c r="DC455" s="18">
        <f t="shared" si="542"/>
        <v>1.897792732773333</v>
      </c>
      <c r="DD455" s="18">
        <f t="shared" si="542"/>
        <v>3.8029352094464244</v>
      </c>
      <c r="DE455" s="18">
        <f t="shared" si="542"/>
        <v>0.94439492095140443</v>
      </c>
      <c r="DF455" s="56">
        <f t="shared" si="530"/>
        <v>6</v>
      </c>
      <c r="DH455" s="18">
        <f t="shared" si="543"/>
        <v>5.9891278718744863</v>
      </c>
      <c r="DI455" s="18">
        <f t="shared" si="543"/>
        <v>2.5104530190483376</v>
      </c>
      <c r="DJ455" s="18">
        <f t="shared" si="543"/>
        <v>1.6002567359688393</v>
      </c>
      <c r="DK455" s="18">
        <f t="shared" si="543"/>
        <v>1.897792732773333</v>
      </c>
      <c r="DL455" s="18">
        <f t="shared" si="543"/>
        <v>3.8029352094464244</v>
      </c>
      <c r="DM455" s="18">
        <f t="shared" si="543"/>
        <v>0.94439492095140443</v>
      </c>
      <c r="DN455" s="56">
        <f t="shared" si="531"/>
        <v>6</v>
      </c>
    </row>
    <row r="456" spans="1:118" x14ac:dyDescent="0.25">
      <c r="A456" s="36" t="str">
        <f>KMeans_Data!A53</f>
        <v>Skardu</v>
      </c>
      <c r="B456" s="18">
        <f>KMeans_Data!H53</f>
        <v>0.19442861878561798</v>
      </c>
      <c r="C456" s="18">
        <f>KMeans_Data!I53</f>
        <v>-0.14698313392952958</v>
      </c>
      <c r="D456" s="18">
        <f>KMeans_Data!J53</f>
        <v>0.79580379308358284</v>
      </c>
      <c r="E456" s="56">
        <f t="shared" si="518"/>
        <v>6</v>
      </c>
      <c r="F456" s="38">
        <f t="shared" si="519"/>
        <v>0.51634339012558605</v>
      </c>
      <c r="G456" s="18">
        <f>IF(COUNTIF(Distance_Matrix!$E$12:$DQ$12,$E456)&lt;=1,0,SUMIF(Distance_Matrix!$E$12:$DQ$12,$E456,Distance_Matrix!$E$62:$DQ$62)/(COUNTIF(Distance_Matrix!$E$12:$DQ$12,$E456)-1))</f>
        <v>0.90370723381963869</v>
      </c>
      <c r="H456" s="18">
        <f>MIN(IF(1=$E456,1E+99,IF(COUNTIF(Distance_Matrix!$E$12:$DQ$12,1)=0,1E+99,SUMIF(Distance_Matrix!$E$12:$DQ$12,1,Distance_Matrix!$E$62:$DQ$62)/COUNTIF(Distance_Matrix!$E$12:$DQ$12,1))),IF(2=$E456,1E+99,IF(COUNTIF(Distance_Matrix!$E$12:$DQ$12,2)=0,1E+99,SUMIF(Distance_Matrix!$E$12:$DQ$12,2,Distance_Matrix!$E$62:$DQ$62)/COUNTIF(Distance_Matrix!$E$12:$DQ$12,2))),IF(3=$E456,1E+99,IF(COUNTIF(Distance_Matrix!$E$12:$DQ$12,3)=0,1E+99,SUMIF(Distance_Matrix!$E$12:$DQ$12,3,Distance_Matrix!$E$62:$DQ$62)/COUNTIF(Distance_Matrix!$E$12:$DQ$12,3))),IF(4=$E456,1E+99,IF(COUNTIF(Distance_Matrix!$E$12:$DQ$12,4)=0,1E+99,SUMIF(Distance_Matrix!$E$12:$DQ$12,4,Distance_Matrix!$E$62:$DQ$62)/COUNTIF(Distance_Matrix!$E$12:$DQ$12,4))),IF(5=$E456,1E+99,IF(COUNTIF(Distance_Matrix!$E$12:$DQ$12,5)=0,1E+99,SUMIF(Distance_Matrix!$E$12:$DQ$12,5,Distance_Matrix!$E$62:$DQ$62)/COUNTIF(Distance_Matrix!$E$12:$DQ$12,5))),IF(6=$E456,1E+99,IF(COUNTIF(Distance_Matrix!$E$12:$DQ$12,6)=0,1E+99,SUMIF(Distance_Matrix!$E$12:$DQ$12,6,Distance_Matrix!$E$62:$DQ$62)/COUNTIF(Distance_Matrix!$E$12:$DQ$12,6))))</f>
        <v>1.2468695376089698</v>
      </c>
      <c r="I456" s="18">
        <f>IF(COUNTIF(Distance_Matrix!$E$12:$DQ$12,$E456)&lt;=1,0,(H456-G456)/MAX(G456,H456))</f>
        <v>0.27521909344853213</v>
      </c>
      <c r="X456" s="18">
        <f t="shared" si="532"/>
        <v>5.748328281005314</v>
      </c>
      <c r="Y456" s="18">
        <f t="shared" si="532"/>
        <v>3.0360138240271897</v>
      </c>
      <c r="Z456" s="18">
        <f t="shared" si="532"/>
        <v>1.2007942594917329</v>
      </c>
      <c r="AA456" s="18">
        <f t="shared" si="532"/>
        <v>1.993198818353793</v>
      </c>
      <c r="AB456" s="18">
        <f t="shared" si="532"/>
        <v>3.62683739800657</v>
      </c>
      <c r="AC456" s="18">
        <f t="shared" si="532"/>
        <v>0.91602178982553417</v>
      </c>
      <c r="AD456" s="56">
        <f t="shared" si="520"/>
        <v>6</v>
      </c>
      <c r="AF456" s="18">
        <f t="shared" si="533"/>
        <v>5.6694264131947181</v>
      </c>
      <c r="AG456" s="18">
        <f t="shared" si="533"/>
        <v>2.4750410331924351</v>
      </c>
      <c r="AH456" s="18">
        <f t="shared" si="533"/>
        <v>1.1521462863254721</v>
      </c>
      <c r="AI456" s="18">
        <f t="shared" si="533"/>
        <v>1.6976046072429964</v>
      </c>
      <c r="AJ456" s="18">
        <f t="shared" si="533"/>
        <v>3.4353412297118644</v>
      </c>
      <c r="AK456" s="18">
        <f t="shared" si="533"/>
        <v>0.81198929068898718</v>
      </c>
      <c r="AL456" s="56">
        <f t="shared" si="521"/>
        <v>6</v>
      </c>
      <c r="AN456" s="18">
        <f t="shared" si="534"/>
        <v>5.6694264131947181</v>
      </c>
      <c r="AO456" s="18">
        <f t="shared" si="534"/>
        <v>2.432774006686246</v>
      </c>
      <c r="AP456" s="18">
        <f t="shared" si="534"/>
        <v>1.1279259846662308</v>
      </c>
      <c r="AQ456" s="18">
        <f t="shared" si="534"/>
        <v>1.7106813052039862</v>
      </c>
      <c r="AR456" s="18">
        <f t="shared" si="534"/>
        <v>3.4353412297118644</v>
      </c>
      <c r="AS456" s="18">
        <f t="shared" si="534"/>
        <v>0.77082393428329232</v>
      </c>
      <c r="AT456" s="56">
        <f t="shared" si="522"/>
        <v>6</v>
      </c>
      <c r="AV456" s="18">
        <f t="shared" si="535"/>
        <v>5.6694264131947181</v>
      </c>
      <c r="AW456" s="18">
        <f t="shared" si="535"/>
        <v>2.4015866310931377</v>
      </c>
      <c r="AX456" s="18">
        <f t="shared" si="535"/>
        <v>1.1279259846662308</v>
      </c>
      <c r="AY456" s="18">
        <f t="shared" si="535"/>
        <v>1.7106813052039862</v>
      </c>
      <c r="AZ456" s="18">
        <f t="shared" si="535"/>
        <v>3.4353412297118644</v>
      </c>
      <c r="BA456" s="18">
        <f t="shared" si="535"/>
        <v>0.74483614617046034</v>
      </c>
      <c r="BB456" s="56">
        <f t="shared" si="523"/>
        <v>6</v>
      </c>
      <c r="BD456" s="18">
        <f t="shared" si="536"/>
        <v>5.6694264131947181</v>
      </c>
      <c r="BE456" s="18">
        <f t="shared" si="536"/>
        <v>2.3713485396227418</v>
      </c>
      <c r="BF456" s="18">
        <f t="shared" si="536"/>
        <v>1.1279259846662308</v>
      </c>
      <c r="BG456" s="18">
        <f t="shared" si="536"/>
        <v>1.7106813052039862</v>
      </c>
      <c r="BH456" s="18">
        <f t="shared" si="536"/>
        <v>3.4353412297118644</v>
      </c>
      <c r="BI456" s="18">
        <f t="shared" si="536"/>
        <v>0.71857037938227464</v>
      </c>
      <c r="BJ456" s="56">
        <f t="shared" si="524"/>
        <v>6</v>
      </c>
      <c r="BL456" s="18">
        <f t="shared" si="537"/>
        <v>5.6694264131947181</v>
      </c>
      <c r="BM456" s="18">
        <f t="shared" si="537"/>
        <v>2.3713485396227418</v>
      </c>
      <c r="BN456" s="18">
        <f t="shared" si="537"/>
        <v>1.1279259846662308</v>
      </c>
      <c r="BO456" s="18">
        <f t="shared" si="537"/>
        <v>1.7106813052039862</v>
      </c>
      <c r="BP456" s="18">
        <f t="shared" si="537"/>
        <v>3.4353412297118644</v>
      </c>
      <c r="BQ456" s="18">
        <f t="shared" si="537"/>
        <v>0.71857037938227464</v>
      </c>
      <c r="BR456" s="56">
        <f t="shared" si="525"/>
        <v>6</v>
      </c>
      <c r="BT456" s="18">
        <f t="shared" si="538"/>
        <v>5.6694264131947181</v>
      </c>
      <c r="BU456" s="18">
        <f t="shared" si="538"/>
        <v>2.3713485396227418</v>
      </c>
      <c r="BV456" s="18">
        <f t="shared" si="538"/>
        <v>1.1279259846662308</v>
      </c>
      <c r="BW456" s="18">
        <f t="shared" si="538"/>
        <v>1.7106813052039862</v>
      </c>
      <c r="BX456" s="18">
        <f t="shared" si="538"/>
        <v>3.4353412297118644</v>
      </c>
      <c r="BY456" s="18">
        <f t="shared" si="538"/>
        <v>0.71857037938227464</v>
      </c>
      <c r="BZ456" s="56">
        <f t="shared" si="526"/>
        <v>6</v>
      </c>
      <c r="CB456" s="18">
        <f t="shared" si="539"/>
        <v>5.6694264131947181</v>
      </c>
      <c r="CC456" s="18">
        <f t="shared" si="539"/>
        <v>2.3713485396227418</v>
      </c>
      <c r="CD456" s="18">
        <f t="shared" si="539"/>
        <v>1.1279259846662308</v>
      </c>
      <c r="CE456" s="18">
        <f t="shared" si="539"/>
        <v>1.7106813052039862</v>
      </c>
      <c r="CF456" s="18">
        <f t="shared" si="539"/>
        <v>3.4353412297118644</v>
      </c>
      <c r="CG456" s="18">
        <f t="shared" si="539"/>
        <v>0.71857037938227464</v>
      </c>
      <c r="CH456" s="56">
        <f t="shared" si="527"/>
        <v>6</v>
      </c>
      <c r="CJ456" s="18">
        <f t="shared" si="540"/>
        <v>5.6694264131947181</v>
      </c>
      <c r="CK456" s="18">
        <f t="shared" si="540"/>
        <v>2.3713485396227418</v>
      </c>
      <c r="CL456" s="18">
        <f t="shared" si="540"/>
        <v>1.1279259846662308</v>
      </c>
      <c r="CM456" s="18">
        <f t="shared" si="540"/>
        <v>1.7106813052039862</v>
      </c>
      <c r="CN456" s="18">
        <f t="shared" si="540"/>
        <v>3.4353412297118644</v>
      </c>
      <c r="CO456" s="18">
        <f t="shared" si="540"/>
        <v>0.71857037938227464</v>
      </c>
      <c r="CP456" s="56">
        <f t="shared" si="528"/>
        <v>6</v>
      </c>
      <c r="CR456" s="18">
        <f t="shared" si="541"/>
        <v>5.6694264131947181</v>
      </c>
      <c r="CS456" s="18">
        <f t="shared" si="541"/>
        <v>2.3713485396227418</v>
      </c>
      <c r="CT456" s="18">
        <f t="shared" si="541"/>
        <v>1.1279259846662308</v>
      </c>
      <c r="CU456" s="18">
        <f t="shared" si="541"/>
        <v>1.7106813052039862</v>
      </c>
      <c r="CV456" s="18">
        <f t="shared" si="541"/>
        <v>3.4353412297118644</v>
      </c>
      <c r="CW456" s="18">
        <f t="shared" si="541"/>
        <v>0.71857037938227464</v>
      </c>
      <c r="CX456" s="56">
        <f t="shared" si="529"/>
        <v>6</v>
      </c>
      <c r="CZ456" s="18">
        <f t="shared" si="542"/>
        <v>5.6694264131947181</v>
      </c>
      <c r="DA456" s="18">
        <f t="shared" si="542"/>
        <v>2.3713485396227418</v>
      </c>
      <c r="DB456" s="18">
        <f t="shared" si="542"/>
        <v>1.1279259846662308</v>
      </c>
      <c r="DC456" s="18">
        <f t="shared" si="542"/>
        <v>1.7106813052039862</v>
      </c>
      <c r="DD456" s="18">
        <f t="shared" si="542"/>
        <v>3.4353412297118644</v>
      </c>
      <c r="DE456" s="18">
        <f t="shared" si="542"/>
        <v>0.71857037938227464</v>
      </c>
      <c r="DF456" s="56">
        <f t="shared" si="530"/>
        <v>6</v>
      </c>
      <c r="DH456" s="18">
        <f t="shared" si="543"/>
        <v>5.6694264131947181</v>
      </c>
      <c r="DI456" s="18">
        <f t="shared" si="543"/>
        <v>2.3713485396227418</v>
      </c>
      <c r="DJ456" s="18">
        <f t="shared" si="543"/>
        <v>1.1279259846662308</v>
      </c>
      <c r="DK456" s="18">
        <f t="shared" si="543"/>
        <v>1.7106813052039862</v>
      </c>
      <c r="DL456" s="18">
        <f t="shared" si="543"/>
        <v>3.4353412297118644</v>
      </c>
      <c r="DM456" s="18">
        <f t="shared" si="543"/>
        <v>0.71857037938227464</v>
      </c>
      <c r="DN456" s="56">
        <f t="shared" si="531"/>
        <v>6</v>
      </c>
    </row>
    <row r="457" spans="1:118" x14ac:dyDescent="0.25">
      <c r="A457" s="36" t="str">
        <f>KMeans_Data!A54</f>
        <v>Sialkot</v>
      </c>
      <c r="B457" s="18">
        <f>KMeans_Data!H54</f>
        <v>0.19442861878561798</v>
      </c>
      <c r="C457" s="18">
        <f>KMeans_Data!I54</f>
        <v>-0.67265054538827607</v>
      </c>
      <c r="D457" s="18">
        <f>KMeans_Data!J54</f>
        <v>-1.1456441163335547</v>
      </c>
      <c r="E457" s="56">
        <f t="shared" si="518"/>
        <v>4</v>
      </c>
      <c r="F457" s="38">
        <f t="shared" si="519"/>
        <v>9.4974874203289886E-2</v>
      </c>
      <c r="G457" s="18">
        <f>IF(COUNTIF(Distance_Matrix!$E$12:$DQ$12,$E457)&lt;=1,0,SUMIF(Distance_Matrix!$E$12:$DQ$12,$E457,Distance_Matrix!$E$63:$DQ$63)/(COUNTIF(Distance_Matrix!$E$12:$DQ$12,$E457)-1))</f>
        <v>0.60776122116947529</v>
      </c>
      <c r="H457" s="18">
        <f>MIN(IF(1=$E457,1E+99,IF(COUNTIF(Distance_Matrix!$E$12:$DQ$12,1)=0,1E+99,SUMIF(Distance_Matrix!$E$12:$DQ$12,1,Distance_Matrix!$E$63:$DQ$63)/COUNTIF(Distance_Matrix!$E$12:$DQ$12,1))),IF(2=$E457,1E+99,IF(COUNTIF(Distance_Matrix!$E$12:$DQ$12,2)=0,1E+99,SUMIF(Distance_Matrix!$E$12:$DQ$12,2,Distance_Matrix!$E$63:$DQ$63)/COUNTIF(Distance_Matrix!$E$12:$DQ$12,2))),IF(3=$E457,1E+99,IF(COUNTIF(Distance_Matrix!$E$12:$DQ$12,3)=0,1E+99,SUMIF(Distance_Matrix!$E$12:$DQ$12,3,Distance_Matrix!$E$63:$DQ$63)/COUNTIF(Distance_Matrix!$E$12:$DQ$12,3))),IF(4=$E457,1E+99,IF(COUNTIF(Distance_Matrix!$E$12:$DQ$12,4)=0,1E+99,SUMIF(Distance_Matrix!$E$12:$DQ$12,4,Distance_Matrix!$E$63:$DQ$63)/COUNTIF(Distance_Matrix!$E$12:$DQ$12,4))),IF(5=$E457,1E+99,IF(COUNTIF(Distance_Matrix!$E$12:$DQ$12,5)=0,1E+99,SUMIF(Distance_Matrix!$E$12:$DQ$12,5,Distance_Matrix!$E$63:$DQ$63)/COUNTIF(Distance_Matrix!$E$12:$DQ$12,5))),IF(6=$E457,1E+99,IF(COUNTIF(Distance_Matrix!$E$12:$DQ$12,6)=0,1E+99,SUMIF(Distance_Matrix!$E$12:$DQ$12,6,Distance_Matrix!$E$63:$DQ$63)/COUNTIF(Distance_Matrix!$E$12:$DQ$12,6))))</f>
        <v>1.4754823700354984</v>
      </c>
      <c r="I457" s="18">
        <f>IF(COUNTIF(Distance_Matrix!$E$12:$DQ$12,$E457)&lt;=1,0,(H457-G457)/MAX(G457,H457))</f>
        <v>0.58809320022247824</v>
      </c>
      <c r="X457" s="18">
        <f t="shared" si="532"/>
        <v>7.1434907577509605</v>
      </c>
      <c r="Y457" s="18">
        <f t="shared" si="532"/>
        <v>2.2741666005889467</v>
      </c>
      <c r="Z457" s="18">
        <f t="shared" si="532"/>
        <v>2.9427045941981942</v>
      </c>
      <c r="AA457" s="18">
        <f t="shared" si="532"/>
        <v>0.69278262967291682</v>
      </c>
      <c r="AB457" s="18">
        <f t="shared" si="532"/>
        <v>5.0879780402530388</v>
      </c>
      <c r="AC457" s="18">
        <f t="shared" si="532"/>
        <v>2.0579288908190914</v>
      </c>
      <c r="AD457" s="56">
        <f t="shared" si="520"/>
        <v>4</v>
      </c>
      <c r="AF457" s="18">
        <f t="shared" si="533"/>
        <v>7.0056908806580074</v>
      </c>
      <c r="AG457" s="18">
        <f t="shared" si="533"/>
        <v>1.5161482279097414</v>
      </c>
      <c r="AH457" s="18">
        <f t="shared" si="533"/>
        <v>2.6440108650260048</v>
      </c>
      <c r="AI457" s="18">
        <f t="shared" si="533"/>
        <v>0.32405384534440212</v>
      </c>
      <c r="AJ457" s="18">
        <f t="shared" si="533"/>
        <v>4.7458301904197411</v>
      </c>
      <c r="AK457" s="18">
        <f t="shared" si="533"/>
        <v>1.4234757002399392</v>
      </c>
      <c r="AL457" s="56">
        <f t="shared" si="521"/>
        <v>4</v>
      </c>
      <c r="AN457" s="18">
        <f t="shared" si="534"/>
        <v>7.0056908806580074</v>
      </c>
      <c r="AO457" s="18">
        <f t="shared" si="534"/>
        <v>1.4743022478022896</v>
      </c>
      <c r="AP457" s="18">
        <f t="shared" si="534"/>
        <v>2.6202327256986773</v>
      </c>
      <c r="AQ457" s="18">
        <f t="shared" si="534"/>
        <v>0.30817993802856453</v>
      </c>
      <c r="AR457" s="18">
        <f t="shared" si="534"/>
        <v>4.7458301904197411</v>
      </c>
      <c r="AS457" s="18">
        <f t="shared" si="534"/>
        <v>1.4333547007592782</v>
      </c>
      <c r="AT457" s="56">
        <f t="shared" si="522"/>
        <v>4</v>
      </c>
      <c r="AV457" s="18">
        <f t="shared" si="535"/>
        <v>7.0056908806580074</v>
      </c>
      <c r="AW457" s="18">
        <f t="shared" si="535"/>
        <v>1.4569176361541329</v>
      </c>
      <c r="AX457" s="18">
        <f t="shared" si="535"/>
        <v>2.6202327256986773</v>
      </c>
      <c r="AY457" s="18">
        <f t="shared" si="535"/>
        <v>0.30817993802856453</v>
      </c>
      <c r="AZ457" s="18">
        <f t="shared" si="535"/>
        <v>4.7458301904197411</v>
      </c>
      <c r="BA457" s="18">
        <f t="shared" si="535"/>
        <v>1.4471380895608907</v>
      </c>
      <c r="BB457" s="56">
        <f t="shared" si="523"/>
        <v>4</v>
      </c>
      <c r="BD457" s="18">
        <f t="shared" si="536"/>
        <v>7.0056908806580074</v>
      </c>
      <c r="BE457" s="18">
        <f t="shared" si="536"/>
        <v>1.4432095952621848</v>
      </c>
      <c r="BF457" s="18">
        <f t="shared" si="536"/>
        <v>2.6202327256986773</v>
      </c>
      <c r="BG457" s="18">
        <f t="shared" si="536"/>
        <v>0.30817993802856453</v>
      </c>
      <c r="BH457" s="18">
        <f t="shared" si="536"/>
        <v>4.7458301904197411</v>
      </c>
      <c r="BI457" s="18">
        <f t="shared" si="536"/>
        <v>1.4592992821086026</v>
      </c>
      <c r="BJ457" s="56">
        <f t="shared" si="524"/>
        <v>4</v>
      </c>
      <c r="BL457" s="18">
        <f t="shared" si="537"/>
        <v>7.0056908806580074</v>
      </c>
      <c r="BM457" s="18">
        <f t="shared" si="537"/>
        <v>1.4432095952621848</v>
      </c>
      <c r="BN457" s="18">
        <f t="shared" si="537"/>
        <v>2.6202327256986773</v>
      </c>
      <c r="BO457" s="18">
        <f t="shared" si="537"/>
        <v>0.30817993802856453</v>
      </c>
      <c r="BP457" s="18">
        <f t="shared" si="537"/>
        <v>4.7458301904197411</v>
      </c>
      <c r="BQ457" s="18">
        <f t="shared" si="537"/>
        <v>1.4592992821086026</v>
      </c>
      <c r="BR457" s="56">
        <f t="shared" si="525"/>
        <v>4</v>
      </c>
      <c r="BT457" s="18">
        <f t="shared" si="538"/>
        <v>7.0056908806580074</v>
      </c>
      <c r="BU457" s="18">
        <f t="shared" si="538"/>
        <v>1.4432095952621848</v>
      </c>
      <c r="BV457" s="18">
        <f t="shared" si="538"/>
        <v>2.6202327256986773</v>
      </c>
      <c r="BW457" s="18">
        <f t="shared" si="538"/>
        <v>0.30817993802856453</v>
      </c>
      <c r="BX457" s="18">
        <f t="shared" si="538"/>
        <v>4.7458301904197411</v>
      </c>
      <c r="BY457" s="18">
        <f t="shared" si="538"/>
        <v>1.4592992821086026</v>
      </c>
      <c r="BZ457" s="56">
        <f t="shared" si="526"/>
        <v>4</v>
      </c>
      <c r="CB457" s="18">
        <f t="shared" si="539"/>
        <v>7.0056908806580074</v>
      </c>
      <c r="CC457" s="18">
        <f t="shared" si="539"/>
        <v>1.4432095952621848</v>
      </c>
      <c r="CD457" s="18">
        <f t="shared" si="539"/>
        <v>2.6202327256986773</v>
      </c>
      <c r="CE457" s="18">
        <f t="shared" si="539"/>
        <v>0.30817993802856453</v>
      </c>
      <c r="CF457" s="18">
        <f t="shared" si="539"/>
        <v>4.7458301904197411</v>
      </c>
      <c r="CG457" s="18">
        <f t="shared" si="539"/>
        <v>1.4592992821086026</v>
      </c>
      <c r="CH457" s="56">
        <f t="shared" si="527"/>
        <v>4</v>
      </c>
      <c r="CJ457" s="18">
        <f t="shared" si="540"/>
        <v>7.0056908806580074</v>
      </c>
      <c r="CK457" s="18">
        <f t="shared" si="540"/>
        <v>1.4432095952621848</v>
      </c>
      <c r="CL457" s="18">
        <f t="shared" si="540"/>
        <v>2.6202327256986773</v>
      </c>
      <c r="CM457" s="18">
        <f t="shared" si="540"/>
        <v>0.30817993802856453</v>
      </c>
      <c r="CN457" s="18">
        <f t="shared" si="540"/>
        <v>4.7458301904197411</v>
      </c>
      <c r="CO457" s="18">
        <f t="shared" si="540"/>
        <v>1.4592992821086026</v>
      </c>
      <c r="CP457" s="56">
        <f t="shared" si="528"/>
        <v>4</v>
      </c>
      <c r="CR457" s="18">
        <f t="shared" si="541"/>
        <v>7.0056908806580074</v>
      </c>
      <c r="CS457" s="18">
        <f t="shared" si="541"/>
        <v>1.4432095952621848</v>
      </c>
      <c r="CT457" s="18">
        <f t="shared" si="541"/>
        <v>2.6202327256986773</v>
      </c>
      <c r="CU457" s="18">
        <f t="shared" si="541"/>
        <v>0.30817993802856453</v>
      </c>
      <c r="CV457" s="18">
        <f t="shared" si="541"/>
        <v>4.7458301904197411</v>
      </c>
      <c r="CW457" s="18">
        <f t="shared" si="541"/>
        <v>1.4592992821086026</v>
      </c>
      <c r="CX457" s="56">
        <f t="shared" si="529"/>
        <v>4</v>
      </c>
      <c r="CZ457" s="18">
        <f t="shared" si="542"/>
        <v>7.0056908806580074</v>
      </c>
      <c r="DA457" s="18">
        <f t="shared" si="542"/>
        <v>1.4432095952621848</v>
      </c>
      <c r="DB457" s="18">
        <f t="shared" si="542"/>
        <v>2.6202327256986773</v>
      </c>
      <c r="DC457" s="18">
        <f t="shared" si="542"/>
        <v>0.30817993802856453</v>
      </c>
      <c r="DD457" s="18">
        <f t="shared" si="542"/>
        <v>4.7458301904197411</v>
      </c>
      <c r="DE457" s="18">
        <f t="shared" si="542"/>
        <v>1.4592992821086026</v>
      </c>
      <c r="DF457" s="56">
        <f t="shared" si="530"/>
        <v>4</v>
      </c>
      <c r="DH457" s="18">
        <f t="shared" si="543"/>
        <v>7.0056908806580074</v>
      </c>
      <c r="DI457" s="18">
        <f t="shared" si="543"/>
        <v>1.4432095952621848</v>
      </c>
      <c r="DJ457" s="18">
        <f t="shared" si="543"/>
        <v>2.6202327256986773</v>
      </c>
      <c r="DK457" s="18">
        <f t="shared" si="543"/>
        <v>0.30817993802856453</v>
      </c>
      <c r="DL457" s="18">
        <f t="shared" si="543"/>
        <v>4.7458301904197411</v>
      </c>
      <c r="DM457" s="18">
        <f t="shared" si="543"/>
        <v>1.4592992821086026</v>
      </c>
      <c r="DN457" s="56">
        <f t="shared" si="531"/>
        <v>4</v>
      </c>
    </row>
    <row r="458" spans="1:118" x14ac:dyDescent="0.25">
      <c r="A458" s="36" t="str">
        <f>KMeans_Data!A55</f>
        <v>Faisalabad</v>
      </c>
      <c r="B458" s="18">
        <f>KMeans_Data!H55</f>
        <v>0.18779833781528543</v>
      </c>
      <c r="C458" s="18">
        <f>KMeans_Data!I55</f>
        <v>-0.67265054538827607</v>
      </c>
      <c r="D458" s="18">
        <f>KMeans_Data!J55</f>
        <v>-1.1456441163335547</v>
      </c>
      <c r="E458" s="56">
        <f t="shared" si="518"/>
        <v>4</v>
      </c>
      <c r="F458" s="38">
        <f t="shared" si="519"/>
        <v>9.4272768741887766E-2</v>
      </c>
      <c r="G458" s="18">
        <f>IF(COUNTIF(Distance_Matrix!$E$12:$DQ$12,$E458)&lt;=1,0,SUMIF(Distance_Matrix!$E$12:$DQ$12,$E458,Distance_Matrix!$E$64:$DQ$64)/(COUNTIF(Distance_Matrix!$E$12:$DQ$12,$E458)-1))</f>
        <v>0.60621083497309991</v>
      </c>
      <c r="H458" s="18">
        <f>MIN(IF(1=$E458,1E+99,IF(COUNTIF(Distance_Matrix!$E$12:$DQ$12,1)=0,1E+99,SUMIF(Distance_Matrix!$E$12:$DQ$12,1,Distance_Matrix!$E$64:$DQ$64)/COUNTIF(Distance_Matrix!$E$12:$DQ$12,1))),IF(2=$E458,1E+99,IF(COUNTIF(Distance_Matrix!$E$12:$DQ$12,2)=0,1E+99,SUMIF(Distance_Matrix!$E$12:$DQ$12,2,Distance_Matrix!$E$64:$DQ$64)/COUNTIF(Distance_Matrix!$E$12:$DQ$12,2))),IF(3=$E458,1E+99,IF(COUNTIF(Distance_Matrix!$E$12:$DQ$12,3)=0,1E+99,SUMIF(Distance_Matrix!$E$12:$DQ$12,3,Distance_Matrix!$E$64:$DQ$64)/COUNTIF(Distance_Matrix!$E$12:$DQ$12,3))),IF(4=$E458,1E+99,IF(COUNTIF(Distance_Matrix!$E$12:$DQ$12,4)=0,1E+99,SUMIF(Distance_Matrix!$E$12:$DQ$12,4,Distance_Matrix!$E$64:$DQ$64)/COUNTIF(Distance_Matrix!$E$12:$DQ$12,4))),IF(5=$E458,1E+99,IF(COUNTIF(Distance_Matrix!$E$12:$DQ$12,5)=0,1E+99,SUMIF(Distance_Matrix!$E$12:$DQ$12,5,Distance_Matrix!$E$64:$DQ$64)/COUNTIF(Distance_Matrix!$E$12:$DQ$12,5))),IF(6=$E458,1E+99,IF(COUNTIF(Distance_Matrix!$E$12:$DQ$12,6)=0,1E+99,SUMIF(Distance_Matrix!$E$12:$DQ$12,6,Distance_Matrix!$E$64:$DQ$64)/COUNTIF(Distance_Matrix!$E$12:$DQ$12,6))))</f>
        <v>1.4690487911840024</v>
      </c>
      <c r="I458" s="18">
        <f>IF(COUNTIF(Distance_Matrix!$E$12:$DQ$12,$E458)&lt;=1,0,(H458-G458)/MAX(G458,H458))</f>
        <v>0.58734465552739401</v>
      </c>
      <c r="X458" s="18">
        <f t="shared" ref="X458:AC467" si="544">SQRT(($B458-X$401)^2+($C458-X$402)^2+($D458-X$403)^2)</f>
        <v>7.1463518740909944</v>
      </c>
      <c r="Y458" s="18">
        <f t="shared" si="544"/>
        <v>2.267536319618614</v>
      </c>
      <c r="Z458" s="18">
        <f t="shared" si="544"/>
        <v>2.9446106239101808</v>
      </c>
      <c r="AA458" s="18">
        <f t="shared" si="544"/>
        <v>0.69711942122382753</v>
      </c>
      <c r="AB458" s="18">
        <f t="shared" si="544"/>
        <v>5.0908094923954756</v>
      </c>
      <c r="AC458" s="18">
        <f t="shared" si="544"/>
        <v>2.055035912319858</v>
      </c>
      <c r="AD458" s="56">
        <f t="shared" si="520"/>
        <v>4</v>
      </c>
      <c r="AF458" s="18">
        <f t="shared" ref="AF458:AK467" si="545">SQRT(($B458-AF$401)^2+($C458-AF$402)^2+($D458-AF$403)^2)</f>
        <v>7.0085968244260144</v>
      </c>
      <c r="AG458" s="18">
        <f t="shared" si="545"/>
        <v>1.5095223356434777</v>
      </c>
      <c r="AH458" s="18">
        <f t="shared" si="545"/>
        <v>2.6454621332703891</v>
      </c>
      <c r="AI458" s="18">
        <f t="shared" si="545"/>
        <v>0.32308463939851539</v>
      </c>
      <c r="AJ458" s="18">
        <f t="shared" si="545"/>
        <v>4.7484874475036261</v>
      </c>
      <c r="AK458" s="18">
        <f t="shared" si="545"/>
        <v>1.4213503661082949</v>
      </c>
      <c r="AL458" s="56">
        <f t="shared" si="521"/>
        <v>4</v>
      </c>
      <c r="AN458" s="18">
        <f t="shared" ref="AN458:AS467" si="546">SQRT(($B458-AN$401)^2+($C458-AN$402)^2+($D458-AN$403)^2)</f>
        <v>7.0085968244260144</v>
      </c>
      <c r="AO458" s="18">
        <f t="shared" si="546"/>
        <v>1.4676805381676792</v>
      </c>
      <c r="AP458" s="18">
        <f t="shared" si="546"/>
        <v>2.6216270981947001</v>
      </c>
      <c r="AQ458" s="18">
        <f t="shared" si="546"/>
        <v>0.30703870886565388</v>
      </c>
      <c r="AR458" s="18">
        <f t="shared" si="546"/>
        <v>4.7484874475036261</v>
      </c>
      <c r="AS458" s="18">
        <f t="shared" si="546"/>
        <v>1.4314279926340576</v>
      </c>
      <c r="AT458" s="56">
        <f t="shared" si="522"/>
        <v>4</v>
      </c>
      <c r="AV458" s="18">
        <f t="shared" ref="AV458:BA467" si="547">SQRT(($B458-AV$401)^2+($C458-AV$402)^2+($D458-AV$403)^2)</f>
        <v>7.0085968244260144</v>
      </c>
      <c r="AW458" s="18">
        <f t="shared" si="547"/>
        <v>1.4503029848390945</v>
      </c>
      <c r="AX458" s="18">
        <f t="shared" si="547"/>
        <v>2.6216270981947001</v>
      </c>
      <c r="AY458" s="18">
        <f t="shared" si="547"/>
        <v>0.30703870886565388</v>
      </c>
      <c r="AZ458" s="18">
        <f t="shared" si="547"/>
        <v>4.7484874475036261</v>
      </c>
      <c r="BA458" s="18">
        <f t="shared" si="547"/>
        <v>1.4453077860285015</v>
      </c>
      <c r="BB458" s="56">
        <f t="shared" si="523"/>
        <v>4</v>
      </c>
      <c r="BD458" s="18">
        <f t="shared" ref="BD458:BI467" si="548">SQRT(($B458-BD$401)^2+($C458-BD$402)^2+($D458-BD$403)^2)</f>
        <v>7.0085968244260144</v>
      </c>
      <c r="BE458" s="18">
        <f t="shared" si="548"/>
        <v>1.4366048787553516</v>
      </c>
      <c r="BF458" s="18">
        <f t="shared" si="548"/>
        <v>2.6216270981947001</v>
      </c>
      <c r="BG458" s="18">
        <f t="shared" si="548"/>
        <v>0.30703870886565388</v>
      </c>
      <c r="BH458" s="18">
        <f t="shared" si="548"/>
        <v>4.7484874475036261</v>
      </c>
      <c r="BI458" s="18">
        <f t="shared" si="548"/>
        <v>1.4575728970461626</v>
      </c>
      <c r="BJ458" s="56">
        <f t="shared" si="524"/>
        <v>4</v>
      </c>
      <c r="BL458" s="18">
        <f t="shared" ref="BL458:BQ467" si="549">SQRT(($B458-BL$401)^2+($C458-BL$402)^2+($D458-BL$403)^2)</f>
        <v>7.0085968244260144</v>
      </c>
      <c r="BM458" s="18">
        <f t="shared" si="549"/>
        <v>1.4366048787553516</v>
      </c>
      <c r="BN458" s="18">
        <f t="shared" si="549"/>
        <v>2.6216270981947001</v>
      </c>
      <c r="BO458" s="18">
        <f t="shared" si="549"/>
        <v>0.30703870886565388</v>
      </c>
      <c r="BP458" s="18">
        <f t="shared" si="549"/>
        <v>4.7484874475036261</v>
      </c>
      <c r="BQ458" s="18">
        <f t="shared" si="549"/>
        <v>1.4575728970461626</v>
      </c>
      <c r="BR458" s="56">
        <f t="shared" si="525"/>
        <v>4</v>
      </c>
      <c r="BT458" s="18">
        <f t="shared" ref="BT458:BY467" si="550">SQRT(($B458-BT$401)^2+($C458-BT$402)^2+($D458-BT$403)^2)</f>
        <v>7.0085968244260144</v>
      </c>
      <c r="BU458" s="18">
        <f t="shared" si="550"/>
        <v>1.4366048787553516</v>
      </c>
      <c r="BV458" s="18">
        <f t="shared" si="550"/>
        <v>2.6216270981947001</v>
      </c>
      <c r="BW458" s="18">
        <f t="shared" si="550"/>
        <v>0.30703870886565388</v>
      </c>
      <c r="BX458" s="18">
        <f t="shared" si="550"/>
        <v>4.7484874475036261</v>
      </c>
      <c r="BY458" s="18">
        <f t="shared" si="550"/>
        <v>1.4575728970461626</v>
      </c>
      <c r="BZ458" s="56">
        <f t="shared" si="526"/>
        <v>4</v>
      </c>
      <c r="CB458" s="18">
        <f t="shared" ref="CB458:CG467" si="551">SQRT(($B458-CB$401)^2+($C458-CB$402)^2+($D458-CB$403)^2)</f>
        <v>7.0085968244260144</v>
      </c>
      <c r="CC458" s="18">
        <f t="shared" si="551"/>
        <v>1.4366048787553516</v>
      </c>
      <c r="CD458" s="18">
        <f t="shared" si="551"/>
        <v>2.6216270981947001</v>
      </c>
      <c r="CE458" s="18">
        <f t="shared" si="551"/>
        <v>0.30703870886565388</v>
      </c>
      <c r="CF458" s="18">
        <f t="shared" si="551"/>
        <v>4.7484874475036261</v>
      </c>
      <c r="CG458" s="18">
        <f t="shared" si="551"/>
        <v>1.4575728970461626</v>
      </c>
      <c r="CH458" s="56">
        <f t="shared" si="527"/>
        <v>4</v>
      </c>
      <c r="CJ458" s="18">
        <f t="shared" ref="CJ458:CO467" si="552">SQRT(($B458-CJ$401)^2+($C458-CJ$402)^2+($D458-CJ$403)^2)</f>
        <v>7.0085968244260144</v>
      </c>
      <c r="CK458" s="18">
        <f t="shared" si="552"/>
        <v>1.4366048787553516</v>
      </c>
      <c r="CL458" s="18">
        <f t="shared" si="552"/>
        <v>2.6216270981947001</v>
      </c>
      <c r="CM458" s="18">
        <f t="shared" si="552"/>
        <v>0.30703870886565388</v>
      </c>
      <c r="CN458" s="18">
        <f t="shared" si="552"/>
        <v>4.7484874475036261</v>
      </c>
      <c r="CO458" s="18">
        <f t="shared" si="552"/>
        <v>1.4575728970461626</v>
      </c>
      <c r="CP458" s="56">
        <f t="shared" si="528"/>
        <v>4</v>
      </c>
      <c r="CR458" s="18">
        <f t="shared" ref="CR458:CW467" si="553">SQRT(($B458-CR$401)^2+($C458-CR$402)^2+($D458-CR$403)^2)</f>
        <v>7.0085968244260144</v>
      </c>
      <c r="CS458" s="18">
        <f t="shared" si="553"/>
        <v>1.4366048787553516</v>
      </c>
      <c r="CT458" s="18">
        <f t="shared" si="553"/>
        <v>2.6216270981947001</v>
      </c>
      <c r="CU458" s="18">
        <f t="shared" si="553"/>
        <v>0.30703870886565388</v>
      </c>
      <c r="CV458" s="18">
        <f t="shared" si="553"/>
        <v>4.7484874475036261</v>
      </c>
      <c r="CW458" s="18">
        <f t="shared" si="553"/>
        <v>1.4575728970461626</v>
      </c>
      <c r="CX458" s="56">
        <f t="shared" si="529"/>
        <v>4</v>
      </c>
      <c r="CZ458" s="18">
        <f t="shared" ref="CZ458:DE467" si="554">SQRT(($B458-CZ$401)^2+($C458-CZ$402)^2+($D458-CZ$403)^2)</f>
        <v>7.0085968244260144</v>
      </c>
      <c r="DA458" s="18">
        <f t="shared" si="554"/>
        <v>1.4366048787553516</v>
      </c>
      <c r="DB458" s="18">
        <f t="shared" si="554"/>
        <v>2.6216270981947001</v>
      </c>
      <c r="DC458" s="18">
        <f t="shared" si="554"/>
        <v>0.30703870886565388</v>
      </c>
      <c r="DD458" s="18">
        <f t="shared" si="554"/>
        <v>4.7484874475036261</v>
      </c>
      <c r="DE458" s="18">
        <f t="shared" si="554"/>
        <v>1.4575728970461626</v>
      </c>
      <c r="DF458" s="56">
        <f t="shared" si="530"/>
        <v>4</v>
      </c>
      <c r="DH458" s="18">
        <f t="shared" ref="DH458:DM467" si="555">SQRT(($B458-DH$401)^2+($C458-DH$402)^2+($D458-DH$403)^2)</f>
        <v>7.0085968244260144</v>
      </c>
      <c r="DI458" s="18">
        <f t="shared" si="555"/>
        <v>1.4366048787553516</v>
      </c>
      <c r="DJ458" s="18">
        <f t="shared" si="555"/>
        <v>2.6216270981947001</v>
      </c>
      <c r="DK458" s="18">
        <f t="shared" si="555"/>
        <v>0.30703870886565388</v>
      </c>
      <c r="DL458" s="18">
        <f t="shared" si="555"/>
        <v>4.7484874475036261</v>
      </c>
      <c r="DM458" s="18">
        <f t="shared" si="555"/>
        <v>1.4575728970461626</v>
      </c>
      <c r="DN458" s="56">
        <f t="shared" si="531"/>
        <v>4</v>
      </c>
    </row>
    <row r="459" spans="1:118" x14ac:dyDescent="0.25">
      <c r="A459" s="36" t="str">
        <f>KMeans_Data!A56</f>
        <v>Jhelum</v>
      </c>
      <c r="B459" s="18">
        <f>KMeans_Data!H56</f>
        <v>0.16738513255089196</v>
      </c>
      <c r="C459" s="18">
        <f>KMeans_Data!I56</f>
        <v>-0.67265054538827607</v>
      </c>
      <c r="D459" s="18">
        <f>KMeans_Data!J56</f>
        <v>-0.50324791546397885</v>
      </c>
      <c r="E459" s="56">
        <f t="shared" si="518"/>
        <v>4</v>
      </c>
      <c r="F459" s="38">
        <f t="shared" si="519"/>
        <v>0.14006491098327312</v>
      </c>
      <c r="G459" s="18">
        <f>IF(COUNTIF(Distance_Matrix!$E$12:$DQ$12,$E459)&lt;=1,0,SUMIF(Distance_Matrix!$E$12:$DQ$12,$E459,Distance_Matrix!$E$65:$DQ$65)/(COUNTIF(Distance_Matrix!$E$12:$DQ$12,$E459)-1))</f>
        <v>0.67887421849080287</v>
      </c>
      <c r="H459" s="18">
        <f>MIN(IF(1=$E459,1E+99,IF(COUNTIF(Distance_Matrix!$E$12:$DQ$12,1)=0,1E+99,SUMIF(Distance_Matrix!$E$12:$DQ$12,1,Distance_Matrix!$E$65:$DQ$65)/COUNTIF(Distance_Matrix!$E$12:$DQ$12,1))),IF(2=$E459,1E+99,IF(COUNTIF(Distance_Matrix!$E$12:$DQ$12,2)=0,1E+99,SUMIF(Distance_Matrix!$E$12:$DQ$12,2,Distance_Matrix!$E$65:$DQ$65)/COUNTIF(Distance_Matrix!$E$12:$DQ$12,2))),IF(3=$E459,1E+99,IF(COUNTIF(Distance_Matrix!$E$12:$DQ$12,3)=0,1E+99,SUMIF(Distance_Matrix!$E$12:$DQ$12,3,Distance_Matrix!$E$65:$DQ$65)/COUNTIF(Distance_Matrix!$E$12:$DQ$12,3))),IF(4=$E459,1E+99,IF(COUNTIF(Distance_Matrix!$E$12:$DQ$12,4)=0,1E+99,SUMIF(Distance_Matrix!$E$12:$DQ$12,4,Distance_Matrix!$E$65:$DQ$65)/COUNTIF(Distance_Matrix!$E$12:$DQ$12,4))),IF(5=$E459,1E+99,IF(COUNTIF(Distance_Matrix!$E$12:$DQ$12,5)=0,1E+99,SUMIF(Distance_Matrix!$E$12:$DQ$12,5,Distance_Matrix!$E$65:$DQ$65)/COUNTIF(Distance_Matrix!$E$12:$DQ$12,5))),IF(6=$E459,1E+99,IF(COUNTIF(Distance_Matrix!$E$12:$DQ$12,6)=0,1E+99,SUMIF(Distance_Matrix!$E$12:$DQ$12,6,Distance_Matrix!$E$65:$DQ$65)/COUNTIF(Distance_Matrix!$E$12:$DQ$12,6))))</f>
        <v>1.0467521033838592</v>
      </c>
      <c r="I459" s="18">
        <f>IF(COUNTIF(Distance_Matrix!$E$12:$DQ$12,$E459)&lt;=1,0,(H459-G459)/MAX(G459,H459))</f>
        <v>0.35144699848589667</v>
      </c>
      <c r="X459" s="18">
        <f t="shared" si="544"/>
        <v>6.7792676747337426</v>
      </c>
      <c r="Y459" s="18">
        <f t="shared" si="544"/>
        <v>2.3371425223885418</v>
      </c>
      <c r="Z459" s="18">
        <f t="shared" si="544"/>
        <v>2.3994635543365552</v>
      </c>
      <c r="AA459" s="18">
        <f t="shared" si="544"/>
        <v>0.95799710156750895</v>
      </c>
      <c r="AB459" s="18">
        <f t="shared" si="544"/>
        <v>4.6795726110399798</v>
      </c>
      <c r="AC459" s="18">
        <f t="shared" si="544"/>
        <v>1.5232661359387623</v>
      </c>
      <c r="AD459" s="56">
        <f t="shared" si="520"/>
        <v>4</v>
      </c>
      <c r="AF459" s="18">
        <f t="shared" si="545"/>
        <v>6.6615043718416107</v>
      </c>
      <c r="AG459" s="18">
        <f t="shared" si="545"/>
        <v>1.6018231437173478</v>
      </c>
      <c r="AH459" s="18">
        <f t="shared" si="545"/>
        <v>2.1792084719916449</v>
      </c>
      <c r="AI459" s="18">
        <f t="shared" si="545"/>
        <v>0.37801571642775555</v>
      </c>
      <c r="AJ459" s="18">
        <f t="shared" si="545"/>
        <v>4.3897419405914313</v>
      </c>
      <c r="AK459" s="18">
        <f t="shared" si="545"/>
        <v>0.84998090532216941</v>
      </c>
      <c r="AL459" s="56">
        <f t="shared" si="521"/>
        <v>4</v>
      </c>
      <c r="AN459" s="18">
        <f t="shared" si="546"/>
        <v>6.6615043718416107</v>
      </c>
      <c r="AO459" s="18">
        <f t="shared" si="546"/>
        <v>1.5540730103349469</v>
      </c>
      <c r="AP459" s="18">
        <f t="shared" si="546"/>
        <v>2.1545117579521764</v>
      </c>
      <c r="AQ459" s="18">
        <f t="shared" si="546"/>
        <v>0.37425246957538316</v>
      </c>
      <c r="AR459" s="18">
        <f t="shared" si="546"/>
        <v>4.3897419405914313</v>
      </c>
      <c r="AS459" s="18">
        <f t="shared" si="546"/>
        <v>0.85074835624964917</v>
      </c>
      <c r="AT459" s="56">
        <f t="shared" si="522"/>
        <v>4</v>
      </c>
      <c r="AV459" s="18">
        <f t="shared" si="547"/>
        <v>6.6615043718416107</v>
      </c>
      <c r="AW459" s="18">
        <f t="shared" si="547"/>
        <v>1.5270558081812315</v>
      </c>
      <c r="AX459" s="18">
        <f t="shared" si="547"/>
        <v>2.1545117579521764</v>
      </c>
      <c r="AY459" s="18">
        <f t="shared" si="547"/>
        <v>0.37425246957538316</v>
      </c>
      <c r="AZ459" s="18">
        <f t="shared" si="547"/>
        <v>4.3897419405914313</v>
      </c>
      <c r="BA459" s="18">
        <f t="shared" si="547"/>
        <v>0.86096861115771262</v>
      </c>
      <c r="BB459" s="56">
        <f t="shared" si="523"/>
        <v>4</v>
      </c>
      <c r="BD459" s="18">
        <f t="shared" si="548"/>
        <v>6.6615043718416107</v>
      </c>
      <c r="BE459" s="18">
        <f t="shared" si="548"/>
        <v>1.5027107310197678</v>
      </c>
      <c r="BF459" s="18">
        <f t="shared" si="548"/>
        <v>2.1545117579521764</v>
      </c>
      <c r="BG459" s="18">
        <f t="shared" si="548"/>
        <v>0.37425246957538316</v>
      </c>
      <c r="BH459" s="18">
        <f t="shared" si="548"/>
        <v>4.3897419405914313</v>
      </c>
      <c r="BI459" s="18">
        <f t="shared" si="548"/>
        <v>0.86976118621969545</v>
      </c>
      <c r="BJ459" s="56">
        <f t="shared" si="524"/>
        <v>4</v>
      </c>
      <c r="BL459" s="18">
        <f t="shared" si="549"/>
        <v>6.6615043718416107</v>
      </c>
      <c r="BM459" s="18">
        <f t="shared" si="549"/>
        <v>1.5027107310197678</v>
      </c>
      <c r="BN459" s="18">
        <f t="shared" si="549"/>
        <v>2.1545117579521764</v>
      </c>
      <c r="BO459" s="18">
        <f t="shared" si="549"/>
        <v>0.37425246957538316</v>
      </c>
      <c r="BP459" s="18">
        <f t="shared" si="549"/>
        <v>4.3897419405914313</v>
      </c>
      <c r="BQ459" s="18">
        <f t="shared" si="549"/>
        <v>0.86976118621969545</v>
      </c>
      <c r="BR459" s="56">
        <f t="shared" si="525"/>
        <v>4</v>
      </c>
      <c r="BT459" s="18">
        <f t="shared" si="550"/>
        <v>6.6615043718416107</v>
      </c>
      <c r="BU459" s="18">
        <f t="shared" si="550"/>
        <v>1.5027107310197678</v>
      </c>
      <c r="BV459" s="18">
        <f t="shared" si="550"/>
        <v>2.1545117579521764</v>
      </c>
      <c r="BW459" s="18">
        <f t="shared" si="550"/>
        <v>0.37425246957538316</v>
      </c>
      <c r="BX459" s="18">
        <f t="shared" si="550"/>
        <v>4.3897419405914313</v>
      </c>
      <c r="BY459" s="18">
        <f t="shared" si="550"/>
        <v>0.86976118621969545</v>
      </c>
      <c r="BZ459" s="56">
        <f t="shared" si="526"/>
        <v>4</v>
      </c>
      <c r="CB459" s="18">
        <f t="shared" si="551"/>
        <v>6.6615043718416107</v>
      </c>
      <c r="CC459" s="18">
        <f t="shared" si="551"/>
        <v>1.5027107310197678</v>
      </c>
      <c r="CD459" s="18">
        <f t="shared" si="551"/>
        <v>2.1545117579521764</v>
      </c>
      <c r="CE459" s="18">
        <f t="shared" si="551"/>
        <v>0.37425246957538316</v>
      </c>
      <c r="CF459" s="18">
        <f t="shared" si="551"/>
        <v>4.3897419405914313</v>
      </c>
      <c r="CG459" s="18">
        <f t="shared" si="551"/>
        <v>0.86976118621969545</v>
      </c>
      <c r="CH459" s="56">
        <f t="shared" si="527"/>
        <v>4</v>
      </c>
      <c r="CJ459" s="18">
        <f t="shared" si="552"/>
        <v>6.6615043718416107</v>
      </c>
      <c r="CK459" s="18">
        <f t="shared" si="552"/>
        <v>1.5027107310197678</v>
      </c>
      <c r="CL459" s="18">
        <f t="shared" si="552"/>
        <v>2.1545117579521764</v>
      </c>
      <c r="CM459" s="18">
        <f t="shared" si="552"/>
        <v>0.37425246957538316</v>
      </c>
      <c r="CN459" s="18">
        <f t="shared" si="552"/>
        <v>4.3897419405914313</v>
      </c>
      <c r="CO459" s="18">
        <f t="shared" si="552"/>
        <v>0.86976118621969545</v>
      </c>
      <c r="CP459" s="56">
        <f t="shared" si="528"/>
        <v>4</v>
      </c>
      <c r="CR459" s="18">
        <f t="shared" si="553"/>
        <v>6.6615043718416107</v>
      </c>
      <c r="CS459" s="18">
        <f t="shared" si="553"/>
        <v>1.5027107310197678</v>
      </c>
      <c r="CT459" s="18">
        <f t="shared" si="553"/>
        <v>2.1545117579521764</v>
      </c>
      <c r="CU459" s="18">
        <f t="shared" si="553"/>
        <v>0.37425246957538316</v>
      </c>
      <c r="CV459" s="18">
        <f t="shared" si="553"/>
        <v>4.3897419405914313</v>
      </c>
      <c r="CW459" s="18">
        <f t="shared" si="553"/>
        <v>0.86976118621969545</v>
      </c>
      <c r="CX459" s="56">
        <f t="shared" si="529"/>
        <v>4</v>
      </c>
      <c r="CZ459" s="18">
        <f t="shared" si="554"/>
        <v>6.6615043718416107</v>
      </c>
      <c r="DA459" s="18">
        <f t="shared" si="554"/>
        <v>1.5027107310197678</v>
      </c>
      <c r="DB459" s="18">
        <f t="shared" si="554"/>
        <v>2.1545117579521764</v>
      </c>
      <c r="DC459" s="18">
        <f t="shared" si="554"/>
        <v>0.37425246957538316</v>
      </c>
      <c r="DD459" s="18">
        <f t="shared" si="554"/>
        <v>4.3897419405914313</v>
      </c>
      <c r="DE459" s="18">
        <f t="shared" si="554"/>
        <v>0.86976118621969545</v>
      </c>
      <c r="DF459" s="56">
        <f t="shared" si="530"/>
        <v>4</v>
      </c>
      <c r="DH459" s="18">
        <f t="shared" si="555"/>
        <v>6.6615043718416107</v>
      </c>
      <c r="DI459" s="18">
        <f t="shared" si="555"/>
        <v>1.5027107310197678</v>
      </c>
      <c r="DJ459" s="18">
        <f t="shared" si="555"/>
        <v>2.1545117579521764</v>
      </c>
      <c r="DK459" s="18">
        <f t="shared" si="555"/>
        <v>0.37425246957538316</v>
      </c>
      <c r="DL459" s="18">
        <f t="shared" si="555"/>
        <v>4.3897419405914313</v>
      </c>
      <c r="DM459" s="18">
        <f t="shared" si="555"/>
        <v>0.86976118621969545</v>
      </c>
      <c r="DN459" s="56">
        <f t="shared" si="531"/>
        <v>4</v>
      </c>
    </row>
    <row r="460" spans="1:118" x14ac:dyDescent="0.25">
      <c r="A460" s="36" t="str">
        <f>KMeans_Data!A57</f>
        <v>Vehari</v>
      </c>
      <c r="B460" s="18">
        <f>KMeans_Data!H57</f>
        <v>0.15331751895798426</v>
      </c>
      <c r="C460" s="18">
        <f>KMeans_Data!I57</f>
        <v>-0.67265054538827607</v>
      </c>
      <c r="D460" s="18">
        <f>KMeans_Data!J57</f>
        <v>-0.24392704812240026</v>
      </c>
      <c r="E460" s="56">
        <f t="shared" si="518"/>
        <v>4</v>
      </c>
      <c r="F460" s="38">
        <f t="shared" si="519"/>
        <v>0.39240980042886275</v>
      </c>
      <c r="G460" s="18">
        <f>IF(COUNTIF(Distance_Matrix!$E$12:$DQ$12,$E460)&lt;=1,0,SUMIF(Distance_Matrix!$E$12:$DQ$12,$E460,Distance_Matrix!$E$66:$DQ$66)/(COUNTIF(Distance_Matrix!$E$12:$DQ$12,$E460)-1))</f>
        <v>0.84154285997123535</v>
      </c>
      <c r="H460" s="18">
        <f>MIN(IF(1=$E460,1E+99,IF(COUNTIF(Distance_Matrix!$E$12:$DQ$12,1)=0,1E+99,SUMIF(Distance_Matrix!$E$12:$DQ$12,1,Distance_Matrix!$E$66:$DQ$66)/COUNTIF(Distance_Matrix!$E$12:$DQ$12,1))),IF(2=$E460,1E+99,IF(COUNTIF(Distance_Matrix!$E$12:$DQ$12,2)=0,1E+99,SUMIF(Distance_Matrix!$E$12:$DQ$12,2,Distance_Matrix!$E$66:$DQ$66)/COUNTIF(Distance_Matrix!$E$12:$DQ$12,2))),IF(3=$E460,1E+99,IF(COUNTIF(Distance_Matrix!$E$12:$DQ$12,3)=0,1E+99,SUMIF(Distance_Matrix!$E$12:$DQ$12,3,Distance_Matrix!$E$66:$DQ$66)/COUNTIF(Distance_Matrix!$E$12:$DQ$12,3))),IF(4=$E460,1E+99,IF(COUNTIF(Distance_Matrix!$E$12:$DQ$12,4)=0,1E+99,SUMIF(Distance_Matrix!$E$12:$DQ$12,4,Distance_Matrix!$E$66:$DQ$66)/COUNTIF(Distance_Matrix!$E$12:$DQ$12,4))),IF(5=$E460,1E+99,IF(COUNTIF(Distance_Matrix!$E$12:$DQ$12,5)=0,1E+99,SUMIF(Distance_Matrix!$E$12:$DQ$12,5,Distance_Matrix!$E$66:$DQ$66)/COUNTIF(Distance_Matrix!$E$12:$DQ$12,5))),IF(6=$E460,1E+99,IF(COUNTIF(Distance_Matrix!$E$12:$DQ$12,6)=0,1E+99,SUMIF(Distance_Matrix!$E$12:$DQ$12,6,Distance_Matrix!$E$66:$DQ$66)/COUNTIF(Distance_Matrix!$E$12:$DQ$12,6))))</f>
        <v>0.88798228992055162</v>
      </c>
      <c r="I460" s="18">
        <f>IF(COUNTIF(Distance_Matrix!$E$12:$DQ$12,$E460)&lt;=1,0,(H460-G460)/MAX(G460,H460))</f>
        <v>5.2297698362285171E-2</v>
      </c>
      <c r="X460" s="18">
        <f t="shared" si="544"/>
        <v>6.645700219429111</v>
      </c>
      <c r="Y460" s="18">
        <f t="shared" si="544"/>
        <v>2.4082422097006102</v>
      </c>
      <c r="Z460" s="18">
        <f t="shared" si="544"/>
        <v>2.1967540288821787</v>
      </c>
      <c r="AA460" s="18">
        <f t="shared" si="544"/>
        <v>1.1540510716760239</v>
      </c>
      <c r="AB460" s="18">
        <f t="shared" si="544"/>
        <v>4.5316944157217627</v>
      </c>
      <c r="AC460" s="18">
        <f t="shared" si="544"/>
        <v>1.3327520622737807</v>
      </c>
      <c r="AD460" s="56">
        <f t="shared" si="520"/>
        <v>4</v>
      </c>
      <c r="AF460" s="18">
        <f t="shared" si="545"/>
        <v>6.5368605041182528</v>
      </c>
      <c r="AG460" s="18">
        <f t="shared" si="545"/>
        <v>1.7025340978963082</v>
      </c>
      <c r="AH460" s="18">
        <f t="shared" si="545"/>
        <v>2.0204188509101613</v>
      </c>
      <c r="AI460" s="18">
        <f t="shared" si="545"/>
        <v>0.62639272500825693</v>
      </c>
      <c r="AJ460" s="18">
        <f t="shared" si="545"/>
        <v>4.266510164395096</v>
      </c>
      <c r="AK460" s="18">
        <f t="shared" si="545"/>
        <v>0.65402606302838673</v>
      </c>
      <c r="AL460" s="56">
        <f t="shared" si="521"/>
        <v>4</v>
      </c>
      <c r="AN460" s="18">
        <f t="shared" si="546"/>
        <v>6.5368605041182528</v>
      </c>
      <c r="AO460" s="18">
        <f t="shared" si="546"/>
        <v>1.654654287705595</v>
      </c>
      <c r="AP460" s="18">
        <f t="shared" si="546"/>
        <v>1.9955485353598603</v>
      </c>
      <c r="AQ460" s="18">
        <f t="shared" si="546"/>
        <v>0.62642621307609947</v>
      </c>
      <c r="AR460" s="18">
        <f t="shared" si="546"/>
        <v>4.266510164395096</v>
      </c>
      <c r="AS460" s="18">
        <f t="shared" si="546"/>
        <v>0.64686908743950711</v>
      </c>
      <c r="AT460" s="56">
        <f t="shared" si="522"/>
        <v>4</v>
      </c>
      <c r="AV460" s="18">
        <f t="shared" si="547"/>
        <v>6.5368605041182528</v>
      </c>
      <c r="AW460" s="18">
        <f t="shared" si="547"/>
        <v>1.6253379945207589</v>
      </c>
      <c r="AX460" s="18">
        <f t="shared" si="547"/>
        <v>1.9955485353598603</v>
      </c>
      <c r="AY460" s="18">
        <f t="shared" si="547"/>
        <v>0.62642621307609947</v>
      </c>
      <c r="AZ460" s="18">
        <f t="shared" si="547"/>
        <v>4.266510164395096</v>
      </c>
      <c r="BA460" s="18">
        <f t="shared" si="547"/>
        <v>0.65351036896040082</v>
      </c>
      <c r="BB460" s="56">
        <f t="shared" si="523"/>
        <v>4</v>
      </c>
      <c r="BD460" s="18">
        <f t="shared" si="548"/>
        <v>6.5368605041182528</v>
      </c>
      <c r="BE460" s="18">
        <f t="shared" si="548"/>
        <v>1.5982291614642603</v>
      </c>
      <c r="BF460" s="18">
        <f t="shared" si="548"/>
        <v>1.9955485353598603</v>
      </c>
      <c r="BG460" s="18">
        <f t="shared" si="548"/>
        <v>0.62642621307609947</v>
      </c>
      <c r="BH460" s="18">
        <f t="shared" si="548"/>
        <v>4.266510164395096</v>
      </c>
      <c r="BI460" s="18">
        <f t="shared" si="548"/>
        <v>0.65900749819141546</v>
      </c>
      <c r="BJ460" s="56">
        <f t="shared" si="524"/>
        <v>4</v>
      </c>
      <c r="BL460" s="18">
        <f t="shared" si="549"/>
        <v>6.5368605041182528</v>
      </c>
      <c r="BM460" s="18">
        <f t="shared" si="549"/>
        <v>1.5982291614642603</v>
      </c>
      <c r="BN460" s="18">
        <f t="shared" si="549"/>
        <v>1.9955485353598603</v>
      </c>
      <c r="BO460" s="18">
        <f t="shared" si="549"/>
        <v>0.62642621307609947</v>
      </c>
      <c r="BP460" s="18">
        <f t="shared" si="549"/>
        <v>4.266510164395096</v>
      </c>
      <c r="BQ460" s="18">
        <f t="shared" si="549"/>
        <v>0.65900749819141546</v>
      </c>
      <c r="BR460" s="56">
        <f t="shared" si="525"/>
        <v>4</v>
      </c>
      <c r="BT460" s="18">
        <f t="shared" si="550"/>
        <v>6.5368605041182528</v>
      </c>
      <c r="BU460" s="18">
        <f t="shared" si="550"/>
        <v>1.5982291614642603</v>
      </c>
      <c r="BV460" s="18">
        <f t="shared" si="550"/>
        <v>1.9955485353598603</v>
      </c>
      <c r="BW460" s="18">
        <f t="shared" si="550"/>
        <v>0.62642621307609947</v>
      </c>
      <c r="BX460" s="18">
        <f t="shared" si="550"/>
        <v>4.266510164395096</v>
      </c>
      <c r="BY460" s="18">
        <f t="shared" si="550"/>
        <v>0.65900749819141546</v>
      </c>
      <c r="BZ460" s="56">
        <f t="shared" si="526"/>
        <v>4</v>
      </c>
      <c r="CB460" s="18">
        <f t="shared" si="551"/>
        <v>6.5368605041182528</v>
      </c>
      <c r="CC460" s="18">
        <f t="shared" si="551"/>
        <v>1.5982291614642603</v>
      </c>
      <c r="CD460" s="18">
        <f t="shared" si="551"/>
        <v>1.9955485353598603</v>
      </c>
      <c r="CE460" s="18">
        <f t="shared" si="551"/>
        <v>0.62642621307609947</v>
      </c>
      <c r="CF460" s="18">
        <f t="shared" si="551"/>
        <v>4.266510164395096</v>
      </c>
      <c r="CG460" s="18">
        <f t="shared" si="551"/>
        <v>0.65900749819141546</v>
      </c>
      <c r="CH460" s="56">
        <f t="shared" si="527"/>
        <v>4</v>
      </c>
      <c r="CJ460" s="18">
        <f t="shared" si="552"/>
        <v>6.5368605041182528</v>
      </c>
      <c r="CK460" s="18">
        <f t="shared" si="552"/>
        <v>1.5982291614642603</v>
      </c>
      <c r="CL460" s="18">
        <f t="shared" si="552"/>
        <v>1.9955485353598603</v>
      </c>
      <c r="CM460" s="18">
        <f t="shared" si="552"/>
        <v>0.62642621307609947</v>
      </c>
      <c r="CN460" s="18">
        <f t="shared" si="552"/>
        <v>4.266510164395096</v>
      </c>
      <c r="CO460" s="18">
        <f t="shared" si="552"/>
        <v>0.65900749819141546</v>
      </c>
      <c r="CP460" s="56">
        <f t="shared" si="528"/>
        <v>4</v>
      </c>
      <c r="CR460" s="18">
        <f t="shared" si="553"/>
        <v>6.5368605041182528</v>
      </c>
      <c r="CS460" s="18">
        <f t="shared" si="553"/>
        <v>1.5982291614642603</v>
      </c>
      <c r="CT460" s="18">
        <f t="shared" si="553"/>
        <v>1.9955485353598603</v>
      </c>
      <c r="CU460" s="18">
        <f t="shared" si="553"/>
        <v>0.62642621307609947</v>
      </c>
      <c r="CV460" s="18">
        <f t="shared" si="553"/>
        <v>4.266510164395096</v>
      </c>
      <c r="CW460" s="18">
        <f t="shared" si="553"/>
        <v>0.65900749819141546</v>
      </c>
      <c r="CX460" s="56">
        <f t="shared" si="529"/>
        <v>4</v>
      </c>
      <c r="CZ460" s="18">
        <f t="shared" si="554"/>
        <v>6.5368605041182528</v>
      </c>
      <c r="DA460" s="18">
        <f t="shared" si="554"/>
        <v>1.5982291614642603</v>
      </c>
      <c r="DB460" s="18">
        <f t="shared" si="554"/>
        <v>1.9955485353598603</v>
      </c>
      <c r="DC460" s="18">
        <f t="shared" si="554"/>
        <v>0.62642621307609947</v>
      </c>
      <c r="DD460" s="18">
        <f t="shared" si="554"/>
        <v>4.266510164395096</v>
      </c>
      <c r="DE460" s="18">
        <f t="shared" si="554"/>
        <v>0.65900749819141546</v>
      </c>
      <c r="DF460" s="56">
        <f t="shared" si="530"/>
        <v>4</v>
      </c>
      <c r="DH460" s="18">
        <f t="shared" si="555"/>
        <v>6.5368605041182528</v>
      </c>
      <c r="DI460" s="18">
        <f t="shared" si="555"/>
        <v>1.5982291614642603</v>
      </c>
      <c r="DJ460" s="18">
        <f t="shared" si="555"/>
        <v>1.9955485353598603</v>
      </c>
      <c r="DK460" s="18">
        <f t="shared" si="555"/>
        <v>0.62642621307609947</v>
      </c>
      <c r="DL460" s="18">
        <f t="shared" si="555"/>
        <v>4.266510164395096</v>
      </c>
      <c r="DM460" s="18">
        <f t="shared" si="555"/>
        <v>0.65900749819141546</v>
      </c>
      <c r="DN460" s="56">
        <f t="shared" si="531"/>
        <v>4</v>
      </c>
    </row>
    <row r="461" spans="1:118" x14ac:dyDescent="0.25">
      <c r="A461" s="36" t="str">
        <f>KMeans_Data!A58</f>
        <v>Astore</v>
      </c>
      <c r="B461" s="18">
        <f>KMeans_Data!H58</f>
        <v>0.13147641151517545</v>
      </c>
      <c r="C461" s="18">
        <f>KMeans_Data!I58</f>
        <v>1.3810745208577742</v>
      </c>
      <c r="D461" s="18">
        <f>KMeans_Data!J58</f>
        <v>0.77424684086161255</v>
      </c>
      <c r="E461" s="56">
        <f t="shared" si="518"/>
        <v>3</v>
      </c>
      <c r="F461" s="38">
        <f t="shared" si="519"/>
        <v>0.70129758823464539</v>
      </c>
      <c r="G461" s="18">
        <f>IF(COUNTIF(Distance_Matrix!$E$12:$DQ$12,$E461)&lt;=1,0,SUMIF(Distance_Matrix!$E$12:$DQ$12,$E461,Distance_Matrix!$E$67:$DQ$67)/(COUNTIF(Distance_Matrix!$E$12:$DQ$12,$E461)-1))</f>
        <v>1.0424272701278157</v>
      </c>
      <c r="H461" s="18">
        <f>MIN(IF(1=$E461,1E+99,IF(COUNTIF(Distance_Matrix!$E$12:$DQ$12,1)=0,1E+99,SUMIF(Distance_Matrix!$E$12:$DQ$12,1,Distance_Matrix!$E$67:$DQ$67)/COUNTIF(Distance_Matrix!$E$12:$DQ$12,1))),IF(2=$E461,1E+99,IF(COUNTIF(Distance_Matrix!$E$12:$DQ$12,2)=0,1E+99,SUMIF(Distance_Matrix!$E$12:$DQ$12,2,Distance_Matrix!$E$67:$DQ$67)/COUNTIF(Distance_Matrix!$E$12:$DQ$12,2))),IF(3=$E461,1E+99,IF(COUNTIF(Distance_Matrix!$E$12:$DQ$12,3)=0,1E+99,SUMIF(Distance_Matrix!$E$12:$DQ$12,3,Distance_Matrix!$E$67:$DQ$67)/COUNTIF(Distance_Matrix!$E$12:$DQ$12,3))),IF(4=$E461,1E+99,IF(COUNTIF(Distance_Matrix!$E$12:$DQ$12,4)=0,1E+99,SUMIF(Distance_Matrix!$E$12:$DQ$12,4,Distance_Matrix!$E$67:$DQ$67)/COUNTIF(Distance_Matrix!$E$12:$DQ$12,4))),IF(5=$E461,1E+99,IF(COUNTIF(Distance_Matrix!$E$12:$DQ$12,5)=0,1E+99,SUMIF(Distance_Matrix!$E$12:$DQ$12,5,Distance_Matrix!$E$67:$DQ$67)/COUNTIF(Distance_Matrix!$E$12:$DQ$12,5))),IF(6=$E461,1E+99,IF(COUNTIF(Distance_Matrix!$E$12:$DQ$12,6)=0,1E+99,SUMIF(Distance_Matrix!$E$12:$DQ$12,6,Distance_Matrix!$E$67:$DQ$67)/COUNTIF(Distance_Matrix!$E$12:$DQ$12,6))))</f>
        <v>1.9293595042068887</v>
      </c>
      <c r="I461" s="18">
        <f>IF(COUNTIF(Distance_Matrix!$E$12:$DQ$12,$E461)&lt;=1,0,(H461-G461)/MAX(G461,H461))</f>
        <v>0.45970293879660784</v>
      </c>
      <c r="X461" s="18">
        <f t="shared" si="544"/>
        <v>4.8045779357516958</v>
      </c>
      <c r="Y461" s="18">
        <f t="shared" si="544"/>
        <v>3.5767634851169623</v>
      </c>
      <c r="Z461" s="18">
        <f t="shared" si="544"/>
        <v>1.5198700784169752</v>
      </c>
      <c r="AA461" s="18">
        <f t="shared" si="544"/>
        <v>2.5070579721650965</v>
      </c>
      <c r="AB461" s="18">
        <f t="shared" si="544"/>
        <v>2.8938172487317573</v>
      </c>
      <c r="AC461" s="18">
        <f t="shared" si="544"/>
        <v>1.74867941073232</v>
      </c>
      <c r="AD461" s="56">
        <f t="shared" si="520"/>
        <v>3</v>
      </c>
      <c r="AF461" s="18">
        <f t="shared" si="545"/>
        <v>4.6892362874732596</v>
      </c>
      <c r="AG461" s="18">
        <f t="shared" si="545"/>
        <v>3.1192241831607364</v>
      </c>
      <c r="AH461" s="18">
        <f t="shared" si="545"/>
        <v>0.85434447950514647</v>
      </c>
      <c r="AI461" s="18">
        <f t="shared" si="545"/>
        <v>2.5173763383890937</v>
      </c>
      <c r="AJ461" s="18">
        <f t="shared" si="545"/>
        <v>2.4933499336046223</v>
      </c>
      <c r="AK461" s="18">
        <f t="shared" si="545"/>
        <v>1.9117556281116965</v>
      </c>
      <c r="AL461" s="56">
        <f t="shared" si="521"/>
        <v>3</v>
      </c>
      <c r="AN461" s="18">
        <f t="shared" si="546"/>
        <v>4.6892362874732596</v>
      </c>
      <c r="AO461" s="18">
        <f t="shared" si="546"/>
        <v>3.0877217216901287</v>
      </c>
      <c r="AP461" s="18">
        <f t="shared" si="546"/>
        <v>0.83743512479155391</v>
      </c>
      <c r="AQ461" s="18">
        <f t="shared" si="546"/>
        <v>2.5443150994724224</v>
      </c>
      <c r="AR461" s="18">
        <f t="shared" si="546"/>
        <v>2.4933499336046223</v>
      </c>
      <c r="AS461" s="18">
        <f t="shared" si="546"/>
        <v>1.8919639842144655</v>
      </c>
      <c r="AT461" s="56">
        <f t="shared" si="522"/>
        <v>3</v>
      </c>
      <c r="AV461" s="18">
        <f t="shared" si="547"/>
        <v>4.6892362874732596</v>
      </c>
      <c r="AW461" s="18">
        <f t="shared" si="547"/>
        <v>3.0641840713522219</v>
      </c>
      <c r="AX461" s="18">
        <f t="shared" si="547"/>
        <v>0.83743512479155391</v>
      </c>
      <c r="AY461" s="18">
        <f t="shared" si="547"/>
        <v>2.5443150994724224</v>
      </c>
      <c r="AZ461" s="18">
        <f t="shared" si="547"/>
        <v>2.4933499336046223</v>
      </c>
      <c r="BA461" s="18">
        <f t="shared" si="547"/>
        <v>1.8751896978460587</v>
      </c>
      <c r="BB461" s="56">
        <f t="shared" si="523"/>
        <v>3</v>
      </c>
      <c r="BD461" s="18">
        <f t="shared" si="548"/>
        <v>4.6892362874732596</v>
      </c>
      <c r="BE461" s="18">
        <f t="shared" si="548"/>
        <v>3.0414389231185099</v>
      </c>
      <c r="BF461" s="18">
        <f t="shared" si="548"/>
        <v>0.83743512479155391</v>
      </c>
      <c r="BG461" s="18">
        <f t="shared" si="548"/>
        <v>2.5443150994724224</v>
      </c>
      <c r="BH461" s="18">
        <f t="shared" si="548"/>
        <v>2.4933499336046223</v>
      </c>
      <c r="BI461" s="18">
        <f t="shared" si="548"/>
        <v>1.8581369521542066</v>
      </c>
      <c r="BJ461" s="56">
        <f t="shared" si="524"/>
        <v>3</v>
      </c>
      <c r="BL461" s="18">
        <f t="shared" si="549"/>
        <v>4.6892362874732596</v>
      </c>
      <c r="BM461" s="18">
        <f t="shared" si="549"/>
        <v>3.0414389231185099</v>
      </c>
      <c r="BN461" s="18">
        <f t="shared" si="549"/>
        <v>0.83743512479155391</v>
      </c>
      <c r="BO461" s="18">
        <f t="shared" si="549"/>
        <v>2.5443150994724224</v>
      </c>
      <c r="BP461" s="18">
        <f t="shared" si="549"/>
        <v>2.4933499336046223</v>
      </c>
      <c r="BQ461" s="18">
        <f t="shared" si="549"/>
        <v>1.8581369521542066</v>
      </c>
      <c r="BR461" s="56">
        <f t="shared" si="525"/>
        <v>3</v>
      </c>
      <c r="BT461" s="18">
        <f t="shared" si="550"/>
        <v>4.6892362874732596</v>
      </c>
      <c r="BU461" s="18">
        <f t="shared" si="550"/>
        <v>3.0414389231185099</v>
      </c>
      <c r="BV461" s="18">
        <f t="shared" si="550"/>
        <v>0.83743512479155391</v>
      </c>
      <c r="BW461" s="18">
        <f t="shared" si="550"/>
        <v>2.5443150994724224</v>
      </c>
      <c r="BX461" s="18">
        <f t="shared" si="550"/>
        <v>2.4933499336046223</v>
      </c>
      <c r="BY461" s="18">
        <f t="shared" si="550"/>
        <v>1.8581369521542066</v>
      </c>
      <c r="BZ461" s="56">
        <f t="shared" si="526"/>
        <v>3</v>
      </c>
      <c r="CB461" s="18">
        <f t="shared" si="551"/>
        <v>4.6892362874732596</v>
      </c>
      <c r="CC461" s="18">
        <f t="shared" si="551"/>
        <v>3.0414389231185099</v>
      </c>
      <c r="CD461" s="18">
        <f t="shared" si="551"/>
        <v>0.83743512479155391</v>
      </c>
      <c r="CE461" s="18">
        <f t="shared" si="551"/>
        <v>2.5443150994724224</v>
      </c>
      <c r="CF461" s="18">
        <f t="shared" si="551"/>
        <v>2.4933499336046223</v>
      </c>
      <c r="CG461" s="18">
        <f t="shared" si="551"/>
        <v>1.8581369521542066</v>
      </c>
      <c r="CH461" s="56">
        <f t="shared" si="527"/>
        <v>3</v>
      </c>
      <c r="CJ461" s="18">
        <f t="shared" si="552"/>
        <v>4.6892362874732596</v>
      </c>
      <c r="CK461" s="18">
        <f t="shared" si="552"/>
        <v>3.0414389231185099</v>
      </c>
      <c r="CL461" s="18">
        <f t="shared" si="552"/>
        <v>0.83743512479155391</v>
      </c>
      <c r="CM461" s="18">
        <f t="shared" si="552"/>
        <v>2.5443150994724224</v>
      </c>
      <c r="CN461" s="18">
        <f t="shared" si="552"/>
        <v>2.4933499336046223</v>
      </c>
      <c r="CO461" s="18">
        <f t="shared" si="552"/>
        <v>1.8581369521542066</v>
      </c>
      <c r="CP461" s="56">
        <f t="shared" si="528"/>
        <v>3</v>
      </c>
      <c r="CR461" s="18">
        <f t="shared" si="553"/>
        <v>4.6892362874732596</v>
      </c>
      <c r="CS461" s="18">
        <f t="shared" si="553"/>
        <v>3.0414389231185099</v>
      </c>
      <c r="CT461" s="18">
        <f t="shared" si="553"/>
        <v>0.83743512479155391</v>
      </c>
      <c r="CU461" s="18">
        <f t="shared" si="553"/>
        <v>2.5443150994724224</v>
      </c>
      <c r="CV461" s="18">
        <f t="shared" si="553"/>
        <v>2.4933499336046223</v>
      </c>
      <c r="CW461" s="18">
        <f t="shared" si="553"/>
        <v>1.8581369521542066</v>
      </c>
      <c r="CX461" s="56">
        <f t="shared" si="529"/>
        <v>3</v>
      </c>
      <c r="CZ461" s="18">
        <f t="shared" si="554"/>
        <v>4.6892362874732596</v>
      </c>
      <c r="DA461" s="18">
        <f t="shared" si="554"/>
        <v>3.0414389231185099</v>
      </c>
      <c r="DB461" s="18">
        <f t="shared" si="554"/>
        <v>0.83743512479155391</v>
      </c>
      <c r="DC461" s="18">
        <f t="shared" si="554"/>
        <v>2.5443150994724224</v>
      </c>
      <c r="DD461" s="18">
        <f t="shared" si="554"/>
        <v>2.4933499336046223</v>
      </c>
      <c r="DE461" s="18">
        <f t="shared" si="554"/>
        <v>1.8581369521542066</v>
      </c>
      <c r="DF461" s="56">
        <f t="shared" si="530"/>
        <v>3</v>
      </c>
      <c r="DH461" s="18">
        <f t="shared" si="555"/>
        <v>4.6892362874732596</v>
      </c>
      <c r="DI461" s="18">
        <f t="shared" si="555"/>
        <v>3.0414389231185099</v>
      </c>
      <c r="DJ461" s="18">
        <f t="shared" si="555"/>
        <v>0.83743512479155391</v>
      </c>
      <c r="DK461" s="18">
        <f t="shared" si="555"/>
        <v>2.5443150994724224</v>
      </c>
      <c r="DL461" s="18">
        <f t="shared" si="555"/>
        <v>2.4933499336046223</v>
      </c>
      <c r="DM461" s="18">
        <f t="shared" si="555"/>
        <v>1.8581369521542066</v>
      </c>
      <c r="DN461" s="56">
        <f t="shared" si="531"/>
        <v>3</v>
      </c>
    </row>
    <row r="462" spans="1:118" x14ac:dyDescent="0.25">
      <c r="A462" s="36" t="str">
        <f>KMeans_Data!A59</f>
        <v>Sanghar</v>
      </c>
      <c r="B462" s="18">
        <f>KMeans_Data!H59</f>
        <v>0.10085169543381561</v>
      </c>
      <c r="C462" s="18">
        <f>KMeans_Data!I59</f>
        <v>-0.14698313392952958</v>
      </c>
      <c r="D462" s="18">
        <f>KMeans_Data!J59</f>
        <v>0.61832866607444492</v>
      </c>
      <c r="E462" s="56">
        <f t="shared" si="518"/>
        <v>6</v>
      </c>
      <c r="F462" s="38">
        <f t="shared" si="519"/>
        <v>0.28361484012366012</v>
      </c>
      <c r="G462" s="18">
        <f>IF(COUNTIF(Distance_Matrix!$E$12:$DQ$12,$E462)&lt;=1,0,SUMIF(Distance_Matrix!$E$12:$DQ$12,$E462,Distance_Matrix!$E$68:$DQ$68)/(COUNTIF(Distance_Matrix!$E$12:$DQ$12,$E462)-1))</f>
        <v>0.78515231498322724</v>
      </c>
      <c r="H462" s="18">
        <f>MIN(IF(1=$E462,1E+99,IF(COUNTIF(Distance_Matrix!$E$12:$DQ$12,1)=0,1E+99,SUMIF(Distance_Matrix!$E$12:$DQ$12,1,Distance_Matrix!$E$68:$DQ$68)/COUNTIF(Distance_Matrix!$E$12:$DQ$12,1))),IF(2=$E462,1E+99,IF(COUNTIF(Distance_Matrix!$E$12:$DQ$12,2)=0,1E+99,SUMIF(Distance_Matrix!$E$12:$DQ$12,2,Distance_Matrix!$E$68:$DQ$68)/COUNTIF(Distance_Matrix!$E$12:$DQ$12,2))),IF(3=$E462,1E+99,IF(COUNTIF(Distance_Matrix!$E$12:$DQ$12,3)=0,1E+99,SUMIF(Distance_Matrix!$E$12:$DQ$12,3,Distance_Matrix!$E$68:$DQ$68)/COUNTIF(Distance_Matrix!$E$12:$DQ$12,3))),IF(4=$E462,1E+99,IF(COUNTIF(Distance_Matrix!$E$12:$DQ$12,4)=0,1E+99,SUMIF(Distance_Matrix!$E$12:$DQ$12,4,Distance_Matrix!$E$68:$DQ$68)/COUNTIF(Distance_Matrix!$E$12:$DQ$12,4))),IF(5=$E462,1E+99,IF(COUNTIF(Distance_Matrix!$E$12:$DQ$12,5)=0,1E+99,SUMIF(Distance_Matrix!$E$12:$DQ$12,5,Distance_Matrix!$E$68:$DQ$68)/COUNTIF(Distance_Matrix!$E$12:$DQ$12,5))),IF(6=$E462,1E+99,IF(COUNTIF(Distance_Matrix!$E$12:$DQ$12,6)=0,1E+99,SUMIF(Distance_Matrix!$E$12:$DQ$12,6,Distance_Matrix!$E$68:$DQ$68)/COUNTIF(Distance_Matrix!$E$12:$DQ$12,6))))</f>
        <v>1.3167520321384618</v>
      </c>
      <c r="I462" s="18">
        <f>IF(COUNTIF(Distance_Matrix!$E$12:$DQ$12,$E462)&lt;=1,0,(H462-G462)/MAX(G462,H462))</f>
        <v>0.40372044559665027</v>
      </c>
      <c r="X462" s="18">
        <f t="shared" si="544"/>
        <v>5.8763954941776619</v>
      </c>
      <c r="Y462" s="18">
        <f t="shared" si="544"/>
        <v>2.8535762728581746</v>
      </c>
      <c r="Z462" s="18">
        <f t="shared" si="544"/>
        <v>1.3708990403778827</v>
      </c>
      <c r="AA462" s="18">
        <f t="shared" si="544"/>
        <v>1.8461934608515069</v>
      </c>
      <c r="AB462" s="18">
        <f t="shared" si="544"/>
        <v>3.762970130701333</v>
      </c>
      <c r="AC462" s="18">
        <f t="shared" si="544"/>
        <v>0.80710372610878489</v>
      </c>
      <c r="AD462" s="56">
        <f t="shared" si="520"/>
        <v>6</v>
      </c>
      <c r="AF462" s="18">
        <f t="shared" si="545"/>
        <v>5.7902789223152666</v>
      </c>
      <c r="AG462" s="18">
        <f t="shared" si="545"/>
        <v>2.2827985406828417</v>
      </c>
      <c r="AH462" s="18">
        <f t="shared" si="545"/>
        <v>1.2363117242663006</v>
      </c>
      <c r="AI462" s="18">
        <f t="shared" si="545"/>
        <v>1.5252914480466244</v>
      </c>
      <c r="AJ462" s="18">
        <f t="shared" si="545"/>
        <v>3.5425235020742156</v>
      </c>
      <c r="AK462" s="18">
        <f t="shared" si="545"/>
        <v>0.6261499414860513</v>
      </c>
      <c r="AL462" s="56">
        <f t="shared" si="521"/>
        <v>6</v>
      </c>
      <c r="AN462" s="18">
        <f t="shared" si="546"/>
        <v>5.7902789223152666</v>
      </c>
      <c r="AO462" s="18">
        <f t="shared" si="546"/>
        <v>2.2404082834261367</v>
      </c>
      <c r="AP462" s="18">
        <f t="shared" si="546"/>
        <v>1.2093929217500812</v>
      </c>
      <c r="AQ462" s="18">
        <f t="shared" si="546"/>
        <v>1.5388148534863821</v>
      </c>
      <c r="AR462" s="18">
        <f t="shared" si="546"/>
        <v>3.5425235020742156</v>
      </c>
      <c r="AS462" s="18">
        <f t="shared" si="546"/>
        <v>0.5851229405394669</v>
      </c>
      <c r="AT462" s="56">
        <f t="shared" si="522"/>
        <v>6</v>
      </c>
      <c r="AV462" s="18">
        <f t="shared" si="547"/>
        <v>5.7902789223152666</v>
      </c>
      <c r="AW462" s="18">
        <f t="shared" si="547"/>
        <v>2.209388738541572</v>
      </c>
      <c r="AX462" s="18">
        <f t="shared" si="547"/>
        <v>1.2093929217500812</v>
      </c>
      <c r="AY462" s="18">
        <f t="shared" si="547"/>
        <v>1.5388148534863821</v>
      </c>
      <c r="AZ462" s="18">
        <f t="shared" si="547"/>
        <v>3.5425235020742156</v>
      </c>
      <c r="BA462" s="18">
        <f t="shared" si="547"/>
        <v>0.55906461888646175</v>
      </c>
      <c r="BB462" s="56">
        <f t="shared" si="523"/>
        <v>6</v>
      </c>
      <c r="BD462" s="18">
        <f t="shared" si="548"/>
        <v>5.7902789223152666</v>
      </c>
      <c r="BE462" s="18">
        <f t="shared" si="548"/>
        <v>2.1793731967646348</v>
      </c>
      <c r="BF462" s="18">
        <f t="shared" si="548"/>
        <v>1.2093929217500812</v>
      </c>
      <c r="BG462" s="18">
        <f t="shared" si="548"/>
        <v>1.5388148534863821</v>
      </c>
      <c r="BH462" s="18">
        <f t="shared" si="548"/>
        <v>3.5425235020742156</v>
      </c>
      <c r="BI462" s="18">
        <f t="shared" si="548"/>
        <v>0.53255501135907091</v>
      </c>
      <c r="BJ462" s="56">
        <f t="shared" si="524"/>
        <v>6</v>
      </c>
      <c r="BL462" s="18">
        <f t="shared" si="549"/>
        <v>5.7902789223152666</v>
      </c>
      <c r="BM462" s="18">
        <f t="shared" si="549"/>
        <v>2.1793731967646348</v>
      </c>
      <c r="BN462" s="18">
        <f t="shared" si="549"/>
        <v>1.2093929217500812</v>
      </c>
      <c r="BO462" s="18">
        <f t="shared" si="549"/>
        <v>1.5388148534863821</v>
      </c>
      <c r="BP462" s="18">
        <f t="shared" si="549"/>
        <v>3.5425235020742156</v>
      </c>
      <c r="BQ462" s="18">
        <f t="shared" si="549"/>
        <v>0.53255501135907091</v>
      </c>
      <c r="BR462" s="56">
        <f t="shared" si="525"/>
        <v>6</v>
      </c>
      <c r="BT462" s="18">
        <f t="shared" si="550"/>
        <v>5.7902789223152666</v>
      </c>
      <c r="BU462" s="18">
        <f t="shared" si="550"/>
        <v>2.1793731967646348</v>
      </c>
      <c r="BV462" s="18">
        <f t="shared" si="550"/>
        <v>1.2093929217500812</v>
      </c>
      <c r="BW462" s="18">
        <f t="shared" si="550"/>
        <v>1.5388148534863821</v>
      </c>
      <c r="BX462" s="18">
        <f t="shared" si="550"/>
        <v>3.5425235020742156</v>
      </c>
      <c r="BY462" s="18">
        <f t="shared" si="550"/>
        <v>0.53255501135907091</v>
      </c>
      <c r="BZ462" s="56">
        <f t="shared" si="526"/>
        <v>6</v>
      </c>
      <c r="CB462" s="18">
        <f t="shared" si="551"/>
        <v>5.7902789223152666</v>
      </c>
      <c r="CC462" s="18">
        <f t="shared" si="551"/>
        <v>2.1793731967646348</v>
      </c>
      <c r="CD462" s="18">
        <f t="shared" si="551"/>
        <v>1.2093929217500812</v>
      </c>
      <c r="CE462" s="18">
        <f t="shared" si="551"/>
        <v>1.5388148534863821</v>
      </c>
      <c r="CF462" s="18">
        <f t="shared" si="551"/>
        <v>3.5425235020742156</v>
      </c>
      <c r="CG462" s="18">
        <f t="shared" si="551"/>
        <v>0.53255501135907091</v>
      </c>
      <c r="CH462" s="56">
        <f t="shared" si="527"/>
        <v>6</v>
      </c>
      <c r="CJ462" s="18">
        <f t="shared" si="552"/>
        <v>5.7902789223152666</v>
      </c>
      <c r="CK462" s="18">
        <f t="shared" si="552"/>
        <v>2.1793731967646348</v>
      </c>
      <c r="CL462" s="18">
        <f t="shared" si="552"/>
        <v>1.2093929217500812</v>
      </c>
      <c r="CM462" s="18">
        <f t="shared" si="552"/>
        <v>1.5388148534863821</v>
      </c>
      <c r="CN462" s="18">
        <f t="shared" si="552"/>
        <v>3.5425235020742156</v>
      </c>
      <c r="CO462" s="18">
        <f t="shared" si="552"/>
        <v>0.53255501135907091</v>
      </c>
      <c r="CP462" s="56">
        <f t="shared" si="528"/>
        <v>6</v>
      </c>
      <c r="CR462" s="18">
        <f t="shared" si="553"/>
        <v>5.7902789223152666</v>
      </c>
      <c r="CS462" s="18">
        <f t="shared" si="553"/>
        <v>2.1793731967646348</v>
      </c>
      <c r="CT462" s="18">
        <f t="shared" si="553"/>
        <v>1.2093929217500812</v>
      </c>
      <c r="CU462" s="18">
        <f t="shared" si="553"/>
        <v>1.5388148534863821</v>
      </c>
      <c r="CV462" s="18">
        <f t="shared" si="553"/>
        <v>3.5425235020742156</v>
      </c>
      <c r="CW462" s="18">
        <f t="shared" si="553"/>
        <v>0.53255501135907091</v>
      </c>
      <c r="CX462" s="56">
        <f t="shared" si="529"/>
        <v>6</v>
      </c>
      <c r="CZ462" s="18">
        <f t="shared" si="554"/>
        <v>5.7902789223152666</v>
      </c>
      <c r="DA462" s="18">
        <f t="shared" si="554"/>
        <v>2.1793731967646348</v>
      </c>
      <c r="DB462" s="18">
        <f t="shared" si="554"/>
        <v>1.2093929217500812</v>
      </c>
      <c r="DC462" s="18">
        <f t="shared" si="554"/>
        <v>1.5388148534863821</v>
      </c>
      <c r="DD462" s="18">
        <f t="shared" si="554"/>
        <v>3.5425235020742156</v>
      </c>
      <c r="DE462" s="18">
        <f t="shared" si="554"/>
        <v>0.53255501135907091</v>
      </c>
      <c r="DF462" s="56">
        <f t="shared" si="530"/>
        <v>6</v>
      </c>
      <c r="DH462" s="18">
        <f t="shared" si="555"/>
        <v>5.7902789223152666</v>
      </c>
      <c r="DI462" s="18">
        <f t="shared" si="555"/>
        <v>2.1793731967646348</v>
      </c>
      <c r="DJ462" s="18">
        <f t="shared" si="555"/>
        <v>1.2093929217500812</v>
      </c>
      <c r="DK462" s="18">
        <f t="shared" si="555"/>
        <v>1.5388148534863821</v>
      </c>
      <c r="DL462" s="18">
        <f t="shared" si="555"/>
        <v>3.5425235020742156</v>
      </c>
      <c r="DM462" s="18">
        <f t="shared" si="555"/>
        <v>0.53255501135907091</v>
      </c>
      <c r="DN462" s="56">
        <f t="shared" si="531"/>
        <v>6</v>
      </c>
    </row>
    <row r="463" spans="1:118" x14ac:dyDescent="0.25">
      <c r="A463" s="36" t="str">
        <f>KMeans_Data!A60</f>
        <v>Bhakkar</v>
      </c>
      <c r="B463" s="18">
        <f>KMeans_Data!H60</f>
        <v>8.4835969706560738E-2</v>
      </c>
      <c r="C463" s="18">
        <f>KMeans_Data!I60</f>
        <v>-0.67265054538827607</v>
      </c>
      <c r="D463" s="18">
        <f>KMeans_Data!J60</f>
        <v>-1.1456441163335547</v>
      </c>
      <c r="E463" s="56">
        <f t="shared" si="518"/>
        <v>4</v>
      </c>
      <c r="F463" s="38">
        <f t="shared" si="519"/>
        <v>9.465361388476598E-2</v>
      </c>
      <c r="G463" s="18">
        <f>IF(COUNTIF(Distance_Matrix!$E$12:$DQ$12,$E463)&lt;=1,0,SUMIF(Distance_Matrix!$E$12:$DQ$12,$E463,Distance_Matrix!$E$69:$DQ$69)/(COUNTIF(Distance_Matrix!$E$12:$DQ$12,$E463)-1))</f>
        <v>0.59496107584001245</v>
      </c>
      <c r="H463" s="18">
        <f>MIN(IF(1=$E463,1E+99,IF(COUNTIF(Distance_Matrix!$E$12:$DQ$12,1)=0,1E+99,SUMIF(Distance_Matrix!$E$12:$DQ$12,1,Distance_Matrix!$E$69:$DQ$69)/COUNTIF(Distance_Matrix!$E$12:$DQ$12,1))),IF(2=$E463,1E+99,IF(COUNTIF(Distance_Matrix!$E$12:$DQ$12,2)=0,1E+99,SUMIF(Distance_Matrix!$E$12:$DQ$12,2,Distance_Matrix!$E$69:$DQ$69)/COUNTIF(Distance_Matrix!$E$12:$DQ$12,2))),IF(3=$E463,1E+99,IF(COUNTIF(Distance_Matrix!$E$12:$DQ$12,3)=0,1E+99,SUMIF(Distance_Matrix!$E$12:$DQ$12,3,Distance_Matrix!$E$69:$DQ$69)/COUNTIF(Distance_Matrix!$E$12:$DQ$12,3))),IF(4=$E463,1E+99,IF(COUNTIF(Distance_Matrix!$E$12:$DQ$12,4)=0,1E+99,SUMIF(Distance_Matrix!$E$12:$DQ$12,4,Distance_Matrix!$E$69:$DQ$69)/COUNTIF(Distance_Matrix!$E$12:$DQ$12,4))),IF(5=$E463,1E+99,IF(COUNTIF(Distance_Matrix!$E$12:$DQ$12,5)=0,1E+99,SUMIF(Distance_Matrix!$E$12:$DQ$12,5,Distance_Matrix!$E$69:$DQ$69)/COUNTIF(Distance_Matrix!$E$12:$DQ$12,5))),IF(6=$E463,1E+99,IF(COUNTIF(Distance_Matrix!$E$12:$DQ$12,6)=0,1E+99,SUMIF(Distance_Matrix!$E$12:$DQ$12,6,Distance_Matrix!$E$69:$DQ$69)/COUNTIF(Distance_Matrix!$E$12:$DQ$12,6))))</f>
        <v>1.3693990748005793</v>
      </c>
      <c r="I463" s="18">
        <f>IF(COUNTIF(Distance_Matrix!$E$12:$DQ$12,$E463)&lt;=1,0,(H463-G463)/MAX(G463,H463))</f>
        <v>0.56553127076805243</v>
      </c>
      <c r="X463" s="18">
        <f t="shared" si="544"/>
        <v>7.1914209448379909</v>
      </c>
      <c r="Y463" s="18">
        <f t="shared" si="544"/>
        <v>2.1645739515098894</v>
      </c>
      <c r="Z463" s="18">
        <f t="shared" si="544"/>
        <v>2.975949255998326</v>
      </c>
      <c r="AA463" s="18">
        <f t="shared" si="544"/>
        <v>0.76867708942190494</v>
      </c>
      <c r="AB463" s="18">
        <f t="shared" si="544"/>
        <v>5.1356777375772937</v>
      </c>
      <c r="AC463" s="18">
        <f t="shared" si="544"/>
        <v>2.0123816728795845</v>
      </c>
      <c r="AD463" s="56">
        <f t="shared" si="520"/>
        <v>4</v>
      </c>
      <c r="AF463" s="18">
        <f t="shared" si="545"/>
        <v>7.0543697268867893</v>
      </c>
      <c r="AG463" s="18">
        <f t="shared" si="545"/>
        <v>1.4066334283231199</v>
      </c>
      <c r="AH463" s="18">
        <f t="shared" si="545"/>
        <v>2.6700116422931939</v>
      </c>
      <c r="AI463" s="18">
        <f t="shared" si="545"/>
        <v>0.3254651778982075</v>
      </c>
      <c r="AJ463" s="18">
        <f t="shared" si="545"/>
        <v>4.7907409086757111</v>
      </c>
      <c r="AK463" s="18">
        <f t="shared" si="545"/>
        <v>1.3919872771440802</v>
      </c>
      <c r="AL463" s="56">
        <f t="shared" si="521"/>
        <v>4</v>
      </c>
      <c r="AN463" s="18">
        <f t="shared" si="546"/>
        <v>7.0543697268867893</v>
      </c>
      <c r="AO463" s="18">
        <f t="shared" si="546"/>
        <v>1.3648619562019502</v>
      </c>
      <c r="AP463" s="18">
        <f t="shared" si="546"/>
        <v>2.6453197283047523</v>
      </c>
      <c r="AQ463" s="18">
        <f t="shared" si="546"/>
        <v>0.307658274526732</v>
      </c>
      <c r="AR463" s="18">
        <f t="shared" si="546"/>
        <v>4.7907409086757111</v>
      </c>
      <c r="AS463" s="18">
        <f t="shared" si="546"/>
        <v>1.4051887898533497</v>
      </c>
      <c r="AT463" s="56">
        <f t="shared" si="522"/>
        <v>4</v>
      </c>
      <c r="AV463" s="18">
        <f t="shared" si="547"/>
        <v>7.0543697268867893</v>
      </c>
      <c r="AW463" s="18">
        <f t="shared" si="547"/>
        <v>1.3476030468174731</v>
      </c>
      <c r="AX463" s="18">
        <f t="shared" si="547"/>
        <v>2.6453197283047523</v>
      </c>
      <c r="AY463" s="18">
        <f t="shared" si="547"/>
        <v>0.307658274526732</v>
      </c>
      <c r="AZ463" s="18">
        <f t="shared" si="547"/>
        <v>4.7907409086757111</v>
      </c>
      <c r="BA463" s="18">
        <f t="shared" si="547"/>
        <v>1.4205585398557909</v>
      </c>
      <c r="BB463" s="56">
        <f t="shared" si="523"/>
        <v>4</v>
      </c>
      <c r="BD463" s="18">
        <f t="shared" si="548"/>
        <v>7.0543697268867893</v>
      </c>
      <c r="BE463" s="18">
        <f t="shared" si="548"/>
        <v>1.3340720541576601</v>
      </c>
      <c r="BF463" s="18">
        <f t="shared" si="548"/>
        <v>2.6453197283047523</v>
      </c>
      <c r="BG463" s="18">
        <f t="shared" si="548"/>
        <v>0.307658274526732</v>
      </c>
      <c r="BH463" s="18">
        <f t="shared" si="548"/>
        <v>4.7907409086757111</v>
      </c>
      <c r="BI463" s="18">
        <f t="shared" si="548"/>
        <v>1.4344349362571442</v>
      </c>
      <c r="BJ463" s="56">
        <f t="shared" si="524"/>
        <v>4</v>
      </c>
      <c r="BL463" s="18">
        <f t="shared" si="549"/>
        <v>7.0543697268867893</v>
      </c>
      <c r="BM463" s="18">
        <f t="shared" si="549"/>
        <v>1.3340720541576601</v>
      </c>
      <c r="BN463" s="18">
        <f t="shared" si="549"/>
        <v>2.6453197283047523</v>
      </c>
      <c r="BO463" s="18">
        <f t="shared" si="549"/>
        <v>0.307658274526732</v>
      </c>
      <c r="BP463" s="18">
        <f t="shared" si="549"/>
        <v>4.7907409086757111</v>
      </c>
      <c r="BQ463" s="18">
        <f t="shared" si="549"/>
        <v>1.4344349362571442</v>
      </c>
      <c r="BR463" s="56">
        <f t="shared" si="525"/>
        <v>4</v>
      </c>
      <c r="BT463" s="18">
        <f t="shared" si="550"/>
        <v>7.0543697268867893</v>
      </c>
      <c r="BU463" s="18">
        <f t="shared" si="550"/>
        <v>1.3340720541576601</v>
      </c>
      <c r="BV463" s="18">
        <f t="shared" si="550"/>
        <v>2.6453197283047523</v>
      </c>
      <c r="BW463" s="18">
        <f t="shared" si="550"/>
        <v>0.307658274526732</v>
      </c>
      <c r="BX463" s="18">
        <f t="shared" si="550"/>
        <v>4.7907409086757111</v>
      </c>
      <c r="BY463" s="18">
        <f t="shared" si="550"/>
        <v>1.4344349362571442</v>
      </c>
      <c r="BZ463" s="56">
        <f t="shared" si="526"/>
        <v>4</v>
      </c>
      <c r="CB463" s="18">
        <f t="shared" si="551"/>
        <v>7.0543697268867893</v>
      </c>
      <c r="CC463" s="18">
        <f t="shared" si="551"/>
        <v>1.3340720541576601</v>
      </c>
      <c r="CD463" s="18">
        <f t="shared" si="551"/>
        <v>2.6453197283047523</v>
      </c>
      <c r="CE463" s="18">
        <f t="shared" si="551"/>
        <v>0.307658274526732</v>
      </c>
      <c r="CF463" s="18">
        <f t="shared" si="551"/>
        <v>4.7907409086757111</v>
      </c>
      <c r="CG463" s="18">
        <f t="shared" si="551"/>
        <v>1.4344349362571442</v>
      </c>
      <c r="CH463" s="56">
        <f t="shared" si="527"/>
        <v>4</v>
      </c>
      <c r="CJ463" s="18">
        <f t="shared" si="552"/>
        <v>7.0543697268867893</v>
      </c>
      <c r="CK463" s="18">
        <f t="shared" si="552"/>
        <v>1.3340720541576601</v>
      </c>
      <c r="CL463" s="18">
        <f t="shared" si="552"/>
        <v>2.6453197283047523</v>
      </c>
      <c r="CM463" s="18">
        <f t="shared" si="552"/>
        <v>0.307658274526732</v>
      </c>
      <c r="CN463" s="18">
        <f t="shared" si="552"/>
        <v>4.7907409086757111</v>
      </c>
      <c r="CO463" s="18">
        <f t="shared" si="552"/>
        <v>1.4344349362571442</v>
      </c>
      <c r="CP463" s="56">
        <f t="shared" si="528"/>
        <v>4</v>
      </c>
      <c r="CR463" s="18">
        <f t="shared" si="553"/>
        <v>7.0543697268867893</v>
      </c>
      <c r="CS463" s="18">
        <f t="shared" si="553"/>
        <v>1.3340720541576601</v>
      </c>
      <c r="CT463" s="18">
        <f t="shared" si="553"/>
        <v>2.6453197283047523</v>
      </c>
      <c r="CU463" s="18">
        <f t="shared" si="553"/>
        <v>0.307658274526732</v>
      </c>
      <c r="CV463" s="18">
        <f t="shared" si="553"/>
        <v>4.7907409086757111</v>
      </c>
      <c r="CW463" s="18">
        <f t="shared" si="553"/>
        <v>1.4344349362571442</v>
      </c>
      <c r="CX463" s="56">
        <f t="shared" si="529"/>
        <v>4</v>
      </c>
      <c r="CZ463" s="18">
        <f t="shared" si="554"/>
        <v>7.0543697268867893</v>
      </c>
      <c r="DA463" s="18">
        <f t="shared" si="554"/>
        <v>1.3340720541576601</v>
      </c>
      <c r="DB463" s="18">
        <f t="shared" si="554"/>
        <v>2.6453197283047523</v>
      </c>
      <c r="DC463" s="18">
        <f t="shared" si="554"/>
        <v>0.307658274526732</v>
      </c>
      <c r="DD463" s="18">
        <f t="shared" si="554"/>
        <v>4.7907409086757111</v>
      </c>
      <c r="DE463" s="18">
        <f t="shared" si="554"/>
        <v>1.4344349362571442</v>
      </c>
      <c r="DF463" s="56">
        <f t="shared" si="530"/>
        <v>4</v>
      </c>
      <c r="DH463" s="18">
        <f t="shared" si="555"/>
        <v>7.0543697268867893</v>
      </c>
      <c r="DI463" s="18">
        <f t="shared" si="555"/>
        <v>1.3340720541576601</v>
      </c>
      <c r="DJ463" s="18">
        <f t="shared" si="555"/>
        <v>2.6453197283047523</v>
      </c>
      <c r="DK463" s="18">
        <f t="shared" si="555"/>
        <v>0.307658274526732</v>
      </c>
      <c r="DL463" s="18">
        <f t="shared" si="555"/>
        <v>4.7907409086757111</v>
      </c>
      <c r="DM463" s="18">
        <f t="shared" si="555"/>
        <v>1.4344349362571442</v>
      </c>
      <c r="DN463" s="56">
        <f t="shared" si="531"/>
        <v>4</v>
      </c>
    </row>
    <row r="464" spans="1:118" x14ac:dyDescent="0.25">
      <c r="A464" s="36" t="str">
        <f>KMeans_Data!A61</f>
        <v>Muzaffargar</v>
      </c>
      <c r="B464" s="18">
        <f>KMeans_Data!H61</f>
        <v>6.8311724136625313E-2</v>
      </c>
      <c r="C464" s="18">
        <f>KMeans_Data!I61</f>
        <v>-0.67265054538827607</v>
      </c>
      <c r="D464" s="18">
        <f>KMeans_Data!J61</f>
        <v>-1.1456441163335547</v>
      </c>
      <c r="E464" s="56">
        <f t="shared" si="518"/>
        <v>4</v>
      </c>
      <c r="F464" s="38">
        <f t="shared" si="519"/>
        <v>9.6689161184615319E-2</v>
      </c>
      <c r="G464" s="18">
        <f>IF(COUNTIF(Distance_Matrix!$E$12:$DQ$12,$E464)&lt;=1,0,SUMIF(Distance_Matrix!$E$12:$DQ$12,$E464,Distance_Matrix!$E$70:$DQ$70)/(COUNTIF(Distance_Matrix!$E$12:$DQ$12,$E464)-1))</f>
        <v>0.59525789687011954</v>
      </c>
      <c r="H464" s="18">
        <f>MIN(IF(1=$E464,1E+99,IF(COUNTIF(Distance_Matrix!$E$12:$DQ$12,1)=0,1E+99,SUMIF(Distance_Matrix!$E$12:$DQ$12,1,Distance_Matrix!$E$70:$DQ$70)/COUNTIF(Distance_Matrix!$E$12:$DQ$12,1))),IF(2=$E464,1E+99,IF(COUNTIF(Distance_Matrix!$E$12:$DQ$12,2)=0,1E+99,SUMIF(Distance_Matrix!$E$12:$DQ$12,2,Distance_Matrix!$E$70:$DQ$70)/COUNTIF(Distance_Matrix!$E$12:$DQ$12,2))),IF(3=$E464,1E+99,IF(COUNTIF(Distance_Matrix!$E$12:$DQ$12,3)=0,1E+99,SUMIF(Distance_Matrix!$E$12:$DQ$12,3,Distance_Matrix!$E$70:$DQ$70)/COUNTIF(Distance_Matrix!$E$12:$DQ$12,3))),IF(4=$E464,1E+99,IF(COUNTIF(Distance_Matrix!$E$12:$DQ$12,4)=0,1E+99,SUMIF(Distance_Matrix!$E$12:$DQ$12,4,Distance_Matrix!$E$70:$DQ$70)/COUNTIF(Distance_Matrix!$E$12:$DQ$12,4))),IF(5=$E464,1E+99,IF(COUNTIF(Distance_Matrix!$E$12:$DQ$12,5)=0,1E+99,SUMIF(Distance_Matrix!$E$12:$DQ$12,5,Distance_Matrix!$E$70:$DQ$70)/COUNTIF(Distance_Matrix!$E$12:$DQ$12,5))),IF(6=$E464,1E+99,IF(COUNTIF(Distance_Matrix!$E$12:$DQ$12,6)=0,1E+99,SUMIF(Distance_Matrix!$E$12:$DQ$12,6,Distance_Matrix!$E$70:$DQ$70)/COUNTIF(Distance_Matrix!$E$12:$DQ$12,6))))</f>
        <v>1.3534555955575511</v>
      </c>
      <c r="I464" s="18">
        <f>IF(COUNTIF(Distance_Matrix!$E$12:$DQ$12,$E464)&lt;=1,0,(H464-G464)/MAX(G464,H464))</f>
        <v>0.56019399615034637</v>
      </c>
      <c r="X464" s="18">
        <f t="shared" si="544"/>
        <v>7.1987648607522274</v>
      </c>
      <c r="Y464" s="18">
        <f t="shared" si="544"/>
        <v>2.1480497059399539</v>
      </c>
      <c r="Z464" s="18">
        <f t="shared" si="544"/>
        <v>2.9812792124527978</v>
      </c>
      <c r="AA464" s="18">
        <f t="shared" si="544"/>
        <v>0.78081517535110789</v>
      </c>
      <c r="AB464" s="18">
        <f t="shared" si="544"/>
        <v>5.143034064256069</v>
      </c>
      <c r="AC464" s="18">
        <f t="shared" si="544"/>
        <v>2.0059438942994432</v>
      </c>
      <c r="AD464" s="56">
        <f t="shared" si="520"/>
        <v>4</v>
      </c>
      <c r="AF464" s="18">
        <f t="shared" si="545"/>
        <v>7.0618279061195723</v>
      </c>
      <c r="AG464" s="18">
        <f t="shared" si="545"/>
        <v>1.3901219853450641</v>
      </c>
      <c r="AH464" s="18">
        <f t="shared" si="545"/>
        <v>2.6742997338451606</v>
      </c>
      <c r="AI464" s="18">
        <f t="shared" si="545"/>
        <v>0.32886134701128894</v>
      </c>
      <c r="AJ464" s="18">
        <f t="shared" si="545"/>
        <v>4.797693208707142</v>
      </c>
      <c r="AK464" s="18">
        <f t="shared" si="545"/>
        <v>1.3879284386438397</v>
      </c>
      <c r="AL464" s="56">
        <f t="shared" si="521"/>
        <v>4</v>
      </c>
      <c r="AN464" s="18">
        <f t="shared" si="546"/>
        <v>7.0618279061195723</v>
      </c>
      <c r="AO464" s="18">
        <f t="shared" si="546"/>
        <v>1.3483628300882411</v>
      </c>
      <c r="AP464" s="18">
        <f t="shared" si="546"/>
        <v>2.649475016816353</v>
      </c>
      <c r="AQ464" s="18">
        <f t="shared" si="546"/>
        <v>0.3109488079806953</v>
      </c>
      <c r="AR464" s="18">
        <f t="shared" si="546"/>
        <v>4.797693208707142</v>
      </c>
      <c r="AS464" s="18">
        <f t="shared" si="546"/>
        <v>1.4016364485412967</v>
      </c>
      <c r="AT464" s="56">
        <f t="shared" si="522"/>
        <v>4</v>
      </c>
      <c r="AV464" s="18">
        <f t="shared" si="547"/>
        <v>7.0618279061195723</v>
      </c>
      <c r="AW464" s="18">
        <f t="shared" si="547"/>
        <v>1.3311246939381323</v>
      </c>
      <c r="AX464" s="18">
        <f t="shared" si="547"/>
        <v>2.649475016816353</v>
      </c>
      <c r="AY464" s="18">
        <f t="shared" si="547"/>
        <v>0.3109488079806953</v>
      </c>
      <c r="AZ464" s="18">
        <f t="shared" si="547"/>
        <v>4.797693208707142</v>
      </c>
      <c r="BA464" s="18">
        <f t="shared" si="547"/>
        <v>1.4172430557040647</v>
      </c>
      <c r="BB464" s="56">
        <f t="shared" si="523"/>
        <v>4</v>
      </c>
      <c r="BD464" s="18">
        <f t="shared" si="548"/>
        <v>7.0618279061195723</v>
      </c>
      <c r="BE464" s="18">
        <f t="shared" si="548"/>
        <v>1.3176229836448674</v>
      </c>
      <c r="BF464" s="18">
        <f t="shared" si="548"/>
        <v>2.649475016816353</v>
      </c>
      <c r="BG464" s="18">
        <f t="shared" si="548"/>
        <v>0.3109488079806953</v>
      </c>
      <c r="BH464" s="18">
        <f t="shared" si="548"/>
        <v>4.797693208707142</v>
      </c>
      <c r="BI464" s="18">
        <f t="shared" si="548"/>
        <v>1.4313765814816861</v>
      </c>
      <c r="BJ464" s="56">
        <f t="shared" si="524"/>
        <v>4</v>
      </c>
      <c r="BL464" s="18">
        <f t="shared" si="549"/>
        <v>7.0618279061195723</v>
      </c>
      <c r="BM464" s="18">
        <f t="shared" si="549"/>
        <v>1.3176229836448674</v>
      </c>
      <c r="BN464" s="18">
        <f t="shared" si="549"/>
        <v>2.649475016816353</v>
      </c>
      <c r="BO464" s="18">
        <f t="shared" si="549"/>
        <v>0.3109488079806953</v>
      </c>
      <c r="BP464" s="18">
        <f t="shared" si="549"/>
        <v>4.797693208707142</v>
      </c>
      <c r="BQ464" s="18">
        <f t="shared" si="549"/>
        <v>1.4313765814816861</v>
      </c>
      <c r="BR464" s="56">
        <f t="shared" si="525"/>
        <v>4</v>
      </c>
      <c r="BT464" s="18">
        <f t="shared" si="550"/>
        <v>7.0618279061195723</v>
      </c>
      <c r="BU464" s="18">
        <f t="shared" si="550"/>
        <v>1.3176229836448674</v>
      </c>
      <c r="BV464" s="18">
        <f t="shared" si="550"/>
        <v>2.649475016816353</v>
      </c>
      <c r="BW464" s="18">
        <f t="shared" si="550"/>
        <v>0.3109488079806953</v>
      </c>
      <c r="BX464" s="18">
        <f t="shared" si="550"/>
        <v>4.797693208707142</v>
      </c>
      <c r="BY464" s="18">
        <f t="shared" si="550"/>
        <v>1.4313765814816861</v>
      </c>
      <c r="BZ464" s="56">
        <f t="shared" si="526"/>
        <v>4</v>
      </c>
      <c r="CB464" s="18">
        <f t="shared" si="551"/>
        <v>7.0618279061195723</v>
      </c>
      <c r="CC464" s="18">
        <f t="shared" si="551"/>
        <v>1.3176229836448674</v>
      </c>
      <c r="CD464" s="18">
        <f t="shared" si="551"/>
        <v>2.649475016816353</v>
      </c>
      <c r="CE464" s="18">
        <f t="shared" si="551"/>
        <v>0.3109488079806953</v>
      </c>
      <c r="CF464" s="18">
        <f t="shared" si="551"/>
        <v>4.797693208707142</v>
      </c>
      <c r="CG464" s="18">
        <f t="shared" si="551"/>
        <v>1.4313765814816861</v>
      </c>
      <c r="CH464" s="56">
        <f t="shared" si="527"/>
        <v>4</v>
      </c>
      <c r="CJ464" s="18">
        <f t="shared" si="552"/>
        <v>7.0618279061195723</v>
      </c>
      <c r="CK464" s="18">
        <f t="shared" si="552"/>
        <v>1.3176229836448674</v>
      </c>
      <c r="CL464" s="18">
        <f t="shared" si="552"/>
        <v>2.649475016816353</v>
      </c>
      <c r="CM464" s="18">
        <f t="shared" si="552"/>
        <v>0.3109488079806953</v>
      </c>
      <c r="CN464" s="18">
        <f t="shared" si="552"/>
        <v>4.797693208707142</v>
      </c>
      <c r="CO464" s="18">
        <f t="shared" si="552"/>
        <v>1.4313765814816861</v>
      </c>
      <c r="CP464" s="56">
        <f t="shared" si="528"/>
        <v>4</v>
      </c>
      <c r="CR464" s="18">
        <f t="shared" si="553"/>
        <v>7.0618279061195723</v>
      </c>
      <c r="CS464" s="18">
        <f t="shared" si="553"/>
        <v>1.3176229836448674</v>
      </c>
      <c r="CT464" s="18">
        <f t="shared" si="553"/>
        <v>2.649475016816353</v>
      </c>
      <c r="CU464" s="18">
        <f t="shared" si="553"/>
        <v>0.3109488079806953</v>
      </c>
      <c r="CV464" s="18">
        <f t="shared" si="553"/>
        <v>4.797693208707142</v>
      </c>
      <c r="CW464" s="18">
        <f t="shared" si="553"/>
        <v>1.4313765814816861</v>
      </c>
      <c r="CX464" s="56">
        <f t="shared" si="529"/>
        <v>4</v>
      </c>
      <c r="CZ464" s="18">
        <f t="shared" si="554"/>
        <v>7.0618279061195723</v>
      </c>
      <c r="DA464" s="18">
        <f t="shared" si="554"/>
        <v>1.3176229836448674</v>
      </c>
      <c r="DB464" s="18">
        <f t="shared" si="554"/>
        <v>2.649475016816353</v>
      </c>
      <c r="DC464" s="18">
        <f t="shared" si="554"/>
        <v>0.3109488079806953</v>
      </c>
      <c r="DD464" s="18">
        <f t="shared" si="554"/>
        <v>4.797693208707142</v>
      </c>
      <c r="DE464" s="18">
        <f t="shared" si="554"/>
        <v>1.4313765814816861</v>
      </c>
      <c r="DF464" s="56">
        <f t="shared" si="530"/>
        <v>4</v>
      </c>
      <c r="DH464" s="18">
        <f t="shared" si="555"/>
        <v>7.0618279061195723</v>
      </c>
      <c r="DI464" s="18">
        <f t="shared" si="555"/>
        <v>1.3176229836448674</v>
      </c>
      <c r="DJ464" s="18">
        <f t="shared" si="555"/>
        <v>2.649475016816353</v>
      </c>
      <c r="DK464" s="18">
        <f t="shared" si="555"/>
        <v>0.3109488079806953</v>
      </c>
      <c r="DL464" s="18">
        <f t="shared" si="555"/>
        <v>4.797693208707142</v>
      </c>
      <c r="DM464" s="18">
        <f t="shared" si="555"/>
        <v>1.4313765814816861</v>
      </c>
      <c r="DN464" s="56">
        <f t="shared" si="531"/>
        <v>4</v>
      </c>
    </row>
    <row r="465" spans="1:118" x14ac:dyDescent="0.25">
      <c r="A465" s="36" t="str">
        <f>KMeans_Data!A62</f>
        <v>Badin</v>
      </c>
      <c r="B465" s="18">
        <f>KMeans_Data!H62</f>
        <v>2.4548982643863189E-2</v>
      </c>
      <c r="C465" s="18">
        <f>KMeans_Data!I62</f>
        <v>0.54791138584450239</v>
      </c>
      <c r="D465" s="18">
        <f>KMeans_Data!J62</f>
        <v>5.8390290280275915E-3</v>
      </c>
      <c r="E465" s="56">
        <f t="shared" si="518"/>
        <v>6</v>
      </c>
      <c r="F465" s="38">
        <f t="shared" si="519"/>
        <v>0.93051765267429676</v>
      </c>
      <c r="G465" s="18">
        <f>IF(COUNTIF(Distance_Matrix!$E$12:$DQ$12,$E465)&lt;=1,0,SUMIF(Distance_Matrix!$E$12:$DQ$12,$E465,Distance_Matrix!$E$71:$DQ$71)/(COUNTIF(Distance_Matrix!$E$12:$DQ$12,$E465)-1))</f>
        <v>1.1331360025341959</v>
      </c>
      <c r="H465" s="18">
        <f>MIN(IF(1=$E465,1E+99,IF(COUNTIF(Distance_Matrix!$E$12:$DQ$12,1)=0,1E+99,SUMIF(Distance_Matrix!$E$12:$DQ$12,1,Distance_Matrix!$E$71:$DQ$71)/COUNTIF(Distance_Matrix!$E$12:$DQ$12,1))),IF(2=$E465,1E+99,IF(COUNTIF(Distance_Matrix!$E$12:$DQ$12,2)=0,1E+99,SUMIF(Distance_Matrix!$E$12:$DQ$12,2,Distance_Matrix!$E$71:$DQ$71)/COUNTIF(Distance_Matrix!$E$12:$DQ$12,2))),IF(3=$E465,1E+99,IF(COUNTIF(Distance_Matrix!$E$12:$DQ$12,3)=0,1E+99,SUMIF(Distance_Matrix!$E$12:$DQ$12,3,Distance_Matrix!$E$71:$DQ$71)/COUNTIF(Distance_Matrix!$E$12:$DQ$12,3))),IF(4=$E465,1E+99,IF(COUNTIF(Distance_Matrix!$E$12:$DQ$12,4)=0,1E+99,SUMIF(Distance_Matrix!$E$12:$DQ$12,4,Distance_Matrix!$E$71:$DQ$71)/COUNTIF(Distance_Matrix!$E$12:$DQ$12,4))),IF(5=$E465,1E+99,IF(COUNTIF(Distance_Matrix!$E$12:$DQ$12,5)=0,1E+99,SUMIF(Distance_Matrix!$E$12:$DQ$12,5,Distance_Matrix!$E$71:$DQ$71)/COUNTIF(Distance_Matrix!$E$12:$DQ$12,5))),IF(6=$E465,1E+99,IF(COUNTIF(Distance_Matrix!$E$12:$DQ$12,6)=0,1E+99,SUMIF(Distance_Matrix!$E$12:$DQ$12,6,Distance_Matrix!$E$71:$DQ$71)/COUNTIF(Distance_Matrix!$E$12:$DQ$12,6))))</f>
        <v>1.3120198704142965</v>
      </c>
      <c r="I465" s="18">
        <f>IF(COUNTIF(Distance_Matrix!$E$12:$DQ$12,$E465)&lt;=1,0,(H465-G465)/MAX(G465,H465))</f>
        <v>0.13634234657102748</v>
      </c>
      <c r="X465" s="18">
        <f t="shared" si="544"/>
        <v>5.7697307870114276</v>
      </c>
      <c r="Y465" s="18">
        <f t="shared" si="544"/>
        <v>2.6914138460610011</v>
      </c>
      <c r="Z465" s="18">
        <f t="shared" si="544"/>
        <v>1.7886669762678886</v>
      </c>
      <c r="AA465" s="18">
        <f t="shared" si="544"/>
        <v>1.4814138332876035</v>
      </c>
      <c r="AB465" s="18">
        <f t="shared" si="544"/>
        <v>3.7583556978917345</v>
      </c>
      <c r="AC465" s="18">
        <f t="shared" si="544"/>
        <v>1.185148968402929</v>
      </c>
      <c r="AD465" s="56">
        <f t="shared" si="520"/>
        <v>6</v>
      </c>
      <c r="AF465" s="18">
        <f t="shared" si="545"/>
        <v>5.6436512518338509</v>
      </c>
      <c r="AG465" s="18">
        <f t="shared" si="545"/>
        <v>2.1112495118648713</v>
      </c>
      <c r="AH465" s="18">
        <f t="shared" si="545"/>
        <v>1.2342776524775778</v>
      </c>
      <c r="AI465" s="18">
        <f t="shared" si="545"/>
        <v>1.3907781272279991</v>
      </c>
      <c r="AJ465" s="18">
        <f t="shared" si="545"/>
        <v>3.3791360922033524</v>
      </c>
      <c r="AK465" s="18">
        <f t="shared" si="545"/>
        <v>0.99486688923312439</v>
      </c>
      <c r="AL465" s="56">
        <f t="shared" si="521"/>
        <v>6</v>
      </c>
      <c r="AN465" s="18">
        <f t="shared" si="546"/>
        <v>5.6436512518338509</v>
      </c>
      <c r="AO465" s="18">
        <f t="shared" si="546"/>
        <v>2.0739501768732467</v>
      </c>
      <c r="AP465" s="18">
        <f t="shared" si="546"/>
        <v>1.2035944379625751</v>
      </c>
      <c r="AQ465" s="18">
        <f t="shared" si="546"/>
        <v>1.4176941548979507</v>
      </c>
      <c r="AR465" s="18">
        <f t="shared" si="546"/>
        <v>3.3791360922033524</v>
      </c>
      <c r="AS465" s="18">
        <f t="shared" si="546"/>
        <v>0.98311550461765118</v>
      </c>
      <c r="AT465" s="56">
        <f t="shared" si="522"/>
        <v>6</v>
      </c>
      <c r="AV465" s="18">
        <f t="shared" si="547"/>
        <v>5.6436512518338509</v>
      </c>
      <c r="AW465" s="18">
        <f t="shared" si="547"/>
        <v>2.0491473999241512</v>
      </c>
      <c r="AX465" s="18">
        <f t="shared" si="547"/>
        <v>1.2035944379625751</v>
      </c>
      <c r="AY465" s="18">
        <f t="shared" si="547"/>
        <v>1.4176941548979507</v>
      </c>
      <c r="AZ465" s="18">
        <f t="shared" si="547"/>
        <v>3.3791360922033524</v>
      </c>
      <c r="BA465" s="18">
        <f t="shared" si="547"/>
        <v>0.97426734945791671</v>
      </c>
      <c r="BB465" s="56">
        <f t="shared" si="523"/>
        <v>6</v>
      </c>
      <c r="BD465" s="18">
        <f t="shared" si="548"/>
        <v>5.6436512518338509</v>
      </c>
      <c r="BE465" s="18">
        <f t="shared" si="548"/>
        <v>2.0258253094384338</v>
      </c>
      <c r="BF465" s="18">
        <f t="shared" si="548"/>
        <v>1.2035944379625751</v>
      </c>
      <c r="BG465" s="18">
        <f t="shared" si="548"/>
        <v>1.4176941548979507</v>
      </c>
      <c r="BH465" s="18">
        <f t="shared" si="548"/>
        <v>3.3791360922033524</v>
      </c>
      <c r="BI465" s="18">
        <f t="shared" si="548"/>
        <v>0.96463342917104877</v>
      </c>
      <c r="BJ465" s="56">
        <f t="shared" si="524"/>
        <v>6</v>
      </c>
      <c r="BL465" s="18">
        <f t="shared" si="549"/>
        <v>5.6436512518338509</v>
      </c>
      <c r="BM465" s="18">
        <f t="shared" si="549"/>
        <v>2.0258253094384338</v>
      </c>
      <c r="BN465" s="18">
        <f t="shared" si="549"/>
        <v>1.2035944379625751</v>
      </c>
      <c r="BO465" s="18">
        <f t="shared" si="549"/>
        <v>1.4176941548979507</v>
      </c>
      <c r="BP465" s="18">
        <f t="shared" si="549"/>
        <v>3.3791360922033524</v>
      </c>
      <c r="BQ465" s="18">
        <f t="shared" si="549"/>
        <v>0.96463342917104877</v>
      </c>
      <c r="BR465" s="56">
        <f t="shared" si="525"/>
        <v>6</v>
      </c>
      <c r="BT465" s="18">
        <f t="shared" si="550"/>
        <v>5.6436512518338509</v>
      </c>
      <c r="BU465" s="18">
        <f t="shared" si="550"/>
        <v>2.0258253094384338</v>
      </c>
      <c r="BV465" s="18">
        <f t="shared" si="550"/>
        <v>1.2035944379625751</v>
      </c>
      <c r="BW465" s="18">
        <f t="shared" si="550"/>
        <v>1.4176941548979507</v>
      </c>
      <c r="BX465" s="18">
        <f t="shared" si="550"/>
        <v>3.3791360922033524</v>
      </c>
      <c r="BY465" s="18">
        <f t="shared" si="550"/>
        <v>0.96463342917104877</v>
      </c>
      <c r="BZ465" s="56">
        <f t="shared" si="526"/>
        <v>6</v>
      </c>
      <c r="CB465" s="18">
        <f t="shared" si="551"/>
        <v>5.6436512518338509</v>
      </c>
      <c r="CC465" s="18">
        <f t="shared" si="551"/>
        <v>2.0258253094384338</v>
      </c>
      <c r="CD465" s="18">
        <f t="shared" si="551"/>
        <v>1.2035944379625751</v>
      </c>
      <c r="CE465" s="18">
        <f t="shared" si="551"/>
        <v>1.4176941548979507</v>
      </c>
      <c r="CF465" s="18">
        <f t="shared" si="551"/>
        <v>3.3791360922033524</v>
      </c>
      <c r="CG465" s="18">
        <f t="shared" si="551"/>
        <v>0.96463342917104877</v>
      </c>
      <c r="CH465" s="56">
        <f t="shared" si="527"/>
        <v>6</v>
      </c>
      <c r="CJ465" s="18">
        <f t="shared" si="552"/>
        <v>5.6436512518338509</v>
      </c>
      <c r="CK465" s="18">
        <f t="shared" si="552"/>
        <v>2.0258253094384338</v>
      </c>
      <c r="CL465" s="18">
        <f t="shared" si="552"/>
        <v>1.2035944379625751</v>
      </c>
      <c r="CM465" s="18">
        <f t="shared" si="552"/>
        <v>1.4176941548979507</v>
      </c>
      <c r="CN465" s="18">
        <f t="shared" si="552"/>
        <v>3.3791360922033524</v>
      </c>
      <c r="CO465" s="18">
        <f t="shared" si="552"/>
        <v>0.96463342917104877</v>
      </c>
      <c r="CP465" s="56">
        <f t="shared" si="528"/>
        <v>6</v>
      </c>
      <c r="CR465" s="18">
        <f t="shared" si="553"/>
        <v>5.6436512518338509</v>
      </c>
      <c r="CS465" s="18">
        <f t="shared" si="553"/>
        <v>2.0258253094384338</v>
      </c>
      <c r="CT465" s="18">
        <f t="shared" si="553"/>
        <v>1.2035944379625751</v>
      </c>
      <c r="CU465" s="18">
        <f t="shared" si="553"/>
        <v>1.4176941548979507</v>
      </c>
      <c r="CV465" s="18">
        <f t="shared" si="553"/>
        <v>3.3791360922033524</v>
      </c>
      <c r="CW465" s="18">
        <f t="shared" si="553"/>
        <v>0.96463342917104877</v>
      </c>
      <c r="CX465" s="56">
        <f t="shared" si="529"/>
        <v>6</v>
      </c>
      <c r="CZ465" s="18">
        <f t="shared" si="554"/>
        <v>5.6436512518338509</v>
      </c>
      <c r="DA465" s="18">
        <f t="shared" si="554"/>
        <v>2.0258253094384338</v>
      </c>
      <c r="DB465" s="18">
        <f t="shared" si="554"/>
        <v>1.2035944379625751</v>
      </c>
      <c r="DC465" s="18">
        <f t="shared" si="554"/>
        <v>1.4176941548979507</v>
      </c>
      <c r="DD465" s="18">
        <f t="shared" si="554"/>
        <v>3.3791360922033524</v>
      </c>
      <c r="DE465" s="18">
        <f t="shared" si="554"/>
        <v>0.96463342917104877</v>
      </c>
      <c r="DF465" s="56">
        <f t="shared" si="530"/>
        <v>6</v>
      </c>
      <c r="DH465" s="18">
        <f t="shared" si="555"/>
        <v>5.6436512518338509</v>
      </c>
      <c r="DI465" s="18">
        <f t="shared" si="555"/>
        <v>2.0258253094384338</v>
      </c>
      <c r="DJ465" s="18">
        <f t="shared" si="555"/>
        <v>1.2035944379625751</v>
      </c>
      <c r="DK465" s="18">
        <f t="shared" si="555"/>
        <v>1.4176941548979507</v>
      </c>
      <c r="DL465" s="18">
        <f t="shared" si="555"/>
        <v>3.3791360922033524</v>
      </c>
      <c r="DM465" s="18">
        <f t="shared" si="555"/>
        <v>0.96463342917104877</v>
      </c>
      <c r="DN465" s="56">
        <f t="shared" si="531"/>
        <v>6</v>
      </c>
    </row>
    <row r="466" spans="1:118" x14ac:dyDescent="0.25">
      <c r="A466" s="36" t="str">
        <f>KMeans_Data!A63</f>
        <v>Bahawalpur</v>
      </c>
      <c r="B466" s="18">
        <f>KMeans_Data!H63</f>
        <v>5.9587915640307559E-3</v>
      </c>
      <c r="C466" s="18">
        <f>KMeans_Data!I63</f>
        <v>-0.67265054538827607</v>
      </c>
      <c r="D466" s="18">
        <f>KMeans_Data!J63</f>
        <v>-0.39984522290956798</v>
      </c>
      <c r="E466" s="56">
        <f t="shared" si="518"/>
        <v>4</v>
      </c>
      <c r="F466" s="38">
        <f t="shared" si="519"/>
        <v>0.24143767835334845</v>
      </c>
      <c r="G466" s="18">
        <f>IF(COUNTIF(Distance_Matrix!$E$12:$DQ$12,$E466)&lt;=1,0,SUMIF(Distance_Matrix!$E$12:$DQ$12,$E466,Distance_Matrix!$E$72:$DQ$72)/(COUNTIF(Distance_Matrix!$E$12:$DQ$12,$E466)-1))</f>
        <v>0.74184436743176607</v>
      </c>
      <c r="H466" s="18">
        <f>MIN(IF(1=$E466,1E+99,IF(COUNTIF(Distance_Matrix!$E$12:$DQ$12,1)=0,1E+99,SUMIF(Distance_Matrix!$E$12:$DQ$12,1,Distance_Matrix!$E$72:$DQ$72)/COUNTIF(Distance_Matrix!$E$12:$DQ$12,1))),IF(2=$E466,1E+99,IF(COUNTIF(Distance_Matrix!$E$12:$DQ$12,2)=0,1E+99,SUMIF(Distance_Matrix!$E$12:$DQ$12,2,Distance_Matrix!$E$72:$DQ$72)/COUNTIF(Distance_Matrix!$E$12:$DQ$12,2))),IF(3=$E466,1E+99,IF(COUNTIF(Distance_Matrix!$E$12:$DQ$12,3)=0,1E+99,SUMIF(Distance_Matrix!$E$12:$DQ$12,3,Distance_Matrix!$E$72:$DQ$72)/COUNTIF(Distance_Matrix!$E$12:$DQ$12,3))),IF(4=$E466,1E+99,IF(COUNTIF(Distance_Matrix!$E$12:$DQ$12,4)=0,1E+99,SUMIF(Distance_Matrix!$E$12:$DQ$12,4,Distance_Matrix!$E$72:$DQ$72)/COUNTIF(Distance_Matrix!$E$12:$DQ$12,4))),IF(5=$E466,1E+99,IF(COUNTIF(Distance_Matrix!$E$12:$DQ$12,5)=0,1E+99,SUMIF(Distance_Matrix!$E$12:$DQ$12,5,Distance_Matrix!$E$72:$DQ$72)/COUNTIF(Distance_Matrix!$E$12:$DQ$12,5))),IF(6=$E466,1E+99,IF(COUNTIF(Distance_Matrix!$E$12:$DQ$12,6)=0,1E+99,SUMIF(Distance_Matrix!$E$12:$DQ$12,6,Distance_Matrix!$E$72:$DQ$72)/COUNTIF(Distance_Matrix!$E$12:$DQ$12,6))))</f>
        <v>0.92061337965986201</v>
      </c>
      <c r="I466" s="18">
        <f>IF(COUNTIF(Distance_Matrix!$E$12:$DQ$12,$E466)&lt;=1,0,(H466-G466)/MAX(G466,H466))</f>
        <v>0.19418467749637261</v>
      </c>
      <c r="X466" s="18">
        <f t="shared" si="544"/>
        <v>6.798642989836301</v>
      </c>
      <c r="Y466" s="18">
        <f t="shared" si="544"/>
        <v>2.215027543816884</v>
      </c>
      <c r="Z466" s="18">
        <f t="shared" si="544"/>
        <v>2.3805209943410395</v>
      </c>
      <c r="AA466" s="18">
        <f t="shared" si="544"/>
        <v>1.1143502862264891</v>
      </c>
      <c r="AB466" s="18">
        <f t="shared" si="544"/>
        <v>4.695723037758774</v>
      </c>
      <c r="AC466" s="18">
        <f t="shared" si="544"/>
        <v>1.3568347703804642</v>
      </c>
      <c r="AD466" s="56">
        <f t="shared" si="520"/>
        <v>4</v>
      </c>
      <c r="AF466" s="18">
        <f t="shared" si="545"/>
        <v>6.685355949569888</v>
      </c>
      <c r="AG466" s="18">
        <f t="shared" si="545"/>
        <v>1.4982144308657146</v>
      </c>
      <c r="AH466" s="18">
        <f t="shared" si="545"/>
        <v>2.1634922009273749</v>
      </c>
      <c r="AI466" s="18">
        <f t="shared" si="545"/>
        <v>0.49485672653406054</v>
      </c>
      <c r="AJ466" s="18">
        <f t="shared" si="545"/>
        <v>4.4107407217645527</v>
      </c>
      <c r="AK466" s="18">
        <f t="shared" si="545"/>
        <v>0.69290092401075654</v>
      </c>
      <c r="AL466" s="56">
        <f t="shared" si="521"/>
        <v>4</v>
      </c>
      <c r="AN466" s="18">
        <f t="shared" si="546"/>
        <v>6.685355949569888</v>
      </c>
      <c r="AO466" s="18">
        <f t="shared" si="546"/>
        <v>1.4502642277140807</v>
      </c>
      <c r="AP466" s="18">
        <f t="shared" si="546"/>
        <v>2.1372618511039749</v>
      </c>
      <c r="AQ466" s="18">
        <f t="shared" si="546"/>
        <v>0.49136308200082396</v>
      </c>
      <c r="AR466" s="18">
        <f t="shared" si="546"/>
        <v>4.4107407217645527</v>
      </c>
      <c r="AS466" s="18">
        <f t="shared" si="546"/>
        <v>0.69968537962108923</v>
      </c>
      <c r="AT466" s="56">
        <f t="shared" si="522"/>
        <v>4</v>
      </c>
      <c r="AV466" s="18">
        <f t="shared" si="547"/>
        <v>6.685355949569888</v>
      </c>
      <c r="AW466" s="18">
        <f t="shared" si="547"/>
        <v>1.4215362620737779</v>
      </c>
      <c r="AX466" s="18">
        <f t="shared" si="547"/>
        <v>2.1372618511039749</v>
      </c>
      <c r="AY466" s="18">
        <f t="shared" si="547"/>
        <v>0.49136308200082396</v>
      </c>
      <c r="AZ466" s="18">
        <f t="shared" si="547"/>
        <v>4.4107407217645527</v>
      </c>
      <c r="BA466" s="18">
        <f t="shared" si="547"/>
        <v>0.71331778100841814</v>
      </c>
      <c r="BB466" s="56">
        <f t="shared" si="523"/>
        <v>4</v>
      </c>
      <c r="BD466" s="18">
        <f t="shared" si="548"/>
        <v>6.685355949569888</v>
      </c>
      <c r="BE466" s="18">
        <f t="shared" si="548"/>
        <v>1.3951717827659789</v>
      </c>
      <c r="BF466" s="18">
        <f t="shared" si="548"/>
        <v>2.1372618511039749</v>
      </c>
      <c r="BG466" s="18">
        <f t="shared" si="548"/>
        <v>0.49136308200082396</v>
      </c>
      <c r="BH466" s="18">
        <f t="shared" si="548"/>
        <v>4.4107407217645527</v>
      </c>
      <c r="BI466" s="18">
        <f t="shared" si="548"/>
        <v>0.72589373173920013</v>
      </c>
      <c r="BJ466" s="56">
        <f t="shared" si="524"/>
        <v>4</v>
      </c>
      <c r="BL466" s="18">
        <f t="shared" si="549"/>
        <v>6.685355949569888</v>
      </c>
      <c r="BM466" s="18">
        <f t="shared" si="549"/>
        <v>1.3951717827659789</v>
      </c>
      <c r="BN466" s="18">
        <f t="shared" si="549"/>
        <v>2.1372618511039749</v>
      </c>
      <c r="BO466" s="18">
        <f t="shared" si="549"/>
        <v>0.49136308200082396</v>
      </c>
      <c r="BP466" s="18">
        <f t="shared" si="549"/>
        <v>4.4107407217645527</v>
      </c>
      <c r="BQ466" s="18">
        <f t="shared" si="549"/>
        <v>0.72589373173920013</v>
      </c>
      <c r="BR466" s="56">
        <f t="shared" si="525"/>
        <v>4</v>
      </c>
      <c r="BT466" s="18">
        <f t="shared" si="550"/>
        <v>6.685355949569888</v>
      </c>
      <c r="BU466" s="18">
        <f t="shared" si="550"/>
        <v>1.3951717827659789</v>
      </c>
      <c r="BV466" s="18">
        <f t="shared" si="550"/>
        <v>2.1372618511039749</v>
      </c>
      <c r="BW466" s="18">
        <f t="shared" si="550"/>
        <v>0.49136308200082396</v>
      </c>
      <c r="BX466" s="18">
        <f t="shared" si="550"/>
        <v>4.4107407217645527</v>
      </c>
      <c r="BY466" s="18">
        <f t="shared" si="550"/>
        <v>0.72589373173920013</v>
      </c>
      <c r="BZ466" s="56">
        <f t="shared" si="526"/>
        <v>4</v>
      </c>
      <c r="CB466" s="18">
        <f t="shared" si="551"/>
        <v>6.685355949569888</v>
      </c>
      <c r="CC466" s="18">
        <f t="shared" si="551"/>
        <v>1.3951717827659789</v>
      </c>
      <c r="CD466" s="18">
        <f t="shared" si="551"/>
        <v>2.1372618511039749</v>
      </c>
      <c r="CE466" s="18">
        <f t="shared" si="551"/>
        <v>0.49136308200082396</v>
      </c>
      <c r="CF466" s="18">
        <f t="shared" si="551"/>
        <v>4.4107407217645527</v>
      </c>
      <c r="CG466" s="18">
        <f t="shared" si="551"/>
        <v>0.72589373173920013</v>
      </c>
      <c r="CH466" s="56">
        <f t="shared" si="527"/>
        <v>4</v>
      </c>
      <c r="CJ466" s="18">
        <f t="shared" si="552"/>
        <v>6.685355949569888</v>
      </c>
      <c r="CK466" s="18">
        <f t="shared" si="552"/>
        <v>1.3951717827659789</v>
      </c>
      <c r="CL466" s="18">
        <f t="shared" si="552"/>
        <v>2.1372618511039749</v>
      </c>
      <c r="CM466" s="18">
        <f t="shared" si="552"/>
        <v>0.49136308200082396</v>
      </c>
      <c r="CN466" s="18">
        <f t="shared" si="552"/>
        <v>4.4107407217645527</v>
      </c>
      <c r="CO466" s="18">
        <f t="shared" si="552"/>
        <v>0.72589373173920013</v>
      </c>
      <c r="CP466" s="56">
        <f t="shared" si="528"/>
        <v>4</v>
      </c>
      <c r="CR466" s="18">
        <f t="shared" si="553"/>
        <v>6.685355949569888</v>
      </c>
      <c r="CS466" s="18">
        <f t="shared" si="553"/>
        <v>1.3951717827659789</v>
      </c>
      <c r="CT466" s="18">
        <f t="shared" si="553"/>
        <v>2.1372618511039749</v>
      </c>
      <c r="CU466" s="18">
        <f t="shared" si="553"/>
        <v>0.49136308200082396</v>
      </c>
      <c r="CV466" s="18">
        <f t="shared" si="553"/>
        <v>4.4107407217645527</v>
      </c>
      <c r="CW466" s="18">
        <f t="shared" si="553"/>
        <v>0.72589373173920013</v>
      </c>
      <c r="CX466" s="56">
        <f t="shared" si="529"/>
        <v>4</v>
      </c>
      <c r="CZ466" s="18">
        <f t="shared" si="554"/>
        <v>6.685355949569888</v>
      </c>
      <c r="DA466" s="18">
        <f t="shared" si="554"/>
        <v>1.3951717827659789</v>
      </c>
      <c r="DB466" s="18">
        <f t="shared" si="554"/>
        <v>2.1372618511039749</v>
      </c>
      <c r="DC466" s="18">
        <f t="shared" si="554"/>
        <v>0.49136308200082396</v>
      </c>
      <c r="DD466" s="18">
        <f t="shared" si="554"/>
        <v>4.4107407217645527</v>
      </c>
      <c r="DE466" s="18">
        <f t="shared" si="554"/>
        <v>0.72589373173920013</v>
      </c>
      <c r="DF466" s="56">
        <f t="shared" si="530"/>
        <v>4</v>
      </c>
      <c r="DH466" s="18">
        <f t="shared" si="555"/>
        <v>6.685355949569888</v>
      </c>
      <c r="DI466" s="18">
        <f t="shared" si="555"/>
        <v>1.3951717827659789</v>
      </c>
      <c r="DJ466" s="18">
        <f t="shared" si="555"/>
        <v>2.1372618511039749</v>
      </c>
      <c r="DK466" s="18">
        <f t="shared" si="555"/>
        <v>0.49136308200082396</v>
      </c>
      <c r="DL466" s="18">
        <f t="shared" si="555"/>
        <v>4.4107407217645527</v>
      </c>
      <c r="DM466" s="18">
        <f t="shared" si="555"/>
        <v>0.72589373173920013</v>
      </c>
      <c r="DN466" s="56">
        <f t="shared" si="531"/>
        <v>4</v>
      </c>
    </row>
    <row r="467" spans="1:118" x14ac:dyDescent="0.25">
      <c r="A467" s="36" t="str">
        <f>KMeans_Data!A64</f>
        <v>Dadu</v>
      </c>
      <c r="B467" s="18">
        <f>KMeans_Data!H64</f>
        <v>-3.5913849611856918E-3</v>
      </c>
      <c r="C467" s="18">
        <f>KMeans_Data!I64</f>
        <v>-0.67265054538827607</v>
      </c>
      <c r="D467" s="18">
        <f>KMeans_Data!J64</f>
        <v>0.36412819234159388</v>
      </c>
      <c r="E467" s="56">
        <f t="shared" si="518"/>
        <v>6</v>
      </c>
      <c r="F467" s="38">
        <f t="shared" si="519"/>
        <v>0.14655761185271307</v>
      </c>
      <c r="G467" s="18">
        <f>IF(COUNTIF(Distance_Matrix!$E$12:$DQ$12,$E467)&lt;=1,0,SUMIF(Distance_Matrix!$E$12:$DQ$12,$E467,Distance_Matrix!$E$73:$DQ$73)/(COUNTIF(Distance_Matrix!$E$12:$DQ$12,$E467)-1))</f>
        <v>0.72014601839171366</v>
      </c>
      <c r="H467" s="18">
        <f>MIN(IF(1=$E467,1E+99,IF(COUNTIF(Distance_Matrix!$E$12:$DQ$12,1)=0,1E+99,SUMIF(Distance_Matrix!$E$12:$DQ$12,1,Distance_Matrix!$E$73:$DQ$73)/COUNTIF(Distance_Matrix!$E$12:$DQ$12,1))),IF(2=$E467,1E+99,IF(COUNTIF(Distance_Matrix!$E$12:$DQ$12,2)=0,1E+99,SUMIF(Distance_Matrix!$E$12:$DQ$12,2,Distance_Matrix!$E$73:$DQ$73)/COUNTIF(Distance_Matrix!$E$12:$DQ$12,2))),IF(3=$E467,1E+99,IF(COUNTIF(Distance_Matrix!$E$12:$DQ$12,3)=0,1E+99,SUMIF(Distance_Matrix!$E$12:$DQ$12,3,Distance_Matrix!$E$73:$DQ$73)/COUNTIF(Distance_Matrix!$E$12:$DQ$12,3))),IF(4=$E467,1E+99,IF(COUNTIF(Distance_Matrix!$E$12:$DQ$12,4)=0,1E+99,SUMIF(Distance_Matrix!$E$12:$DQ$12,4,Distance_Matrix!$E$73:$DQ$73)/COUNTIF(Distance_Matrix!$E$12:$DQ$12,4))),IF(5=$E467,1E+99,IF(COUNTIF(Distance_Matrix!$E$12:$DQ$12,5)=0,1E+99,SUMIF(Distance_Matrix!$E$12:$DQ$12,5,Distance_Matrix!$E$73:$DQ$73)/COUNTIF(Distance_Matrix!$E$12:$DQ$12,5))),IF(6=$E467,1E+99,IF(COUNTIF(Distance_Matrix!$E$12:$DQ$12,6)=0,1E+99,SUMIF(Distance_Matrix!$E$12:$DQ$12,6,Distance_Matrix!$E$73:$DQ$73)/COUNTIF(Distance_Matrix!$E$12:$DQ$12,6))))</f>
        <v>1.3416172576623673</v>
      </c>
      <c r="I467" s="18">
        <f>IF(COUNTIF(Distance_Matrix!$E$12:$DQ$12,$E467)&lt;=1,0,(H467-G467)/MAX(G467,H467))</f>
        <v>0.4632254361079885</v>
      </c>
      <c r="X467" s="18">
        <f t="shared" si="544"/>
        <v>6.425480929982732</v>
      </c>
      <c r="Y467" s="18">
        <f t="shared" si="544"/>
        <v>2.5670600140280122</v>
      </c>
      <c r="Z467" s="18">
        <f t="shared" si="544"/>
        <v>1.8473451558485976</v>
      </c>
      <c r="AA467" s="18">
        <f t="shared" si="544"/>
        <v>1.7254805038734196</v>
      </c>
      <c r="AB467" s="18">
        <f t="shared" si="544"/>
        <v>4.2945122658508694</v>
      </c>
      <c r="AC467" s="18">
        <f t="shared" si="544"/>
        <v>0.91644284604632387</v>
      </c>
      <c r="AD467" s="56">
        <f t="shared" si="520"/>
        <v>6</v>
      </c>
      <c r="AF467" s="18">
        <f t="shared" si="545"/>
        <v>6.340043982635498</v>
      </c>
      <c r="AG467" s="18">
        <f t="shared" si="545"/>
        <v>1.9662396113596525</v>
      </c>
      <c r="AH467" s="18">
        <f t="shared" si="545"/>
        <v>1.7954908629780151</v>
      </c>
      <c r="AI467" s="18">
        <f t="shared" si="545"/>
        <v>1.2359090317377928</v>
      </c>
      <c r="AJ467" s="18">
        <f t="shared" si="545"/>
        <v>4.0908748182084036</v>
      </c>
      <c r="AK467" s="18">
        <f t="shared" si="545"/>
        <v>0.43076103753360179</v>
      </c>
      <c r="AL467" s="56">
        <f t="shared" si="521"/>
        <v>6</v>
      </c>
      <c r="AN467" s="18">
        <f t="shared" si="546"/>
        <v>6.340043982635498</v>
      </c>
      <c r="AO467" s="18">
        <f t="shared" si="546"/>
        <v>1.9215598525730579</v>
      </c>
      <c r="AP467" s="18">
        <f t="shared" si="546"/>
        <v>1.7702568369774276</v>
      </c>
      <c r="AQ467" s="18">
        <f t="shared" si="546"/>
        <v>1.2380830735638222</v>
      </c>
      <c r="AR467" s="18">
        <f t="shared" si="546"/>
        <v>4.0908748182084036</v>
      </c>
      <c r="AS467" s="18">
        <f t="shared" si="546"/>
        <v>0.40149151172779757</v>
      </c>
      <c r="AT467" s="56">
        <f t="shared" si="522"/>
        <v>6</v>
      </c>
      <c r="AV467" s="18">
        <f t="shared" si="547"/>
        <v>6.340043982635498</v>
      </c>
      <c r="AW467" s="18">
        <f t="shared" si="547"/>
        <v>1.8896139132784557</v>
      </c>
      <c r="AX467" s="18">
        <f t="shared" si="547"/>
        <v>1.7702568369774276</v>
      </c>
      <c r="AY467" s="18">
        <f t="shared" si="547"/>
        <v>1.2380830735638222</v>
      </c>
      <c r="AZ467" s="18">
        <f t="shared" si="547"/>
        <v>4.0908748182084036</v>
      </c>
      <c r="BA467" s="18">
        <f t="shared" si="547"/>
        <v>0.39150602354968111</v>
      </c>
      <c r="BB467" s="56">
        <f t="shared" si="523"/>
        <v>6</v>
      </c>
      <c r="BD467" s="18">
        <f t="shared" si="548"/>
        <v>6.340043982635498</v>
      </c>
      <c r="BE467" s="18">
        <f t="shared" si="548"/>
        <v>1.8588231349244726</v>
      </c>
      <c r="BF467" s="18">
        <f t="shared" si="548"/>
        <v>1.7702568369774276</v>
      </c>
      <c r="BG467" s="18">
        <f t="shared" si="548"/>
        <v>1.2380830735638222</v>
      </c>
      <c r="BH467" s="18">
        <f t="shared" si="548"/>
        <v>4.0908748182084036</v>
      </c>
      <c r="BI467" s="18">
        <f t="shared" si="548"/>
        <v>0.38282843657794424</v>
      </c>
      <c r="BJ467" s="56">
        <f t="shared" si="524"/>
        <v>6</v>
      </c>
      <c r="BL467" s="18">
        <f t="shared" si="549"/>
        <v>6.340043982635498</v>
      </c>
      <c r="BM467" s="18">
        <f t="shared" si="549"/>
        <v>1.8588231349244726</v>
      </c>
      <c r="BN467" s="18">
        <f t="shared" si="549"/>
        <v>1.7702568369774276</v>
      </c>
      <c r="BO467" s="18">
        <f t="shared" si="549"/>
        <v>1.2380830735638222</v>
      </c>
      <c r="BP467" s="18">
        <f t="shared" si="549"/>
        <v>4.0908748182084036</v>
      </c>
      <c r="BQ467" s="18">
        <f t="shared" si="549"/>
        <v>0.38282843657794424</v>
      </c>
      <c r="BR467" s="56">
        <f t="shared" si="525"/>
        <v>6</v>
      </c>
      <c r="BT467" s="18">
        <f t="shared" si="550"/>
        <v>6.340043982635498</v>
      </c>
      <c r="BU467" s="18">
        <f t="shared" si="550"/>
        <v>1.8588231349244726</v>
      </c>
      <c r="BV467" s="18">
        <f t="shared" si="550"/>
        <v>1.7702568369774276</v>
      </c>
      <c r="BW467" s="18">
        <f t="shared" si="550"/>
        <v>1.2380830735638222</v>
      </c>
      <c r="BX467" s="18">
        <f t="shared" si="550"/>
        <v>4.0908748182084036</v>
      </c>
      <c r="BY467" s="18">
        <f t="shared" si="550"/>
        <v>0.38282843657794424</v>
      </c>
      <c r="BZ467" s="56">
        <f t="shared" si="526"/>
        <v>6</v>
      </c>
      <c r="CB467" s="18">
        <f t="shared" si="551"/>
        <v>6.340043982635498</v>
      </c>
      <c r="CC467" s="18">
        <f t="shared" si="551"/>
        <v>1.8588231349244726</v>
      </c>
      <c r="CD467" s="18">
        <f t="shared" si="551"/>
        <v>1.7702568369774276</v>
      </c>
      <c r="CE467" s="18">
        <f t="shared" si="551"/>
        <v>1.2380830735638222</v>
      </c>
      <c r="CF467" s="18">
        <f t="shared" si="551"/>
        <v>4.0908748182084036</v>
      </c>
      <c r="CG467" s="18">
        <f t="shared" si="551"/>
        <v>0.38282843657794424</v>
      </c>
      <c r="CH467" s="56">
        <f t="shared" si="527"/>
        <v>6</v>
      </c>
      <c r="CJ467" s="18">
        <f t="shared" si="552"/>
        <v>6.340043982635498</v>
      </c>
      <c r="CK467" s="18">
        <f t="shared" si="552"/>
        <v>1.8588231349244726</v>
      </c>
      <c r="CL467" s="18">
        <f t="shared" si="552"/>
        <v>1.7702568369774276</v>
      </c>
      <c r="CM467" s="18">
        <f t="shared" si="552"/>
        <v>1.2380830735638222</v>
      </c>
      <c r="CN467" s="18">
        <f t="shared" si="552"/>
        <v>4.0908748182084036</v>
      </c>
      <c r="CO467" s="18">
        <f t="shared" si="552"/>
        <v>0.38282843657794424</v>
      </c>
      <c r="CP467" s="56">
        <f t="shared" si="528"/>
        <v>6</v>
      </c>
      <c r="CR467" s="18">
        <f t="shared" si="553"/>
        <v>6.340043982635498</v>
      </c>
      <c r="CS467" s="18">
        <f t="shared" si="553"/>
        <v>1.8588231349244726</v>
      </c>
      <c r="CT467" s="18">
        <f t="shared" si="553"/>
        <v>1.7702568369774276</v>
      </c>
      <c r="CU467" s="18">
        <f t="shared" si="553"/>
        <v>1.2380830735638222</v>
      </c>
      <c r="CV467" s="18">
        <f t="shared" si="553"/>
        <v>4.0908748182084036</v>
      </c>
      <c r="CW467" s="18">
        <f t="shared" si="553"/>
        <v>0.38282843657794424</v>
      </c>
      <c r="CX467" s="56">
        <f t="shared" si="529"/>
        <v>6</v>
      </c>
      <c r="CZ467" s="18">
        <f t="shared" si="554"/>
        <v>6.340043982635498</v>
      </c>
      <c r="DA467" s="18">
        <f t="shared" si="554"/>
        <v>1.8588231349244726</v>
      </c>
      <c r="DB467" s="18">
        <f t="shared" si="554"/>
        <v>1.7702568369774276</v>
      </c>
      <c r="DC467" s="18">
        <f t="shared" si="554"/>
        <v>1.2380830735638222</v>
      </c>
      <c r="DD467" s="18">
        <f t="shared" si="554"/>
        <v>4.0908748182084036</v>
      </c>
      <c r="DE467" s="18">
        <f t="shared" si="554"/>
        <v>0.38282843657794424</v>
      </c>
      <c r="DF467" s="56">
        <f t="shared" si="530"/>
        <v>6</v>
      </c>
      <c r="DH467" s="18">
        <f t="shared" si="555"/>
        <v>6.340043982635498</v>
      </c>
      <c r="DI467" s="18">
        <f t="shared" si="555"/>
        <v>1.8588231349244726</v>
      </c>
      <c r="DJ467" s="18">
        <f t="shared" si="555"/>
        <v>1.7702568369774276</v>
      </c>
      <c r="DK467" s="18">
        <f t="shared" si="555"/>
        <v>1.2380830735638222</v>
      </c>
      <c r="DL467" s="18">
        <f t="shared" si="555"/>
        <v>4.0908748182084036</v>
      </c>
      <c r="DM467" s="18">
        <f t="shared" si="555"/>
        <v>0.38282843657794424</v>
      </c>
      <c r="DN467" s="56">
        <f t="shared" si="531"/>
        <v>6</v>
      </c>
    </row>
    <row r="468" spans="1:118" x14ac:dyDescent="0.25">
      <c r="A468" s="36" t="str">
        <f>KMeans_Data!A65</f>
        <v>Other</v>
      </c>
      <c r="B468" s="18">
        <f>KMeans_Data!H65</f>
        <v>-3.3340625617315857E-2</v>
      </c>
      <c r="C468" s="18">
        <f>KMeans_Data!I65</f>
        <v>0.54791138584450239</v>
      </c>
      <c r="D468" s="18">
        <f>KMeans_Data!J65</f>
        <v>0.50187184530158635</v>
      </c>
      <c r="E468" s="56">
        <f t="shared" si="518"/>
        <v>3</v>
      </c>
      <c r="F468" s="38">
        <f t="shared" si="519"/>
        <v>0.8643399705201974</v>
      </c>
      <c r="G468" s="18">
        <f>IF(COUNTIF(Distance_Matrix!$E$12:$DQ$12,$E468)&lt;=1,0,SUMIF(Distance_Matrix!$E$12:$DQ$12,$E468,Distance_Matrix!$E$74:$DQ$74)/(COUNTIF(Distance_Matrix!$E$12:$DQ$12,$E468)-1))</f>
        <v>1.112799863970023</v>
      </c>
      <c r="H468" s="18">
        <f>MIN(IF(1=$E468,1E+99,IF(COUNTIF(Distance_Matrix!$E$12:$DQ$12,1)=0,1E+99,SUMIF(Distance_Matrix!$E$12:$DQ$12,1,Distance_Matrix!$E$74:$DQ$74)/COUNTIF(Distance_Matrix!$E$12:$DQ$12,1))),IF(2=$E468,1E+99,IF(COUNTIF(Distance_Matrix!$E$12:$DQ$12,2)=0,1E+99,SUMIF(Distance_Matrix!$E$12:$DQ$12,2,Distance_Matrix!$E$74:$DQ$74)/COUNTIF(Distance_Matrix!$E$12:$DQ$12,2))),IF(3=$E468,1E+99,IF(COUNTIF(Distance_Matrix!$E$12:$DQ$12,3)=0,1E+99,SUMIF(Distance_Matrix!$E$12:$DQ$12,3,Distance_Matrix!$E$74:$DQ$74)/COUNTIF(Distance_Matrix!$E$12:$DQ$12,3))),IF(4=$E468,1E+99,IF(COUNTIF(Distance_Matrix!$E$12:$DQ$12,4)=0,1E+99,SUMIF(Distance_Matrix!$E$12:$DQ$12,4,Distance_Matrix!$E$74:$DQ$74)/COUNTIF(Distance_Matrix!$E$12:$DQ$12,4))),IF(5=$E468,1E+99,IF(COUNTIF(Distance_Matrix!$E$12:$DQ$12,5)=0,1E+99,SUMIF(Distance_Matrix!$E$12:$DQ$12,5,Distance_Matrix!$E$74:$DQ$74)/COUNTIF(Distance_Matrix!$E$12:$DQ$12,5))),IF(6=$E468,1E+99,IF(COUNTIF(Distance_Matrix!$E$12:$DQ$12,6)=0,1E+99,SUMIF(Distance_Matrix!$E$12:$DQ$12,6,Distance_Matrix!$E$74:$DQ$74)/COUNTIF(Distance_Matrix!$E$12:$DQ$12,6))))</f>
        <v>1.1071558528844632</v>
      </c>
      <c r="I468" s="18">
        <f>IF(COUNTIF(Distance_Matrix!$E$12:$DQ$12,$E468)&lt;=1,0,(H468-G468)/MAX(G468,H468))</f>
        <v>-5.071901307953275E-3</v>
      </c>
      <c r="X468" s="18">
        <f t="shared" ref="X468:AC477" si="556">SQRT(($B468-X$401)^2+($C468-X$402)^2+($D468-X$403)^2)</f>
        <v>5.5402469095381823</v>
      </c>
      <c r="Y468" s="18">
        <f t="shared" si="556"/>
        <v>2.8968642376235647</v>
      </c>
      <c r="Z468" s="18">
        <f t="shared" si="556"/>
        <v>1.4536312781079959</v>
      </c>
      <c r="AA468" s="18">
        <f t="shared" si="556"/>
        <v>1.9126543913823548</v>
      </c>
      <c r="AB468" s="18">
        <f t="shared" si="556"/>
        <v>3.5068246288792948</v>
      </c>
      <c r="AC468" s="18">
        <f t="shared" si="556"/>
        <v>0.97552025911197282</v>
      </c>
      <c r="AD468" s="56">
        <f t="shared" si="520"/>
        <v>6</v>
      </c>
      <c r="AF468" s="18">
        <f t="shared" ref="AF468:AK477" si="557">SQRT(($B468-AF$401)^2+($C468-AF$402)^2+($D468-AF$403)^2)</f>
        <v>5.4348664576986163</v>
      </c>
      <c r="AG468" s="18">
        <f t="shared" si="557"/>
        <v>2.3756472012261618</v>
      </c>
      <c r="AH468" s="18">
        <f t="shared" si="557"/>
        <v>0.96290239084512752</v>
      </c>
      <c r="AI468" s="18">
        <f t="shared" si="557"/>
        <v>1.7469893218829293</v>
      </c>
      <c r="AJ468" s="18">
        <f t="shared" si="557"/>
        <v>3.1842491569861471</v>
      </c>
      <c r="AK468" s="18">
        <f t="shared" si="557"/>
        <v>1.0203986636399849</v>
      </c>
      <c r="AL468" s="56">
        <f t="shared" si="521"/>
        <v>3</v>
      </c>
      <c r="AN468" s="18">
        <f t="shared" ref="AN468:AS477" si="558">SQRT(($B468-AN$401)^2+($C468-AN$402)^2+($D468-AN$403)^2)</f>
        <v>5.4348664576986163</v>
      </c>
      <c r="AO468" s="18">
        <f t="shared" si="558"/>
        <v>2.3390221794907884</v>
      </c>
      <c r="AP468" s="18">
        <f t="shared" si="558"/>
        <v>0.92969886012633007</v>
      </c>
      <c r="AQ468" s="18">
        <f t="shared" si="558"/>
        <v>1.7699463342300139</v>
      </c>
      <c r="AR468" s="18">
        <f t="shared" si="558"/>
        <v>3.1842491569861471</v>
      </c>
      <c r="AS468" s="18">
        <f t="shared" si="558"/>
        <v>1.00006208080534</v>
      </c>
      <c r="AT468" s="56">
        <f t="shared" si="522"/>
        <v>3</v>
      </c>
      <c r="AV468" s="18">
        <f t="shared" ref="AV468:BA477" si="559">SQRT(($B468-AV$401)^2+($C468-AV$402)^2+($D468-AV$403)^2)</f>
        <v>5.4348664576986163</v>
      </c>
      <c r="AW468" s="18">
        <f t="shared" si="559"/>
        <v>2.3119754224902889</v>
      </c>
      <c r="AX468" s="18">
        <f t="shared" si="559"/>
        <v>0.92969886012633007</v>
      </c>
      <c r="AY468" s="18">
        <f t="shared" si="559"/>
        <v>1.7699463342300139</v>
      </c>
      <c r="AZ468" s="18">
        <f t="shared" si="559"/>
        <v>3.1842491569861471</v>
      </c>
      <c r="BA468" s="18">
        <f t="shared" si="559"/>
        <v>0.98331842395814206</v>
      </c>
      <c r="BB468" s="56">
        <f t="shared" si="523"/>
        <v>3</v>
      </c>
      <c r="BD468" s="18">
        <f t="shared" ref="BD468:BI477" si="560">SQRT(($B468-BD$401)^2+($C468-BD$402)^2+($D468-BD$403)^2)</f>
        <v>5.4348664576986163</v>
      </c>
      <c r="BE468" s="18">
        <f t="shared" si="560"/>
        <v>2.285849476210692</v>
      </c>
      <c r="BF468" s="18">
        <f t="shared" si="560"/>
        <v>0.92969886012633007</v>
      </c>
      <c r="BG468" s="18">
        <f t="shared" si="560"/>
        <v>1.7699463342300139</v>
      </c>
      <c r="BH468" s="18">
        <f t="shared" si="560"/>
        <v>3.1842491569861471</v>
      </c>
      <c r="BI468" s="18">
        <f t="shared" si="560"/>
        <v>0.9665071519344659</v>
      </c>
      <c r="BJ468" s="56">
        <f t="shared" si="524"/>
        <v>3</v>
      </c>
      <c r="BL468" s="18">
        <f t="shared" ref="BL468:BQ477" si="561">SQRT(($B468-BL$401)^2+($C468-BL$402)^2+($D468-BL$403)^2)</f>
        <v>5.4348664576986163</v>
      </c>
      <c r="BM468" s="18">
        <f t="shared" si="561"/>
        <v>2.285849476210692</v>
      </c>
      <c r="BN468" s="18">
        <f t="shared" si="561"/>
        <v>0.92969886012633007</v>
      </c>
      <c r="BO468" s="18">
        <f t="shared" si="561"/>
        <v>1.7699463342300139</v>
      </c>
      <c r="BP468" s="18">
        <f t="shared" si="561"/>
        <v>3.1842491569861471</v>
      </c>
      <c r="BQ468" s="18">
        <f t="shared" si="561"/>
        <v>0.9665071519344659</v>
      </c>
      <c r="BR468" s="56">
        <f t="shared" si="525"/>
        <v>3</v>
      </c>
      <c r="BT468" s="18">
        <f t="shared" ref="BT468:BY477" si="562">SQRT(($B468-BT$401)^2+($C468-BT$402)^2+($D468-BT$403)^2)</f>
        <v>5.4348664576986163</v>
      </c>
      <c r="BU468" s="18">
        <f t="shared" si="562"/>
        <v>2.285849476210692</v>
      </c>
      <c r="BV468" s="18">
        <f t="shared" si="562"/>
        <v>0.92969886012633007</v>
      </c>
      <c r="BW468" s="18">
        <f t="shared" si="562"/>
        <v>1.7699463342300139</v>
      </c>
      <c r="BX468" s="18">
        <f t="shared" si="562"/>
        <v>3.1842491569861471</v>
      </c>
      <c r="BY468" s="18">
        <f t="shared" si="562"/>
        <v>0.9665071519344659</v>
      </c>
      <c r="BZ468" s="56">
        <f t="shared" si="526"/>
        <v>3</v>
      </c>
      <c r="CB468" s="18">
        <f t="shared" ref="CB468:CG477" si="563">SQRT(($B468-CB$401)^2+($C468-CB$402)^2+($D468-CB$403)^2)</f>
        <v>5.4348664576986163</v>
      </c>
      <c r="CC468" s="18">
        <f t="shared" si="563"/>
        <v>2.285849476210692</v>
      </c>
      <c r="CD468" s="18">
        <f t="shared" si="563"/>
        <v>0.92969886012633007</v>
      </c>
      <c r="CE468" s="18">
        <f t="shared" si="563"/>
        <v>1.7699463342300139</v>
      </c>
      <c r="CF468" s="18">
        <f t="shared" si="563"/>
        <v>3.1842491569861471</v>
      </c>
      <c r="CG468" s="18">
        <f t="shared" si="563"/>
        <v>0.9665071519344659</v>
      </c>
      <c r="CH468" s="56">
        <f t="shared" si="527"/>
        <v>3</v>
      </c>
      <c r="CJ468" s="18">
        <f t="shared" ref="CJ468:CO477" si="564">SQRT(($B468-CJ$401)^2+($C468-CJ$402)^2+($D468-CJ$403)^2)</f>
        <v>5.4348664576986163</v>
      </c>
      <c r="CK468" s="18">
        <f t="shared" si="564"/>
        <v>2.285849476210692</v>
      </c>
      <c r="CL468" s="18">
        <f t="shared" si="564"/>
        <v>0.92969886012633007</v>
      </c>
      <c r="CM468" s="18">
        <f t="shared" si="564"/>
        <v>1.7699463342300139</v>
      </c>
      <c r="CN468" s="18">
        <f t="shared" si="564"/>
        <v>3.1842491569861471</v>
      </c>
      <c r="CO468" s="18">
        <f t="shared" si="564"/>
        <v>0.9665071519344659</v>
      </c>
      <c r="CP468" s="56">
        <f t="shared" si="528"/>
        <v>3</v>
      </c>
      <c r="CR468" s="18">
        <f t="shared" ref="CR468:CW477" si="565">SQRT(($B468-CR$401)^2+($C468-CR$402)^2+($D468-CR$403)^2)</f>
        <v>5.4348664576986163</v>
      </c>
      <c r="CS468" s="18">
        <f t="shared" si="565"/>
        <v>2.285849476210692</v>
      </c>
      <c r="CT468" s="18">
        <f t="shared" si="565"/>
        <v>0.92969886012633007</v>
      </c>
      <c r="CU468" s="18">
        <f t="shared" si="565"/>
        <v>1.7699463342300139</v>
      </c>
      <c r="CV468" s="18">
        <f t="shared" si="565"/>
        <v>3.1842491569861471</v>
      </c>
      <c r="CW468" s="18">
        <f t="shared" si="565"/>
        <v>0.9665071519344659</v>
      </c>
      <c r="CX468" s="56">
        <f t="shared" si="529"/>
        <v>3</v>
      </c>
      <c r="CZ468" s="18">
        <f t="shared" ref="CZ468:DE477" si="566">SQRT(($B468-CZ$401)^2+($C468-CZ$402)^2+($D468-CZ$403)^2)</f>
        <v>5.4348664576986163</v>
      </c>
      <c r="DA468" s="18">
        <f t="shared" si="566"/>
        <v>2.285849476210692</v>
      </c>
      <c r="DB468" s="18">
        <f t="shared" si="566"/>
        <v>0.92969886012633007</v>
      </c>
      <c r="DC468" s="18">
        <f t="shared" si="566"/>
        <v>1.7699463342300139</v>
      </c>
      <c r="DD468" s="18">
        <f t="shared" si="566"/>
        <v>3.1842491569861471</v>
      </c>
      <c r="DE468" s="18">
        <f t="shared" si="566"/>
        <v>0.9665071519344659</v>
      </c>
      <c r="DF468" s="56">
        <f t="shared" si="530"/>
        <v>3</v>
      </c>
      <c r="DH468" s="18">
        <f t="shared" ref="DH468:DM477" si="567">SQRT(($B468-DH$401)^2+($C468-DH$402)^2+($D468-DH$403)^2)</f>
        <v>5.4348664576986163</v>
      </c>
      <c r="DI468" s="18">
        <f t="shared" si="567"/>
        <v>2.285849476210692</v>
      </c>
      <c r="DJ468" s="18">
        <f t="shared" si="567"/>
        <v>0.92969886012633007</v>
      </c>
      <c r="DK468" s="18">
        <f t="shared" si="567"/>
        <v>1.7699463342300139</v>
      </c>
      <c r="DL468" s="18">
        <f t="shared" si="567"/>
        <v>3.1842491569861471</v>
      </c>
      <c r="DM468" s="18">
        <f t="shared" si="567"/>
        <v>0.9665071519344659</v>
      </c>
      <c r="DN468" s="56">
        <f t="shared" si="531"/>
        <v>3</v>
      </c>
    </row>
    <row r="469" spans="1:118" x14ac:dyDescent="0.25">
      <c r="A469" s="36" t="str">
        <f>KMeans_Data!A66</f>
        <v>Thatta</v>
      </c>
      <c r="B469" s="18">
        <f>KMeans_Data!H66</f>
        <v>-4.3647299394291184E-2</v>
      </c>
      <c r="C469" s="18">
        <f>KMeans_Data!I66</f>
        <v>0.16051258962499582</v>
      </c>
      <c r="D469" s="18">
        <f>KMeans_Data!J66</f>
        <v>4.2930091906806002E-2</v>
      </c>
      <c r="E469" s="56">
        <f t="shared" si="518"/>
        <v>6</v>
      </c>
      <c r="F469" s="38">
        <f t="shared" si="519"/>
        <v>0.33284554185317849</v>
      </c>
      <c r="G469" s="18">
        <f>IF(COUNTIF(Distance_Matrix!$E$12:$DQ$12,$E469)&lt;=1,0,SUMIF(Distance_Matrix!$E$12:$DQ$12,$E469,Distance_Matrix!$E$75:$DQ$75)/(COUNTIF(Distance_Matrix!$E$12:$DQ$12,$E469)-1))</f>
        <v>0.83658175336959073</v>
      </c>
      <c r="H469" s="18">
        <f>MIN(IF(1=$E469,1E+99,IF(COUNTIF(Distance_Matrix!$E$12:$DQ$12,1)=0,1E+99,SUMIF(Distance_Matrix!$E$12:$DQ$12,1,Distance_Matrix!$E$75:$DQ$75)/COUNTIF(Distance_Matrix!$E$12:$DQ$12,1))),IF(2=$E469,1E+99,IF(COUNTIF(Distance_Matrix!$E$12:$DQ$12,2)=0,1E+99,SUMIF(Distance_Matrix!$E$12:$DQ$12,2,Distance_Matrix!$E$75:$DQ$75)/COUNTIF(Distance_Matrix!$E$12:$DQ$12,2))),IF(3=$E469,1E+99,IF(COUNTIF(Distance_Matrix!$E$12:$DQ$12,3)=0,1E+99,SUMIF(Distance_Matrix!$E$12:$DQ$12,3,Distance_Matrix!$E$75:$DQ$75)/COUNTIF(Distance_Matrix!$E$12:$DQ$12,3))),IF(4=$E469,1E+99,IF(COUNTIF(Distance_Matrix!$E$12:$DQ$12,4)=0,1E+99,SUMIF(Distance_Matrix!$E$12:$DQ$12,4,Distance_Matrix!$E$75:$DQ$75)/COUNTIF(Distance_Matrix!$E$12:$DQ$12,4))),IF(5=$E469,1E+99,IF(COUNTIF(Distance_Matrix!$E$12:$DQ$12,5)=0,1E+99,SUMIF(Distance_Matrix!$E$12:$DQ$12,5,Distance_Matrix!$E$75:$DQ$75)/COUNTIF(Distance_Matrix!$E$12:$DQ$12,5))),IF(6=$E469,1E+99,IF(COUNTIF(Distance_Matrix!$E$12:$DQ$12,6)=0,1E+99,SUMIF(Distance_Matrix!$E$12:$DQ$12,6,Distance_Matrix!$E$75:$DQ$75)/COUNTIF(Distance_Matrix!$E$12:$DQ$12,6))))</f>
        <v>1.3078750874840923</v>
      </c>
      <c r="I469" s="18">
        <f>IF(COUNTIF(Distance_Matrix!$E$12:$DQ$12,$E469)&lt;=1,0,(H469-G469)/MAX(G469,H469))</f>
        <v>0.36035041773072529</v>
      </c>
      <c r="X469" s="18">
        <f t="shared" si="556"/>
        <v>6.0293492978854237</v>
      </c>
      <c r="Y469" s="18">
        <f t="shared" si="556"/>
        <v>2.5005068936182209</v>
      </c>
      <c r="Z469" s="18">
        <f t="shared" si="556"/>
        <v>1.8038318241503604</v>
      </c>
      <c r="AA469" s="18">
        <f t="shared" si="556"/>
        <v>1.4079860881806245</v>
      </c>
      <c r="AB469" s="18">
        <f t="shared" si="556"/>
        <v>3.9721428969555554</v>
      </c>
      <c r="AC469" s="18">
        <f t="shared" si="556"/>
        <v>0.93617381360691332</v>
      </c>
      <c r="AD469" s="56">
        <f t="shared" si="520"/>
        <v>6</v>
      </c>
      <c r="AF469" s="18">
        <f t="shared" si="557"/>
        <v>5.9143337751892124</v>
      </c>
      <c r="AG469" s="18">
        <f t="shared" si="557"/>
        <v>1.8930713869205518</v>
      </c>
      <c r="AH469" s="18">
        <f t="shared" si="557"/>
        <v>1.3920184407182372</v>
      </c>
      <c r="AI469" s="18">
        <f t="shared" si="557"/>
        <v>1.1530599715183654</v>
      </c>
      <c r="AJ469" s="18">
        <f t="shared" si="557"/>
        <v>3.642347713017041</v>
      </c>
      <c r="AK469" s="18">
        <f t="shared" si="557"/>
        <v>0.60652853265797357</v>
      </c>
      <c r="AL469" s="56">
        <f t="shared" si="521"/>
        <v>6</v>
      </c>
      <c r="AN469" s="18">
        <f t="shared" si="558"/>
        <v>5.9143337751892124</v>
      </c>
      <c r="AO469" s="18">
        <f t="shared" si="558"/>
        <v>1.8521388681563755</v>
      </c>
      <c r="AP469" s="18">
        <f t="shared" si="558"/>
        <v>1.3610547612821289</v>
      </c>
      <c r="AQ469" s="18">
        <f t="shared" si="558"/>
        <v>1.1752826377411036</v>
      </c>
      <c r="AR469" s="18">
        <f t="shared" si="558"/>
        <v>3.642347713017041</v>
      </c>
      <c r="AS469" s="18">
        <f t="shared" si="558"/>
        <v>0.59367738380564528</v>
      </c>
      <c r="AT469" s="56">
        <f t="shared" si="522"/>
        <v>6</v>
      </c>
      <c r="AV469" s="18">
        <f t="shared" si="559"/>
        <v>5.9143337751892124</v>
      </c>
      <c r="AW469" s="18">
        <f t="shared" si="559"/>
        <v>1.8243308408494527</v>
      </c>
      <c r="AX469" s="18">
        <f t="shared" si="559"/>
        <v>1.3610547612821289</v>
      </c>
      <c r="AY469" s="18">
        <f t="shared" si="559"/>
        <v>1.1752826377411036</v>
      </c>
      <c r="AZ469" s="18">
        <f t="shared" si="559"/>
        <v>3.642347713017041</v>
      </c>
      <c r="BA469" s="18">
        <f t="shared" si="559"/>
        <v>0.58557005106591475</v>
      </c>
      <c r="BB469" s="56">
        <f t="shared" si="523"/>
        <v>6</v>
      </c>
      <c r="BD469" s="18">
        <f t="shared" si="560"/>
        <v>5.9143337751892124</v>
      </c>
      <c r="BE469" s="18">
        <f t="shared" si="560"/>
        <v>1.7979744155760027</v>
      </c>
      <c r="BF469" s="18">
        <f t="shared" si="560"/>
        <v>1.3610547612821289</v>
      </c>
      <c r="BG469" s="18">
        <f t="shared" si="560"/>
        <v>1.1752826377411036</v>
      </c>
      <c r="BH469" s="18">
        <f t="shared" si="560"/>
        <v>3.642347713017041</v>
      </c>
      <c r="BI469" s="18">
        <f t="shared" si="560"/>
        <v>0.57692767471597206</v>
      </c>
      <c r="BJ469" s="56">
        <f t="shared" si="524"/>
        <v>6</v>
      </c>
      <c r="BL469" s="18">
        <f t="shared" si="561"/>
        <v>5.9143337751892124</v>
      </c>
      <c r="BM469" s="18">
        <f t="shared" si="561"/>
        <v>1.7979744155760027</v>
      </c>
      <c r="BN469" s="18">
        <f t="shared" si="561"/>
        <v>1.3610547612821289</v>
      </c>
      <c r="BO469" s="18">
        <f t="shared" si="561"/>
        <v>1.1752826377411036</v>
      </c>
      <c r="BP469" s="18">
        <f t="shared" si="561"/>
        <v>3.642347713017041</v>
      </c>
      <c r="BQ469" s="18">
        <f t="shared" si="561"/>
        <v>0.57692767471597206</v>
      </c>
      <c r="BR469" s="56">
        <f t="shared" si="525"/>
        <v>6</v>
      </c>
      <c r="BT469" s="18">
        <f t="shared" si="562"/>
        <v>5.9143337751892124</v>
      </c>
      <c r="BU469" s="18">
        <f t="shared" si="562"/>
        <v>1.7979744155760027</v>
      </c>
      <c r="BV469" s="18">
        <f t="shared" si="562"/>
        <v>1.3610547612821289</v>
      </c>
      <c r="BW469" s="18">
        <f t="shared" si="562"/>
        <v>1.1752826377411036</v>
      </c>
      <c r="BX469" s="18">
        <f t="shared" si="562"/>
        <v>3.642347713017041</v>
      </c>
      <c r="BY469" s="18">
        <f t="shared" si="562"/>
        <v>0.57692767471597206</v>
      </c>
      <c r="BZ469" s="56">
        <f t="shared" si="526"/>
        <v>6</v>
      </c>
      <c r="CB469" s="18">
        <f t="shared" si="563"/>
        <v>5.9143337751892124</v>
      </c>
      <c r="CC469" s="18">
        <f t="shared" si="563"/>
        <v>1.7979744155760027</v>
      </c>
      <c r="CD469" s="18">
        <f t="shared" si="563"/>
        <v>1.3610547612821289</v>
      </c>
      <c r="CE469" s="18">
        <f t="shared" si="563"/>
        <v>1.1752826377411036</v>
      </c>
      <c r="CF469" s="18">
        <f t="shared" si="563"/>
        <v>3.642347713017041</v>
      </c>
      <c r="CG469" s="18">
        <f t="shared" si="563"/>
        <v>0.57692767471597206</v>
      </c>
      <c r="CH469" s="56">
        <f t="shared" si="527"/>
        <v>6</v>
      </c>
      <c r="CJ469" s="18">
        <f t="shared" si="564"/>
        <v>5.9143337751892124</v>
      </c>
      <c r="CK469" s="18">
        <f t="shared" si="564"/>
        <v>1.7979744155760027</v>
      </c>
      <c r="CL469" s="18">
        <f t="shared" si="564"/>
        <v>1.3610547612821289</v>
      </c>
      <c r="CM469" s="18">
        <f t="shared" si="564"/>
        <v>1.1752826377411036</v>
      </c>
      <c r="CN469" s="18">
        <f t="shared" si="564"/>
        <v>3.642347713017041</v>
      </c>
      <c r="CO469" s="18">
        <f t="shared" si="564"/>
        <v>0.57692767471597206</v>
      </c>
      <c r="CP469" s="56">
        <f t="shared" si="528"/>
        <v>6</v>
      </c>
      <c r="CR469" s="18">
        <f t="shared" si="565"/>
        <v>5.9143337751892124</v>
      </c>
      <c r="CS469" s="18">
        <f t="shared" si="565"/>
        <v>1.7979744155760027</v>
      </c>
      <c r="CT469" s="18">
        <f t="shared" si="565"/>
        <v>1.3610547612821289</v>
      </c>
      <c r="CU469" s="18">
        <f t="shared" si="565"/>
        <v>1.1752826377411036</v>
      </c>
      <c r="CV469" s="18">
        <f t="shared" si="565"/>
        <v>3.642347713017041</v>
      </c>
      <c r="CW469" s="18">
        <f t="shared" si="565"/>
        <v>0.57692767471597206</v>
      </c>
      <c r="CX469" s="56">
        <f t="shared" si="529"/>
        <v>6</v>
      </c>
      <c r="CZ469" s="18">
        <f t="shared" si="566"/>
        <v>5.9143337751892124</v>
      </c>
      <c r="DA469" s="18">
        <f t="shared" si="566"/>
        <v>1.7979744155760027</v>
      </c>
      <c r="DB469" s="18">
        <f t="shared" si="566"/>
        <v>1.3610547612821289</v>
      </c>
      <c r="DC469" s="18">
        <f t="shared" si="566"/>
        <v>1.1752826377411036</v>
      </c>
      <c r="DD469" s="18">
        <f t="shared" si="566"/>
        <v>3.642347713017041</v>
      </c>
      <c r="DE469" s="18">
        <f t="shared" si="566"/>
        <v>0.57692767471597206</v>
      </c>
      <c r="DF469" s="56">
        <f t="shared" si="530"/>
        <v>6</v>
      </c>
      <c r="DH469" s="18">
        <f t="shared" si="567"/>
        <v>5.9143337751892124</v>
      </c>
      <c r="DI469" s="18">
        <f t="shared" si="567"/>
        <v>1.7979744155760027</v>
      </c>
      <c r="DJ469" s="18">
        <f t="shared" si="567"/>
        <v>1.3610547612821289</v>
      </c>
      <c r="DK469" s="18">
        <f t="shared" si="567"/>
        <v>1.1752826377411036</v>
      </c>
      <c r="DL469" s="18">
        <f t="shared" si="567"/>
        <v>3.642347713017041</v>
      </c>
      <c r="DM469" s="18">
        <f t="shared" si="567"/>
        <v>0.57692767471597206</v>
      </c>
      <c r="DN469" s="56">
        <f t="shared" si="531"/>
        <v>6</v>
      </c>
    </row>
    <row r="470" spans="1:118" x14ac:dyDescent="0.25">
      <c r="A470" s="36" t="str">
        <f>KMeans_Data!A67</f>
        <v>Hafizabad</v>
      </c>
      <c r="B470" s="18">
        <f>KMeans_Data!H67</f>
        <v>-6.4893923599903938E-2</v>
      </c>
      <c r="C470" s="18">
        <f>KMeans_Data!I67</f>
        <v>-0.67265054538827607</v>
      </c>
      <c r="D470" s="18">
        <f>KMeans_Data!J67</f>
        <v>-0.82444601589876665</v>
      </c>
      <c r="E470" s="56">
        <f t="shared" si="518"/>
        <v>4</v>
      </c>
      <c r="F470" s="38">
        <f t="shared" si="519"/>
        <v>5.3575676627539558E-2</v>
      </c>
      <c r="G470" s="18">
        <f>IF(COUNTIF(Distance_Matrix!$E$12:$DQ$12,$E470)&lt;=1,0,SUMIF(Distance_Matrix!$E$12:$DQ$12,$E470,Distance_Matrix!$E$76:$DQ$76)/(COUNTIF(Distance_Matrix!$E$12:$DQ$12,$E470)-1))</f>
        <v>0.58701682445980752</v>
      </c>
      <c r="H470" s="18">
        <f>MIN(IF(1=$E470,1E+99,IF(COUNTIF(Distance_Matrix!$E$12:$DQ$12,1)=0,1E+99,SUMIF(Distance_Matrix!$E$12:$DQ$12,1,Distance_Matrix!$E$76:$DQ$76)/COUNTIF(Distance_Matrix!$E$12:$DQ$12,1))),IF(2=$E470,1E+99,IF(COUNTIF(Distance_Matrix!$E$12:$DQ$12,2)=0,1E+99,SUMIF(Distance_Matrix!$E$12:$DQ$12,2,Distance_Matrix!$E$76:$DQ$76)/COUNTIF(Distance_Matrix!$E$12:$DQ$12,2))),IF(3=$E470,1E+99,IF(COUNTIF(Distance_Matrix!$E$12:$DQ$12,3)=0,1E+99,SUMIF(Distance_Matrix!$E$12:$DQ$12,3,Distance_Matrix!$E$76:$DQ$76)/COUNTIF(Distance_Matrix!$E$12:$DQ$12,3))),IF(4=$E470,1E+99,IF(COUNTIF(Distance_Matrix!$E$12:$DQ$12,4)=0,1E+99,SUMIF(Distance_Matrix!$E$12:$DQ$12,4,Distance_Matrix!$E$76:$DQ$76)/COUNTIF(Distance_Matrix!$E$12:$DQ$12,4))),IF(5=$E470,1E+99,IF(COUNTIF(Distance_Matrix!$E$12:$DQ$12,5)=0,1E+99,SUMIF(Distance_Matrix!$E$12:$DQ$12,5,Distance_Matrix!$E$76:$DQ$76)/COUNTIF(Distance_Matrix!$E$12:$DQ$12,5))),IF(6=$E470,1E+99,IF(COUNTIF(Distance_Matrix!$E$12:$DQ$12,6)=0,1E+99,SUMIF(Distance_Matrix!$E$12:$DQ$12,6,Distance_Matrix!$E$76:$DQ$76)/COUNTIF(Distance_Matrix!$E$12:$DQ$12,6))))</f>
        <v>1.2272945220181173</v>
      </c>
      <c r="I470" s="18">
        <f>IF(COUNTIF(Distance_Matrix!$E$12:$DQ$12,$E470)&lt;=1,0,(H470-G470)/MAX(G470,H470))</f>
        <v>0.52169848888876402</v>
      </c>
      <c r="X470" s="18">
        <f t="shared" si="556"/>
        <v>7.0690702006543615</v>
      </c>
      <c r="Y470" s="18">
        <f t="shared" si="556"/>
        <v>2.0402854698792918</v>
      </c>
      <c r="Z470" s="18">
        <f t="shared" si="556"/>
        <v>2.7543705577879942</v>
      </c>
      <c r="AA470" s="18">
        <f t="shared" si="556"/>
        <v>0.94042537367600576</v>
      </c>
      <c r="AB470" s="18">
        <f t="shared" si="556"/>
        <v>4.9923442103192253</v>
      </c>
      <c r="AC470" s="18">
        <f t="shared" si="556"/>
        <v>1.6729241918042566</v>
      </c>
      <c r="AD470" s="56">
        <f t="shared" si="520"/>
        <v>4</v>
      </c>
      <c r="AF470" s="18">
        <f t="shared" si="557"/>
        <v>6.9425876298228575</v>
      </c>
      <c r="AG470" s="18">
        <f t="shared" si="557"/>
        <v>1.2849653723252228</v>
      </c>
      <c r="AH470" s="18">
        <f t="shared" si="557"/>
        <v>2.4731641082722571</v>
      </c>
      <c r="AI470" s="18">
        <f t="shared" si="557"/>
        <v>0.25057077579374243</v>
      </c>
      <c r="AJ470" s="18">
        <f t="shared" si="557"/>
        <v>4.6683775524344124</v>
      </c>
      <c r="AK470" s="18">
        <f t="shared" si="557"/>
        <v>1.0546621064542419</v>
      </c>
      <c r="AL470" s="56">
        <f t="shared" si="521"/>
        <v>4</v>
      </c>
      <c r="AN470" s="18">
        <f t="shared" si="558"/>
        <v>6.9425876298228575</v>
      </c>
      <c r="AO470" s="18">
        <f t="shared" si="558"/>
        <v>1.2386414747982963</v>
      </c>
      <c r="AP470" s="18">
        <f t="shared" si="558"/>
        <v>2.4467981656036257</v>
      </c>
      <c r="AQ470" s="18">
        <f t="shared" si="558"/>
        <v>0.23146420161126333</v>
      </c>
      <c r="AR470" s="18">
        <f t="shared" si="558"/>
        <v>4.6683775524344124</v>
      </c>
      <c r="AS470" s="18">
        <f t="shared" si="558"/>
        <v>1.0707934714131169</v>
      </c>
      <c r="AT470" s="56">
        <f t="shared" si="522"/>
        <v>4</v>
      </c>
      <c r="AV470" s="18">
        <f t="shared" si="559"/>
        <v>6.9425876298228575</v>
      </c>
      <c r="AW470" s="18">
        <f t="shared" si="559"/>
        <v>1.2150827772025627</v>
      </c>
      <c r="AX470" s="18">
        <f t="shared" si="559"/>
        <v>2.4467981656036257</v>
      </c>
      <c r="AY470" s="18">
        <f t="shared" si="559"/>
        <v>0.23146420161126333</v>
      </c>
      <c r="AZ470" s="18">
        <f t="shared" si="559"/>
        <v>4.6683775524344124</v>
      </c>
      <c r="BA470" s="18">
        <f t="shared" si="559"/>
        <v>1.0879148760281094</v>
      </c>
      <c r="BB470" s="56">
        <f t="shared" si="523"/>
        <v>4</v>
      </c>
      <c r="BD470" s="18">
        <f t="shared" si="560"/>
        <v>6.9425876298228575</v>
      </c>
      <c r="BE470" s="18">
        <f t="shared" si="560"/>
        <v>1.1947593501958853</v>
      </c>
      <c r="BF470" s="18">
        <f t="shared" si="560"/>
        <v>2.4467981656036257</v>
      </c>
      <c r="BG470" s="18">
        <f t="shared" si="560"/>
        <v>0.23146420161126333</v>
      </c>
      <c r="BH470" s="18">
        <f t="shared" si="560"/>
        <v>4.6683775524344124</v>
      </c>
      <c r="BI470" s="18">
        <f t="shared" si="560"/>
        <v>1.1038207755770055</v>
      </c>
      <c r="BJ470" s="56">
        <f t="shared" si="524"/>
        <v>4</v>
      </c>
      <c r="BL470" s="18">
        <f t="shared" si="561"/>
        <v>6.9425876298228575</v>
      </c>
      <c r="BM470" s="18">
        <f t="shared" si="561"/>
        <v>1.1947593501958853</v>
      </c>
      <c r="BN470" s="18">
        <f t="shared" si="561"/>
        <v>2.4467981656036257</v>
      </c>
      <c r="BO470" s="18">
        <f t="shared" si="561"/>
        <v>0.23146420161126333</v>
      </c>
      <c r="BP470" s="18">
        <f t="shared" si="561"/>
        <v>4.6683775524344124</v>
      </c>
      <c r="BQ470" s="18">
        <f t="shared" si="561"/>
        <v>1.1038207755770055</v>
      </c>
      <c r="BR470" s="56">
        <f t="shared" si="525"/>
        <v>4</v>
      </c>
      <c r="BT470" s="18">
        <f t="shared" si="562"/>
        <v>6.9425876298228575</v>
      </c>
      <c r="BU470" s="18">
        <f t="shared" si="562"/>
        <v>1.1947593501958853</v>
      </c>
      <c r="BV470" s="18">
        <f t="shared" si="562"/>
        <v>2.4467981656036257</v>
      </c>
      <c r="BW470" s="18">
        <f t="shared" si="562"/>
        <v>0.23146420161126333</v>
      </c>
      <c r="BX470" s="18">
        <f t="shared" si="562"/>
        <v>4.6683775524344124</v>
      </c>
      <c r="BY470" s="18">
        <f t="shared" si="562"/>
        <v>1.1038207755770055</v>
      </c>
      <c r="BZ470" s="56">
        <f t="shared" si="526"/>
        <v>4</v>
      </c>
      <c r="CB470" s="18">
        <f t="shared" si="563"/>
        <v>6.9425876298228575</v>
      </c>
      <c r="CC470" s="18">
        <f t="shared" si="563"/>
        <v>1.1947593501958853</v>
      </c>
      <c r="CD470" s="18">
        <f t="shared" si="563"/>
        <v>2.4467981656036257</v>
      </c>
      <c r="CE470" s="18">
        <f t="shared" si="563"/>
        <v>0.23146420161126333</v>
      </c>
      <c r="CF470" s="18">
        <f t="shared" si="563"/>
        <v>4.6683775524344124</v>
      </c>
      <c r="CG470" s="18">
        <f t="shared" si="563"/>
        <v>1.1038207755770055</v>
      </c>
      <c r="CH470" s="56">
        <f t="shared" si="527"/>
        <v>4</v>
      </c>
      <c r="CJ470" s="18">
        <f t="shared" si="564"/>
        <v>6.9425876298228575</v>
      </c>
      <c r="CK470" s="18">
        <f t="shared" si="564"/>
        <v>1.1947593501958853</v>
      </c>
      <c r="CL470" s="18">
        <f t="shared" si="564"/>
        <v>2.4467981656036257</v>
      </c>
      <c r="CM470" s="18">
        <f t="shared" si="564"/>
        <v>0.23146420161126333</v>
      </c>
      <c r="CN470" s="18">
        <f t="shared" si="564"/>
        <v>4.6683775524344124</v>
      </c>
      <c r="CO470" s="18">
        <f t="shared" si="564"/>
        <v>1.1038207755770055</v>
      </c>
      <c r="CP470" s="56">
        <f t="shared" si="528"/>
        <v>4</v>
      </c>
      <c r="CR470" s="18">
        <f t="shared" si="565"/>
        <v>6.9425876298228575</v>
      </c>
      <c r="CS470" s="18">
        <f t="shared" si="565"/>
        <v>1.1947593501958853</v>
      </c>
      <c r="CT470" s="18">
        <f t="shared" si="565"/>
        <v>2.4467981656036257</v>
      </c>
      <c r="CU470" s="18">
        <f t="shared" si="565"/>
        <v>0.23146420161126333</v>
      </c>
      <c r="CV470" s="18">
        <f t="shared" si="565"/>
        <v>4.6683775524344124</v>
      </c>
      <c r="CW470" s="18">
        <f t="shared" si="565"/>
        <v>1.1038207755770055</v>
      </c>
      <c r="CX470" s="56">
        <f t="shared" si="529"/>
        <v>4</v>
      </c>
      <c r="CZ470" s="18">
        <f t="shared" si="566"/>
        <v>6.9425876298228575</v>
      </c>
      <c r="DA470" s="18">
        <f t="shared" si="566"/>
        <v>1.1947593501958853</v>
      </c>
      <c r="DB470" s="18">
        <f t="shared" si="566"/>
        <v>2.4467981656036257</v>
      </c>
      <c r="DC470" s="18">
        <f t="shared" si="566"/>
        <v>0.23146420161126333</v>
      </c>
      <c r="DD470" s="18">
        <f t="shared" si="566"/>
        <v>4.6683775524344124</v>
      </c>
      <c r="DE470" s="18">
        <f t="shared" si="566"/>
        <v>1.1038207755770055</v>
      </c>
      <c r="DF470" s="56">
        <f t="shared" si="530"/>
        <v>4</v>
      </c>
      <c r="DH470" s="18">
        <f t="shared" si="567"/>
        <v>6.9425876298228575</v>
      </c>
      <c r="DI470" s="18">
        <f t="shared" si="567"/>
        <v>1.1947593501958853</v>
      </c>
      <c r="DJ470" s="18">
        <f t="shared" si="567"/>
        <v>2.4467981656036257</v>
      </c>
      <c r="DK470" s="18">
        <f t="shared" si="567"/>
        <v>0.23146420161126333</v>
      </c>
      <c r="DL470" s="18">
        <f t="shared" si="567"/>
        <v>4.6683775524344124</v>
      </c>
      <c r="DM470" s="18">
        <f t="shared" si="567"/>
        <v>1.1038207755770055</v>
      </c>
      <c r="DN470" s="56">
        <f t="shared" si="531"/>
        <v>4</v>
      </c>
    </row>
    <row r="471" spans="1:118" x14ac:dyDescent="0.25">
      <c r="A471" s="36" t="str">
        <f>KMeans_Data!A68</f>
        <v>Mirpurkhas</v>
      </c>
      <c r="B471" s="18">
        <f>KMeans_Data!H68</f>
        <v>-9.8484288830971004E-2</v>
      </c>
      <c r="C471" s="18">
        <f>KMeans_Data!I68</f>
        <v>0.16051258962499582</v>
      </c>
      <c r="D471" s="18">
        <f>KMeans_Data!J68</f>
        <v>0.26515989636960624</v>
      </c>
      <c r="E471" s="56">
        <f t="shared" si="518"/>
        <v>6</v>
      </c>
      <c r="F471" s="38">
        <f t="shared" si="519"/>
        <v>0.2867674241872637</v>
      </c>
      <c r="G471" s="18">
        <f>IF(COUNTIF(Distance_Matrix!$E$12:$DQ$12,$E471)&lt;=1,0,SUMIF(Distance_Matrix!$E$12:$DQ$12,$E471,Distance_Matrix!$E$77:$DQ$77)/(COUNTIF(Distance_Matrix!$E$12:$DQ$12,$E471)-1))</f>
        <v>0.80621040094371121</v>
      </c>
      <c r="H471" s="18">
        <f>MIN(IF(1=$E471,1E+99,IF(COUNTIF(Distance_Matrix!$E$12:$DQ$12,1)=0,1E+99,SUMIF(Distance_Matrix!$E$12:$DQ$12,1,Distance_Matrix!$E$77:$DQ$77)/COUNTIF(Distance_Matrix!$E$12:$DQ$12,1))),IF(2=$E471,1E+99,IF(COUNTIF(Distance_Matrix!$E$12:$DQ$12,2)=0,1E+99,SUMIF(Distance_Matrix!$E$12:$DQ$12,2,Distance_Matrix!$E$77:$DQ$77)/COUNTIF(Distance_Matrix!$E$12:$DQ$12,2))),IF(3=$E471,1E+99,IF(COUNTIF(Distance_Matrix!$E$12:$DQ$12,3)=0,1E+99,SUMIF(Distance_Matrix!$E$12:$DQ$12,3,Distance_Matrix!$E$77:$DQ$77)/COUNTIF(Distance_Matrix!$E$12:$DQ$12,3))),IF(4=$E471,1E+99,IF(COUNTIF(Distance_Matrix!$E$12:$DQ$12,4)=0,1E+99,SUMIF(Distance_Matrix!$E$12:$DQ$12,4,Distance_Matrix!$E$77:$DQ$77)/COUNTIF(Distance_Matrix!$E$12:$DQ$12,4))),IF(5=$E471,1E+99,IF(COUNTIF(Distance_Matrix!$E$12:$DQ$12,5)=0,1E+99,SUMIF(Distance_Matrix!$E$12:$DQ$12,5,Distance_Matrix!$E$77:$DQ$77)/COUNTIF(Distance_Matrix!$E$12:$DQ$12,5))),IF(6=$E471,1E+99,IF(COUNTIF(Distance_Matrix!$E$12:$DQ$12,6)=0,1E+99,SUMIF(Distance_Matrix!$E$12:$DQ$12,6,Distance_Matrix!$E$77:$DQ$77)/COUNTIF(Distance_Matrix!$E$12:$DQ$12,6))))</f>
        <v>1.3630567696049458</v>
      </c>
      <c r="I471" s="18">
        <f>IF(COUNTIF(Distance_Matrix!$E$12:$DQ$12,$E471)&lt;=1,0,(H471-G471)/MAX(G471,H471))</f>
        <v>0.40852764248595835</v>
      </c>
      <c r="X471" s="18">
        <f t="shared" si="556"/>
        <v>5.9449744144455829</v>
      </c>
      <c r="Y471" s="18">
        <f t="shared" si="556"/>
        <v>2.5709715999444818</v>
      </c>
      <c r="Z471" s="18">
        <f t="shared" si="556"/>
        <v>1.67042015284584</v>
      </c>
      <c r="AA471" s="18">
        <f t="shared" si="556"/>
        <v>1.6244050418755513</v>
      </c>
      <c r="AB471" s="18">
        <f t="shared" si="556"/>
        <v>3.8806045193527359</v>
      </c>
      <c r="AC471" s="18">
        <f t="shared" si="556"/>
        <v>0.77193456498385016</v>
      </c>
      <c r="AD471" s="56">
        <f t="shared" si="520"/>
        <v>6</v>
      </c>
      <c r="AF471" s="18">
        <f t="shared" si="557"/>
        <v>5.8390792942154999</v>
      </c>
      <c r="AG471" s="18">
        <f t="shared" si="557"/>
        <v>2.0005180210011266</v>
      </c>
      <c r="AH471" s="18">
        <f t="shared" si="557"/>
        <v>1.2954904011156037</v>
      </c>
      <c r="AI471" s="18">
        <f t="shared" si="557"/>
        <v>1.3423165523613023</v>
      </c>
      <c r="AJ471" s="18">
        <f t="shared" si="557"/>
        <v>3.5746130356073929</v>
      </c>
      <c r="AK471" s="18">
        <f t="shared" si="557"/>
        <v>0.58208623520050473</v>
      </c>
      <c r="AL471" s="56">
        <f t="shared" si="521"/>
        <v>6</v>
      </c>
      <c r="AN471" s="18">
        <f t="shared" si="558"/>
        <v>5.8390792942154999</v>
      </c>
      <c r="AO471" s="18">
        <f t="shared" si="558"/>
        <v>1.9605659256645747</v>
      </c>
      <c r="AP471" s="18">
        <f t="shared" si="558"/>
        <v>1.2636484593876336</v>
      </c>
      <c r="AQ471" s="18">
        <f t="shared" si="558"/>
        <v>1.3621800389068128</v>
      </c>
      <c r="AR471" s="18">
        <f t="shared" si="558"/>
        <v>3.5746130356073929</v>
      </c>
      <c r="AS471" s="18">
        <f t="shared" si="558"/>
        <v>0.56364965340038076</v>
      </c>
      <c r="AT471" s="56">
        <f t="shared" si="522"/>
        <v>6</v>
      </c>
      <c r="AV471" s="18">
        <f t="shared" si="559"/>
        <v>5.8390792942154999</v>
      </c>
      <c r="AW471" s="18">
        <f t="shared" si="559"/>
        <v>1.9318732811091435</v>
      </c>
      <c r="AX471" s="18">
        <f t="shared" si="559"/>
        <v>1.2636484593876336</v>
      </c>
      <c r="AY471" s="18">
        <f t="shared" si="559"/>
        <v>1.3621800389068128</v>
      </c>
      <c r="AZ471" s="18">
        <f t="shared" si="559"/>
        <v>3.5746130356073929</v>
      </c>
      <c r="BA471" s="18">
        <f t="shared" si="559"/>
        <v>0.54954952369341914</v>
      </c>
      <c r="BB471" s="56">
        <f t="shared" si="523"/>
        <v>6</v>
      </c>
      <c r="BD471" s="18">
        <f t="shared" si="560"/>
        <v>5.8390792942154999</v>
      </c>
      <c r="BE471" s="18">
        <f t="shared" si="560"/>
        <v>1.9042950289207232</v>
      </c>
      <c r="BF471" s="18">
        <f t="shared" si="560"/>
        <v>1.2636484593876336</v>
      </c>
      <c r="BG471" s="18">
        <f t="shared" si="560"/>
        <v>1.3621800389068128</v>
      </c>
      <c r="BH471" s="18">
        <f t="shared" si="560"/>
        <v>3.5746130356073929</v>
      </c>
      <c r="BI471" s="18">
        <f t="shared" si="560"/>
        <v>0.53550669854565192</v>
      </c>
      <c r="BJ471" s="56">
        <f t="shared" si="524"/>
        <v>6</v>
      </c>
      <c r="BL471" s="18">
        <f t="shared" si="561"/>
        <v>5.8390792942154999</v>
      </c>
      <c r="BM471" s="18">
        <f t="shared" si="561"/>
        <v>1.9042950289207232</v>
      </c>
      <c r="BN471" s="18">
        <f t="shared" si="561"/>
        <v>1.2636484593876336</v>
      </c>
      <c r="BO471" s="18">
        <f t="shared" si="561"/>
        <v>1.3621800389068128</v>
      </c>
      <c r="BP471" s="18">
        <f t="shared" si="561"/>
        <v>3.5746130356073929</v>
      </c>
      <c r="BQ471" s="18">
        <f t="shared" si="561"/>
        <v>0.53550669854565192</v>
      </c>
      <c r="BR471" s="56">
        <f t="shared" si="525"/>
        <v>6</v>
      </c>
      <c r="BT471" s="18">
        <f t="shared" si="562"/>
        <v>5.8390792942154999</v>
      </c>
      <c r="BU471" s="18">
        <f t="shared" si="562"/>
        <v>1.9042950289207232</v>
      </c>
      <c r="BV471" s="18">
        <f t="shared" si="562"/>
        <v>1.2636484593876336</v>
      </c>
      <c r="BW471" s="18">
        <f t="shared" si="562"/>
        <v>1.3621800389068128</v>
      </c>
      <c r="BX471" s="18">
        <f t="shared" si="562"/>
        <v>3.5746130356073929</v>
      </c>
      <c r="BY471" s="18">
        <f t="shared" si="562"/>
        <v>0.53550669854565192</v>
      </c>
      <c r="BZ471" s="56">
        <f t="shared" si="526"/>
        <v>6</v>
      </c>
      <c r="CB471" s="18">
        <f t="shared" si="563"/>
        <v>5.8390792942154999</v>
      </c>
      <c r="CC471" s="18">
        <f t="shared" si="563"/>
        <v>1.9042950289207232</v>
      </c>
      <c r="CD471" s="18">
        <f t="shared" si="563"/>
        <v>1.2636484593876336</v>
      </c>
      <c r="CE471" s="18">
        <f t="shared" si="563"/>
        <v>1.3621800389068128</v>
      </c>
      <c r="CF471" s="18">
        <f t="shared" si="563"/>
        <v>3.5746130356073929</v>
      </c>
      <c r="CG471" s="18">
        <f t="shared" si="563"/>
        <v>0.53550669854565192</v>
      </c>
      <c r="CH471" s="56">
        <f t="shared" si="527"/>
        <v>6</v>
      </c>
      <c r="CJ471" s="18">
        <f t="shared" si="564"/>
        <v>5.8390792942154999</v>
      </c>
      <c r="CK471" s="18">
        <f t="shared" si="564"/>
        <v>1.9042950289207232</v>
      </c>
      <c r="CL471" s="18">
        <f t="shared" si="564"/>
        <v>1.2636484593876336</v>
      </c>
      <c r="CM471" s="18">
        <f t="shared" si="564"/>
        <v>1.3621800389068128</v>
      </c>
      <c r="CN471" s="18">
        <f t="shared" si="564"/>
        <v>3.5746130356073929</v>
      </c>
      <c r="CO471" s="18">
        <f t="shared" si="564"/>
        <v>0.53550669854565192</v>
      </c>
      <c r="CP471" s="56">
        <f t="shared" si="528"/>
        <v>6</v>
      </c>
      <c r="CR471" s="18">
        <f t="shared" si="565"/>
        <v>5.8390792942154999</v>
      </c>
      <c r="CS471" s="18">
        <f t="shared" si="565"/>
        <v>1.9042950289207232</v>
      </c>
      <c r="CT471" s="18">
        <f t="shared" si="565"/>
        <v>1.2636484593876336</v>
      </c>
      <c r="CU471" s="18">
        <f t="shared" si="565"/>
        <v>1.3621800389068128</v>
      </c>
      <c r="CV471" s="18">
        <f t="shared" si="565"/>
        <v>3.5746130356073929</v>
      </c>
      <c r="CW471" s="18">
        <f t="shared" si="565"/>
        <v>0.53550669854565192</v>
      </c>
      <c r="CX471" s="56">
        <f t="shared" si="529"/>
        <v>6</v>
      </c>
      <c r="CZ471" s="18">
        <f t="shared" si="566"/>
        <v>5.8390792942154999</v>
      </c>
      <c r="DA471" s="18">
        <f t="shared" si="566"/>
        <v>1.9042950289207232</v>
      </c>
      <c r="DB471" s="18">
        <f t="shared" si="566"/>
        <v>1.2636484593876336</v>
      </c>
      <c r="DC471" s="18">
        <f t="shared" si="566"/>
        <v>1.3621800389068128</v>
      </c>
      <c r="DD471" s="18">
        <f t="shared" si="566"/>
        <v>3.5746130356073929</v>
      </c>
      <c r="DE471" s="18">
        <f t="shared" si="566"/>
        <v>0.53550669854565192</v>
      </c>
      <c r="DF471" s="56">
        <f t="shared" si="530"/>
        <v>6</v>
      </c>
      <c r="DH471" s="18">
        <f t="shared" si="567"/>
        <v>5.8390792942154999</v>
      </c>
      <c r="DI471" s="18">
        <f t="shared" si="567"/>
        <v>1.9042950289207232</v>
      </c>
      <c r="DJ471" s="18">
        <f t="shared" si="567"/>
        <v>1.2636484593876336</v>
      </c>
      <c r="DK471" s="18">
        <f t="shared" si="567"/>
        <v>1.3621800389068128</v>
      </c>
      <c r="DL471" s="18">
        <f t="shared" si="567"/>
        <v>3.5746130356073929</v>
      </c>
      <c r="DM471" s="18">
        <f t="shared" si="567"/>
        <v>0.53550669854565192</v>
      </c>
      <c r="DN471" s="56">
        <f t="shared" si="531"/>
        <v>6</v>
      </c>
    </row>
    <row r="472" spans="1:118" x14ac:dyDescent="0.25">
      <c r="A472" s="36" t="str">
        <f>KMeans_Data!A69</f>
        <v>Kashmore</v>
      </c>
      <c r="B472" s="18">
        <f>KMeans_Data!H69</f>
        <v>-0.11018073651136755</v>
      </c>
      <c r="C472" s="18">
        <f>KMeans_Data!I69</f>
        <v>-0.14698313392952958</v>
      </c>
      <c r="D472" s="18">
        <f>KMeans_Data!J69</f>
        <v>0.38161671714246476</v>
      </c>
      <c r="E472" s="56">
        <f t="shared" ref="E472:E503" si="568">DN472</f>
        <v>6</v>
      </c>
      <c r="F472" s="38">
        <f t="shared" ref="F472:F503" si="569">($B472-INDEX($L$401:$Q$401,E472))^2+($C472-INDEX($L$402:$Q$402,E472))^2+($D472-INDEX($L$403:$Q$403,E472))^2</f>
        <v>7.75446338857778E-2</v>
      </c>
      <c r="G472" s="18">
        <f>IF(COUNTIF(Distance_Matrix!$E$12:$DQ$12,$E472)&lt;=1,0,SUMIF(Distance_Matrix!$E$12:$DQ$12,$E472,Distance_Matrix!$E$78:$DQ$78)/(COUNTIF(Distance_Matrix!$E$12:$DQ$12,$E472)-1))</f>
        <v>0.67567064149559364</v>
      </c>
      <c r="H472" s="18">
        <f>MIN(IF(1=$E472,1E+99,IF(COUNTIF(Distance_Matrix!$E$12:$DQ$12,1)=0,1E+99,SUMIF(Distance_Matrix!$E$12:$DQ$12,1,Distance_Matrix!$E$78:$DQ$78)/COUNTIF(Distance_Matrix!$E$12:$DQ$12,1))),IF(2=$E472,1E+99,IF(COUNTIF(Distance_Matrix!$E$12:$DQ$12,2)=0,1E+99,SUMIF(Distance_Matrix!$E$12:$DQ$12,2,Distance_Matrix!$E$78:$DQ$78)/COUNTIF(Distance_Matrix!$E$12:$DQ$12,2))),IF(3=$E472,1E+99,IF(COUNTIF(Distance_Matrix!$E$12:$DQ$12,3)=0,1E+99,SUMIF(Distance_Matrix!$E$12:$DQ$12,3,Distance_Matrix!$E$78:$DQ$78)/COUNTIF(Distance_Matrix!$E$12:$DQ$12,3))),IF(4=$E472,1E+99,IF(COUNTIF(Distance_Matrix!$E$12:$DQ$12,4)=0,1E+99,SUMIF(Distance_Matrix!$E$12:$DQ$12,4,Distance_Matrix!$E$78:$DQ$78)/COUNTIF(Distance_Matrix!$E$12:$DQ$12,4))),IF(5=$E472,1E+99,IF(COUNTIF(Distance_Matrix!$E$12:$DQ$12,5)=0,1E+99,SUMIF(Distance_Matrix!$E$12:$DQ$12,5,Distance_Matrix!$E$78:$DQ$78)/COUNTIF(Distance_Matrix!$E$12:$DQ$12,5))),IF(6=$E472,1E+99,IF(COUNTIF(Distance_Matrix!$E$12:$DQ$12,6)=0,1E+99,SUMIF(Distance_Matrix!$E$12:$DQ$12,6,Distance_Matrix!$E$78:$DQ$78)/COUNTIF(Distance_Matrix!$E$12:$DQ$12,6))))</f>
        <v>1.442861862904202</v>
      </c>
      <c r="I472" s="18">
        <f>IF(COUNTIF(Distance_Matrix!$E$12:$DQ$12,$E472)&lt;=1,0,(H472-G472)/MAX(G472,H472))</f>
        <v>0.53171494869536629</v>
      </c>
      <c r="X472" s="18">
        <f t="shared" si="556"/>
        <v>6.1007521178289013</v>
      </c>
      <c r="Y472" s="18">
        <f t="shared" si="556"/>
        <v>2.5471567724468125</v>
      </c>
      <c r="Z472" s="18">
        <f t="shared" si="556"/>
        <v>1.6669079250150307</v>
      </c>
      <c r="AA472" s="18">
        <f t="shared" si="556"/>
        <v>1.704065906333085</v>
      </c>
      <c r="AB472" s="18">
        <f t="shared" si="556"/>
        <v>4.0057870105100246</v>
      </c>
      <c r="AC472" s="18">
        <f t="shared" si="556"/>
        <v>0.64512200218108073</v>
      </c>
      <c r="AD472" s="56">
        <f t="shared" ref="AD472:AD503" si="570">MATCH(MIN(X472:AC472),X472:AC472,0)</f>
        <v>6</v>
      </c>
      <c r="AF472" s="18">
        <f t="shared" si="557"/>
        <v>6.0061583261200608</v>
      </c>
      <c r="AG472" s="18">
        <f t="shared" si="557"/>
        <v>1.9749267375779707</v>
      </c>
      <c r="AH472" s="18">
        <f t="shared" si="557"/>
        <v>1.4374415738654667</v>
      </c>
      <c r="AI472" s="18">
        <f t="shared" si="557"/>
        <v>1.3219194791936635</v>
      </c>
      <c r="AJ472" s="18">
        <f t="shared" si="557"/>
        <v>3.7476542350700321</v>
      </c>
      <c r="AK472" s="18">
        <f t="shared" si="557"/>
        <v>0.35607715339990498</v>
      </c>
      <c r="AL472" s="56">
        <f t="shared" ref="AL472:AL503" si="571">MATCH(MIN(AF472:AK472),AF472:AK472,0)</f>
        <v>6</v>
      </c>
      <c r="AN472" s="18">
        <f t="shared" si="558"/>
        <v>6.0061583261200608</v>
      </c>
      <c r="AO472" s="18">
        <f t="shared" si="558"/>
        <v>1.9331077082704258</v>
      </c>
      <c r="AP472" s="18">
        <f t="shared" si="558"/>
        <v>1.4076479113642064</v>
      </c>
      <c r="AQ472" s="18">
        <f t="shared" si="558"/>
        <v>1.3355736440924204</v>
      </c>
      <c r="AR472" s="18">
        <f t="shared" si="558"/>
        <v>3.7476542350700321</v>
      </c>
      <c r="AS472" s="18">
        <f t="shared" si="558"/>
        <v>0.32336856745571674</v>
      </c>
      <c r="AT472" s="56">
        <f t="shared" ref="AT472:AT503" si="572">MATCH(MIN(AN472:AS472),AN472:AS472,0)</f>
        <v>6</v>
      </c>
      <c r="AV472" s="18">
        <f t="shared" si="559"/>
        <v>6.0061583261200608</v>
      </c>
      <c r="AW472" s="18">
        <f t="shared" si="559"/>
        <v>1.9024005150217662</v>
      </c>
      <c r="AX472" s="18">
        <f t="shared" si="559"/>
        <v>1.4076479113642064</v>
      </c>
      <c r="AY472" s="18">
        <f t="shared" si="559"/>
        <v>1.3355736440924204</v>
      </c>
      <c r="AZ472" s="18">
        <f t="shared" si="559"/>
        <v>3.7476542350700321</v>
      </c>
      <c r="BA472" s="18">
        <f t="shared" si="559"/>
        <v>0.3007540097891252</v>
      </c>
      <c r="BB472" s="56">
        <f t="shared" ref="BB472:BB503" si="573">MATCH(MIN(AV472:BA472),AV472:BA472,0)</f>
        <v>6</v>
      </c>
      <c r="BD472" s="18">
        <f t="shared" si="560"/>
        <v>6.0061583261200608</v>
      </c>
      <c r="BE472" s="18">
        <f t="shared" si="560"/>
        <v>1.8726779998420444</v>
      </c>
      <c r="BF472" s="18">
        <f t="shared" si="560"/>
        <v>1.4076479113642064</v>
      </c>
      <c r="BG472" s="18">
        <f t="shared" si="560"/>
        <v>1.3355736440924204</v>
      </c>
      <c r="BH472" s="18">
        <f t="shared" si="560"/>
        <v>3.7476542350700321</v>
      </c>
      <c r="BI472" s="18">
        <f t="shared" si="560"/>
        <v>0.27846837142802733</v>
      </c>
      <c r="BJ472" s="56">
        <f t="shared" ref="BJ472:BJ503" si="574">MATCH(MIN(BD472:BI472),BD472:BI472,0)</f>
        <v>6</v>
      </c>
      <c r="BL472" s="18">
        <f t="shared" si="561"/>
        <v>6.0061583261200608</v>
      </c>
      <c r="BM472" s="18">
        <f t="shared" si="561"/>
        <v>1.8726779998420444</v>
      </c>
      <c r="BN472" s="18">
        <f t="shared" si="561"/>
        <v>1.4076479113642064</v>
      </c>
      <c r="BO472" s="18">
        <f t="shared" si="561"/>
        <v>1.3355736440924204</v>
      </c>
      <c r="BP472" s="18">
        <f t="shared" si="561"/>
        <v>3.7476542350700321</v>
      </c>
      <c r="BQ472" s="18">
        <f t="shared" si="561"/>
        <v>0.27846837142802733</v>
      </c>
      <c r="BR472" s="56">
        <f t="shared" ref="BR472:BR503" si="575">MATCH(MIN(BL472:BQ472),BL472:BQ472,0)</f>
        <v>6</v>
      </c>
      <c r="BT472" s="18">
        <f t="shared" si="562"/>
        <v>6.0061583261200608</v>
      </c>
      <c r="BU472" s="18">
        <f t="shared" si="562"/>
        <v>1.8726779998420444</v>
      </c>
      <c r="BV472" s="18">
        <f t="shared" si="562"/>
        <v>1.4076479113642064</v>
      </c>
      <c r="BW472" s="18">
        <f t="shared" si="562"/>
        <v>1.3355736440924204</v>
      </c>
      <c r="BX472" s="18">
        <f t="shared" si="562"/>
        <v>3.7476542350700321</v>
      </c>
      <c r="BY472" s="18">
        <f t="shared" si="562"/>
        <v>0.27846837142802733</v>
      </c>
      <c r="BZ472" s="56">
        <f t="shared" ref="BZ472:BZ503" si="576">MATCH(MIN(BT472:BY472),BT472:BY472,0)</f>
        <v>6</v>
      </c>
      <c r="CB472" s="18">
        <f t="shared" si="563"/>
        <v>6.0061583261200608</v>
      </c>
      <c r="CC472" s="18">
        <f t="shared" si="563"/>
        <v>1.8726779998420444</v>
      </c>
      <c r="CD472" s="18">
        <f t="shared" si="563"/>
        <v>1.4076479113642064</v>
      </c>
      <c r="CE472" s="18">
        <f t="shared" si="563"/>
        <v>1.3355736440924204</v>
      </c>
      <c r="CF472" s="18">
        <f t="shared" si="563"/>
        <v>3.7476542350700321</v>
      </c>
      <c r="CG472" s="18">
        <f t="shared" si="563"/>
        <v>0.27846837142802733</v>
      </c>
      <c r="CH472" s="56">
        <f t="shared" ref="CH472:CH503" si="577">MATCH(MIN(CB472:CG472),CB472:CG472,0)</f>
        <v>6</v>
      </c>
      <c r="CJ472" s="18">
        <f t="shared" si="564"/>
        <v>6.0061583261200608</v>
      </c>
      <c r="CK472" s="18">
        <f t="shared" si="564"/>
        <v>1.8726779998420444</v>
      </c>
      <c r="CL472" s="18">
        <f t="shared" si="564"/>
        <v>1.4076479113642064</v>
      </c>
      <c r="CM472" s="18">
        <f t="shared" si="564"/>
        <v>1.3355736440924204</v>
      </c>
      <c r="CN472" s="18">
        <f t="shared" si="564"/>
        <v>3.7476542350700321</v>
      </c>
      <c r="CO472" s="18">
        <f t="shared" si="564"/>
        <v>0.27846837142802733</v>
      </c>
      <c r="CP472" s="56">
        <f t="shared" ref="CP472:CP503" si="578">MATCH(MIN(CJ472:CO472),CJ472:CO472,0)</f>
        <v>6</v>
      </c>
      <c r="CR472" s="18">
        <f t="shared" si="565"/>
        <v>6.0061583261200608</v>
      </c>
      <c r="CS472" s="18">
        <f t="shared" si="565"/>
        <v>1.8726779998420444</v>
      </c>
      <c r="CT472" s="18">
        <f t="shared" si="565"/>
        <v>1.4076479113642064</v>
      </c>
      <c r="CU472" s="18">
        <f t="shared" si="565"/>
        <v>1.3355736440924204</v>
      </c>
      <c r="CV472" s="18">
        <f t="shared" si="565"/>
        <v>3.7476542350700321</v>
      </c>
      <c r="CW472" s="18">
        <f t="shared" si="565"/>
        <v>0.27846837142802733</v>
      </c>
      <c r="CX472" s="56">
        <f t="shared" ref="CX472:CX503" si="579">MATCH(MIN(CR472:CW472),CR472:CW472,0)</f>
        <v>6</v>
      </c>
      <c r="CZ472" s="18">
        <f t="shared" si="566"/>
        <v>6.0061583261200608</v>
      </c>
      <c r="DA472" s="18">
        <f t="shared" si="566"/>
        <v>1.8726779998420444</v>
      </c>
      <c r="DB472" s="18">
        <f t="shared" si="566"/>
        <v>1.4076479113642064</v>
      </c>
      <c r="DC472" s="18">
        <f t="shared" si="566"/>
        <v>1.3355736440924204</v>
      </c>
      <c r="DD472" s="18">
        <f t="shared" si="566"/>
        <v>3.7476542350700321</v>
      </c>
      <c r="DE472" s="18">
        <f t="shared" si="566"/>
        <v>0.27846837142802733</v>
      </c>
      <c r="DF472" s="56">
        <f t="shared" ref="DF472:DF503" si="580">MATCH(MIN(CZ472:DE472),CZ472:DE472,0)</f>
        <v>6</v>
      </c>
      <c r="DH472" s="18">
        <f t="shared" si="567"/>
        <v>6.0061583261200608</v>
      </c>
      <c r="DI472" s="18">
        <f t="shared" si="567"/>
        <v>1.8726779998420444</v>
      </c>
      <c r="DJ472" s="18">
        <f t="shared" si="567"/>
        <v>1.4076479113642064</v>
      </c>
      <c r="DK472" s="18">
        <f t="shared" si="567"/>
        <v>1.3355736440924204</v>
      </c>
      <c r="DL472" s="18">
        <f t="shared" si="567"/>
        <v>3.7476542350700321</v>
      </c>
      <c r="DM472" s="18">
        <f t="shared" si="567"/>
        <v>0.27846837142802733</v>
      </c>
      <c r="DN472" s="56">
        <f t="shared" ref="DN472:DN503" si="581">MATCH(MIN(DH472:DM472),DH472:DM472,0)</f>
        <v>6</v>
      </c>
    </row>
    <row r="473" spans="1:118" x14ac:dyDescent="0.25">
      <c r="A473" s="36" t="str">
        <f>KMeans_Data!A70</f>
        <v>Naushero Feroz</v>
      </c>
      <c r="B473" s="18">
        <f>KMeans_Data!H70</f>
        <v>-0.13439300986668776</v>
      </c>
      <c r="C473" s="18">
        <f>KMeans_Data!I70</f>
        <v>-0.14698313392952958</v>
      </c>
      <c r="D473" s="18">
        <f>KMeans_Data!J70</f>
        <v>0.43043982201722641</v>
      </c>
      <c r="E473" s="56">
        <f t="shared" si="568"/>
        <v>6</v>
      </c>
      <c r="F473" s="38">
        <f t="shared" si="569"/>
        <v>9.1646657823235E-2</v>
      </c>
      <c r="G473" s="18">
        <f>IF(COUNTIF(Distance_Matrix!$E$12:$DQ$12,$E473)&lt;=1,0,SUMIF(Distance_Matrix!$E$12:$DQ$12,$E473,Distance_Matrix!$E$79:$DQ$79)/(COUNTIF(Distance_Matrix!$E$12:$DQ$12,$E473)-1))</f>
        <v>0.68507155904425909</v>
      </c>
      <c r="H473" s="18">
        <f>MIN(IF(1=$E473,1E+99,IF(COUNTIF(Distance_Matrix!$E$12:$DQ$12,1)=0,1E+99,SUMIF(Distance_Matrix!$E$12:$DQ$12,1,Distance_Matrix!$E$79:$DQ$79)/COUNTIF(Distance_Matrix!$E$12:$DQ$12,1))),IF(2=$E473,1E+99,IF(COUNTIF(Distance_Matrix!$E$12:$DQ$12,2)=0,1E+99,SUMIF(Distance_Matrix!$E$12:$DQ$12,2,Distance_Matrix!$E$79:$DQ$79)/COUNTIF(Distance_Matrix!$E$12:$DQ$12,2))),IF(3=$E473,1E+99,IF(COUNTIF(Distance_Matrix!$E$12:$DQ$12,3)=0,1E+99,SUMIF(Distance_Matrix!$E$12:$DQ$12,3,Distance_Matrix!$E$79:$DQ$79)/COUNTIF(Distance_Matrix!$E$12:$DQ$12,3))),IF(4=$E473,1E+99,IF(COUNTIF(Distance_Matrix!$E$12:$DQ$12,4)=0,1E+99,SUMIF(Distance_Matrix!$E$12:$DQ$12,4,Distance_Matrix!$E$79:$DQ$79)/COUNTIF(Distance_Matrix!$E$12:$DQ$12,4))),IF(5=$E473,1E+99,IF(COUNTIF(Distance_Matrix!$E$12:$DQ$12,5)=0,1E+99,SUMIF(Distance_Matrix!$E$12:$DQ$12,5,Distance_Matrix!$E$79:$DQ$79)/COUNTIF(Distance_Matrix!$E$12:$DQ$12,5))),IF(6=$E473,1E+99,IF(COUNTIF(Distance_Matrix!$E$12:$DQ$12,6)=0,1E+99,SUMIF(Distance_Matrix!$E$12:$DQ$12,6,Distance_Matrix!$E$79:$DQ$79)/COUNTIF(Distance_Matrix!$E$12:$DQ$12,6))))</f>
        <v>1.4890704506112908</v>
      </c>
      <c r="I473" s="18">
        <f>IF(COUNTIF(Distance_Matrix!$E$12:$DQ$12,$E473)&lt;=1,0,(H473-G473)/MAX(G473,H473))</f>
        <v>0.53993341365210445</v>
      </c>
      <c r="X473" s="18">
        <f t="shared" si="556"/>
        <v>6.091443757222688</v>
      </c>
      <c r="Y473" s="18">
        <f t="shared" si="556"/>
        <v>2.5582677475268727</v>
      </c>
      <c r="Z473" s="18">
        <f t="shared" si="556"/>
        <v>1.6525144375726144</v>
      </c>
      <c r="AA473" s="18">
        <f t="shared" si="556"/>
        <v>1.7585629508139276</v>
      </c>
      <c r="AB473" s="18">
        <f t="shared" si="556"/>
        <v>3.9968422833915187</v>
      </c>
      <c r="AC473" s="18">
        <f t="shared" si="556"/>
        <v>0.60513008761269804</v>
      </c>
      <c r="AD473" s="56">
        <f t="shared" si="570"/>
        <v>6</v>
      </c>
      <c r="AF473" s="18">
        <f t="shared" si="557"/>
        <v>5.9989832602025492</v>
      </c>
      <c r="AG473" s="18">
        <f t="shared" si="557"/>
        <v>1.9972301662892169</v>
      </c>
      <c r="AH473" s="18">
        <f t="shared" si="557"/>
        <v>1.434152401516166</v>
      </c>
      <c r="AI473" s="18">
        <f t="shared" si="557"/>
        <v>1.3724211791275251</v>
      </c>
      <c r="AJ473" s="18">
        <f t="shared" si="557"/>
        <v>3.7439642861704709</v>
      </c>
      <c r="AK473" s="18">
        <f t="shared" si="557"/>
        <v>0.3778615204859338</v>
      </c>
      <c r="AL473" s="56">
        <f t="shared" si="571"/>
        <v>6</v>
      </c>
      <c r="AN473" s="18">
        <f t="shared" si="558"/>
        <v>5.9989832602025492</v>
      </c>
      <c r="AO473" s="18">
        <f t="shared" si="558"/>
        <v>1.9558757584598427</v>
      </c>
      <c r="AP473" s="18">
        <f t="shared" si="558"/>
        <v>1.4043428989662592</v>
      </c>
      <c r="AQ473" s="18">
        <f t="shared" si="558"/>
        <v>1.3856850488894823</v>
      </c>
      <c r="AR473" s="18">
        <f t="shared" si="558"/>
        <v>3.7439642861704709</v>
      </c>
      <c r="AS473" s="18">
        <f t="shared" si="558"/>
        <v>0.3467991572254544</v>
      </c>
      <c r="AT473" s="56">
        <f t="shared" si="572"/>
        <v>6</v>
      </c>
      <c r="AV473" s="18">
        <f t="shared" si="559"/>
        <v>5.9989832602025492</v>
      </c>
      <c r="AW473" s="18">
        <f t="shared" si="559"/>
        <v>1.9251120366282639</v>
      </c>
      <c r="AX473" s="18">
        <f t="shared" si="559"/>
        <v>1.4043428989662592</v>
      </c>
      <c r="AY473" s="18">
        <f t="shared" si="559"/>
        <v>1.3856850488894823</v>
      </c>
      <c r="AZ473" s="18">
        <f t="shared" si="559"/>
        <v>3.7439642861704709</v>
      </c>
      <c r="BA473" s="18">
        <f t="shared" si="559"/>
        <v>0.32437821130479982</v>
      </c>
      <c r="BB473" s="56">
        <f t="shared" si="573"/>
        <v>6</v>
      </c>
      <c r="BD473" s="18">
        <f t="shared" si="560"/>
        <v>5.9989832602025492</v>
      </c>
      <c r="BE473" s="18">
        <f t="shared" si="560"/>
        <v>1.8952489332593376</v>
      </c>
      <c r="BF473" s="18">
        <f t="shared" si="560"/>
        <v>1.4043428989662592</v>
      </c>
      <c r="BG473" s="18">
        <f t="shared" si="560"/>
        <v>1.3856850488894823</v>
      </c>
      <c r="BH473" s="18">
        <f t="shared" si="560"/>
        <v>3.7439642861704709</v>
      </c>
      <c r="BI473" s="18">
        <f t="shared" si="560"/>
        <v>0.30273199008898116</v>
      </c>
      <c r="BJ473" s="56">
        <f t="shared" si="574"/>
        <v>6</v>
      </c>
      <c r="BL473" s="18">
        <f t="shared" si="561"/>
        <v>5.9989832602025492</v>
      </c>
      <c r="BM473" s="18">
        <f t="shared" si="561"/>
        <v>1.8952489332593376</v>
      </c>
      <c r="BN473" s="18">
        <f t="shared" si="561"/>
        <v>1.4043428989662592</v>
      </c>
      <c r="BO473" s="18">
        <f t="shared" si="561"/>
        <v>1.3856850488894823</v>
      </c>
      <c r="BP473" s="18">
        <f t="shared" si="561"/>
        <v>3.7439642861704709</v>
      </c>
      <c r="BQ473" s="18">
        <f t="shared" si="561"/>
        <v>0.30273199008898116</v>
      </c>
      <c r="BR473" s="56">
        <f t="shared" si="575"/>
        <v>6</v>
      </c>
      <c r="BT473" s="18">
        <f t="shared" si="562"/>
        <v>5.9989832602025492</v>
      </c>
      <c r="BU473" s="18">
        <f t="shared" si="562"/>
        <v>1.8952489332593376</v>
      </c>
      <c r="BV473" s="18">
        <f t="shared" si="562"/>
        <v>1.4043428989662592</v>
      </c>
      <c r="BW473" s="18">
        <f t="shared" si="562"/>
        <v>1.3856850488894823</v>
      </c>
      <c r="BX473" s="18">
        <f t="shared" si="562"/>
        <v>3.7439642861704709</v>
      </c>
      <c r="BY473" s="18">
        <f t="shared" si="562"/>
        <v>0.30273199008898116</v>
      </c>
      <c r="BZ473" s="56">
        <f t="shared" si="576"/>
        <v>6</v>
      </c>
      <c r="CB473" s="18">
        <f t="shared" si="563"/>
        <v>5.9989832602025492</v>
      </c>
      <c r="CC473" s="18">
        <f t="shared" si="563"/>
        <v>1.8952489332593376</v>
      </c>
      <c r="CD473" s="18">
        <f t="shared" si="563"/>
        <v>1.4043428989662592</v>
      </c>
      <c r="CE473" s="18">
        <f t="shared" si="563"/>
        <v>1.3856850488894823</v>
      </c>
      <c r="CF473" s="18">
        <f t="shared" si="563"/>
        <v>3.7439642861704709</v>
      </c>
      <c r="CG473" s="18">
        <f t="shared" si="563"/>
        <v>0.30273199008898116</v>
      </c>
      <c r="CH473" s="56">
        <f t="shared" si="577"/>
        <v>6</v>
      </c>
      <c r="CJ473" s="18">
        <f t="shared" si="564"/>
        <v>5.9989832602025492</v>
      </c>
      <c r="CK473" s="18">
        <f t="shared" si="564"/>
        <v>1.8952489332593376</v>
      </c>
      <c r="CL473" s="18">
        <f t="shared" si="564"/>
        <v>1.4043428989662592</v>
      </c>
      <c r="CM473" s="18">
        <f t="shared" si="564"/>
        <v>1.3856850488894823</v>
      </c>
      <c r="CN473" s="18">
        <f t="shared" si="564"/>
        <v>3.7439642861704709</v>
      </c>
      <c r="CO473" s="18">
        <f t="shared" si="564"/>
        <v>0.30273199008898116</v>
      </c>
      <c r="CP473" s="56">
        <f t="shared" si="578"/>
        <v>6</v>
      </c>
      <c r="CR473" s="18">
        <f t="shared" si="565"/>
        <v>5.9989832602025492</v>
      </c>
      <c r="CS473" s="18">
        <f t="shared" si="565"/>
        <v>1.8952489332593376</v>
      </c>
      <c r="CT473" s="18">
        <f t="shared" si="565"/>
        <v>1.4043428989662592</v>
      </c>
      <c r="CU473" s="18">
        <f t="shared" si="565"/>
        <v>1.3856850488894823</v>
      </c>
      <c r="CV473" s="18">
        <f t="shared" si="565"/>
        <v>3.7439642861704709</v>
      </c>
      <c r="CW473" s="18">
        <f t="shared" si="565"/>
        <v>0.30273199008898116</v>
      </c>
      <c r="CX473" s="56">
        <f t="shared" si="579"/>
        <v>6</v>
      </c>
      <c r="CZ473" s="18">
        <f t="shared" si="566"/>
        <v>5.9989832602025492</v>
      </c>
      <c r="DA473" s="18">
        <f t="shared" si="566"/>
        <v>1.8952489332593376</v>
      </c>
      <c r="DB473" s="18">
        <f t="shared" si="566"/>
        <v>1.4043428989662592</v>
      </c>
      <c r="DC473" s="18">
        <f t="shared" si="566"/>
        <v>1.3856850488894823</v>
      </c>
      <c r="DD473" s="18">
        <f t="shared" si="566"/>
        <v>3.7439642861704709</v>
      </c>
      <c r="DE473" s="18">
        <f t="shared" si="566"/>
        <v>0.30273199008898116</v>
      </c>
      <c r="DF473" s="56">
        <f t="shared" si="580"/>
        <v>6</v>
      </c>
      <c r="DH473" s="18">
        <f t="shared" si="567"/>
        <v>5.9989832602025492</v>
      </c>
      <c r="DI473" s="18">
        <f t="shared" si="567"/>
        <v>1.8952489332593376</v>
      </c>
      <c r="DJ473" s="18">
        <f t="shared" si="567"/>
        <v>1.4043428989662592</v>
      </c>
      <c r="DK473" s="18">
        <f t="shared" si="567"/>
        <v>1.3856850488894823</v>
      </c>
      <c r="DL473" s="18">
        <f t="shared" si="567"/>
        <v>3.7439642861704709</v>
      </c>
      <c r="DM473" s="18">
        <f t="shared" si="567"/>
        <v>0.30273199008898116</v>
      </c>
      <c r="DN473" s="56">
        <f t="shared" si="581"/>
        <v>6</v>
      </c>
    </row>
    <row r="474" spans="1:118" x14ac:dyDescent="0.25">
      <c r="A474" s="36" t="str">
        <f>KMeans_Data!A71</f>
        <v>Tando M. Khan</v>
      </c>
      <c r="B474" s="18">
        <f>KMeans_Data!H71</f>
        <v>-0.17296398743636285</v>
      </c>
      <c r="C474" s="18">
        <f>KMeans_Data!I71</f>
        <v>-0.67265054538827607</v>
      </c>
      <c r="D474" s="18">
        <f>KMeans_Data!J71</f>
        <v>0.59726181533299938</v>
      </c>
      <c r="E474" s="56">
        <f t="shared" si="568"/>
        <v>6</v>
      </c>
      <c r="F474" s="38">
        <f t="shared" si="569"/>
        <v>0.23005680440522608</v>
      </c>
      <c r="G474" s="18">
        <f>IF(COUNTIF(Distance_Matrix!$E$12:$DQ$12,$E474)&lt;=1,0,SUMIF(Distance_Matrix!$E$12:$DQ$12,$E474,Distance_Matrix!$E$80:$DQ$80)/(COUNTIF(Distance_Matrix!$E$12:$DQ$12,$E474)-1))</f>
        <v>0.77448222948727452</v>
      </c>
      <c r="H474" s="18">
        <f>MIN(IF(1=$E474,1E+99,IF(COUNTIF(Distance_Matrix!$E$12:$DQ$12,1)=0,1E+99,SUMIF(Distance_Matrix!$E$12:$DQ$12,1,Distance_Matrix!$E$80:$DQ$80)/COUNTIF(Distance_Matrix!$E$12:$DQ$12,1))),IF(2=$E474,1E+99,IF(COUNTIF(Distance_Matrix!$E$12:$DQ$12,2)=0,1E+99,SUMIF(Distance_Matrix!$E$12:$DQ$12,2,Distance_Matrix!$E$80:$DQ$80)/COUNTIF(Distance_Matrix!$E$12:$DQ$12,2))),IF(3=$E474,1E+99,IF(COUNTIF(Distance_Matrix!$E$12:$DQ$12,3)=0,1E+99,SUMIF(Distance_Matrix!$E$12:$DQ$12,3,Distance_Matrix!$E$80:$DQ$80)/COUNTIF(Distance_Matrix!$E$12:$DQ$12,3))),IF(4=$E474,1E+99,IF(COUNTIF(Distance_Matrix!$E$12:$DQ$12,4)=0,1E+99,SUMIF(Distance_Matrix!$E$12:$DQ$12,4,Distance_Matrix!$E$80:$DQ$80)/COUNTIF(Distance_Matrix!$E$12:$DQ$12,4))),IF(5=$E474,1E+99,IF(COUNTIF(Distance_Matrix!$E$12:$DQ$12,5)=0,1E+99,SUMIF(Distance_Matrix!$E$12:$DQ$12,5,Distance_Matrix!$E$80:$DQ$80)/COUNTIF(Distance_Matrix!$E$12:$DQ$12,5))),IF(6=$E474,1E+99,IF(COUNTIF(Distance_Matrix!$E$12:$DQ$12,6)=0,1E+99,SUMIF(Distance_Matrix!$E$12:$DQ$12,6,Distance_Matrix!$E$80:$DQ$80)/COUNTIF(Distance_Matrix!$E$12:$DQ$12,6))))</f>
        <v>1.582323368546783</v>
      </c>
      <c r="I474" s="18">
        <f>IF(COUNTIF(Distance_Matrix!$E$12:$DQ$12,$E474)&lt;=1,0,(H474-G474)/MAX(G474,H474))</f>
        <v>0.51054111638472199</v>
      </c>
      <c r="X474" s="18">
        <f t="shared" si="556"/>
        <v>6.4135297684832393</v>
      </c>
      <c r="Y474" s="18">
        <f t="shared" si="556"/>
        <v>2.5833134057316025</v>
      </c>
      <c r="Z474" s="18">
        <f t="shared" si="556"/>
        <v>1.8255167686819782</v>
      </c>
      <c r="AA474" s="18">
        <f t="shared" si="556"/>
        <v>1.996049580378717</v>
      </c>
      <c r="AB474" s="18">
        <f t="shared" si="556"/>
        <v>4.2885538040986111</v>
      </c>
      <c r="AC474" s="18">
        <f t="shared" si="556"/>
        <v>0.74942010508006818</v>
      </c>
      <c r="AD474" s="56">
        <f t="shared" si="570"/>
        <v>6</v>
      </c>
      <c r="AF474" s="18">
        <f t="shared" si="557"/>
        <v>6.3381404262337755</v>
      </c>
      <c r="AG474" s="18">
        <f t="shared" si="557"/>
        <v>2.0453800069013401</v>
      </c>
      <c r="AH474" s="18">
        <f t="shared" si="557"/>
        <v>1.8160162402376188</v>
      </c>
      <c r="AI474" s="18">
        <f t="shared" si="557"/>
        <v>1.4930213624630797</v>
      </c>
      <c r="AJ474" s="18">
        <f t="shared" si="557"/>
        <v>4.106677181045975</v>
      </c>
      <c r="AK474" s="18">
        <f t="shared" si="557"/>
        <v>0.51948849937428176</v>
      </c>
      <c r="AL474" s="56">
        <f t="shared" si="571"/>
        <v>6</v>
      </c>
      <c r="AN474" s="18">
        <f t="shared" si="558"/>
        <v>6.3381404262337755</v>
      </c>
      <c r="AO474" s="18">
        <f t="shared" si="558"/>
        <v>2.0035566245462424</v>
      </c>
      <c r="AP474" s="18">
        <f t="shared" si="558"/>
        <v>1.7904418225382734</v>
      </c>
      <c r="AQ474" s="18">
        <f t="shared" si="558"/>
        <v>1.4950932413801814</v>
      </c>
      <c r="AR474" s="18">
        <f t="shared" si="558"/>
        <v>4.106677181045975</v>
      </c>
      <c r="AS474" s="18">
        <f t="shared" si="558"/>
        <v>0.49841028097300921</v>
      </c>
      <c r="AT474" s="56">
        <f t="shared" si="572"/>
        <v>6</v>
      </c>
      <c r="AV474" s="18">
        <f t="shared" si="559"/>
        <v>6.3381404262337755</v>
      </c>
      <c r="AW474" s="18">
        <f t="shared" si="559"/>
        <v>1.9714979318699226</v>
      </c>
      <c r="AX474" s="18">
        <f t="shared" si="559"/>
        <v>1.7904418225382734</v>
      </c>
      <c r="AY474" s="18">
        <f t="shared" si="559"/>
        <v>1.4950932413801814</v>
      </c>
      <c r="AZ474" s="18">
        <f t="shared" si="559"/>
        <v>4.106677181045975</v>
      </c>
      <c r="BA474" s="18">
        <f t="shared" si="559"/>
        <v>0.48771127287711624</v>
      </c>
      <c r="BB474" s="56">
        <f t="shared" si="573"/>
        <v>6</v>
      </c>
      <c r="BD474" s="18">
        <f t="shared" si="560"/>
        <v>6.3381404262337755</v>
      </c>
      <c r="BE474" s="18">
        <f t="shared" si="560"/>
        <v>1.9401281138155229</v>
      </c>
      <c r="BF474" s="18">
        <f t="shared" si="560"/>
        <v>1.7904418225382734</v>
      </c>
      <c r="BG474" s="18">
        <f t="shared" si="560"/>
        <v>1.4950932413801814</v>
      </c>
      <c r="BH474" s="18">
        <f t="shared" si="560"/>
        <v>4.106677181045975</v>
      </c>
      <c r="BI474" s="18">
        <f t="shared" si="560"/>
        <v>0.47964237136144061</v>
      </c>
      <c r="BJ474" s="56">
        <f t="shared" si="574"/>
        <v>6</v>
      </c>
      <c r="BL474" s="18">
        <f t="shared" si="561"/>
        <v>6.3381404262337755</v>
      </c>
      <c r="BM474" s="18">
        <f t="shared" si="561"/>
        <v>1.9401281138155229</v>
      </c>
      <c r="BN474" s="18">
        <f t="shared" si="561"/>
        <v>1.7904418225382734</v>
      </c>
      <c r="BO474" s="18">
        <f t="shared" si="561"/>
        <v>1.4950932413801814</v>
      </c>
      <c r="BP474" s="18">
        <f t="shared" si="561"/>
        <v>4.106677181045975</v>
      </c>
      <c r="BQ474" s="18">
        <f t="shared" si="561"/>
        <v>0.47964237136144061</v>
      </c>
      <c r="BR474" s="56">
        <f t="shared" si="575"/>
        <v>6</v>
      </c>
      <c r="BT474" s="18">
        <f t="shared" si="562"/>
        <v>6.3381404262337755</v>
      </c>
      <c r="BU474" s="18">
        <f t="shared" si="562"/>
        <v>1.9401281138155229</v>
      </c>
      <c r="BV474" s="18">
        <f t="shared" si="562"/>
        <v>1.7904418225382734</v>
      </c>
      <c r="BW474" s="18">
        <f t="shared" si="562"/>
        <v>1.4950932413801814</v>
      </c>
      <c r="BX474" s="18">
        <f t="shared" si="562"/>
        <v>4.106677181045975</v>
      </c>
      <c r="BY474" s="18">
        <f t="shared" si="562"/>
        <v>0.47964237136144061</v>
      </c>
      <c r="BZ474" s="56">
        <f t="shared" si="576"/>
        <v>6</v>
      </c>
      <c r="CB474" s="18">
        <f t="shared" si="563"/>
        <v>6.3381404262337755</v>
      </c>
      <c r="CC474" s="18">
        <f t="shared" si="563"/>
        <v>1.9401281138155229</v>
      </c>
      <c r="CD474" s="18">
        <f t="shared" si="563"/>
        <v>1.7904418225382734</v>
      </c>
      <c r="CE474" s="18">
        <f t="shared" si="563"/>
        <v>1.4950932413801814</v>
      </c>
      <c r="CF474" s="18">
        <f t="shared" si="563"/>
        <v>4.106677181045975</v>
      </c>
      <c r="CG474" s="18">
        <f t="shared" si="563"/>
        <v>0.47964237136144061</v>
      </c>
      <c r="CH474" s="56">
        <f t="shared" si="577"/>
        <v>6</v>
      </c>
      <c r="CJ474" s="18">
        <f t="shared" si="564"/>
        <v>6.3381404262337755</v>
      </c>
      <c r="CK474" s="18">
        <f t="shared" si="564"/>
        <v>1.9401281138155229</v>
      </c>
      <c r="CL474" s="18">
        <f t="shared" si="564"/>
        <v>1.7904418225382734</v>
      </c>
      <c r="CM474" s="18">
        <f t="shared" si="564"/>
        <v>1.4950932413801814</v>
      </c>
      <c r="CN474" s="18">
        <f t="shared" si="564"/>
        <v>4.106677181045975</v>
      </c>
      <c r="CO474" s="18">
        <f t="shared" si="564"/>
        <v>0.47964237136144061</v>
      </c>
      <c r="CP474" s="56">
        <f t="shared" si="578"/>
        <v>6</v>
      </c>
      <c r="CR474" s="18">
        <f t="shared" si="565"/>
        <v>6.3381404262337755</v>
      </c>
      <c r="CS474" s="18">
        <f t="shared" si="565"/>
        <v>1.9401281138155229</v>
      </c>
      <c r="CT474" s="18">
        <f t="shared" si="565"/>
        <v>1.7904418225382734</v>
      </c>
      <c r="CU474" s="18">
        <f t="shared" si="565"/>
        <v>1.4950932413801814</v>
      </c>
      <c r="CV474" s="18">
        <f t="shared" si="565"/>
        <v>4.106677181045975</v>
      </c>
      <c r="CW474" s="18">
        <f t="shared" si="565"/>
        <v>0.47964237136144061</v>
      </c>
      <c r="CX474" s="56">
        <f t="shared" si="579"/>
        <v>6</v>
      </c>
      <c r="CZ474" s="18">
        <f t="shared" si="566"/>
        <v>6.3381404262337755</v>
      </c>
      <c r="DA474" s="18">
        <f t="shared" si="566"/>
        <v>1.9401281138155229</v>
      </c>
      <c r="DB474" s="18">
        <f t="shared" si="566"/>
        <v>1.7904418225382734</v>
      </c>
      <c r="DC474" s="18">
        <f t="shared" si="566"/>
        <v>1.4950932413801814</v>
      </c>
      <c r="DD474" s="18">
        <f t="shared" si="566"/>
        <v>4.106677181045975</v>
      </c>
      <c r="DE474" s="18">
        <f t="shared" si="566"/>
        <v>0.47964237136144061</v>
      </c>
      <c r="DF474" s="56">
        <f t="shared" si="580"/>
        <v>6</v>
      </c>
      <c r="DH474" s="18">
        <f t="shared" si="567"/>
        <v>6.3381404262337755</v>
      </c>
      <c r="DI474" s="18">
        <f t="shared" si="567"/>
        <v>1.9401281138155229</v>
      </c>
      <c r="DJ474" s="18">
        <f t="shared" si="567"/>
        <v>1.7904418225382734</v>
      </c>
      <c r="DK474" s="18">
        <f t="shared" si="567"/>
        <v>1.4950932413801814</v>
      </c>
      <c r="DL474" s="18">
        <f t="shared" si="567"/>
        <v>4.106677181045975</v>
      </c>
      <c r="DM474" s="18">
        <f t="shared" si="567"/>
        <v>0.47964237136144061</v>
      </c>
      <c r="DN474" s="56">
        <f t="shared" si="581"/>
        <v>6</v>
      </c>
    </row>
    <row r="475" spans="1:118" x14ac:dyDescent="0.25">
      <c r="A475" s="36" t="str">
        <f>KMeans_Data!A72</f>
        <v>Chitral Lower</v>
      </c>
      <c r="B475" s="18">
        <f>KMeans_Data!H72</f>
        <v>-0.21462381690636909</v>
      </c>
      <c r="C475" s="18">
        <f>KMeans_Data!I72</f>
        <v>-0.67265054538827607</v>
      </c>
      <c r="D475" s="18">
        <f>KMeans_Data!J72</f>
        <v>0.19372787308524608</v>
      </c>
      <c r="E475" s="56">
        <f t="shared" si="568"/>
        <v>6</v>
      </c>
      <c r="F475" s="38">
        <f t="shared" si="569"/>
        <v>9.5877500719151881E-2</v>
      </c>
      <c r="G475" s="18">
        <f>IF(COUNTIF(Distance_Matrix!$E$12:$DQ$12,$E475)&lt;=1,0,SUMIF(Distance_Matrix!$E$12:$DQ$12,$E475,Distance_Matrix!$E$81:$DQ$81)/(COUNTIF(Distance_Matrix!$E$12:$DQ$12,$E475)-1))</f>
        <v>0.6712341472015031</v>
      </c>
      <c r="H475" s="18">
        <f>MIN(IF(1=$E475,1E+99,IF(COUNTIF(Distance_Matrix!$E$12:$DQ$12,1)=0,1E+99,SUMIF(Distance_Matrix!$E$12:$DQ$12,1,Distance_Matrix!$E$81:$DQ$81)/COUNTIF(Distance_Matrix!$E$12:$DQ$12,1))),IF(2=$E475,1E+99,IF(COUNTIF(Distance_Matrix!$E$12:$DQ$12,2)=0,1E+99,SUMIF(Distance_Matrix!$E$12:$DQ$12,2,Distance_Matrix!$E$81:$DQ$81)/COUNTIF(Distance_Matrix!$E$12:$DQ$12,2))),IF(3=$E475,1E+99,IF(COUNTIF(Distance_Matrix!$E$12:$DQ$12,3)=0,1E+99,SUMIF(Distance_Matrix!$E$12:$DQ$12,3,Distance_Matrix!$E$81:$DQ$81)/COUNTIF(Distance_Matrix!$E$12:$DQ$12,3))),IF(4=$E475,1E+99,IF(COUNTIF(Distance_Matrix!$E$12:$DQ$12,4)=0,1E+99,SUMIF(Distance_Matrix!$E$12:$DQ$12,4,Distance_Matrix!$E$81:$DQ$81)/COUNTIF(Distance_Matrix!$E$12:$DQ$12,4))),IF(5=$E475,1E+99,IF(COUNTIF(Distance_Matrix!$E$12:$DQ$12,5)=0,1E+99,SUMIF(Distance_Matrix!$E$12:$DQ$12,5,Distance_Matrix!$E$81:$DQ$81)/COUNTIF(Distance_Matrix!$E$12:$DQ$12,5))),IF(6=$E475,1E+99,IF(COUNTIF(Distance_Matrix!$E$12:$DQ$12,6)=0,1E+99,SUMIF(Distance_Matrix!$E$12:$DQ$12,6,Distance_Matrix!$E$81:$DQ$81)/COUNTIF(Distance_Matrix!$E$12:$DQ$12,6))))</f>
        <v>1.2279721002234125</v>
      </c>
      <c r="I475" s="18">
        <f>IF(COUNTIF(Distance_Matrix!$E$12:$DQ$12,$E475)&lt;=1,0,(H475-G475)/MAX(G475,H475))</f>
        <v>0.45337996923596119</v>
      </c>
      <c r="X475" s="18">
        <f t="shared" si="556"/>
        <v>6.6127372640193443</v>
      </c>
      <c r="Y475" s="18">
        <f t="shared" si="556"/>
        <v>2.2962073456330026</v>
      </c>
      <c r="Z475" s="18">
        <f t="shared" si="556"/>
        <v>2.0742743415084681</v>
      </c>
      <c r="AA475" s="18">
        <f t="shared" si="556"/>
        <v>1.6764111272591082</v>
      </c>
      <c r="AB475" s="18">
        <f t="shared" si="556"/>
        <v>4.4944758722572846</v>
      </c>
      <c r="AC475" s="18">
        <f t="shared" si="556"/>
        <v>0.84083284820394977</v>
      </c>
      <c r="AD475" s="56">
        <f t="shared" si="570"/>
        <v>6</v>
      </c>
      <c r="AF475" s="18">
        <f t="shared" si="557"/>
        <v>6.5218897258418309</v>
      </c>
      <c r="AG475" s="18">
        <f t="shared" si="557"/>
        <v>1.6989072710800013</v>
      </c>
      <c r="AH475" s="18">
        <f t="shared" si="557"/>
        <v>1.9549724623214713</v>
      </c>
      <c r="AI475" s="18">
        <f t="shared" si="557"/>
        <v>1.1169640416744677</v>
      </c>
      <c r="AJ475" s="18">
        <f t="shared" si="557"/>
        <v>4.2637167075508753</v>
      </c>
      <c r="AK475" s="18">
        <f t="shared" si="557"/>
        <v>0.28852495135794587</v>
      </c>
      <c r="AL475" s="56">
        <f t="shared" si="571"/>
        <v>6</v>
      </c>
      <c r="AN475" s="18">
        <f t="shared" si="558"/>
        <v>6.5218897258418309</v>
      </c>
      <c r="AO475" s="18">
        <f t="shared" si="558"/>
        <v>1.6546942247540559</v>
      </c>
      <c r="AP475" s="18">
        <f t="shared" si="558"/>
        <v>1.9274430415309654</v>
      </c>
      <c r="AQ475" s="18">
        <f t="shared" si="558"/>
        <v>1.1174127294656366</v>
      </c>
      <c r="AR475" s="18">
        <f t="shared" si="558"/>
        <v>4.2637167075508753</v>
      </c>
      <c r="AS475" s="18">
        <f t="shared" si="558"/>
        <v>0.28871770845516764</v>
      </c>
      <c r="AT475" s="56">
        <f t="shared" si="572"/>
        <v>6</v>
      </c>
      <c r="AV475" s="18">
        <f t="shared" si="559"/>
        <v>6.5218897258418309</v>
      </c>
      <c r="AW475" s="18">
        <f t="shared" si="559"/>
        <v>1.6226756336178634</v>
      </c>
      <c r="AX475" s="18">
        <f t="shared" si="559"/>
        <v>1.9274430415309654</v>
      </c>
      <c r="AY475" s="18">
        <f t="shared" si="559"/>
        <v>1.1174127294656366</v>
      </c>
      <c r="AZ475" s="18">
        <f t="shared" si="559"/>
        <v>4.2637167075508753</v>
      </c>
      <c r="BA475" s="18">
        <f t="shared" si="559"/>
        <v>0.29791496532592565</v>
      </c>
      <c r="BB475" s="56">
        <f t="shared" si="573"/>
        <v>6</v>
      </c>
      <c r="BD475" s="18">
        <f t="shared" si="560"/>
        <v>6.5218897258418309</v>
      </c>
      <c r="BE475" s="18">
        <f t="shared" si="560"/>
        <v>1.5917244171497622</v>
      </c>
      <c r="BF475" s="18">
        <f t="shared" si="560"/>
        <v>1.9274430415309654</v>
      </c>
      <c r="BG475" s="18">
        <f t="shared" si="560"/>
        <v>1.1174127294656366</v>
      </c>
      <c r="BH475" s="18">
        <f t="shared" si="560"/>
        <v>4.2637167075508753</v>
      </c>
      <c r="BI475" s="18">
        <f t="shared" si="560"/>
        <v>0.30964092222952683</v>
      </c>
      <c r="BJ475" s="56">
        <f t="shared" si="574"/>
        <v>6</v>
      </c>
      <c r="BL475" s="18">
        <f t="shared" si="561"/>
        <v>6.5218897258418309</v>
      </c>
      <c r="BM475" s="18">
        <f t="shared" si="561"/>
        <v>1.5917244171497622</v>
      </c>
      <c r="BN475" s="18">
        <f t="shared" si="561"/>
        <v>1.9274430415309654</v>
      </c>
      <c r="BO475" s="18">
        <f t="shared" si="561"/>
        <v>1.1174127294656366</v>
      </c>
      <c r="BP475" s="18">
        <f t="shared" si="561"/>
        <v>4.2637167075508753</v>
      </c>
      <c r="BQ475" s="18">
        <f t="shared" si="561"/>
        <v>0.30964092222952683</v>
      </c>
      <c r="BR475" s="56">
        <f t="shared" si="575"/>
        <v>6</v>
      </c>
      <c r="BT475" s="18">
        <f t="shared" si="562"/>
        <v>6.5218897258418309</v>
      </c>
      <c r="BU475" s="18">
        <f t="shared" si="562"/>
        <v>1.5917244171497622</v>
      </c>
      <c r="BV475" s="18">
        <f t="shared" si="562"/>
        <v>1.9274430415309654</v>
      </c>
      <c r="BW475" s="18">
        <f t="shared" si="562"/>
        <v>1.1174127294656366</v>
      </c>
      <c r="BX475" s="18">
        <f t="shared" si="562"/>
        <v>4.2637167075508753</v>
      </c>
      <c r="BY475" s="18">
        <f t="shared" si="562"/>
        <v>0.30964092222952683</v>
      </c>
      <c r="BZ475" s="56">
        <f t="shared" si="576"/>
        <v>6</v>
      </c>
      <c r="CB475" s="18">
        <f t="shared" si="563"/>
        <v>6.5218897258418309</v>
      </c>
      <c r="CC475" s="18">
        <f t="shared" si="563"/>
        <v>1.5917244171497622</v>
      </c>
      <c r="CD475" s="18">
        <f t="shared" si="563"/>
        <v>1.9274430415309654</v>
      </c>
      <c r="CE475" s="18">
        <f t="shared" si="563"/>
        <v>1.1174127294656366</v>
      </c>
      <c r="CF475" s="18">
        <f t="shared" si="563"/>
        <v>4.2637167075508753</v>
      </c>
      <c r="CG475" s="18">
        <f t="shared" si="563"/>
        <v>0.30964092222952683</v>
      </c>
      <c r="CH475" s="56">
        <f t="shared" si="577"/>
        <v>6</v>
      </c>
      <c r="CJ475" s="18">
        <f t="shared" si="564"/>
        <v>6.5218897258418309</v>
      </c>
      <c r="CK475" s="18">
        <f t="shared" si="564"/>
        <v>1.5917244171497622</v>
      </c>
      <c r="CL475" s="18">
        <f t="shared" si="564"/>
        <v>1.9274430415309654</v>
      </c>
      <c r="CM475" s="18">
        <f t="shared" si="564"/>
        <v>1.1174127294656366</v>
      </c>
      <c r="CN475" s="18">
        <f t="shared" si="564"/>
        <v>4.2637167075508753</v>
      </c>
      <c r="CO475" s="18">
        <f t="shared" si="564"/>
        <v>0.30964092222952683</v>
      </c>
      <c r="CP475" s="56">
        <f t="shared" si="578"/>
        <v>6</v>
      </c>
      <c r="CR475" s="18">
        <f t="shared" si="565"/>
        <v>6.5218897258418309</v>
      </c>
      <c r="CS475" s="18">
        <f t="shared" si="565"/>
        <v>1.5917244171497622</v>
      </c>
      <c r="CT475" s="18">
        <f t="shared" si="565"/>
        <v>1.9274430415309654</v>
      </c>
      <c r="CU475" s="18">
        <f t="shared" si="565"/>
        <v>1.1174127294656366</v>
      </c>
      <c r="CV475" s="18">
        <f t="shared" si="565"/>
        <v>4.2637167075508753</v>
      </c>
      <c r="CW475" s="18">
        <f t="shared" si="565"/>
        <v>0.30964092222952683</v>
      </c>
      <c r="CX475" s="56">
        <f t="shared" si="579"/>
        <v>6</v>
      </c>
      <c r="CZ475" s="18">
        <f t="shared" si="566"/>
        <v>6.5218897258418309</v>
      </c>
      <c r="DA475" s="18">
        <f t="shared" si="566"/>
        <v>1.5917244171497622</v>
      </c>
      <c r="DB475" s="18">
        <f t="shared" si="566"/>
        <v>1.9274430415309654</v>
      </c>
      <c r="DC475" s="18">
        <f t="shared" si="566"/>
        <v>1.1174127294656366</v>
      </c>
      <c r="DD475" s="18">
        <f t="shared" si="566"/>
        <v>4.2637167075508753</v>
      </c>
      <c r="DE475" s="18">
        <f t="shared" si="566"/>
        <v>0.30964092222952683</v>
      </c>
      <c r="DF475" s="56">
        <f t="shared" si="580"/>
        <v>6</v>
      </c>
      <c r="DH475" s="18">
        <f t="shared" si="567"/>
        <v>6.5218897258418309</v>
      </c>
      <c r="DI475" s="18">
        <f t="shared" si="567"/>
        <v>1.5917244171497622</v>
      </c>
      <c r="DJ475" s="18">
        <f t="shared" si="567"/>
        <v>1.9274430415309654</v>
      </c>
      <c r="DK475" s="18">
        <f t="shared" si="567"/>
        <v>1.1174127294656366</v>
      </c>
      <c r="DL475" s="18">
        <f t="shared" si="567"/>
        <v>4.2637167075508753</v>
      </c>
      <c r="DM475" s="18">
        <f t="shared" si="567"/>
        <v>0.30964092222952683</v>
      </c>
      <c r="DN475" s="56">
        <f t="shared" si="581"/>
        <v>6</v>
      </c>
    </row>
    <row r="476" spans="1:118" x14ac:dyDescent="0.25">
      <c r="A476" s="36" t="str">
        <f>KMeans_Data!A73</f>
        <v>Sujawal</v>
      </c>
      <c r="B476" s="18">
        <f>KMeans_Data!H73</f>
        <v>-0.21462381690636909</v>
      </c>
      <c r="C476" s="18">
        <f>KMeans_Data!I73</f>
        <v>-0.67265054538827607</v>
      </c>
      <c r="D476" s="18">
        <f>KMeans_Data!J73</f>
        <v>0.1092417215824385</v>
      </c>
      <c r="E476" s="56">
        <f t="shared" si="568"/>
        <v>6</v>
      </c>
      <c r="F476" s="38">
        <f t="shared" si="569"/>
        <v>0.10892586378180234</v>
      </c>
      <c r="G476" s="18">
        <f>IF(COUNTIF(Distance_Matrix!$E$12:$DQ$12,$E476)&lt;=1,0,SUMIF(Distance_Matrix!$E$12:$DQ$12,$E476,Distance_Matrix!$E$82:$DQ$82)/(COUNTIF(Distance_Matrix!$E$12:$DQ$12,$E476)-1))</f>
        <v>0.67675828848737396</v>
      </c>
      <c r="H476" s="18">
        <f>MIN(IF(1=$E476,1E+99,IF(COUNTIF(Distance_Matrix!$E$12:$DQ$12,1)=0,1E+99,SUMIF(Distance_Matrix!$E$12:$DQ$12,1,Distance_Matrix!$E$82:$DQ$82)/COUNTIF(Distance_Matrix!$E$12:$DQ$12,1))),IF(2=$E476,1E+99,IF(COUNTIF(Distance_Matrix!$E$12:$DQ$12,2)=0,1E+99,SUMIF(Distance_Matrix!$E$12:$DQ$12,2,Distance_Matrix!$E$82:$DQ$82)/COUNTIF(Distance_Matrix!$E$12:$DQ$12,2))),IF(3=$E476,1E+99,IF(COUNTIF(Distance_Matrix!$E$12:$DQ$12,3)=0,1E+99,SUMIF(Distance_Matrix!$E$12:$DQ$12,3,Distance_Matrix!$E$82:$DQ$82)/COUNTIF(Distance_Matrix!$E$12:$DQ$12,3))),IF(4=$E476,1E+99,IF(COUNTIF(Distance_Matrix!$E$12:$DQ$12,4)=0,1E+99,SUMIF(Distance_Matrix!$E$12:$DQ$12,4,Distance_Matrix!$E$82:$DQ$82)/COUNTIF(Distance_Matrix!$E$12:$DQ$12,4))),IF(5=$E476,1E+99,IF(COUNTIF(Distance_Matrix!$E$12:$DQ$12,5)=0,1E+99,SUMIF(Distance_Matrix!$E$12:$DQ$12,5,Distance_Matrix!$E$82:$DQ$82)/COUNTIF(Distance_Matrix!$E$12:$DQ$12,5))),IF(6=$E476,1E+99,IF(COUNTIF(Distance_Matrix!$E$12:$DQ$12,6)=0,1E+99,SUMIF(Distance_Matrix!$E$12:$DQ$12,6,Distance_Matrix!$E$82:$DQ$82)/COUNTIF(Distance_Matrix!$E$12:$DQ$12,6))))</f>
        <v>1.1553677023985487</v>
      </c>
      <c r="I476" s="18">
        <f>IF(COUNTIF(Distance_Matrix!$E$12:$DQ$12,$E476)&lt;=1,0,(H476-G476)/MAX(G476,H476))</f>
        <v>0.41424856599122462</v>
      </c>
      <c r="X476" s="18">
        <f t="shared" si="556"/>
        <v>6.6522414095383775</v>
      </c>
      <c r="Y476" s="18">
        <f t="shared" si="556"/>
        <v>2.2479744914703566</v>
      </c>
      <c r="Z476" s="18">
        <f t="shared" si="556"/>
        <v>2.1273163768296945</v>
      </c>
      <c r="AA476" s="18">
        <f t="shared" si="556"/>
        <v>1.6097128339429374</v>
      </c>
      <c r="AB476" s="18">
        <f t="shared" si="556"/>
        <v>4.5360311964205255</v>
      </c>
      <c r="AC476" s="18">
        <f t="shared" si="556"/>
        <v>0.88747085342916154</v>
      </c>
      <c r="AD476" s="56">
        <f t="shared" si="570"/>
        <v>6</v>
      </c>
      <c r="AF476" s="18">
        <f t="shared" si="557"/>
        <v>6.5582561913432311</v>
      </c>
      <c r="AG476" s="18">
        <f t="shared" si="557"/>
        <v>1.635715918840853</v>
      </c>
      <c r="AH476" s="18">
        <f t="shared" si="557"/>
        <v>1.9889805352932326</v>
      </c>
      <c r="AI476" s="18">
        <f t="shared" si="557"/>
        <v>1.0380062689454355</v>
      </c>
      <c r="AJ476" s="18">
        <f t="shared" si="557"/>
        <v>4.2960232375305392</v>
      </c>
      <c r="AK476" s="18">
        <f t="shared" si="557"/>
        <v>0.29435484922289867</v>
      </c>
      <c r="AL476" s="56">
        <f t="shared" si="571"/>
        <v>6</v>
      </c>
      <c r="AN476" s="18">
        <f t="shared" si="558"/>
        <v>6.5582561913432311</v>
      </c>
      <c r="AO476" s="18">
        <f t="shared" si="558"/>
        <v>1.5908987254299849</v>
      </c>
      <c r="AP476" s="18">
        <f t="shared" si="558"/>
        <v>1.9612698572520482</v>
      </c>
      <c r="AQ476" s="18">
        <f t="shared" si="558"/>
        <v>1.0380133852862956</v>
      </c>
      <c r="AR476" s="18">
        <f t="shared" si="558"/>
        <v>4.2960232375305392</v>
      </c>
      <c r="AS476" s="18">
        <f t="shared" si="558"/>
        <v>0.30096284444769</v>
      </c>
      <c r="AT476" s="56">
        <f t="shared" si="572"/>
        <v>6</v>
      </c>
      <c r="AV476" s="18">
        <f t="shared" si="559"/>
        <v>6.5582561913432311</v>
      </c>
      <c r="AW476" s="18">
        <f t="shared" si="559"/>
        <v>1.5589748411109157</v>
      </c>
      <c r="AX476" s="18">
        <f t="shared" si="559"/>
        <v>1.9612698572520482</v>
      </c>
      <c r="AY476" s="18">
        <f t="shared" si="559"/>
        <v>1.0380133852862956</v>
      </c>
      <c r="AZ476" s="18">
        <f t="shared" si="559"/>
        <v>4.2960232375305392</v>
      </c>
      <c r="BA476" s="18">
        <f t="shared" si="559"/>
        <v>0.31466787257454781</v>
      </c>
      <c r="BB476" s="56">
        <f t="shared" si="573"/>
        <v>6</v>
      </c>
      <c r="BD476" s="18">
        <f t="shared" si="560"/>
        <v>6.5582561913432311</v>
      </c>
      <c r="BE476" s="18">
        <f t="shared" si="560"/>
        <v>1.5282335480050224</v>
      </c>
      <c r="BF476" s="18">
        <f t="shared" si="560"/>
        <v>1.9612698572520482</v>
      </c>
      <c r="BG476" s="18">
        <f t="shared" si="560"/>
        <v>1.0380133852862956</v>
      </c>
      <c r="BH476" s="18">
        <f t="shared" si="560"/>
        <v>4.2960232375305392</v>
      </c>
      <c r="BI476" s="18">
        <f t="shared" si="560"/>
        <v>0.33003918522169812</v>
      </c>
      <c r="BJ476" s="56">
        <f t="shared" si="574"/>
        <v>6</v>
      </c>
      <c r="BL476" s="18">
        <f t="shared" si="561"/>
        <v>6.5582561913432311</v>
      </c>
      <c r="BM476" s="18">
        <f t="shared" si="561"/>
        <v>1.5282335480050224</v>
      </c>
      <c r="BN476" s="18">
        <f t="shared" si="561"/>
        <v>1.9612698572520482</v>
      </c>
      <c r="BO476" s="18">
        <f t="shared" si="561"/>
        <v>1.0380133852862956</v>
      </c>
      <c r="BP476" s="18">
        <f t="shared" si="561"/>
        <v>4.2960232375305392</v>
      </c>
      <c r="BQ476" s="18">
        <f t="shared" si="561"/>
        <v>0.33003918522169812</v>
      </c>
      <c r="BR476" s="56">
        <f t="shared" si="575"/>
        <v>6</v>
      </c>
      <c r="BT476" s="18">
        <f t="shared" si="562"/>
        <v>6.5582561913432311</v>
      </c>
      <c r="BU476" s="18">
        <f t="shared" si="562"/>
        <v>1.5282335480050224</v>
      </c>
      <c r="BV476" s="18">
        <f t="shared" si="562"/>
        <v>1.9612698572520482</v>
      </c>
      <c r="BW476" s="18">
        <f t="shared" si="562"/>
        <v>1.0380133852862956</v>
      </c>
      <c r="BX476" s="18">
        <f t="shared" si="562"/>
        <v>4.2960232375305392</v>
      </c>
      <c r="BY476" s="18">
        <f t="shared" si="562"/>
        <v>0.33003918522169812</v>
      </c>
      <c r="BZ476" s="56">
        <f t="shared" si="576"/>
        <v>6</v>
      </c>
      <c r="CB476" s="18">
        <f t="shared" si="563"/>
        <v>6.5582561913432311</v>
      </c>
      <c r="CC476" s="18">
        <f t="shared" si="563"/>
        <v>1.5282335480050224</v>
      </c>
      <c r="CD476" s="18">
        <f t="shared" si="563"/>
        <v>1.9612698572520482</v>
      </c>
      <c r="CE476" s="18">
        <f t="shared" si="563"/>
        <v>1.0380133852862956</v>
      </c>
      <c r="CF476" s="18">
        <f t="shared" si="563"/>
        <v>4.2960232375305392</v>
      </c>
      <c r="CG476" s="18">
        <f t="shared" si="563"/>
        <v>0.33003918522169812</v>
      </c>
      <c r="CH476" s="56">
        <f t="shared" si="577"/>
        <v>6</v>
      </c>
      <c r="CJ476" s="18">
        <f t="shared" si="564"/>
        <v>6.5582561913432311</v>
      </c>
      <c r="CK476" s="18">
        <f t="shared" si="564"/>
        <v>1.5282335480050224</v>
      </c>
      <c r="CL476" s="18">
        <f t="shared" si="564"/>
        <v>1.9612698572520482</v>
      </c>
      <c r="CM476" s="18">
        <f t="shared" si="564"/>
        <v>1.0380133852862956</v>
      </c>
      <c r="CN476" s="18">
        <f t="shared" si="564"/>
        <v>4.2960232375305392</v>
      </c>
      <c r="CO476" s="18">
        <f t="shared" si="564"/>
        <v>0.33003918522169812</v>
      </c>
      <c r="CP476" s="56">
        <f t="shared" si="578"/>
        <v>6</v>
      </c>
      <c r="CR476" s="18">
        <f t="shared" si="565"/>
        <v>6.5582561913432311</v>
      </c>
      <c r="CS476" s="18">
        <f t="shared" si="565"/>
        <v>1.5282335480050224</v>
      </c>
      <c r="CT476" s="18">
        <f t="shared" si="565"/>
        <v>1.9612698572520482</v>
      </c>
      <c r="CU476" s="18">
        <f t="shared" si="565"/>
        <v>1.0380133852862956</v>
      </c>
      <c r="CV476" s="18">
        <f t="shared" si="565"/>
        <v>4.2960232375305392</v>
      </c>
      <c r="CW476" s="18">
        <f t="shared" si="565"/>
        <v>0.33003918522169812</v>
      </c>
      <c r="CX476" s="56">
        <f t="shared" si="579"/>
        <v>6</v>
      </c>
      <c r="CZ476" s="18">
        <f t="shared" si="566"/>
        <v>6.5582561913432311</v>
      </c>
      <c r="DA476" s="18">
        <f t="shared" si="566"/>
        <v>1.5282335480050224</v>
      </c>
      <c r="DB476" s="18">
        <f t="shared" si="566"/>
        <v>1.9612698572520482</v>
      </c>
      <c r="DC476" s="18">
        <f t="shared" si="566"/>
        <v>1.0380133852862956</v>
      </c>
      <c r="DD476" s="18">
        <f t="shared" si="566"/>
        <v>4.2960232375305392</v>
      </c>
      <c r="DE476" s="18">
        <f t="shared" si="566"/>
        <v>0.33003918522169812</v>
      </c>
      <c r="DF476" s="56">
        <f t="shared" si="580"/>
        <v>6</v>
      </c>
      <c r="DH476" s="18">
        <f t="shared" si="567"/>
        <v>6.5582561913432311</v>
      </c>
      <c r="DI476" s="18">
        <f t="shared" si="567"/>
        <v>1.5282335480050224</v>
      </c>
      <c r="DJ476" s="18">
        <f t="shared" si="567"/>
        <v>1.9612698572520482</v>
      </c>
      <c r="DK476" s="18">
        <f t="shared" si="567"/>
        <v>1.0380133852862956</v>
      </c>
      <c r="DL476" s="18">
        <f t="shared" si="567"/>
        <v>4.2960232375305392</v>
      </c>
      <c r="DM476" s="18">
        <f t="shared" si="567"/>
        <v>0.33003918522169812</v>
      </c>
      <c r="DN476" s="56">
        <f t="shared" si="581"/>
        <v>6</v>
      </c>
    </row>
    <row r="477" spans="1:118" x14ac:dyDescent="0.25">
      <c r="A477" s="36" t="str">
        <f>KMeans_Data!A74</f>
        <v>Laiya</v>
      </c>
      <c r="B477" s="18">
        <f>KMeans_Data!H74</f>
        <v>-0.25991062981783247</v>
      </c>
      <c r="C477" s="18">
        <f>KMeans_Data!I74</f>
        <v>-0.67265054538827607</v>
      </c>
      <c r="D477" s="18">
        <f>KMeans_Data!J74</f>
        <v>-1.1456441163335547</v>
      </c>
      <c r="E477" s="56">
        <f t="shared" si="568"/>
        <v>4</v>
      </c>
      <c r="F477" s="38">
        <f t="shared" si="569"/>
        <v>0.25027493334616718</v>
      </c>
      <c r="G477" s="18">
        <f>IF(COUNTIF(Distance_Matrix!$E$12:$DQ$12,$E477)&lt;=1,0,SUMIF(Distance_Matrix!$E$12:$DQ$12,$E477,Distance_Matrix!$E$83:$DQ$83)/(COUNTIF(Distance_Matrix!$E$12:$DQ$12,$E477)-1))</f>
        <v>0.66279901805480224</v>
      </c>
      <c r="H477" s="18">
        <f>MIN(IF(1=$E477,1E+99,IF(COUNTIF(Distance_Matrix!$E$12:$DQ$12,1)=0,1E+99,SUMIF(Distance_Matrix!$E$12:$DQ$12,1,Distance_Matrix!$E$83:$DQ$83)/COUNTIF(Distance_Matrix!$E$12:$DQ$12,1))),IF(2=$E477,1E+99,IF(COUNTIF(Distance_Matrix!$E$12:$DQ$12,2)=0,1E+99,SUMIF(Distance_Matrix!$E$12:$DQ$12,2,Distance_Matrix!$E$83:$DQ$83)/COUNTIF(Distance_Matrix!$E$12:$DQ$12,2))),IF(3=$E477,1E+99,IF(COUNTIF(Distance_Matrix!$E$12:$DQ$12,3)=0,1E+99,SUMIF(Distance_Matrix!$E$12:$DQ$12,3,Distance_Matrix!$E$83:$DQ$83)/COUNTIF(Distance_Matrix!$E$12:$DQ$12,3))),IF(4=$E477,1E+99,IF(COUNTIF(Distance_Matrix!$E$12:$DQ$12,4)=0,1E+99,SUMIF(Distance_Matrix!$E$12:$DQ$12,4,Distance_Matrix!$E$83:$DQ$83)/COUNTIF(Distance_Matrix!$E$12:$DQ$12,4))),IF(5=$E477,1E+99,IF(COUNTIF(Distance_Matrix!$E$12:$DQ$12,5)=0,1E+99,SUMIF(Distance_Matrix!$E$12:$DQ$12,5,Distance_Matrix!$E$83:$DQ$83)/COUNTIF(Distance_Matrix!$E$12:$DQ$12,5))),IF(6=$E477,1E+99,IF(COUNTIF(Distance_Matrix!$E$12:$DQ$12,6)=0,1E+99,SUMIF(Distance_Matrix!$E$12:$DQ$12,6,Distance_Matrix!$E$83:$DQ$83)/COUNTIF(Distance_Matrix!$E$12:$DQ$12,6))))</f>
        <v>1.0406580096058233</v>
      </c>
      <c r="I477" s="18">
        <f>IF(COUNTIF(Distance_Matrix!$E$12:$DQ$12,$E477)&lt;=1,0,(H477-G477)/MAX(G477,H477))</f>
        <v>0.36309622187422086</v>
      </c>
      <c r="X477" s="18">
        <f t="shared" si="556"/>
        <v>7.3508166372041472</v>
      </c>
      <c r="Y477" s="18">
        <f t="shared" si="556"/>
        <v>1.8198273519854962</v>
      </c>
      <c r="Z477" s="18">
        <f t="shared" si="556"/>
        <v>3.1035249453598421</v>
      </c>
      <c r="AA477" s="18">
        <f t="shared" si="556"/>
        <v>1.0470950502629917</v>
      </c>
      <c r="AB477" s="18">
        <f t="shared" si="556"/>
        <v>5.2977231798605464</v>
      </c>
      <c r="AC477" s="18">
        <f t="shared" si="556"/>
        <v>1.9034507423193643</v>
      </c>
      <c r="AD477" s="56">
        <f t="shared" si="570"/>
        <v>4</v>
      </c>
      <c r="AF477" s="18">
        <f t="shared" si="557"/>
        <v>7.2162160511051239</v>
      </c>
      <c r="AG477" s="18">
        <f t="shared" si="557"/>
        <v>1.0622364336452055</v>
      </c>
      <c r="AH477" s="18">
        <f t="shared" si="557"/>
        <v>2.7785306682809034</v>
      </c>
      <c r="AI477" s="18">
        <f t="shared" si="557"/>
        <v>0.51521172810235338</v>
      </c>
      <c r="AJ477" s="18">
        <f t="shared" si="557"/>
        <v>4.9452117783464749</v>
      </c>
      <c r="AK477" s="18">
        <f t="shared" si="557"/>
        <v>1.3473601046674775</v>
      </c>
      <c r="AL477" s="56">
        <f t="shared" si="571"/>
        <v>4</v>
      </c>
      <c r="AN477" s="18">
        <f t="shared" si="558"/>
        <v>7.2162160511051239</v>
      </c>
      <c r="AO477" s="18">
        <f t="shared" si="558"/>
        <v>1.0208078166112284</v>
      </c>
      <c r="AP477" s="18">
        <f t="shared" si="558"/>
        <v>2.7513427434844377</v>
      </c>
      <c r="AQ477" s="18">
        <f t="shared" si="558"/>
        <v>0.50027485779935732</v>
      </c>
      <c r="AR477" s="18">
        <f t="shared" si="558"/>
        <v>4.9452117783464749</v>
      </c>
      <c r="AS477" s="18">
        <f t="shared" si="558"/>
        <v>1.3710169533014913</v>
      </c>
      <c r="AT477" s="56">
        <f t="shared" si="572"/>
        <v>4</v>
      </c>
      <c r="AV477" s="18">
        <f t="shared" si="559"/>
        <v>7.2162160511051239</v>
      </c>
      <c r="AW477" s="18">
        <f t="shared" si="559"/>
        <v>1.0041264932584406</v>
      </c>
      <c r="AX477" s="18">
        <f t="shared" si="559"/>
        <v>2.7513427434844377</v>
      </c>
      <c r="AY477" s="18">
        <f t="shared" si="559"/>
        <v>0.50027485779935732</v>
      </c>
      <c r="AZ477" s="18">
        <f t="shared" si="559"/>
        <v>4.9452117783464749</v>
      </c>
      <c r="BA477" s="18">
        <f t="shared" si="559"/>
        <v>1.3909874065685017</v>
      </c>
      <c r="BB477" s="56">
        <f t="shared" si="573"/>
        <v>4</v>
      </c>
      <c r="BD477" s="18">
        <f t="shared" si="560"/>
        <v>7.2162160511051239</v>
      </c>
      <c r="BE477" s="18">
        <f t="shared" si="560"/>
        <v>0.99141202946853701</v>
      </c>
      <c r="BF477" s="18">
        <f t="shared" si="560"/>
        <v>2.7513427434844377</v>
      </c>
      <c r="BG477" s="18">
        <f t="shared" si="560"/>
        <v>0.50027485779935732</v>
      </c>
      <c r="BH477" s="18">
        <f t="shared" si="560"/>
        <v>4.9452117783464749</v>
      </c>
      <c r="BI477" s="18">
        <f t="shared" si="560"/>
        <v>1.4099287856579088</v>
      </c>
      <c r="BJ477" s="56">
        <f t="shared" si="574"/>
        <v>4</v>
      </c>
      <c r="BL477" s="18">
        <f t="shared" si="561"/>
        <v>7.2162160511051239</v>
      </c>
      <c r="BM477" s="18">
        <f t="shared" si="561"/>
        <v>0.99141202946853701</v>
      </c>
      <c r="BN477" s="18">
        <f t="shared" si="561"/>
        <v>2.7513427434844377</v>
      </c>
      <c r="BO477" s="18">
        <f t="shared" si="561"/>
        <v>0.50027485779935732</v>
      </c>
      <c r="BP477" s="18">
        <f t="shared" si="561"/>
        <v>4.9452117783464749</v>
      </c>
      <c r="BQ477" s="18">
        <f t="shared" si="561"/>
        <v>1.4099287856579088</v>
      </c>
      <c r="BR477" s="56">
        <f t="shared" si="575"/>
        <v>4</v>
      </c>
      <c r="BT477" s="18">
        <f t="shared" si="562"/>
        <v>7.2162160511051239</v>
      </c>
      <c r="BU477" s="18">
        <f t="shared" si="562"/>
        <v>0.99141202946853701</v>
      </c>
      <c r="BV477" s="18">
        <f t="shared" si="562"/>
        <v>2.7513427434844377</v>
      </c>
      <c r="BW477" s="18">
        <f t="shared" si="562"/>
        <v>0.50027485779935732</v>
      </c>
      <c r="BX477" s="18">
        <f t="shared" si="562"/>
        <v>4.9452117783464749</v>
      </c>
      <c r="BY477" s="18">
        <f t="shared" si="562"/>
        <v>1.4099287856579088</v>
      </c>
      <c r="BZ477" s="56">
        <f t="shared" si="576"/>
        <v>4</v>
      </c>
      <c r="CB477" s="18">
        <f t="shared" si="563"/>
        <v>7.2162160511051239</v>
      </c>
      <c r="CC477" s="18">
        <f t="shared" si="563"/>
        <v>0.99141202946853701</v>
      </c>
      <c r="CD477" s="18">
        <f t="shared" si="563"/>
        <v>2.7513427434844377</v>
      </c>
      <c r="CE477" s="18">
        <f t="shared" si="563"/>
        <v>0.50027485779935732</v>
      </c>
      <c r="CF477" s="18">
        <f t="shared" si="563"/>
        <v>4.9452117783464749</v>
      </c>
      <c r="CG477" s="18">
        <f t="shared" si="563"/>
        <v>1.4099287856579088</v>
      </c>
      <c r="CH477" s="56">
        <f t="shared" si="577"/>
        <v>4</v>
      </c>
      <c r="CJ477" s="18">
        <f t="shared" si="564"/>
        <v>7.2162160511051239</v>
      </c>
      <c r="CK477" s="18">
        <f t="shared" si="564"/>
        <v>0.99141202946853701</v>
      </c>
      <c r="CL477" s="18">
        <f t="shared" si="564"/>
        <v>2.7513427434844377</v>
      </c>
      <c r="CM477" s="18">
        <f t="shared" si="564"/>
        <v>0.50027485779935732</v>
      </c>
      <c r="CN477" s="18">
        <f t="shared" si="564"/>
        <v>4.9452117783464749</v>
      </c>
      <c r="CO477" s="18">
        <f t="shared" si="564"/>
        <v>1.4099287856579088</v>
      </c>
      <c r="CP477" s="56">
        <f t="shared" si="578"/>
        <v>4</v>
      </c>
      <c r="CR477" s="18">
        <f t="shared" si="565"/>
        <v>7.2162160511051239</v>
      </c>
      <c r="CS477" s="18">
        <f t="shared" si="565"/>
        <v>0.99141202946853701</v>
      </c>
      <c r="CT477" s="18">
        <f t="shared" si="565"/>
        <v>2.7513427434844377</v>
      </c>
      <c r="CU477" s="18">
        <f t="shared" si="565"/>
        <v>0.50027485779935732</v>
      </c>
      <c r="CV477" s="18">
        <f t="shared" si="565"/>
        <v>4.9452117783464749</v>
      </c>
      <c r="CW477" s="18">
        <f t="shared" si="565"/>
        <v>1.4099287856579088</v>
      </c>
      <c r="CX477" s="56">
        <f t="shared" si="579"/>
        <v>4</v>
      </c>
      <c r="CZ477" s="18">
        <f t="shared" si="566"/>
        <v>7.2162160511051239</v>
      </c>
      <c r="DA477" s="18">
        <f t="shared" si="566"/>
        <v>0.99141202946853701</v>
      </c>
      <c r="DB477" s="18">
        <f t="shared" si="566"/>
        <v>2.7513427434844377</v>
      </c>
      <c r="DC477" s="18">
        <f t="shared" si="566"/>
        <v>0.50027485779935732</v>
      </c>
      <c r="DD477" s="18">
        <f t="shared" si="566"/>
        <v>4.9452117783464749</v>
      </c>
      <c r="DE477" s="18">
        <f t="shared" si="566"/>
        <v>1.4099287856579088</v>
      </c>
      <c r="DF477" s="56">
        <f t="shared" si="580"/>
        <v>4</v>
      </c>
      <c r="DH477" s="18">
        <f t="shared" si="567"/>
        <v>7.2162160511051239</v>
      </c>
      <c r="DI477" s="18">
        <f t="shared" si="567"/>
        <v>0.99141202946853701</v>
      </c>
      <c r="DJ477" s="18">
        <f t="shared" si="567"/>
        <v>2.7513427434844377</v>
      </c>
      <c r="DK477" s="18">
        <f t="shared" si="567"/>
        <v>0.50027485779935732</v>
      </c>
      <c r="DL477" s="18">
        <f t="shared" si="567"/>
        <v>4.9452117783464749</v>
      </c>
      <c r="DM477" s="18">
        <f t="shared" si="567"/>
        <v>1.4099287856579088</v>
      </c>
      <c r="DN477" s="56">
        <f t="shared" si="581"/>
        <v>4</v>
      </c>
    </row>
    <row r="478" spans="1:118" x14ac:dyDescent="0.25">
      <c r="A478" s="36" t="str">
        <f>KMeans_Data!A75</f>
        <v>Shigar</v>
      </c>
      <c r="B478" s="18">
        <f>KMeans_Data!H75</f>
        <v>-0.27592635554508732</v>
      </c>
      <c r="C478" s="18">
        <f>KMeans_Data!I75</f>
        <v>-0.67265054538827607</v>
      </c>
      <c r="D478" s="18">
        <f>KMeans_Data!J75</f>
        <v>0.2867168485915767</v>
      </c>
      <c r="E478" s="56">
        <f t="shared" si="568"/>
        <v>6</v>
      </c>
      <c r="F478" s="38">
        <f t="shared" si="569"/>
        <v>0.10496383272361041</v>
      </c>
      <c r="G478" s="18">
        <f>IF(COUNTIF(Distance_Matrix!$E$12:$DQ$12,$E478)&lt;=1,0,SUMIF(Distance_Matrix!$E$12:$DQ$12,$E478,Distance_Matrix!$E$84:$DQ$84)/(COUNTIF(Distance_Matrix!$E$12:$DQ$12,$E478)-1))</f>
        <v>0.68143026179970545</v>
      </c>
      <c r="H478" s="18">
        <f>MIN(IF(1=$E478,1E+99,IF(COUNTIF(Distance_Matrix!$E$12:$DQ$12,1)=0,1E+99,SUMIF(Distance_Matrix!$E$12:$DQ$12,1,Distance_Matrix!$E$84:$DQ$84)/COUNTIF(Distance_Matrix!$E$12:$DQ$12,1))),IF(2=$E478,1E+99,IF(COUNTIF(Distance_Matrix!$E$12:$DQ$12,2)=0,1E+99,SUMIF(Distance_Matrix!$E$12:$DQ$12,2,Distance_Matrix!$E$84:$DQ$84)/COUNTIF(Distance_Matrix!$E$12:$DQ$12,2))),IF(3=$E478,1E+99,IF(COUNTIF(Distance_Matrix!$E$12:$DQ$12,3)=0,1E+99,SUMIF(Distance_Matrix!$E$12:$DQ$12,3,Distance_Matrix!$E$84:$DQ$84)/COUNTIF(Distance_Matrix!$E$12:$DQ$12,3))),IF(4=$E478,1E+99,IF(COUNTIF(Distance_Matrix!$E$12:$DQ$12,4)=0,1E+99,SUMIF(Distance_Matrix!$E$12:$DQ$12,4,Distance_Matrix!$E$84:$DQ$84)/COUNTIF(Distance_Matrix!$E$12:$DQ$12,4))),IF(5=$E478,1E+99,IF(COUNTIF(Distance_Matrix!$E$12:$DQ$12,5)=0,1E+99,SUMIF(Distance_Matrix!$E$12:$DQ$12,5,Distance_Matrix!$E$84:$DQ$84)/COUNTIF(Distance_Matrix!$E$12:$DQ$12,5))),IF(6=$E478,1E+99,IF(COUNTIF(Distance_Matrix!$E$12:$DQ$12,6)=0,1E+99,SUMIF(Distance_Matrix!$E$12:$DQ$12,6,Distance_Matrix!$E$84:$DQ$84)/COUNTIF(Distance_Matrix!$E$12:$DQ$12,6))))</f>
        <v>1.3266455961603325</v>
      </c>
      <c r="I478" s="18">
        <f>IF(COUNTIF(Distance_Matrix!$E$12:$DQ$12,$E478)&lt;=1,0,(H478-G478)/MAX(G478,H478))</f>
        <v>0.4863509412220211</v>
      </c>
      <c r="X478" s="18">
        <f t="shared" ref="X478:AC487" si="582">SQRT(($B478-X$401)^2+($C478-X$402)^2+($D478-X$403)^2)</f>
        <v>6.6029959991080132</v>
      </c>
      <c r="Y478" s="18">
        <f t="shared" si="582"/>
        <v>2.30334415944853</v>
      </c>
      <c r="Z478" s="18">
        <f t="shared" si="582"/>
        <v>2.0569594071030406</v>
      </c>
      <c r="AA478" s="18">
        <f t="shared" si="582"/>
        <v>1.7825065614331335</v>
      </c>
      <c r="AB478" s="18">
        <f t="shared" si="582"/>
        <v>4.4859513138351801</v>
      </c>
      <c r="AC478" s="18">
        <f t="shared" si="582"/>
        <v>0.76044464287264613</v>
      </c>
      <c r="AD478" s="56">
        <f t="shared" si="570"/>
        <v>6</v>
      </c>
      <c r="AF478" s="18">
        <f t="shared" ref="AF478:AK487" si="583">SQRT(($B478-AF$401)^2+($C478-AF$402)^2+($D478-AF$403)^2)</f>
        <v>6.5159830429963437</v>
      </c>
      <c r="AG478" s="18">
        <f t="shared" si="583"/>
        <v>1.732876387330297</v>
      </c>
      <c r="AH478" s="18">
        <f t="shared" si="583"/>
        <v>1.9532727119536932</v>
      </c>
      <c r="AI478" s="18">
        <f t="shared" si="583"/>
        <v>1.224374232282442</v>
      </c>
      <c r="AJ478" s="18">
        <f t="shared" si="583"/>
        <v>4.2635879601853999</v>
      </c>
      <c r="AK478" s="18">
        <f t="shared" si="583"/>
        <v>0.30595904304839572</v>
      </c>
      <c r="AL478" s="56">
        <f t="shared" si="571"/>
        <v>6</v>
      </c>
      <c r="AN478" s="18">
        <f t="shared" ref="AN478:AS487" si="584">SQRT(($B478-AN$401)^2+($C478-AN$402)^2+($D478-AN$403)^2)</f>
        <v>6.5159830429963437</v>
      </c>
      <c r="AO478" s="18">
        <f t="shared" si="584"/>
        <v>1.6899095523592056</v>
      </c>
      <c r="AP478" s="18">
        <f t="shared" si="584"/>
        <v>1.9255754332516768</v>
      </c>
      <c r="AQ478" s="18">
        <f t="shared" si="584"/>
        <v>1.2249446946548408</v>
      </c>
      <c r="AR478" s="18">
        <f t="shared" si="584"/>
        <v>4.2635879601853999</v>
      </c>
      <c r="AS478" s="18">
        <f t="shared" si="584"/>
        <v>0.30721949533835574</v>
      </c>
      <c r="AT478" s="56">
        <f t="shared" si="572"/>
        <v>6</v>
      </c>
      <c r="AV478" s="18">
        <f t="shared" ref="AV478:BA487" si="585">SQRT(($B478-AV$401)^2+($C478-AV$402)^2+($D478-AV$403)^2)</f>
        <v>6.5159830429963437</v>
      </c>
      <c r="AW478" s="18">
        <f t="shared" si="585"/>
        <v>1.6578160560945001</v>
      </c>
      <c r="AX478" s="18">
        <f t="shared" si="585"/>
        <v>1.9255754332516768</v>
      </c>
      <c r="AY478" s="18">
        <f t="shared" si="585"/>
        <v>1.2249446946548408</v>
      </c>
      <c r="AZ478" s="18">
        <f t="shared" si="585"/>
        <v>4.2635879601853999</v>
      </c>
      <c r="BA478" s="18">
        <f t="shared" si="585"/>
        <v>0.31387359764412204</v>
      </c>
      <c r="BB478" s="56">
        <f t="shared" si="573"/>
        <v>6</v>
      </c>
      <c r="BD478" s="18">
        <f t="shared" ref="BD478:BI487" si="586">SQRT(($B478-BD$401)^2+($C478-BD$402)^2+($D478-BD$403)^2)</f>
        <v>6.5159830429963437</v>
      </c>
      <c r="BE478" s="18">
        <f t="shared" si="586"/>
        <v>1.6265788884525925</v>
      </c>
      <c r="BF478" s="18">
        <f t="shared" si="586"/>
        <v>1.9255754332516768</v>
      </c>
      <c r="BG478" s="18">
        <f t="shared" si="586"/>
        <v>1.2249446946548408</v>
      </c>
      <c r="BH478" s="18">
        <f t="shared" si="586"/>
        <v>4.2635879601853999</v>
      </c>
      <c r="BI478" s="18">
        <f t="shared" si="586"/>
        <v>0.32398122279479474</v>
      </c>
      <c r="BJ478" s="56">
        <f t="shared" si="574"/>
        <v>6</v>
      </c>
      <c r="BL478" s="18">
        <f t="shared" ref="BL478:BQ487" si="587">SQRT(($B478-BL$401)^2+($C478-BL$402)^2+($D478-BL$403)^2)</f>
        <v>6.5159830429963437</v>
      </c>
      <c r="BM478" s="18">
        <f t="shared" si="587"/>
        <v>1.6265788884525925</v>
      </c>
      <c r="BN478" s="18">
        <f t="shared" si="587"/>
        <v>1.9255754332516768</v>
      </c>
      <c r="BO478" s="18">
        <f t="shared" si="587"/>
        <v>1.2249446946548408</v>
      </c>
      <c r="BP478" s="18">
        <f t="shared" si="587"/>
        <v>4.2635879601853999</v>
      </c>
      <c r="BQ478" s="18">
        <f t="shared" si="587"/>
        <v>0.32398122279479474</v>
      </c>
      <c r="BR478" s="56">
        <f t="shared" si="575"/>
        <v>6</v>
      </c>
      <c r="BT478" s="18">
        <f t="shared" ref="BT478:BY487" si="588">SQRT(($B478-BT$401)^2+($C478-BT$402)^2+($D478-BT$403)^2)</f>
        <v>6.5159830429963437</v>
      </c>
      <c r="BU478" s="18">
        <f t="shared" si="588"/>
        <v>1.6265788884525925</v>
      </c>
      <c r="BV478" s="18">
        <f t="shared" si="588"/>
        <v>1.9255754332516768</v>
      </c>
      <c r="BW478" s="18">
        <f t="shared" si="588"/>
        <v>1.2249446946548408</v>
      </c>
      <c r="BX478" s="18">
        <f t="shared" si="588"/>
        <v>4.2635879601853999</v>
      </c>
      <c r="BY478" s="18">
        <f t="shared" si="588"/>
        <v>0.32398122279479474</v>
      </c>
      <c r="BZ478" s="56">
        <f t="shared" si="576"/>
        <v>6</v>
      </c>
      <c r="CB478" s="18">
        <f t="shared" ref="CB478:CG487" si="589">SQRT(($B478-CB$401)^2+($C478-CB$402)^2+($D478-CB$403)^2)</f>
        <v>6.5159830429963437</v>
      </c>
      <c r="CC478" s="18">
        <f t="shared" si="589"/>
        <v>1.6265788884525925</v>
      </c>
      <c r="CD478" s="18">
        <f t="shared" si="589"/>
        <v>1.9255754332516768</v>
      </c>
      <c r="CE478" s="18">
        <f t="shared" si="589"/>
        <v>1.2249446946548408</v>
      </c>
      <c r="CF478" s="18">
        <f t="shared" si="589"/>
        <v>4.2635879601853999</v>
      </c>
      <c r="CG478" s="18">
        <f t="shared" si="589"/>
        <v>0.32398122279479474</v>
      </c>
      <c r="CH478" s="56">
        <f t="shared" si="577"/>
        <v>6</v>
      </c>
      <c r="CJ478" s="18">
        <f t="shared" ref="CJ478:CO487" si="590">SQRT(($B478-CJ$401)^2+($C478-CJ$402)^2+($D478-CJ$403)^2)</f>
        <v>6.5159830429963437</v>
      </c>
      <c r="CK478" s="18">
        <f t="shared" si="590"/>
        <v>1.6265788884525925</v>
      </c>
      <c r="CL478" s="18">
        <f t="shared" si="590"/>
        <v>1.9255754332516768</v>
      </c>
      <c r="CM478" s="18">
        <f t="shared" si="590"/>
        <v>1.2249446946548408</v>
      </c>
      <c r="CN478" s="18">
        <f t="shared" si="590"/>
        <v>4.2635879601853999</v>
      </c>
      <c r="CO478" s="18">
        <f t="shared" si="590"/>
        <v>0.32398122279479474</v>
      </c>
      <c r="CP478" s="56">
        <f t="shared" si="578"/>
        <v>6</v>
      </c>
      <c r="CR478" s="18">
        <f t="shared" ref="CR478:CW487" si="591">SQRT(($B478-CR$401)^2+($C478-CR$402)^2+($D478-CR$403)^2)</f>
        <v>6.5159830429963437</v>
      </c>
      <c r="CS478" s="18">
        <f t="shared" si="591"/>
        <v>1.6265788884525925</v>
      </c>
      <c r="CT478" s="18">
        <f t="shared" si="591"/>
        <v>1.9255754332516768</v>
      </c>
      <c r="CU478" s="18">
        <f t="shared" si="591"/>
        <v>1.2249446946548408</v>
      </c>
      <c r="CV478" s="18">
        <f t="shared" si="591"/>
        <v>4.2635879601853999</v>
      </c>
      <c r="CW478" s="18">
        <f t="shared" si="591"/>
        <v>0.32398122279479474</v>
      </c>
      <c r="CX478" s="56">
        <f t="shared" si="579"/>
        <v>6</v>
      </c>
      <c r="CZ478" s="18">
        <f t="shared" ref="CZ478:DE487" si="592">SQRT(($B478-CZ$401)^2+($C478-CZ$402)^2+($D478-CZ$403)^2)</f>
        <v>6.5159830429963437</v>
      </c>
      <c r="DA478" s="18">
        <f t="shared" si="592"/>
        <v>1.6265788884525925</v>
      </c>
      <c r="DB478" s="18">
        <f t="shared" si="592"/>
        <v>1.9255754332516768</v>
      </c>
      <c r="DC478" s="18">
        <f t="shared" si="592"/>
        <v>1.2249446946548408</v>
      </c>
      <c r="DD478" s="18">
        <f t="shared" si="592"/>
        <v>4.2635879601853999</v>
      </c>
      <c r="DE478" s="18">
        <f t="shared" si="592"/>
        <v>0.32398122279479474</v>
      </c>
      <c r="DF478" s="56">
        <f t="shared" si="580"/>
        <v>6</v>
      </c>
      <c r="DH478" s="18">
        <f t="shared" ref="DH478:DM487" si="593">SQRT(($B478-DH$401)^2+($C478-DH$402)^2+($D478-DH$403)^2)</f>
        <v>6.5159830429963437</v>
      </c>
      <c r="DI478" s="18">
        <f t="shared" si="593"/>
        <v>1.6265788884525925</v>
      </c>
      <c r="DJ478" s="18">
        <f t="shared" si="593"/>
        <v>1.9255754332516768</v>
      </c>
      <c r="DK478" s="18">
        <f t="shared" si="593"/>
        <v>1.2249446946548408</v>
      </c>
      <c r="DL478" s="18">
        <f t="shared" si="593"/>
        <v>4.2635879601853999</v>
      </c>
      <c r="DM478" s="18">
        <f t="shared" si="593"/>
        <v>0.32398122279479474</v>
      </c>
      <c r="DN478" s="56">
        <f t="shared" si="581"/>
        <v>6</v>
      </c>
    </row>
    <row r="479" spans="1:118" x14ac:dyDescent="0.25">
      <c r="A479" s="36" t="str">
        <f>KMeans_Data!A76</f>
        <v>Narowal</v>
      </c>
      <c r="B479" s="18">
        <f>KMeans_Data!H76</f>
        <v>-0.27592635554508732</v>
      </c>
      <c r="C479" s="18">
        <f>KMeans_Data!I76</f>
        <v>-0.67265054538827607</v>
      </c>
      <c r="D479" s="18">
        <f>KMeans_Data!J76</f>
        <v>-1.1456441163335547</v>
      </c>
      <c r="E479" s="56">
        <f t="shared" si="568"/>
        <v>4</v>
      </c>
      <c r="F479" s="38">
        <f t="shared" si="569"/>
        <v>0.26328242803208413</v>
      </c>
      <c r="G479" s="18">
        <f>IF(COUNTIF(Distance_Matrix!$E$12:$DQ$12,$E479)&lt;=1,0,SUMIF(Distance_Matrix!$E$12:$DQ$12,$E479,Distance_Matrix!$E$85:$DQ$85)/(COUNTIF(Distance_Matrix!$E$12:$DQ$12,$E479)-1))</f>
        <v>0.66893895422410465</v>
      </c>
      <c r="H479" s="18">
        <f>MIN(IF(1=$E479,1E+99,IF(COUNTIF(Distance_Matrix!$E$12:$DQ$12,1)=0,1E+99,SUMIF(Distance_Matrix!$E$12:$DQ$12,1,Distance_Matrix!$E$85:$DQ$85)/COUNTIF(Distance_Matrix!$E$12:$DQ$12,1))),IF(2=$E479,1E+99,IF(COUNTIF(Distance_Matrix!$E$12:$DQ$12,2)=0,1E+99,SUMIF(Distance_Matrix!$E$12:$DQ$12,2,Distance_Matrix!$E$85:$DQ$85)/COUNTIF(Distance_Matrix!$E$12:$DQ$12,2))),IF(3=$E479,1E+99,IF(COUNTIF(Distance_Matrix!$E$12:$DQ$12,3)=0,1E+99,SUMIF(Distance_Matrix!$E$12:$DQ$12,3,Distance_Matrix!$E$85:$DQ$85)/COUNTIF(Distance_Matrix!$E$12:$DQ$12,3))),IF(4=$E479,1E+99,IF(COUNTIF(Distance_Matrix!$E$12:$DQ$12,4)=0,1E+99,SUMIF(Distance_Matrix!$E$12:$DQ$12,4,Distance_Matrix!$E$85:$DQ$85)/COUNTIF(Distance_Matrix!$E$12:$DQ$12,4))),IF(5=$E479,1E+99,IF(COUNTIF(Distance_Matrix!$E$12:$DQ$12,5)=0,1E+99,SUMIF(Distance_Matrix!$E$12:$DQ$12,5,Distance_Matrix!$E$85:$DQ$85)/COUNTIF(Distance_Matrix!$E$12:$DQ$12,5))),IF(6=$E479,1E+99,IF(COUNTIF(Distance_Matrix!$E$12:$DQ$12,6)=0,1E+99,SUMIF(Distance_Matrix!$E$12:$DQ$12,6,Distance_Matrix!$E$85:$DQ$85)/COUNTIF(Distance_Matrix!$E$12:$DQ$12,6))))</f>
        <v>1.0256397849172547</v>
      </c>
      <c r="I479" s="18">
        <f>IF(COUNTIF(Distance_Matrix!$E$12:$DQ$12,$E479)&lt;=1,0,(H479-G479)/MAX(G479,H479))</f>
        <v>0.34778373064177454</v>
      </c>
      <c r="X479" s="18">
        <f t="shared" si="582"/>
        <v>7.3585302822416772</v>
      </c>
      <c r="Y479" s="18">
        <f t="shared" si="582"/>
        <v>1.8038116262582413</v>
      </c>
      <c r="Z479" s="18">
        <f t="shared" si="582"/>
        <v>3.1102534157725112</v>
      </c>
      <c r="AA479" s="18">
        <f t="shared" si="582"/>
        <v>1.0609767705802609</v>
      </c>
      <c r="AB479" s="18">
        <f t="shared" si="582"/>
        <v>5.3056754610308143</v>
      </c>
      <c r="AC479" s="18">
        <f t="shared" si="582"/>
        <v>1.8997595446397333</v>
      </c>
      <c r="AD479" s="56">
        <f t="shared" si="570"/>
        <v>4</v>
      </c>
      <c r="AF479" s="18">
        <f t="shared" si="583"/>
        <v>7.2240466415362876</v>
      </c>
      <c r="AG479" s="18">
        <f t="shared" si="583"/>
        <v>1.0462425468366852</v>
      </c>
      <c r="AH479" s="18">
        <f t="shared" si="583"/>
        <v>2.7845069424161228</v>
      </c>
      <c r="AI479" s="18">
        <f t="shared" si="583"/>
        <v>0.52785559720864905</v>
      </c>
      <c r="AJ479" s="18">
        <f t="shared" si="583"/>
        <v>4.9528541605801877</v>
      </c>
      <c r="AK479" s="18">
        <f t="shared" si="583"/>
        <v>1.3473966915146798</v>
      </c>
      <c r="AL479" s="56">
        <f t="shared" si="571"/>
        <v>4</v>
      </c>
      <c r="AN479" s="18">
        <f t="shared" si="584"/>
        <v>7.2240466415362876</v>
      </c>
      <c r="AO479" s="18">
        <f t="shared" si="584"/>
        <v>1.0048357982375984</v>
      </c>
      <c r="AP479" s="18">
        <f t="shared" si="584"/>
        <v>2.7572170402179617</v>
      </c>
      <c r="AQ479" s="18">
        <f t="shared" si="584"/>
        <v>0.51311054172769066</v>
      </c>
      <c r="AR479" s="18">
        <f t="shared" si="584"/>
        <v>4.9528541605801877</v>
      </c>
      <c r="AS479" s="18">
        <f t="shared" si="584"/>
        <v>1.3715167216315982</v>
      </c>
      <c r="AT479" s="56">
        <f t="shared" si="572"/>
        <v>4</v>
      </c>
      <c r="AV479" s="18">
        <f t="shared" si="585"/>
        <v>7.2240466415362876</v>
      </c>
      <c r="AW479" s="18">
        <f t="shared" si="585"/>
        <v>0.98819127002499296</v>
      </c>
      <c r="AX479" s="18">
        <f t="shared" si="585"/>
        <v>2.7572170402179617</v>
      </c>
      <c r="AY479" s="18">
        <f t="shared" si="585"/>
        <v>0.51311054172769066</v>
      </c>
      <c r="AZ479" s="18">
        <f t="shared" si="585"/>
        <v>4.9528541605801877</v>
      </c>
      <c r="BA479" s="18">
        <f t="shared" si="585"/>
        <v>1.3916757571795075</v>
      </c>
      <c r="BB479" s="56">
        <f t="shared" si="573"/>
        <v>4</v>
      </c>
      <c r="BD479" s="18">
        <f t="shared" si="586"/>
        <v>7.2240466415362876</v>
      </c>
      <c r="BE479" s="18">
        <f t="shared" si="586"/>
        <v>0.97552897863310073</v>
      </c>
      <c r="BF479" s="18">
        <f t="shared" si="586"/>
        <v>2.7572170402179617</v>
      </c>
      <c r="BG479" s="18">
        <f t="shared" si="586"/>
        <v>0.51311054172769066</v>
      </c>
      <c r="BH479" s="18">
        <f t="shared" si="586"/>
        <v>4.9528541605801877</v>
      </c>
      <c r="BI479" s="18">
        <f t="shared" si="586"/>
        <v>1.4108291275980489</v>
      </c>
      <c r="BJ479" s="56">
        <f t="shared" si="574"/>
        <v>4</v>
      </c>
      <c r="BL479" s="18">
        <f t="shared" si="587"/>
        <v>7.2240466415362876</v>
      </c>
      <c r="BM479" s="18">
        <f t="shared" si="587"/>
        <v>0.97552897863310073</v>
      </c>
      <c r="BN479" s="18">
        <f t="shared" si="587"/>
        <v>2.7572170402179617</v>
      </c>
      <c r="BO479" s="18">
        <f t="shared" si="587"/>
        <v>0.51311054172769066</v>
      </c>
      <c r="BP479" s="18">
        <f t="shared" si="587"/>
        <v>4.9528541605801877</v>
      </c>
      <c r="BQ479" s="18">
        <f t="shared" si="587"/>
        <v>1.4108291275980489</v>
      </c>
      <c r="BR479" s="56">
        <f t="shared" si="575"/>
        <v>4</v>
      </c>
      <c r="BT479" s="18">
        <f t="shared" si="588"/>
        <v>7.2240466415362876</v>
      </c>
      <c r="BU479" s="18">
        <f t="shared" si="588"/>
        <v>0.97552897863310073</v>
      </c>
      <c r="BV479" s="18">
        <f t="shared" si="588"/>
        <v>2.7572170402179617</v>
      </c>
      <c r="BW479" s="18">
        <f t="shared" si="588"/>
        <v>0.51311054172769066</v>
      </c>
      <c r="BX479" s="18">
        <f t="shared" si="588"/>
        <v>4.9528541605801877</v>
      </c>
      <c r="BY479" s="18">
        <f t="shared" si="588"/>
        <v>1.4108291275980489</v>
      </c>
      <c r="BZ479" s="56">
        <f t="shared" si="576"/>
        <v>4</v>
      </c>
      <c r="CB479" s="18">
        <f t="shared" si="589"/>
        <v>7.2240466415362876</v>
      </c>
      <c r="CC479" s="18">
        <f t="shared" si="589"/>
        <v>0.97552897863310073</v>
      </c>
      <c r="CD479" s="18">
        <f t="shared" si="589"/>
        <v>2.7572170402179617</v>
      </c>
      <c r="CE479" s="18">
        <f t="shared" si="589"/>
        <v>0.51311054172769066</v>
      </c>
      <c r="CF479" s="18">
        <f t="shared" si="589"/>
        <v>4.9528541605801877</v>
      </c>
      <c r="CG479" s="18">
        <f t="shared" si="589"/>
        <v>1.4108291275980489</v>
      </c>
      <c r="CH479" s="56">
        <f t="shared" si="577"/>
        <v>4</v>
      </c>
      <c r="CJ479" s="18">
        <f t="shared" si="590"/>
        <v>7.2240466415362876</v>
      </c>
      <c r="CK479" s="18">
        <f t="shared" si="590"/>
        <v>0.97552897863310073</v>
      </c>
      <c r="CL479" s="18">
        <f t="shared" si="590"/>
        <v>2.7572170402179617</v>
      </c>
      <c r="CM479" s="18">
        <f t="shared" si="590"/>
        <v>0.51311054172769066</v>
      </c>
      <c r="CN479" s="18">
        <f t="shared" si="590"/>
        <v>4.9528541605801877</v>
      </c>
      <c r="CO479" s="18">
        <f t="shared" si="590"/>
        <v>1.4108291275980489</v>
      </c>
      <c r="CP479" s="56">
        <f t="shared" si="578"/>
        <v>4</v>
      </c>
      <c r="CR479" s="18">
        <f t="shared" si="591"/>
        <v>7.2240466415362876</v>
      </c>
      <c r="CS479" s="18">
        <f t="shared" si="591"/>
        <v>0.97552897863310073</v>
      </c>
      <c r="CT479" s="18">
        <f t="shared" si="591"/>
        <v>2.7572170402179617</v>
      </c>
      <c r="CU479" s="18">
        <f t="shared" si="591"/>
        <v>0.51311054172769066</v>
      </c>
      <c r="CV479" s="18">
        <f t="shared" si="591"/>
        <v>4.9528541605801877</v>
      </c>
      <c r="CW479" s="18">
        <f t="shared" si="591"/>
        <v>1.4108291275980489</v>
      </c>
      <c r="CX479" s="56">
        <f t="shared" si="579"/>
        <v>4</v>
      </c>
      <c r="CZ479" s="18">
        <f t="shared" si="592"/>
        <v>7.2240466415362876</v>
      </c>
      <c r="DA479" s="18">
        <f t="shared" si="592"/>
        <v>0.97552897863310073</v>
      </c>
      <c r="DB479" s="18">
        <f t="shared" si="592"/>
        <v>2.7572170402179617</v>
      </c>
      <c r="DC479" s="18">
        <f t="shared" si="592"/>
        <v>0.51311054172769066</v>
      </c>
      <c r="DD479" s="18">
        <f t="shared" si="592"/>
        <v>4.9528541605801877</v>
      </c>
      <c r="DE479" s="18">
        <f t="shared" si="592"/>
        <v>1.4108291275980489</v>
      </c>
      <c r="DF479" s="56">
        <f t="shared" si="580"/>
        <v>4</v>
      </c>
      <c r="DH479" s="18">
        <f t="shared" si="593"/>
        <v>7.2240466415362876</v>
      </c>
      <c r="DI479" s="18">
        <f t="shared" si="593"/>
        <v>0.97552897863310073</v>
      </c>
      <c r="DJ479" s="18">
        <f t="shared" si="593"/>
        <v>2.7572170402179617</v>
      </c>
      <c r="DK479" s="18">
        <f t="shared" si="593"/>
        <v>0.51311054172769066</v>
      </c>
      <c r="DL479" s="18">
        <f t="shared" si="593"/>
        <v>4.9528541605801877</v>
      </c>
      <c r="DM479" s="18">
        <f t="shared" si="593"/>
        <v>1.4108291275980489</v>
      </c>
      <c r="DN479" s="56">
        <f t="shared" si="581"/>
        <v>4</v>
      </c>
    </row>
    <row r="480" spans="1:118" x14ac:dyDescent="0.25">
      <c r="A480" s="36" t="str">
        <f>KMeans_Data!A77</f>
        <v>Mandi Bahauddin</v>
      </c>
      <c r="B480" s="18">
        <f>KMeans_Data!H77</f>
        <v>-0.30951672077615416</v>
      </c>
      <c r="C480" s="18">
        <f>KMeans_Data!I77</f>
        <v>-0.67265054538827607</v>
      </c>
      <c r="D480" s="18">
        <f>KMeans_Data!J77</f>
        <v>-0.1820498150291911</v>
      </c>
      <c r="E480" s="56">
        <f t="shared" si="568"/>
        <v>6</v>
      </c>
      <c r="F480" s="38">
        <f t="shared" si="569"/>
        <v>0.27731235202496174</v>
      </c>
      <c r="G480" s="18">
        <f>IF(COUNTIF(Distance_Matrix!$E$12:$DQ$12,$E480)&lt;=1,0,SUMIF(Distance_Matrix!$E$12:$DQ$12,$E480,Distance_Matrix!$E$86:$DQ$86)/(COUNTIF(Distance_Matrix!$E$12:$DQ$12,$E480)-1))</f>
        <v>0.7580502997000359</v>
      </c>
      <c r="H480" s="18">
        <f>MIN(IF(1=$E480,1E+99,IF(COUNTIF(Distance_Matrix!$E$12:$DQ$12,1)=0,1E+99,SUMIF(Distance_Matrix!$E$12:$DQ$12,1,Distance_Matrix!$E$86:$DQ$86)/COUNTIF(Distance_Matrix!$E$12:$DQ$12,1))),IF(2=$E480,1E+99,IF(COUNTIF(Distance_Matrix!$E$12:$DQ$12,2)=0,1E+99,SUMIF(Distance_Matrix!$E$12:$DQ$12,2,Distance_Matrix!$E$86:$DQ$86)/COUNTIF(Distance_Matrix!$E$12:$DQ$12,2))),IF(3=$E480,1E+99,IF(COUNTIF(Distance_Matrix!$E$12:$DQ$12,3)=0,1E+99,SUMIF(Distance_Matrix!$E$12:$DQ$12,3,Distance_Matrix!$E$86:$DQ$86)/COUNTIF(Distance_Matrix!$E$12:$DQ$12,3))),IF(4=$E480,1E+99,IF(COUNTIF(Distance_Matrix!$E$12:$DQ$12,4)=0,1E+99,SUMIF(Distance_Matrix!$E$12:$DQ$12,4,Distance_Matrix!$E$86:$DQ$86)/COUNTIF(Distance_Matrix!$E$12:$DQ$12,4))),IF(5=$E480,1E+99,IF(COUNTIF(Distance_Matrix!$E$12:$DQ$12,5)=0,1E+99,SUMIF(Distance_Matrix!$E$12:$DQ$12,5,Distance_Matrix!$E$86:$DQ$86)/COUNTIF(Distance_Matrix!$E$12:$DQ$12,5))),IF(6=$E480,1E+99,IF(COUNTIF(Distance_Matrix!$E$12:$DQ$12,6)=0,1E+99,SUMIF(Distance_Matrix!$E$12:$DQ$12,6,Distance_Matrix!$E$86:$DQ$86)/COUNTIF(Distance_Matrix!$E$12:$DQ$12,6))))</f>
        <v>0.95859132743612063</v>
      </c>
      <c r="I480" s="18">
        <f>IF(COUNTIF(Distance_Matrix!$E$12:$DQ$12,$E480)&lt;=1,0,(H480-G480)/MAX(G480,H480))</f>
        <v>0.20920388281882149</v>
      </c>
      <c r="X480" s="18">
        <f t="shared" si="582"/>
        <v>6.8439501868573736</v>
      </c>
      <c r="Y480" s="18">
        <f t="shared" si="582"/>
        <v>2.0154893426904752</v>
      </c>
      <c r="Z480" s="18">
        <f t="shared" si="582"/>
        <v>2.3769571381083732</v>
      </c>
      <c r="AA480" s="18">
        <f t="shared" si="582"/>
        <v>1.4550696614569665</v>
      </c>
      <c r="AB480" s="18">
        <f t="shared" si="582"/>
        <v>4.7410308383057682</v>
      </c>
      <c r="AC480" s="18">
        <f t="shared" si="582"/>
        <v>1.0443596221910876</v>
      </c>
      <c r="AD480" s="56">
        <f t="shared" si="570"/>
        <v>6</v>
      </c>
      <c r="AF480" s="18">
        <f t="shared" si="583"/>
        <v>6.7401107773342401</v>
      </c>
      <c r="AG480" s="18">
        <f t="shared" si="583"/>
        <v>1.3629350768683157</v>
      </c>
      <c r="AH480" s="18">
        <f t="shared" si="583"/>
        <v>2.1734347614833798</v>
      </c>
      <c r="AI480" s="18">
        <f t="shared" si="583"/>
        <v>0.82298226118463647</v>
      </c>
      <c r="AJ480" s="18">
        <f t="shared" si="583"/>
        <v>4.4683106950557496</v>
      </c>
      <c r="AK480" s="18">
        <f t="shared" si="583"/>
        <v>0.45529766786096276</v>
      </c>
      <c r="AL480" s="56">
        <f t="shared" si="571"/>
        <v>6</v>
      </c>
      <c r="AN480" s="18">
        <f t="shared" si="584"/>
        <v>6.7401107773342401</v>
      </c>
      <c r="AO480" s="18">
        <f t="shared" si="584"/>
        <v>1.316712980244424</v>
      </c>
      <c r="AP480" s="18">
        <f t="shared" si="584"/>
        <v>2.1448053266992009</v>
      </c>
      <c r="AQ480" s="18">
        <f t="shared" si="584"/>
        <v>0.82026645702323897</v>
      </c>
      <c r="AR480" s="18">
        <f t="shared" si="584"/>
        <v>4.4683106950557496</v>
      </c>
      <c r="AS480" s="18">
        <f t="shared" si="584"/>
        <v>0.48160789183594921</v>
      </c>
      <c r="AT480" s="56">
        <f t="shared" si="572"/>
        <v>6</v>
      </c>
      <c r="AV480" s="18">
        <f t="shared" si="585"/>
        <v>6.7401107773342401</v>
      </c>
      <c r="AW480" s="18">
        <f t="shared" si="585"/>
        <v>1.2852502874457292</v>
      </c>
      <c r="AX480" s="18">
        <f t="shared" si="585"/>
        <v>2.1448053266992009</v>
      </c>
      <c r="AY480" s="18">
        <f t="shared" si="585"/>
        <v>0.82026645702323897</v>
      </c>
      <c r="AZ480" s="18">
        <f t="shared" si="585"/>
        <v>4.4683106950557496</v>
      </c>
      <c r="BA480" s="18">
        <f t="shared" si="585"/>
        <v>0.50408237055970861</v>
      </c>
      <c r="BB480" s="56">
        <f t="shared" si="573"/>
        <v>6</v>
      </c>
      <c r="BD480" s="18">
        <f t="shared" si="586"/>
        <v>6.7401107773342401</v>
      </c>
      <c r="BE480" s="18">
        <f t="shared" si="586"/>
        <v>1.2552987876484005</v>
      </c>
      <c r="BF480" s="18">
        <f t="shared" si="586"/>
        <v>2.1448053266992009</v>
      </c>
      <c r="BG480" s="18">
        <f t="shared" si="586"/>
        <v>0.82026645702323897</v>
      </c>
      <c r="BH480" s="18">
        <f t="shared" si="586"/>
        <v>4.4683106950557496</v>
      </c>
      <c r="BI480" s="18">
        <f t="shared" si="586"/>
        <v>0.52660454994707528</v>
      </c>
      <c r="BJ480" s="56">
        <f t="shared" si="574"/>
        <v>6</v>
      </c>
      <c r="BL480" s="18">
        <f t="shared" si="587"/>
        <v>6.7401107773342401</v>
      </c>
      <c r="BM480" s="18">
        <f t="shared" si="587"/>
        <v>1.2552987876484005</v>
      </c>
      <c r="BN480" s="18">
        <f t="shared" si="587"/>
        <v>2.1448053266992009</v>
      </c>
      <c r="BO480" s="18">
        <f t="shared" si="587"/>
        <v>0.82026645702323897</v>
      </c>
      <c r="BP480" s="18">
        <f t="shared" si="587"/>
        <v>4.4683106950557496</v>
      </c>
      <c r="BQ480" s="18">
        <f t="shared" si="587"/>
        <v>0.52660454994707528</v>
      </c>
      <c r="BR480" s="56">
        <f t="shared" si="575"/>
        <v>6</v>
      </c>
      <c r="BT480" s="18">
        <f t="shared" si="588"/>
        <v>6.7401107773342401</v>
      </c>
      <c r="BU480" s="18">
        <f t="shared" si="588"/>
        <v>1.2552987876484005</v>
      </c>
      <c r="BV480" s="18">
        <f t="shared" si="588"/>
        <v>2.1448053266992009</v>
      </c>
      <c r="BW480" s="18">
        <f t="shared" si="588"/>
        <v>0.82026645702323897</v>
      </c>
      <c r="BX480" s="18">
        <f t="shared" si="588"/>
        <v>4.4683106950557496</v>
      </c>
      <c r="BY480" s="18">
        <f t="shared" si="588"/>
        <v>0.52660454994707528</v>
      </c>
      <c r="BZ480" s="56">
        <f t="shared" si="576"/>
        <v>6</v>
      </c>
      <c r="CB480" s="18">
        <f t="shared" si="589"/>
        <v>6.7401107773342401</v>
      </c>
      <c r="CC480" s="18">
        <f t="shared" si="589"/>
        <v>1.2552987876484005</v>
      </c>
      <c r="CD480" s="18">
        <f t="shared" si="589"/>
        <v>2.1448053266992009</v>
      </c>
      <c r="CE480" s="18">
        <f t="shared" si="589"/>
        <v>0.82026645702323897</v>
      </c>
      <c r="CF480" s="18">
        <f t="shared" si="589"/>
        <v>4.4683106950557496</v>
      </c>
      <c r="CG480" s="18">
        <f t="shared" si="589"/>
        <v>0.52660454994707528</v>
      </c>
      <c r="CH480" s="56">
        <f t="shared" si="577"/>
        <v>6</v>
      </c>
      <c r="CJ480" s="18">
        <f t="shared" si="590"/>
        <v>6.7401107773342401</v>
      </c>
      <c r="CK480" s="18">
        <f t="shared" si="590"/>
        <v>1.2552987876484005</v>
      </c>
      <c r="CL480" s="18">
        <f t="shared" si="590"/>
        <v>2.1448053266992009</v>
      </c>
      <c r="CM480" s="18">
        <f t="shared" si="590"/>
        <v>0.82026645702323897</v>
      </c>
      <c r="CN480" s="18">
        <f t="shared" si="590"/>
        <v>4.4683106950557496</v>
      </c>
      <c r="CO480" s="18">
        <f t="shared" si="590"/>
        <v>0.52660454994707528</v>
      </c>
      <c r="CP480" s="56">
        <f t="shared" si="578"/>
        <v>6</v>
      </c>
      <c r="CR480" s="18">
        <f t="shared" si="591"/>
        <v>6.7401107773342401</v>
      </c>
      <c r="CS480" s="18">
        <f t="shared" si="591"/>
        <v>1.2552987876484005</v>
      </c>
      <c r="CT480" s="18">
        <f t="shared" si="591"/>
        <v>2.1448053266992009</v>
      </c>
      <c r="CU480" s="18">
        <f t="shared" si="591"/>
        <v>0.82026645702323897</v>
      </c>
      <c r="CV480" s="18">
        <f t="shared" si="591"/>
        <v>4.4683106950557496</v>
      </c>
      <c r="CW480" s="18">
        <f t="shared" si="591"/>
        <v>0.52660454994707528</v>
      </c>
      <c r="CX480" s="56">
        <f t="shared" si="579"/>
        <v>6</v>
      </c>
      <c r="CZ480" s="18">
        <f t="shared" si="592"/>
        <v>6.7401107773342401</v>
      </c>
      <c r="DA480" s="18">
        <f t="shared" si="592"/>
        <v>1.2552987876484005</v>
      </c>
      <c r="DB480" s="18">
        <f t="shared" si="592"/>
        <v>2.1448053266992009</v>
      </c>
      <c r="DC480" s="18">
        <f t="shared" si="592"/>
        <v>0.82026645702323897</v>
      </c>
      <c r="DD480" s="18">
        <f t="shared" si="592"/>
        <v>4.4683106950557496</v>
      </c>
      <c r="DE480" s="18">
        <f t="shared" si="592"/>
        <v>0.52660454994707528</v>
      </c>
      <c r="DF480" s="56">
        <f t="shared" si="580"/>
        <v>6</v>
      </c>
      <c r="DH480" s="18">
        <f t="shared" si="593"/>
        <v>6.7401107773342401</v>
      </c>
      <c r="DI480" s="18">
        <f t="shared" si="593"/>
        <v>1.2552987876484005</v>
      </c>
      <c r="DJ480" s="18">
        <f t="shared" si="593"/>
        <v>2.1448053266992009</v>
      </c>
      <c r="DK480" s="18">
        <f t="shared" si="593"/>
        <v>0.82026645702323897</v>
      </c>
      <c r="DL480" s="18">
        <f t="shared" si="593"/>
        <v>4.4683106950557496</v>
      </c>
      <c r="DM480" s="18">
        <f t="shared" si="593"/>
        <v>0.52660454994707528</v>
      </c>
      <c r="DN480" s="56">
        <f t="shared" si="581"/>
        <v>6</v>
      </c>
    </row>
    <row r="481" spans="1:118" x14ac:dyDescent="0.25">
      <c r="A481" s="36" t="str">
        <f>KMeans_Data!A78</f>
        <v>Ghanche</v>
      </c>
      <c r="B481" s="18">
        <f>KMeans_Data!H78</f>
        <v>-0.3271614619727895</v>
      </c>
      <c r="C481" s="18">
        <f>KMeans_Data!I78</f>
        <v>-0.67265054538827607</v>
      </c>
      <c r="D481" s="18">
        <f>KMeans_Data!J78</f>
        <v>-0.24392704812240026</v>
      </c>
      <c r="E481" s="56">
        <f t="shared" si="568"/>
        <v>6</v>
      </c>
      <c r="F481" s="38">
        <f t="shared" si="569"/>
        <v>0.33655137731357743</v>
      </c>
      <c r="G481" s="18">
        <f>IF(COUNTIF(Distance_Matrix!$E$12:$DQ$12,$E481)&lt;=1,0,SUMIF(Distance_Matrix!$E$12:$DQ$12,$E481,Distance_Matrix!$E$87:$DQ$87)/(COUNTIF(Distance_Matrix!$E$12:$DQ$12,$E481)-1))</f>
        <v>0.78854088517658549</v>
      </c>
      <c r="H481" s="18">
        <f>MIN(IF(1=$E481,1E+99,IF(COUNTIF(Distance_Matrix!$E$12:$DQ$12,1)=0,1E+99,SUMIF(Distance_Matrix!$E$12:$DQ$12,1,Distance_Matrix!$E$87:$DQ$87)/COUNTIF(Distance_Matrix!$E$12:$DQ$12,1))),IF(2=$E481,1E+99,IF(COUNTIF(Distance_Matrix!$E$12:$DQ$12,2)=0,1E+99,SUMIF(Distance_Matrix!$E$12:$DQ$12,2,Distance_Matrix!$E$87:$DQ$87)/COUNTIF(Distance_Matrix!$E$12:$DQ$12,2))),IF(3=$E481,1E+99,IF(COUNTIF(Distance_Matrix!$E$12:$DQ$12,3)=0,1E+99,SUMIF(Distance_Matrix!$E$12:$DQ$12,3,Distance_Matrix!$E$87:$DQ$87)/COUNTIF(Distance_Matrix!$E$12:$DQ$12,3))),IF(4=$E481,1E+99,IF(COUNTIF(Distance_Matrix!$E$12:$DQ$12,4)=0,1E+99,SUMIF(Distance_Matrix!$E$12:$DQ$12,4,Distance_Matrix!$E$87:$DQ$87)/COUNTIF(Distance_Matrix!$E$12:$DQ$12,4))),IF(5=$E481,1E+99,IF(COUNTIF(Distance_Matrix!$E$12:$DQ$12,5)=0,1E+99,SUMIF(Distance_Matrix!$E$12:$DQ$12,5,Distance_Matrix!$E$87:$DQ$87)/COUNTIF(Distance_Matrix!$E$12:$DQ$12,5))),IF(6=$E481,1E+99,IF(COUNTIF(Distance_Matrix!$E$12:$DQ$12,6)=0,1E+99,SUMIF(Distance_Matrix!$E$12:$DQ$12,6,Distance_Matrix!$E$87:$DQ$87)/COUNTIF(Distance_Matrix!$E$12:$DQ$12,6))))</f>
        <v>0.92285885734409423</v>
      </c>
      <c r="I481" s="18">
        <f>IF(COUNTIF(Distance_Matrix!$E$12:$DQ$12,$E481)&lt;=1,0,(H481-G481)/MAX(G481,H481))</f>
        <v>0.14554551987945796</v>
      </c>
      <c r="X481" s="18">
        <f t="shared" si="582"/>
        <v>6.8844268357778047</v>
      </c>
      <c r="Y481" s="18">
        <f t="shared" si="582"/>
        <v>1.9709434616357322</v>
      </c>
      <c r="Z481" s="18">
        <f t="shared" si="582"/>
        <v>2.4302456152411116</v>
      </c>
      <c r="AA481" s="18">
        <f t="shared" si="582"/>
        <v>1.4268240617135268</v>
      </c>
      <c r="AB481" s="18">
        <f t="shared" si="582"/>
        <v>4.7845583291712881</v>
      </c>
      <c r="AC481" s="18">
        <f t="shared" si="582"/>
        <v>1.0868024948199371</v>
      </c>
      <c r="AD481" s="56">
        <f t="shared" si="570"/>
        <v>6</v>
      </c>
      <c r="AF481" s="18">
        <f t="shared" si="583"/>
        <v>6.7785647143495904</v>
      </c>
      <c r="AG481" s="18">
        <f t="shared" si="583"/>
        <v>1.3088139295990313</v>
      </c>
      <c r="AH481" s="18">
        <f t="shared" si="583"/>
        <v>2.2148508716476019</v>
      </c>
      <c r="AI481" s="18">
        <f t="shared" si="583"/>
        <v>0.7836427350651971</v>
      </c>
      <c r="AJ481" s="18">
        <f t="shared" si="583"/>
        <v>4.5053920010326314</v>
      </c>
      <c r="AK481" s="18">
        <f t="shared" si="583"/>
        <v>0.50673253996823864</v>
      </c>
      <c r="AL481" s="56">
        <f t="shared" si="571"/>
        <v>6</v>
      </c>
      <c r="AN481" s="18">
        <f t="shared" si="584"/>
        <v>6.7785647143495904</v>
      </c>
      <c r="AO481" s="18">
        <f t="shared" si="584"/>
        <v>1.2622708463105616</v>
      </c>
      <c r="AP481" s="18">
        <f t="shared" si="584"/>
        <v>2.1861074806208762</v>
      </c>
      <c r="AQ481" s="18">
        <f t="shared" si="584"/>
        <v>0.78019897971065899</v>
      </c>
      <c r="AR481" s="18">
        <f t="shared" si="584"/>
        <v>4.5053920010326314</v>
      </c>
      <c r="AS481" s="18">
        <f t="shared" si="584"/>
        <v>0.53444282145174971</v>
      </c>
      <c r="AT481" s="56">
        <f t="shared" si="572"/>
        <v>6</v>
      </c>
      <c r="AV481" s="18">
        <f t="shared" si="585"/>
        <v>6.7785647143495904</v>
      </c>
      <c r="AW481" s="18">
        <f t="shared" si="585"/>
        <v>1.2309908238467757</v>
      </c>
      <c r="AX481" s="18">
        <f t="shared" si="585"/>
        <v>2.1861074806208762</v>
      </c>
      <c r="AY481" s="18">
        <f t="shared" si="585"/>
        <v>0.78019897971065899</v>
      </c>
      <c r="AZ481" s="18">
        <f t="shared" si="585"/>
        <v>4.5053920010326314</v>
      </c>
      <c r="BA481" s="18">
        <f t="shared" si="585"/>
        <v>0.55732401088782679</v>
      </c>
      <c r="BB481" s="56">
        <f t="shared" si="573"/>
        <v>6</v>
      </c>
      <c r="BD481" s="18">
        <f t="shared" si="586"/>
        <v>6.7785647143495904</v>
      </c>
      <c r="BE481" s="18">
        <f t="shared" si="586"/>
        <v>1.2013166199509702</v>
      </c>
      <c r="BF481" s="18">
        <f t="shared" si="586"/>
        <v>2.1861074806208762</v>
      </c>
      <c r="BG481" s="18">
        <f t="shared" si="586"/>
        <v>0.78019897971065899</v>
      </c>
      <c r="BH481" s="18">
        <f t="shared" si="586"/>
        <v>4.5053920010326314</v>
      </c>
      <c r="BI481" s="18">
        <f t="shared" si="586"/>
        <v>0.58013048300669168</v>
      </c>
      <c r="BJ481" s="56">
        <f t="shared" si="574"/>
        <v>6</v>
      </c>
      <c r="BL481" s="18">
        <f t="shared" si="587"/>
        <v>6.7785647143495904</v>
      </c>
      <c r="BM481" s="18">
        <f t="shared" si="587"/>
        <v>1.2013166199509702</v>
      </c>
      <c r="BN481" s="18">
        <f t="shared" si="587"/>
        <v>2.1861074806208762</v>
      </c>
      <c r="BO481" s="18">
        <f t="shared" si="587"/>
        <v>0.78019897971065899</v>
      </c>
      <c r="BP481" s="18">
        <f t="shared" si="587"/>
        <v>4.5053920010326314</v>
      </c>
      <c r="BQ481" s="18">
        <f t="shared" si="587"/>
        <v>0.58013048300669168</v>
      </c>
      <c r="BR481" s="56">
        <f t="shared" si="575"/>
        <v>6</v>
      </c>
      <c r="BT481" s="18">
        <f t="shared" si="588"/>
        <v>6.7785647143495904</v>
      </c>
      <c r="BU481" s="18">
        <f t="shared" si="588"/>
        <v>1.2013166199509702</v>
      </c>
      <c r="BV481" s="18">
        <f t="shared" si="588"/>
        <v>2.1861074806208762</v>
      </c>
      <c r="BW481" s="18">
        <f t="shared" si="588"/>
        <v>0.78019897971065899</v>
      </c>
      <c r="BX481" s="18">
        <f t="shared" si="588"/>
        <v>4.5053920010326314</v>
      </c>
      <c r="BY481" s="18">
        <f t="shared" si="588"/>
        <v>0.58013048300669168</v>
      </c>
      <c r="BZ481" s="56">
        <f t="shared" si="576"/>
        <v>6</v>
      </c>
      <c r="CB481" s="18">
        <f t="shared" si="589"/>
        <v>6.7785647143495904</v>
      </c>
      <c r="CC481" s="18">
        <f t="shared" si="589"/>
        <v>1.2013166199509702</v>
      </c>
      <c r="CD481" s="18">
        <f t="shared" si="589"/>
        <v>2.1861074806208762</v>
      </c>
      <c r="CE481" s="18">
        <f t="shared" si="589"/>
        <v>0.78019897971065899</v>
      </c>
      <c r="CF481" s="18">
        <f t="shared" si="589"/>
        <v>4.5053920010326314</v>
      </c>
      <c r="CG481" s="18">
        <f t="shared" si="589"/>
        <v>0.58013048300669168</v>
      </c>
      <c r="CH481" s="56">
        <f t="shared" si="577"/>
        <v>6</v>
      </c>
      <c r="CJ481" s="18">
        <f t="shared" si="590"/>
        <v>6.7785647143495904</v>
      </c>
      <c r="CK481" s="18">
        <f t="shared" si="590"/>
        <v>1.2013166199509702</v>
      </c>
      <c r="CL481" s="18">
        <f t="shared" si="590"/>
        <v>2.1861074806208762</v>
      </c>
      <c r="CM481" s="18">
        <f t="shared" si="590"/>
        <v>0.78019897971065899</v>
      </c>
      <c r="CN481" s="18">
        <f t="shared" si="590"/>
        <v>4.5053920010326314</v>
      </c>
      <c r="CO481" s="18">
        <f t="shared" si="590"/>
        <v>0.58013048300669168</v>
      </c>
      <c r="CP481" s="56">
        <f t="shared" si="578"/>
        <v>6</v>
      </c>
      <c r="CR481" s="18">
        <f t="shared" si="591"/>
        <v>6.7785647143495904</v>
      </c>
      <c r="CS481" s="18">
        <f t="shared" si="591"/>
        <v>1.2013166199509702</v>
      </c>
      <c r="CT481" s="18">
        <f t="shared" si="591"/>
        <v>2.1861074806208762</v>
      </c>
      <c r="CU481" s="18">
        <f t="shared" si="591"/>
        <v>0.78019897971065899</v>
      </c>
      <c r="CV481" s="18">
        <f t="shared" si="591"/>
        <v>4.5053920010326314</v>
      </c>
      <c r="CW481" s="18">
        <f t="shared" si="591"/>
        <v>0.58013048300669168</v>
      </c>
      <c r="CX481" s="56">
        <f t="shared" si="579"/>
        <v>6</v>
      </c>
      <c r="CZ481" s="18">
        <f t="shared" si="592"/>
        <v>6.7785647143495904</v>
      </c>
      <c r="DA481" s="18">
        <f t="shared" si="592"/>
        <v>1.2013166199509702</v>
      </c>
      <c r="DB481" s="18">
        <f t="shared" si="592"/>
        <v>2.1861074806208762</v>
      </c>
      <c r="DC481" s="18">
        <f t="shared" si="592"/>
        <v>0.78019897971065899</v>
      </c>
      <c r="DD481" s="18">
        <f t="shared" si="592"/>
        <v>4.5053920010326314</v>
      </c>
      <c r="DE481" s="18">
        <f t="shared" si="592"/>
        <v>0.58013048300669168</v>
      </c>
      <c r="DF481" s="56">
        <f t="shared" si="580"/>
        <v>6</v>
      </c>
      <c r="DH481" s="18">
        <f t="shared" si="593"/>
        <v>6.7785647143495904</v>
      </c>
      <c r="DI481" s="18">
        <f t="shared" si="593"/>
        <v>1.2013166199509702</v>
      </c>
      <c r="DJ481" s="18">
        <f t="shared" si="593"/>
        <v>2.1861074806208762</v>
      </c>
      <c r="DK481" s="18">
        <f t="shared" si="593"/>
        <v>0.78019897971065899</v>
      </c>
      <c r="DL481" s="18">
        <f t="shared" si="593"/>
        <v>4.5053920010326314</v>
      </c>
      <c r="DM481" s="18">
        <f t="shared" si="593"/>
        <v>0.58013048300669168</v>
      </c>
      <c r="DN481" s="56">
        <f t="shared" si="581"/>
        <v>6</v>
      </c>
    </row>
    <row r="482" spans="1:118" x14ac:dyDescent="0.25">
      <c r="A482" s="36" t="str">
        <f>KMeans_Data!A79</f>
        <v>Hunza</v>
      </c>
      <c r="B482" s="18">
        <f>KMeans_Data!H79</f>
        <v>-0.3271614619727895</v>
      </c>
      <c r="C482" s="18">
        <f>KMeans_Data!I79</f>
        <v>-0.67265054538827607</v>
      </c>
      <c r="D482" s="18">
        <f>KMeans_Data!J79</f>
        <v>-1.1456441163335547</v>
      </c>
      <c r="E482" s="56">
        <f t="shared" si="568"/>
        <v>4</v>
      </c>
      <c r="F482" s="38">
        <f t="shared" si="569"/>
        <v>0.30833965667013535</v>
      </c>
      <c r="G482" s="18">
        <f>IF(COUNTIF(Distance_Matrix!$E$12:$DQ$12,$E482)&lt;=1,0,SUMIF(Distance_Matrix!$E$12:$DQ$12,$E482,Distance_Matrix!$E$88:$DQ$88)/(COUNTIF(Distance_Matrix!$E$12:$DQ$12,$E482)-1))</f>
        <v>0.69398640495584618</v>
      </c>
      <c r="H482" s="18">
        <f>MIN(IF(1=$E482,1E+99,IF(COUNTIF(Distance_Matrix!$E$12:$DQ$12,1)=0,1E+99,SUMIF(Distance_Matrix!$E$12:$DQ$12,1,Distance_Matrix!$E$88:$DQ$88)/COUNTIF(Distance_Matrix!$E$12:$DQ$12,1))),IF(2=$E482,1E+99,IF(COUNTIF(Distance_Matrix!$E$12:$DQ$12,2)=0,1E+99,SUMIF(Distance_Matrix!$E$12:$DQ$12,2,Distance_Matrix!$E$88:$DQ$88)/COUNTIF(Distance_Matrix!$E$12:$DQ$12,2))),IF(3=$E482,1E+99,IF(COUNTIF(Distance_Matrix!$E$12:$DQ$12,3)=0,1E+99,SUMIF(Distance_Matrix!$E$12:$DQ$12,3,Distance_Matrix!$E$88:$DQ$88)/COUNTIF(Distance_Matrix!$E$12:$DQ$12,3))),IF(4=$E482,1E+99,IF(COUNTIF(Distance_Matrix!$E$12:$DQ$12,4)=0,1E+99,SUMIF(Distance_Matrix!$E$12:$DQ$12,4,Distance_Matrix!$E$88:$DQ$88)/COUNTIF(Distance_Matrix!$E$12:$DQ$12,4))),IF(5=$E482,1E+99,IF(COUNTIF(Distance_Matrix!$E$12:$DQ$12,5)=0,1E+99,SUMIF(Distance_Matrix!$E$12:$DQ$12,5,Distance_Matrix!$E$88:$DQ$88)/COUNTIF(Distance_Matrix!$E$12:$DQ$12,5))),IF(6=$E482,1E+99,IF(COUNTIF(Distance_Matrix!$E$12:$DQ$12,6)=0,1E+99,SUMIF(Distance_Matrix!$E$12:$DQ$12,6,Distance_Matrix!$E$88:$DQ$88)/COUNTIF(Distance_Matrix!$E$12:$DQ$12,6))))</f>
        <v>0.9777965694273123</v>
      </c>
      <c r="I482" s="18">
        <f>IF(COUNTIF(Distance_Matrix!$E$12:$DQ$12,$E482)&lt;=1,0,(H482-G482)/MAX(G482,H482))</f>
        <v>0.29025481715249979</v>
      </c>
      <c r="X482" s="18">
        <f t="shared" si="582"/>
        <v>7.3833858290521244</v>
      </c>
      <c r="Y482" s="18">
        <f t="shared" si="582"/>
        <v>1.752576519830539</v>
      </c>
      <c r="Z482" s="18">
        <f t="shared" si="582"/>
        <v>3.1322311072030558</v>
      </c>
      <c r="AA482" s="18">
        <f t="shared" si="582"/>
        <v>1.1057726854925323</v>
      </c>
      <c r="AB482" s="18">
        <f t="shared" si="582"/>
        <v>5.3313586874880867</v>
      </c>
      <c r="AC482" s="18">
        <f t="shared" si="582"/>
        <v>1.8888150743677012</v>
      </c>
      <c r="AD482" s="56">
        <f t="shared" si="570"/>
        <v>4</v>
      </c>
      <c r="AF482" s="18">
        <f t="shared" si="583"/>
        <v>7.2492779336309621</v>
      </c>
      <c r="AG482" s="18">
        <f t="shared" si="583"/>
        <v>0.99508202261159961</v>
      </c>
      <c r="AH482" s="18">
        <f t="shared" si="583"/>
        <v>2.8041542202423413</v>
      </c>
      <c r="AI482" s="18">
        <f t="shared" si="583"/>
        <v>0.56944491112595363</v>
      </c>
      <c r="AJ482" s="18">
        <f t="shared" si="583"/>
        <v>4.9775698330527591</v>
      </c>
      <c r="AK482" s="18">
        <f t="shared" si="583"/>
        <v>1.3487916261139303</v>
      </c>
      <c r="AL482" s="56">
        <f t="shared" si="571"/>
        <v>4</v>
      </c>
      <c r="AN482" s="18">
        <f t="shared" si="584"/>
        <v>7.2492779336309621</v>
      </c>
      <c r="AO482" s="18">
        <f t="shared" si="584"/>
        <v>0.9537503595422181</v>
      </c>
      <c r="AP482" s="18">
        <f t="shared" si="584"/>
        <v>2.7765462709421151</v>
      </c>
      <c r="AQ482" s="18">
        <f t="shared" si="584"/>
        <v>0.55528340212015648</v>
      </c>
      <c r="AR482" s="18">
        <f t="shared" si="584"/>
        <v>4.9775698330527591</v>
      </c>
      <c r="AS482" s="18">
        <f t="shared" si="584"/>
        <v>1.3743683784909262</v>
      </c>
      <c r="AT482" s="56">
        <f t="shared" si="572"/>
        <v>4</v>
      </c>
      <c r="AV482" s="18">
        <f t="shared" si="585"/>
        <v>7.2492779336309621</v>
      </c>
      <c r="AW482" s="18">
        <f t="shared" si="585"/>
        <v>0.9372321279356769</v>
      </c>
      <c r="AX482" s="18">
        <f t="shared" si="585"/>
        <v>2.7765462709421151</v>
      </c>
      <c r="AY482" s="18">
        <f t="shared" si="585"/>
        <v>0.55528340212015648</v>
      </c>
      <c r="AZ482" s="18">
        <f t="shared" si="585"/>
        <v>4.9775698330527591</v>
      </c>
      <c r="BA482" s="18">
        <f t="shared" si="585"/>
        <v>1.3951109741229957</v>
      </c>
      <c r="BB482" s="56">
        <f t="shared" si="573"/>
        <v>4</v>
      </c>
      <c r="BD482" s="18">
        <f t="shared" si="586"/>
        <v>7.2492779336309621</v>
      </c>
      <c r="BE482" s="18">
        <f t="shared" si="586"/>
        <v>0.9247490446986093</v>
      </c>
      <c r="BF482" s="18">
        <f t="shared" si="586"/>
        <v>2.7765462709421151</v>
      </c>
      <c r="BG482" s="18">
        <f t="shared" si="586"/>
        <v>0.55528340212015648</v>
      </c>
      <c r="BH482" s="18">
        <f t="shared" si="586"/>
        <v>4.9775698330527591</v>
      </c>
      <c r="BI482" s="18">
        <f t="shared" si="586"/>
        <v>1.4149236330249906</v>
      </c>
      <c r="BJ482" s="56">
        <f t="shared" si="574"/>
        <v>4</v>
      </c>
      <c r="BL482" s="18">
        <f t="shared" si="587"/>
        <v>7.2492779336309621</v>
      </c>
      <c r="BM482" s="18">
        <f t="shared" si="587"/>
        <v>0.9247490446986093</v>
      </c>
      <c r="BN482" s="18">
        <f t="shared" si="587"/>
        <v>2.7765462709421151</v>
      </c>
      <c r="BO482" s="18">
        <f t="shared" si="587"/>
        <v>0.55528340212015648</v>
      </c>
      <c r="BP482" s="18">
        <f t="shared" si="587"/>
        <v>4.9775698330527591</v>
      </c>
      <c r="BQ482" s="18">
        <f t="shared" si="587"/>
        <v>1.4149236330249906</v>
      </c>
      <c r="BR482" s="56">
        <f t="shared" si="575"/>
        <v>4</v>
      </c>
      <c r="BT482" s="18">
        <f t="shared" si="588"/>
        <v>7.2492779336309621</v>
      </c>
      <c r="BU482" s="18">
        <f t="shared" si="588"/>
        <v>0.9247490446986093</v>
      </c>
      <c r="BV482" s="18">
        <f t="shared" si="588"/>
        <v>2.7765462709421151</v>
      </c>
      <c r="BW482" s="18">
        <f t="shared" si="588"/>
        <v>0.55528340212015648</v>
      </c>
      <c r="BX482" s="18">
        <f t="shared" si="588"/>
        <v>4.9775698330527591</v>
      </c>
      <c r="BY482" s="18">
        <f t="shared" si="588"/>
        <v>1.4149236330249906</v>
      </c>
      <c r="BZ482" s="56">
        <f t="shared" si="576"/>
        <v>4</v>
      </c>
      <c r="CB482" s="18">
        <f t="shared" si="589"/>
        <v>7.2492779336309621</v>
      </c>
      <c r="CC482" s="18">
        <f t="shared" si="589"/>
        <v>0.9247490446986093</v>
      </c>
      <c r="CD482" s="18">
        <f t="shared" si="589"/>
        <v>2.7765462709421151</v>
      </c>
      <c r="CE482" s="18">
        <f t="shared" si="589"/>
        <v>0.55528340212015648</v>
      </c>
      <c r="CF482" s="18">
        <f t="shared" si="589"/>
        <v>4.9775698330527591</v>
      </c>
      <c r="CG482" s="18">
        <f t="shared" si="589"/>
        <v>1.4149236330249906</v>
      </c>
      <c r="CH482" s="56">
        <f t="shared" si="577"/>
        <v>4</v>
      </c>
      <c r="CJ482" s="18">
        <f t="shared" si="590"/>
        <v>7.2492779336309621</v>
      </c>
      <c r="CK482" s="18">
        <f t="shared" si="590"/>
        <v>0.9247490446986093</v>
      </c>
      <c r="CL482" s="18">
        <f t="shared" si="590"/>
        <v>2.7765462709421151</v>
      </c>
      <c r="CM482" s="18">
        <f t="shared" si="590"/>
        <v>0.55528340212015648</v>
      </c>
      <c r="CN482" s="18">
        <f t="shared" si="590"/>
        <v>4.9775698330527591</v>
      </c>
      <c r="CO482" s="18">
        <f t="shared" si="590"/>
        <v>1.4149236330249906</v>
      </c>
      <c r="CP482" s="56">
        <f t="shared" si="578"/>
        <v>4</v>
      </c>
      <c r="CR482" s="18">
        <f t="shared" si="591"/>
        <v>7.2492779336309621</v>
      </c>
      <c r="CS482" s="18">
        <f t="shared" si="591"/>
        <v>0.9247490446986093</v>
      </c>
      <c r="CT482" s="18">
        <f t="shared" si="591"/>
        <v>2.7765462709421151</v>
      </c>
      <c r="CU482" s="18">
        <f t="shared" si="591"/>
        <v>0.55528340212015648</v>
      </c>
      <c r="CV482" s="18">
        <f t="shared" si="591"/>
        <v>4.9775698330527591</v>
      </c>
      <c r="CW482" s="18">
        <f t="shared" si="591"/>
        <v>1.4149236330249906</v>
      </c>
      <c r="CX482" s="56">
        <f t="shared" si="579"/>
        <v>4</v>
      </c>
      <c r="CZ482" s="18">
        <f t="shared" si="592"/>
        <v>7.2492779336309621</v>
      </c>
      <c r="DA482" s="18">
        <f t="shared" si="592"/>
        <v>0.9247490446986093</v>
      </c>
      <c r="DB482" s="18">
        <f t="shared" si="592"/>
        <v>2.7765462709421151</v>
      </c>
      <c r="DC482" s="18">
        <f t="shared" si="592"/>
        <v>0.55528340212015648</v>
      </c>
      <c r="DD482" s="18">
        <f t="shared" si="592"/>
        <v>4.9775698330527591</v>
      </c>
      <c r="DE482" s="18">
        <f t="shared" si="592"/>
        <v>1.4149236330249906</v>
      </c>
      <c r="DF482" s="56">
        <f t="shared" si="580"/>
        <v>4</v>
      </c>
      <c r="DH482" s="18">
        <f t="shared" si="593"/>
        <v>7.2492779336309621</v>
      </c>
      <c r="DI482" s="18">
        <f t="shared" si="593"/>
        <v>0.9247490446986093</v>
      </c>
      <c r="DJ482" s="18">
        <f t="shared" si="593"/>
        <v>2.7765462709421151</v>
      </c>
      <c r="DK482" s="18">
        <f t="shared" si="593"/>
        <v>0.55528340212015648</v>
      </c>
      <c r="DL482" s="18">
        <f t="shared" si="593"/>
        <v>4.9775698330527591</v>
      </c>
      <c r="DM482" s="18">
        <f t="shared" si="593"/>
        <v>1.4149236330249906</v>
      </c>
      <c r="DN482" s="56">
        <f t="shared" si="581"/>
        <v>4</v>
      </c>
    </row>
    <row r="483" spans="1:118" x14ac:dyDescent="0.25">
      <c r="A483" s="36" t="str">
        <f>KMeans_Data!A80</f>
        <v>Nankana Sahib</v>
      </c>
      <c r="B483" s="18">
        <f>KMeans_Data!H80</f>
        <v>-0.34542544181187113</v>
      </c>
      <c r="C483" s="18">
        <f>KMeans_Data!I80</f>
        <v>-0.67265054538827607</v>
      </c>
      <c r="D483" s="18">
        <f>KMeans_Data!J80</f>
        <v>-0.24392704812240026</v>
      </c>
      <c r="E483" s="56">
        <f t="shared" si="568"/>
        <v>6</v>
      </c>
      <c r="F483" s="38">
        <f t="shared" si="569"/>
        <v>0.34194513200922699</v>
      </c>
      <c r="G483" s="18">
        <f>IF(COUNTIF(Distance_Matrix!$E$12:$DQ$12,$E483)&lt;=1,0,SUMIF(Distance_Matrix!$E$12:$DQ$12,$E483,Distance_Matrix!$E$89:$DQ$89)/(COUNTIF(Distance_Matrix!$E$12:$DQ$12,$E483)-1))</f>
        <v>0.78972540209729769</v>
      </c>
      <c r="H483" s="18">
        <f>MIN(IF(1=$E483,1E+99,IF(COUNTIF(Distance_Matrix!$E$12:$DQ$12,1)=0,1E+99,SUMIF(Distance_Matrix!$E$12:$DQ$12,1,Distance_Matrix!$E$89:$DQ$89)/COUNTIF(Distance_Matrix!$E$12:$DQ$12,1))),IF(2=$E483,1E+99,IF(COUNTIF(Distance_Matrix!$E$12:$DQ$12,2)=0,1E+99,SUMIF(Distance_Matrix!$E$12:$DQ$12,2,Distance_Matrix!$E$89:$DQ$89)/COUNTIF(Distance_Matrix!$E$12:$DQ$12,2))),IF(3=$E483,1E+99,IF(COUNTIF(Distance_Matrix!$E$12:$DQ$12,3)=0,1E+99,SUMIF(Distance_Matrix!$E$12:$DQ$12,3,Distance_Matrix!$E$89:$DQ$89)/COUNTIF(Distance_Matrix!$E$12:$DQ$12,3))),IF(4=$E483,1E+99,IF(COUNTIF(Distance_Matrix!$E$12:$DQ$12,4)=0,1E+99,SUMIF(Distance_Matrix!$E$12:$DQ$12,4,Distance_Matrix!$E$89:$DQ$89)/COUNTIF(Distance_Matrix!$E$12:$DQ$12,4))),IF(5=$E483,1E+99,IF(COUNTIF(Distance_Matrix!$E$12:$DQ$12,5)=0,1E+99,SUMIF(Distance_Matrix!$E$12:$DQ$12,5,Distance_Matrix!$E$89:$DQ$89)/COUNTIF(Distance_Matrix!$E$12:$DQ$12,5))),IF(6=$E483,1E+99,IF(COUNTIF(Distance_Matrix!$E$12:$DQ$12,6)=0,1E+99,SUMIF(Distance_Matrix!$E$12:$DQ$12,6,Distance_Matrix!$E$89:$DQ$89)/COUNTIF(Distance_Matrix!$E$12:$DQ$12,6))))</f>
        <v>0.93122451182599941</v>
      </c>
      <c r="I483" s="18">
        <f>IF(COUNTIF(Distance_Matrix!$E$12:$DQ$12,$E483)&lt;=1,0,(H483-G483)/MAX(G483,H483))</f>
        <v>0.15194951156434017</v>
      </c>
      <c r="X483" s="18">
        <f t="shared" si="582"/>
        <v>6.8939988968562389</v>
      </c>
      <c r="Y483" s="18">
        <f t="shared" si="582"/>
        <v>1.9547208643371412</v>
      </c>
      <c r="Z483" s="18">
        <f t="shared" si="582"/>
        <v>2.4405470008765069</v>
      </c>
      <c r="AA483" s="18">
        <f t="shared" si="582"/>
        <v>1.4393387843683685</v>
      </c>
      <c r="AB483" s="18">
        <f t="shared" si="582"/>
        <v>4.7948570411684299</v>
      </c>
      <c r="AC483" s="18">
        <f t="shared" si="582"/>
        <v>1.080568451379682</v>
      </c>
      <c r="AD483" s="56">
        <f t="shared" si="570"/>
        <v>6</v>
      </c>
      <c r="AF483" s="18">
        <f t="shared" si="583"/>
        <v>6.7882535537031279</v>
      </c>
      <c r="AG483" s="18">
        <f t="shared" si="583"/>
        <v>1.2950037812082744</v>
      </c>
      <c r="AH483" s="18">
        <f t="shared" si="583"/>
        <v>2.2239548683747534</v>
      </c>
      <c r="AI483" s="18">
        <f t="shared" si="583"/>
        <v>0.79475361067608552</v>
      </c>
      <c r="AJ483" s="18">
        <f t="shared" si="583"/>
        <v>4.5152318150258868</v>
      </c>
      <c r="AK483" s="18">
        <f t="shared" si="583"/>
        <v>0.50930138199476471</v>
      </c>
      <c r="AL483" s="56">
        <f t="shared" si="571"/>
        <v>6</v>
      </c>
      <c r="AN483" s="18">
        <f t="shared" si="584"/>
        <v>6.7882535537031279</v>
      </c>
      <c r="AO483" s="18">
        <f t="shared" si="584"/>
        <v>1.2485711581680918</v>
      </c>
      <c r="AP483" s="18">
        <f t="shared" si="584"/>
        <v>2.195100204127225</v>
      </c>
      <c r="AQ483" s="18">
        <f t="shared" si="584"/>
        <v>0.79122784664383095</v>
      </c>
      <c r="AR483" s="18">
        <f t="shared" si="584"/>
        <v>4.5152318150258868</v>
      </c>
      <c r="AS483" s="18">
        <f t="shared" si="584"/>
        <v>0.53822835768081423</v>
      </c>
      <c r="AT483" s="56">
        <f t="shared" si="572"/>
        <v>6</v>
      </c>
      <c r="AV483" s="18">
        <f t="shared" si="585"/>
        <v>6.7882535537031279</v>
      </c>
      <c r="AW483" s="18">
        <f t="shared" si="585"/>
        <v>1.2172227634920771</v>
      </c>
      <c r="AX483" s="18">
        <f t="shared" si="585"/>
        <v>2.195100204127225</v>
      </c>
      <c r="AY483" s="18">
        <f t="shared" si="585"/>
        <v>0.79122784664383095</v>
      </c>
      <c r="AZ483" s="18">
        <f t="shared" si="585"/>
        <v>4.5152318150258868</v>
      </c>
      <c r="BA483" s="18">
        <f t="shared" si="585"/>
        <v>0.56150866896812357</v>
      </c>
      <c r="BB483" s="56">
        <f t="shared" si="573"/>
        <v>6</v>
      </c>
      <c r="BD483" s="18">
        <f t="shared" si="586"/>
        <v>6.7882535537031279</v>
      </c>
      <c r="BE483" s="18">
        <f t="shared" si="586"/>
        <v>1.1874479548296732</v>
      </c>
      <c r="BF483" s="18">
        <f t="shared" si="586"/>
        <v>2.195100204127225</v>
      </c>
      <c r="BG483" s="18">
        <f t="shared" si="586"/>
        <v>0.79122784664383095</v>
      </c>
      <c r="BH483" s="18">
        <f t="shared" si="586"/>
        <v>4.5152318150258868</v>
      </c>
      <c r="BI483" s="18">
        <f t="shared" si="586"/>
        <v>0.58476074766457009</v>
      </c>
      <c r="BJ483" s="56">
        <f t="shared" si="574"/>
        <v>6</v>
      </c>
      <c r="BL483" s="18">
        <f t="shared" si="587"/>
        <v>6.7882535537031279</v>
      </c>
      <c r="BM483" s="18">
        <f t="shared" si="587"/>
        <v>1.1874479548296732</v>
      </c>
      <c r="BN483" s="18">
        <f t="shared" si="587"/>
        <v>2.195100204127225</v>
      </c>
      <c r="BO483" s="18">
        <f t="shared" si="587"/>
        <v>0.79122784664383095</v>
      </c>
      <c r="BP483" s="18">
        <f t="shared" si="587"/>
        <v>4.5152318150258868</v>
      </c>
      <c r="BQ483" s="18">
        <f t="shared" si="587"/>
        <v>0.58476074766457009</v>
      </c>
      <c r="BR483" s="56">
        <f t="shared" si="575"/>
        <v>6</v>
      </c>
      <c r="BT483" s="18">
        <f t="shared" si="588"/>
        <v>6.7882535537031279</v>
      </c>
      <c r="BU483" s="18">
        <f t="shared" si="588"/>
        <v>1.1874479548296732</v>
      </c>
      <c r="BV483" s="18">
        <f t="shared" si="588"/>
        <v>2.195100204127225</v>
      </c>
      <c r="BW483" s="18">
        <f t="shared" si="588"/>
        <v>0.79122784664383095</v>
      </c>
      <c r="BX483" s="18">
        <f t="shared" si="588"/>
        <v>4.5152318150258868</v>
      </c>
      <c r="BY483" s="18">
        <f t="shared" si="588"/>
        <v>0.58476074766457009</v>
      </c>
      <c r="BZ483" s="56">
        <f t="shared" si="576"/>
        <v>6</v>
      </c>
      <c r="CB483" s="18">
        <f t="shared" si="589"/>
        <v>6.7882535537031279</v>
      </c>
      <c r="CC483" s="18">
        <f t="shared" si="589"/>
        <v>1.1874479548296732</v>
      </c>
      <c r="CD483" s="18">
        <f t="shared" si="589"/>
        <v>2.195100204127225</v>
      </c>
      <c r="CE483" s="18">
        <f t="shared" si="589"/>
        <v>0.79122784664383095</v>
      </c>
      <c r="CF483" s="18">
        <f t="shared" si="589"/>
        <v>4.5152318150258868</v>
      </c>
      <c r="CG483" s="18">
        <f t="shared" si="589"/>
        <v>0.58476074766457009</v>
      </c>
      <c r="CH483" s="56">
        <f t="shared" si="577"/>
        <v>6</v>
      </c>
      <c r="CJ483" s="18">
        <f t="shared" si="590"/>
        <v>6.7882535537031279</v>
      </c>
      <c r="CK483" s="18">
        <f t="shared" si="590"/>
        <v>1.1874479548296732</v>
      </c>
      <c r="CL483" s="18">
        <f t="shared" si="590"/>
        <v>2.195100204127225</v>
      </c>
      <c r="CM483" s="18">
        <f t="shared" si="590"/>
        <v>0.79122784664383095</v>
      </c>
      <c r="CN483" s="18">
        <f t="shared" si="590"/>
        <v>4.5152318150258868</v>
      </c>
      <c r="CO483" s="18">
        <f t="shared" si="590"/>
        <v>0.58476074766457009</v>
      </c>
      <c r="CP483" s="56">
        <f t="shared" si="578"/>
        <v>6</v>
      </c>
      <c r="CR483" s="18">
        <f t="shared" si="591"/>
        <v>6.7882535537031279</v>
      </c>
      <c r="CS483" s="18">
        <f t="shared" si="591"/>
        <v>1.1874479548296732</v>
      </c>
      <c r="CT483" s="18">
        <f t="shared" si="591"/>
        <v>2.195100204127225</v>
      </c>
      <c r="CU483" s="18">
        <f t="shared" si="591"/>
        <v>0.79122784664383095</v>
      </c>
      <c r="CV483" s="18">
        <f t="shared" si="591"/>
        <v>4.5152318150258868</v>
      </c>
      <c r="CW483" s="18">
        <f t="shared" si="591"/>
        <v>0.58476074766457009</v>
      </c>
      <c r="CX483" s="56">
        <f t="shared" si="579"/>
        <v>6</v>
      </c>
      <c r="CZ483" s="18">
        <f t="shared" si="592"/>
        <v>6.7882535537031279</v>
      </c>
      <c r="DA483" s="18">
        <f t="shared" si="592"/>
        <v>1.1874479548296732</v>
      </c>
      <c r="DB483" s="18">
        <f t="shared" si="592"/>
        <v>2.195100204127225</v>
      </c>
      <c r="DC483" s="18">
        <f t="shared" si="592"/>
        <v>0.79122784664383095</v>
      </c>
      <c r="DD483" s="18">
        <f t="shared" si="592"/>
        <v>4.5152318150258868</v>
      </c>
      <c r="DE483" s="18">
        <f t="shared" si="592"/>
        <v>0.58476074766457009</v>
      </c>
      <c r="DF483" s="56">
        <f t="shared" si="580"/>
        <v>6</v>
      </c>
      <c r="DH483" s="18">
        <f t="shared" si="593"/>
        <v>6.7882535537031279</v>
      </c>
      <c r="DI483" s="18">
        <f t="shared" si="593"/>
        <v>1.1874479548296732</v>
      </c>
      <c r="DJ483" s="18">
        <f t="shared" si="593"/>
        <v>2.195100204127225</v>
      </c>
      <c r="DK483" s="18">
        <f t="shared" si="593"/>
        <v>0.79122784664383095</v>
      </c>
      <c r="DL483" s="18">
        <f t="shared" si="593"/>
        <v>4.5152318150258868</v>
      </c>
      <c r="DM483" s="18">
        <f t="shared" si="593"/>
        <v>0.58476074766457009</v>
      </c>
      <c r="DN483" s="56">
        <f t="shared" si="581"/>
        <v>6</v>
      </c>
    </row>
    <row r="484" spans="1:118" x14ac:dyDescent="0.25">
      <c r="A484" s="36" t="str">
        <f>KMeans_Data!A81</f>
        <v>Khushab</v>
      </c>
      <c r="B484" s="18">
        <f>KMeans_Data!H81</f>
        <v>-0.34542544181187113</v>
      </c>
      <c r="C484" s="18">
        <f>KMeans_Data!I81</f>
        <v>-0.67265054538827607</v>
      </c>
      <c r="D484" s="18">
        <f>KMeans_Data!J81</f>
        <v>-1.1456441163335547</v>
      </c>
      <c r="E484" s="56">
        <f t="shared" si="568"/>
        <v>4</v>
      </c>
      <c r="F484" s="38">
        <f t="shared" si="569"/>
        <v>0.32567071403321574</v>
      </c>
      <c r="G484" s="18">
        <f>IF(COUNTIF(Distance_Matrix!$E$12:$DQ$12,$E484)&lt;=1,0,SUMIF(Distance_Matrix!$E$12:$DQ$12,$E484,Distance_Matrix!$E$90:$DQ$90)/(COUNTIF(Distance_Matrix!$E$12:$DQ$12,$E484)-1))</f>
        <v>0.70484439048447056</v>
      </c>
      <c r="H484" s="18">
        <f>MIN(IF(1=$E484,1E+99,IF(COUNTIF(Distance_Matrix!$E$12:$DQ$12,1)=0,1E+99,SUMIF(Distance_Matrix!$E$12:$DQ$12,1,Distance_Matrix!$E$90:$DQ$90)/COUNTIF(Distance_Matrix!$E$12:$DQ$12,1))),IF(2=$E484,1E+99,IF(COUNTIF(Distance_Matrix!$E$12:$DQ$12,2)=0,1E+99,SUMIF(Distance_Matrix!$E$12:$DQ$12,2,Distance_Matrix!$E$90:$DQ$90)/COUNTIF(Distance_Matrix!$E$12:$DQ$12,2))),IF(3=$E484,1E+99,IF(COUNTIF(Distance_Matrix!$E$12:$DQ$12,3)=0,1E+99,SUMIF(Distance_Matrix!$E$12:$DQ$12,3,Distance_Matrix!$E$90:$DQ$90)/COUNTIF(Distance_Matrix!$E$12:$DQ$12,3))),IF(4=$E484,1E+99,IF(COUNTIF(Distance_Matrix!$E$12:$DQ$12,4)=0,1E+99,SUMIF(Distance_Matrix!$E$12:$DQ$12,4,Distance_Matrix!$E$90:$DQ$90)/COUNTIF(Distance_Matrix!$E$12:$DQ$12,4))),IF(5=$E484,1E+99,IF(COUNTIF(Distance_Matrix!$E$12:$DQ$12,5)=0,1E+99,SUMIF(Distance_Matrix!$E$12:$DQ$12,5,Distance_Matrix!$E$90:$DQ$90)/COUNTIF(Distance_Matrix!$E$12:$DQ$12,5))),IF(6=$E484,1E+99,IF(COUNTIF(Distance_Matrix!$E$12:$DQ$12,6)=0,1E+99,SUMIF(Distance_Matrix!$E$12:$DQ$12,6,Distance_Matrix!$E$90:$DQ$90)/COUNTIF(Distance_Matrix!$E$12:$DQ$12,6))))</f>
        <v>0.96082041574491528</v>
      </c>
      <c r="I484" s="18">
        <f>IF(COUNTIF(Distance_Matrix!$E$12:$DQ$12,$E484)&lt;=1,0,(H484-G484)/MAX(G484,H484))</f>
        <v>0.26641401563265998</v>
      </c>
      <c r="X484" s="18">
        <f t="shared" si="582"/>
        <v>7.39231183279799</v>
      </c>
      <c r="Y484" s="18">
        <f t="shared" si="582"/>
        <v>1.7343125399914574</v>
      </c>
      <c r="Z484" s="18">
        <f t="shared" si="582"/>
        <v>3.1402305045998049</v>
      </c>
      <c r="AA484" s="18">
        <f t="shared" si="582"/>
        <v>1.1218745317920775</v>
      </c>
      <c r="AB484" s="18">
        <f t="shared" si="582"/>
        <v>5.3406030646973583</v>
      </c>
      <c r="AC484" s="18">
        <f t="shared" si="582"/>
        <v>1.8852349722326152</v>
      </c>
      <c r="AD484" s="56">
        <f t="shared" si="570"/>
        <v>4</v>
      </c>
      <c r="AF484" s="18">
        <f t="shared" si="583"/>
        <v>7.2583384656384409</v>
      </c>
      <c r="AG484" s="18">
        <f t="shared" si="583"/>
        <v>0.97684651954954638</v>
      </c>
      <c r="AH484" s="18">
        <f t="shared" si="583"/>
        <v>2.8113505231174143</v>
      </c>
      <c r="AI484" s="18">
        <f t="shared" si="583"/>
        <v>0.58464080619595615</v>
      </c>
      <c r="AJ484" s="18">
        <f t="shared" si="583"/>
        <v>4.9864779858503345</v>
      </c>
      <c r="AK484" s="18">
        <f t="shared" si="583"/>
        <v>1.3497588233881543</v>
      </c>
      <c r="AL484" s="56">
        <f t="shared" si="571"/>
        <v>4</v>
      </c>
      <c r="AN484" s="18">
        <f t="shared" si="584"/>
        <v>7.2583384656384409</v>
      </c>
      <c r="AO484" s="18">
        <f t="shared" si="584"/>
        <v>0.93554368999557647</v>
      </c>
      <c r="AP484" s="18">
        <f t="shared" si="584"/>
        <v>2.7836321926604088</v>
      </c>
      <c r="AQ484" s="18">
        <f t="shared" si="584"/>
        <v>0.57067566448308948</v>
      </c>
      <c r="AR484" s="18">
        <f t="shared" si="584"/>
        <v>4.9864779858503345</v>
      </c>
      <c r="AS484" s="18">
        <f t="shared" si="584"/>
        <v>1.3758448587708783</v>
      </c>
      <c r="AT484" s="56">
        <f t="shared" si="572"/>
        <v>4</v>
      </c>
      <c r="AV484" s="18">
        <f t="shared" si="585"/>
        <v>7.2583384656384409</v>
      </c>
      <c r="AW484" s="18">
        <f t="shared" si="585"/>
        <v>0.91907394109677754</v>
      </c>
      <c r="AX484" s="18">
        <f t="shared" si="585"/>
        <v>2.7836321926604088</v>
      </c>
      <c r="AY484" s="18">
        <f t="shared" si="585"/>
        <v>0.57067566448308948</v>
      </c>
      <c r="AZ484" s="18">
        <f t="shared" si="585"/>
        <v>4.9864779858503345</v>
      </c>
      <c r="BA484" s="18">
        <f t="shared" si="585"/>
        <v>1.39678794465469</v>
      </c>
      <c r="BB484" s="56">
        <f t="shared" si="573"/>
        <v>4</v>
      </c>
      <c r="BD484" s="18">
        <f t="shared" si="586"/>
        <v>7.2583384656384409</v>
      </c>
      <c r="BE484" s="18">
        <f t="shared" si="586"/>
        <v>0.90665970448109157</v>
      </c>
      <c r="BF484" s="18">
        <f t="shared" si="586"/>
        <v>2.7836321926604088</v>
      </c>
      <c r="BG484" s="18">
        <f t="shared" si="586"/>
        <v>0.57067566448308948</v>
      </c>
      <c r="BH484" s="18">
        <f t="shared" si="586"/>
        <v>4.9864779858503345</v>
      </c>
      <c r="BI484" s="18">
        <f t="shared" si="586"/>
        <v>1.4168283742176706</v>
      </c>
      <c r="BJ484" s="56">
        <f t="shared" si="574"/>
        <v>4</v>
      </c>
      <c r="BL484" s="18">
        <f t="shared" si="587"/>
        <v>7.2583384656384409</v>
      </c>
      <c r="BM484" s="18">
        <f t="shared" si="587"/>
        <v>0.90665970448109157</v>
      </c>
      <c r="BN484" s="18">
        <f t="shared" si="587"/>
        <v>2.7836321926604088</v>
      </c>
      <c r="BO484" s="18">
        <f t="shared" si="587"/>
        <v>0.57067566448308948</v>
      </c>
      <c r="BP484" s="18">
        <f t="shared" si="587"/>
        <v>4.9864779858503345</v>
      </c>
      <c r="BQ484" s="18">
        <f t="shared" si="587"/>
        <v>1.4168283742176706</v>
      </c>
      <c r="BR484" s="56">
        <f t="shared" si="575"/>
        <v>4</v>
      </c>
      <c r="BT484" s="18">
        <f t="shared" si="588"/>
        <v>7.2583384656384409</v>
      </c>
      <c r="BU484" s="18">
        <f t="shared" si="588"/>
        <v>0.90665970448109157</v>
      </c>
      <c r="BV484" s="18">
        <f t="shared" si="588"/>
        <v>2.7836321926604088</v>
      </c>
      <c r="BW484" s="18">
        <f t="shared" si="588"/>
        <v>0.57067566448308948</v>
      </c>
      <c r="BX484" s="18">
        <f t="shared" si="588"/>
        <v>4.9864779858503345</v>
      </c>
      <c r="BY484" s="18">
        <f t="shared" si="588"/>
        <v>1.4168283742176706</v>
      </c>
      <c r="BZ484" s="56">
        <f t="shared" si="576"/>
        <v>4</v>
      </c>
      <c r="CB484" s="18">
        <f t="shared" si="589"/>
        <v>7.2583384656384409</v>
      </c>
      <c r="CC484" s="18">
        <f t="shared" si="589"/>
        <v>0.90665970448109157</v>
      </c>
      <c r="CD484" s="18">
        <f t="shared" si="589"/>
        <v>2.7836321926604088</v>
      </c>
      <c r="CE484" s="18">
        <f t="shared" si="589"/>
        <v>0.57067566448308948</v>
      </c>
      <c r="CF484" s="18">
        <f t="shared" si="589"/>
        <v>4.9864779858503345</v>
      </c>
      <c r="CG484" s="18">
        <f t="shared" si="589"/>
        <v>1.4168283742176706</v>
      </c>
      <c r="CH484" s="56">
        <f t="shared" si="577"/>
        <v>4</v>
      </c>
      <c r="CJ484" s="18">
        <f t="shared" si="590"/>
        <v>7.2583384656384409</v>
      </c>
      <c r="CK484" s="18">
        <f t="shared" si="590"/>
        <v>0.90665970448109157</v>
      </c>
      <c r="CL484" s="18">
        <f t="shared" si="590"/>
        <v>2.7836321926604088</v>
      </c>
      <c r="CM484" s="18">
        <f t="shared" si="590"/>
        <v>0.57067566448308948</v>
      </c>
      <c r="CN484" s="18">
        <f t="shared" si="590"/>
        <v>4.9864779858503345</v>
      </c>
      <c r="CO484" s="18">
        <f t="shared" si="590"/>
        <v>1.4168283742176706</v>
      </c>
      <c r="CP484" s="56">
        <f t="shared" si="578"/>
        <v>4</v>
      </c>
      <c r="CR484" s="18">
        <f t="shared" si="591"/>
        <v>7.2583384656384409</v>
      </c>
      <c r="CS484" s="18">
        <f t="shared" si="591"/>
        <v>0.90665970448109157</v>
      </c>
      <c r="CT484" s="18">
        <f t="shared" si="591"/>
        <v>2.7836321926604088</v>
      </c>
      <c r="CU484" s="18">
        <f t="shared" si="591"/>
        <v>0.57067566448308948</v>
      </c>
      <c r="CV484" s="18">
        <f t="shared" si="591"/>
        <v>4.9864779858503345</v>
      </c>
      <c r="CW484" s="18">
        <f t="shared" si="591"/>
        <v>1.4168283742176706</v>
      </c>
      <c r="CX484" s="56">
        <f t="shared" si="579"/>
        <v>4</v>
      </c>
      <c r="CZ484" s="18">
        <f t="shared" si="592"/>
        <v>7.2583384656384409</v>
      </c>
      <c r="DA484" s="18">
        <f t="shared" si="592"/>
        <v>0.90665970448109157</v>
      </c>
      <c r="DB484" s="18">
        <f t="shared" si="592"/>
        <v>2.7836321926604088</v>
      </c>
      <c r="DC484" s="18">
        <f t="shared" si="592"/>
        <v>0.57067566448308948</v>
      </c>
      <c r="DD484" s="18">
        <f t="shared" si="592"/>
        <v>4.9864779858503345</v>
      </c>
      <c r="DE484" s="18">
        <f t="shared" si="592"/>
        <v>1.4168283742176706</v>
      </c>
      <c r="DF484" s="56">
        <f t="shared" si="580"/>
        <v>4</v>
      </c>
      <c r="DH484" s="18">
        <f t="shared" si="593"/>
        <v>7.2583384656384409</v>
      </c>
      <c r="DI484" s="18">
        <f t="shared" si="593"/>
        <v>0.90665970448109157</v>
      </c>
      <c r="DJ484" s="18">
        <f t="shared" si="593"/>
        <v>2.7836321926604088</v>
      </c>
      <c r="DK484" s="18">
        <f t="shared" si="593"/>
        <v>0.57067566448308948</v>
      </c>
      <c r="DL484" s="18">
        <f t="shared" si="593"/>
        <v>4.9864779858503345</v>
      </c>
      <c r="DM484" s="18">
        <f t="shared" si="593"/>
        <v>1.4168283742176706</v>
      </c>
      <c r="DN484" s="56">
        <f t="shared" si="581"/>
        <v>4</v>
      </c>
    </row>
    <row r="485" spans="1:118" x14ac:dyDescent="0.25">
      <c r="A485" s="36" t="str">
        <f>KMeans_Data!A82</f>
        <v>Sheikhupura</v>
      </c>
      <c r="B485" s="18">
        <f>KMeans_Data!H82</f>
        <v>-0.38399641938154599</v>
      </c>
      <c r="C485" s="18">
        <f>KMeans_Data!I82</f>
        <v>-0.67265054538827607</v>
      </c>
      <c r="D485" s="18">
        <f>KMeans_Data!J82</f>
        <v>-1.1456441163335547</v>
      </c>
      <c r="E485" s="56">
        <f t="shared" si="568"/>
        <v>4</v>
      </c>
      <c r="F485" s="38">
        <f t="shared" si="569"/>
        <v>0.36446366934493923</v>
      </c>
      <c r="G485" s="18">
        <f>IF(COUNTIF(Distance_Matrix!$E$12:$DQ$12,$E485)&lt;=1,0,SUMIF(Distance_Matrix!$E$12:$DQ$12,$E485,Distance_Matrix!$E$91:$DQ$91)/(COUNTIF(Distance_Matrix!$E$12:$DQ$12,$E485)-1))</f>
        <v>0.7317345385024866</v>
      </c>
      <c r="H485" s="18">
        <f>MIN(IF(1=$E485,1E+99,IF(COUNTIF(Distance_Matrix!$E$12:$DQ$12,1)=0,1E+99,SUMIF(Distance_Matrix!$E$12:$DQ$12,1,Distance_Matrix!$E$91:$DQ$91)/COUNTIF(Distance_Matrix!$E$12:$DQ$12,1))),IF(2=$E485,1E+99,IF(COUNTIF(Distance_Matrix!$E$12:$DQ$12,2)=0,1E+99,SUMIF(Distance_Matrix!$E$12:$DQ$12,2,Distance_Matrix!$E$91:$DQ$91)/COUNTIF(Distance_Matrix!$E$12:$DQ$12,2))),IF(3=$E485,1E+99,IF(COUNTIF(Distance_Matrix!$E$12:$DQ$12,3)=0,1E+99,SUMIF(Distance_Matrix!$E$12:$DQ$12,3,Distance_Matrix!$E$91:$DQ$91)/COUNTIF(Distance_Matrix!$E$12:$DQ$12,3))),IF(4=$E485,1E+99,IF(COUNTIF(Distance_Matrix!$E$12:$DQ$12,4)=0,1E+99,SUMIF(Distance_Matrix!$E$12:$DQ$12,4,Distance_Matrix!$E$91:$DQ$91)/COUNTIF(Distance_Matrix!$E$12:$DQ$12,4))),IF(5=$E485,1E+99,IF(COUNTIF(Distance_Matrix!$E$12:$DQ$12,5)=0,1E+99,SUMIF(Distance_Matrix!$E$12:$DQ$12,5,Distance_Matrix!$E$91:$DQ$91)/COUNTIF(Distance_Matrix!$E$12:$DQ$12,5))),IF(6=$E485,1E+99,IF(COUNTIF(Distance_Matrix!$E$12:$DQ$12,6)=0,1E+99,SUMIF(Distance_Matrix!$E$12:$DQ$12,6,Distance_Matrix!$E$91:$DQ$91)/COUNTIF(Distance_Matrix!$E$12:$DQ$12,6))))</f>
        <v>0.92511603745297488</v>
      </c>
      <c r="I485" s="18">
        <f>IF(COUNTIF(Distance_Matrix!$E$12:$DQ$12,$E485)&lt;=1,0,(H485-G485)/MAX(G485,H485))</f>
        <v>0.20903485738168082</v>
      </c>
      <c r="X485" s="18">
        <f t="shared" si="582"/>
        <v>7.4112748787545444</v>
      </c>
      <c r="Y485" s="18">
        <f t="shared" si="582"/>
        <v>1.6957415624217826</v>
      </c>
      <c r="Z485" s="18">
        <f t="shared" si="582"/>
        <v>3.1574046827609017</v>
      </c>
      <c r="AA485" s="18">
        <f t="shared" si="582"/>
        <v>1.1560905939655126</v>
      </c>
      <c r="AB485" s="18">
        <f t="shared" si="582"/>
        <v>5.3602779987239586</v>
      </c>
      <c r="AC485" s="18">
        <f t="shared" si="582"/>
        <v>1.8782355309516054</v>
      </c>
      <c r="AD485" s="56">
        <f t="shared" si="570"/>
        <v>4</v>
      </c>
      <c r="AF485" s="18">
        <f t="shared" si="583"/>
        <v>7.27758659193118</v>
      </c>
      <c r="AG485" s="18">
        <f t="shared" si="583"/>
        <v>0.93833932072942672</v>
      </c>
      <c r="AH485" s="18">
        <f t="shared" si="583"/>
        <v>2.826875672885989</v>
      </c>
      <c r="AI485" s="18">
        <f t="shared" si="583"/>
        <v>0.61727912770988969</v>
      </c>
      <c r="AJ485" s="18">
        <f t="shared" si="583"/>
        <v>5.0054576497055443</v>
      </c>
      <c r="AK485" s="18">
        <f t="shared" si="583"/>
        <v>1.3526097300361568</v>
      </c>
      <c r="AL485" s="56">
        <f t="shared" si="571"/>
        <v>4</v>
      </c>
      <c r="AN485" s="18">
        <f t="shared" si="584"/>
        <v>7.27758659193118</v>
      </c>
      <c r="AO485" s="18">
        <f t="shared" si="584"/>
        <v>0.89710139959002577</v>
      </c>
      <c r="AP485" s="18">
        <f t="shared" si="584"/>
        <v>2.7989293547962548</v>
      </c>
      <c r="AQ485" s="18">
        <f t="shared" si="584"/>
        <v>0.60370826509576558</v>
      </c>
      <c r="AR485" s="18">
        <f t="shared" si="584"/>
        <v>5.0054576497055443</v>
      </c>
      <c r="AS485" s="18">
        <f t="shared" si="584"/>
        <v>1.3797524238857817</v>
      </c>
      <c r="AT485" s="56">
        <f t="shared" si="572"/>
        <v>4</v>
      </c>
      <c r="AV485" s="18">
        <f t="shared" si="585"/>
        <v>7.27758659193118</v>
      </c>
      <c r="AW485" s="18">
        <f t="shared" si="585"/>
        <v>0.88074075943450614</v>
      </c>
      <c r="AX485" s="18">
        <f t="shared" si="585"/>
        <v>2.7989293547962548</v>
      </c>
      <c r="AY485" s="18">
        <f t="shared" si="585"/>
        <v>0.60370826509576558</v>
      </c>
      <c r="AZ485" s="18">
        <f t="shared" si="585"/>
        <v>5.0054576497055443</v>
      </c>
      <c r="BA485" s="18">
        <f t="shared" si="585"/>
        <v>1.4011053957145949</v>
      </c>
      <c r="BB485" s="56">
        <f t="shared" si="573"/>
        <v>4</v>
      </c>
      <c r="BD485" s="18">
        <f t="shared" si="586"/>
        <v>7.27758659193118</v>
      </c>
      <c r="BE485" s="18">
        <f t="shared" si="586"/>
        <v>0.86848156223791095</v>
      </c>
      <c r="BF485" s="18">
        <f t="shared" si="586"/>
        <v>2.7989293547962548</v>
      </c>
      <c r="BG485" s="18">
        <f t="shared" si="586"/>
        <v>0.60370826509576558</v>
      </c>
      <c r="BH485" s="18">
        <f t="shared" si="586"/>
        <v>5.0054576497055443</v>
      </c>
      <c r="BI485" s="18">
        <f t="shared" si="586"/>
        <v>1.4216137588447297</v>
      </c>
      <c r="BJ485" s="56">
        <f t="shared" si="574"/>
        <v>4</v>
      </c>
      <c r="BL485" s="18">
        <f t="shared" si="587"/>
        <v>7.27758659193118</v>
      </c>
      <c r="BM485" s="18">
        <f t="shared" si="587"/>
        <v>0.86848156223791095</v>
      </c>
      <c r="BN485" s="18">
        <f t="shared" si="587"/>
        <v>2.7989293547962548</v>
      </c>
      <c r="BO485" s="18">
        <f t="shared" si="587"/>
        <v>0.60370826509576558</v>
      </c>
      <c r="BP485" s="18">
        <f t="shared" si="587"/>
        <v>5.0054576497055443</v>
      </c>
      <c r="BQ485" s="18">
        <f t="shared" si="587"/>
        <v>1.4216137588447297</v>
      </c>
      <c r="BR485" s="56">
        <f t="shared" si="575"/>
        <v>4</v>
      </c>
      <c r="BT485" s="18">
        <f t="shared" si="588"/>
        <v>7.27758659193118</v>
      </c>
      <c r="BU485" s="18">
        <f t="shared" si="588"/>
        <v>0.86848156223791095</v>
      </c>
      <c r="BV485" s="18">
        <f t="shared" si="588"/>
        <v>2.7989293547962548</v>
      </c>
      <c r="BW485" s="18">
        <f t="shared" si="588"/>
        <v>0.60370826509576558</v>
      </c>
      <c r="BX485" s="18">
        <f t="shared" si="588"/>
        <v>5.0054576497055443</v>
      </c>
      <c r="BY485" s="18">
        <f t="shared" si="588"/>
        <v>1.4216137588447297</v>
      </c>
      <c r="BZ485" s="56">
        <f t="shared" si="576"/>
        <v>4</v>
      </c>
      <c r="CB485" s="18">
        <f t="shared" si="589"/>
        <v>7.27758659193118</v>
      </c>
      <c r="CC485" s="18">
        <f t="shared" si="589"/>
        <v>0.86848156223791095</v>
      </c>
      <c r="CD485" s="18">
        <f t="shared" si="589"/>
        <v>2.7989293547962548</v>
      </c>
      <c r="CE485" s="18">
        <f t="shared" si="589"/>
        <v>0.60370826509576558</v>
      </c>
      <c r="CF485" s="18">
        <f t="shared" si="589"/>
        <v>5.0054576497055443</v>
      </c>
      <c r="CG485" s="18">
        <f t="shared" si="589"/>
        <v>1.4216137588447297</v>
      </c>
      <c r="CH485" s="56">
        <f t="shared" si="577"/>
        <v>4</v>
      </c>
      <c r="CJ485" s="18">
        <f t="shared" si="590"/>
        <v>7.27758659193118</v>
      </c>
      <c r="CK485" s="18">
        <f t="shared" si="590"/>
        <v>0.86848156223791095</v>
      </c>
      <c r="CL485" s="18">
        <f t="shared" si="590"/>
        <v>2.7989293547962548</v>
      </c>
      <c r="CM485" s="18">
        <f t="shared" si="590"/>
        <v>0.60370826509576558</v>
      </c>
      <c r="CN485" s="18">
        <f t="shared" si="590"/>
        <v>5.0054576497055443</v>
      </c>
      <c r="CO485" s="18">
        <f t="shared" si="590"/>
        <v>1.4216137588447297</v>
      </c>
      <c r="CP485" s="56">
        <f t="shared" si="578"/>
        <v>4</v>
      </c>
      <c r="CR485" s="18">
        <f t="shared" si="591"/>
        <v>7.27758659193118</v>
      </c>
      <c r="CS485" s="18">
        <f t="shared" si="591"/>
        <v>0.86848156223791095</v>
      </c>
      <c r="CT485" s="18">
        <f t="shared" si="591"/>
        <v>2.7989293547962548</v>
      </c>
      <c r="CU485" s="18">
        <f t="shared" si="591"/>
        <v>0.60370826509576558</v>
      </c>
      <c r="CV485" s="18">
        <f t="shared" si="591"/>
        <v>5.0054576497055443</v>
      </c>
      <c r="CW485" s="18">
        <f t="shared" si="591"/>
        <v>1.4216137588447297</v>
      </c>
      <c r="CX485" s="56">
        <f t="shared" si="579"/>
        <v>4</v>
      </c>
      <c r="CZ485" s="18">
        <f t="shared" si="592"/>
        <v>7.27758659193118</v>
      </c>
      <c r="DA485" s="18">
        <f t="shared" si="592"/>
        <v>0.86848156223791095</v>
      </c>
      <c r="DB485" s="18">
        <f t="shared" si="592"/>
        <v>2.7989293547962548</v>
      </c>
      <c r="DC485" s="18">
        <f t="shared" si="592"/>
        <v>0.60370826509576558</v>
      </c>
      <c r="DD485" s="18">
        <f t="shared" si="592"/>
        <v>5.0054576497055443</v>
      </c>
      <c r="DE485" s="18">
        <f t="shared" si="592"/>
        <v>1.4216137588447297</v>
      </c>
      <c r="DF485" s="56">
        <f t="shared" si="580"/>
        <v>4</v>
      </c>
      <c r="DH485" s="18">
        <f t="shared" si="593"/>
        <v>7.27758659193118</v>
      </c>
      <c r="DI485" s="18">
        <f t="shared" si="593"/>
        <v>0.86848156223791095</v>
      </c>
      <c r="DJ485" s="18">
        <f t="shared" si="593"/>
        <v>2.7989293547962548</v>
      </c>
      <c r="DK485" s="18">
        <f t="shared" si="593"/>
        <v>0.60370826509576558</v>
      </c>
      <c r="DL485" s="18">
        <f t="shared" si="593"/>
        <v>5.0054576497055443</v>
      </c>
      <c r="DM485" s="18">
        <f t="shared" si="593"/>
        <v>1.4216137588447297</v>
      </c>
      <c r="DN485" s="56">
        <f t="shared" si="581"/>
        <v>4</v>
      </c>
    </row>
    <row r="486" spans="1:118" x14ac:dyDescent="0.25">
      <c r="A486" s="36" t="str">
        <f>KMeans_Data!A83</f>
        <v>Diamer</v>
      </c>
      <c r="B486" s="18">
        <f>KMeans_Data!H83</f>
        <v>-0.40440962464593949</v>
      </c>
      <c r="C486" s="18">
        <f>KMeans_Data!I83</f>
        <v>-0.67265054538827607</v>
      </c>
      <c r="D486" s="18">
        <f>KMeans_Data!J83</f>
        <v>4.2930091906806002E-2</v>
      </c>
      <c r="E486" s="56">
        <f t="shared" si="568"/>
        <v>6</v>
      </c>
      <c r="F486" s="38">
        <f t="shared" si="569"/>
        <v>0.17505116458665379</v>
      </c>
      <c r="G486" s="18">
        <f>IF(COUNTIF(Distance_Matrix!$E$12:$DQ$12,$E486)&lt;=1,0,SUMIF(Distance_Matrix!$E$12:$DQ$12,$E486,Distance_Matrix!$E$92:$DQ$92)/(COUNTIF(Distance_Matrix!$E$12:$DQ$12,$E486)-1))</f>
        <v>0.70361218882866083</v>
      </c>
      <c r="H486" s="18">
        <f>MIN(IF(1=$E486,1E+99,IF(COUNTIF(Distance_Matrix!$E$12:$DQ$12,1)=0,1E+99,SUMIF(Distance_Matrix!$E$12:$DQ$12,1,Distance_Matrix!$E$92:$DQ$92)/COUNTIF(Distance_Matrix!$E$12:$DQ$12,1))),IF(2=$E486,1E+99,IF(COUNTIF(Distance_Matrix!$E$12:$DQ$12,2)=0,1E+99,SUMIF(Distance_Matrix!$E$12:$DQ$12,2,Distance_Matrix!$E$92:$DQ$92)/COUNTIF(Distance_Matrix!$E$12:$DQ$12,2))),IF(3=$E486,1E+99,IF(COUNTIF(Distance_Matrix!$E$12:$DQ$12,3)=0,1E+99,SUMIF(Distance_Matrix!$E$12:$DQ$12,3,Distance_Matrix!$E$92:$DQ$92)/COUNTIF(Distance_Matrix!$E$12:$DQ$12,3))),IF(4=$E486,1E+99,IF(COUNTIF(Distance_Matrix!$E$12:$DQ$12,4)=0,1E+99,SUMIF(Distance_Matrix!$E$12:$DQ$12,4,Distance_Matrix!$E$92:$DQ$92)/COUNTIF(Distance_Matrix!$E$12:$DQ$12,4))),IF(5=$E486,1E+99,IF(COUNTIF(Distance_Matrix!$E$12:$DQ$12,5)=0,1E+99,SUMIF(Distance_Matrix!$E$12:$DQ$12,5,Distance_Matrix!$E$92:$DQ$92)/COUNTIF(Distance_Matrix!$E$12:$DQ$12,5))),IF(6=$E486,1E+99,IF(COUNTIF(Distance_Matrix!$E$12:$DQ$12,6)=0,1E+99,SUMIF(Distance_Matrix!$E$12:$DQ$12,6,Distance_Matrix!$E$92:$DQ$92)/COUNTIF(Distance_Matrix!$E$12:$DQ$12,6))))</f>
        <v>1.170348545610971</v>
      </c>
      <c r="I486" s="18">
        <f>IF(COUNTIF(Distance_Matrix!$E$12:$DQ$12,$E486)&lt;=1,0,(H486-G486)/MAX(G486,H486))</f>
        <v>0.39880115930648186</v>
      </c>
      <c r="X486" s="18">
        <f t="shared" si="582"/>
        <v>6.784830788256877</v>
      </c>
      <c r="Y486" s="18">
        <f t="shared" si="582"/>
        <v>2.0541260313792522</v>
      </c>
      <c r="Z486" s="18">
        <f t="shared" si="582"/>
        <v>2.2850867502514411</v>
      </c>
      <c r="AA486" s="18">
        <f t="shared" si="582"/>
        <v>1.6708406619776459</v>
      </c>
      <c r="AB486" s="18">
        <f t="shared" si="582"/>
        <v>4.6792211682165608</v>
      </c>
      <c r="AC486" s="18">
        <f t="shared" si="582"/>
        <v>0.84279546314059806</v>
      </c>
      <c r="AD486" s="56">
        <f t="shared" si="570"/>
        <v>6</v>
      </c>
      <c r="AF486" s="18">
        <f t="shared" si="583"/>
        <v>6.6895298105037746</v>
      </c>
      <c r="AG486" s="18">
        <f t="shared" si="583"/>
        <v>1.4616265730377531</v>
      </c>
      <c r="AH486" s="18">
        <f t="shared" si="583"/>
        <v>2.1168544448142752</v>
      </c>
      <c r="AI486" s="18">
        <f t="shared" si="583"/>
        <v>1.0611217786240821</v>
      </c>
      <c r="AJ486" s="18">
        <f t="shared" si="583"/>
        <v>4.4266286046661882</v>
      </c>
      <c r="AK486" s="18">
        <f t="shared" si="583"/>
        <v>0.34098296113519683</v>
      </c>
      <c r="AL486" s="56">
        <f t="shared" si="571"/>
        <v>6</v>
      </c>
      <c r="AN486" s="18">
        <f t="shared" si="584"/>
        <v>6.6895298105037746</v>
      </c>
      <c r="AO486" s="18">
        <f t="shared" si="584"/>
        <v>1.4180428702393835</v>
      </c>
      <c r="AP486" s="18">
        <f t="shared" si="584"/>
        <v>2.0878376757048058</v>
      </c>
      <c r="AQ486" s="18">
        <f t="shared" si="584"/>
        <v>1.0597523877606994</v>
      </c>
      <c r="AR486" s="18">
        <f t="shared" si="584"/>
        <v>4.4266286046661882</v>
      </c>
      <c r="AS486" s="18">
        <f t="shared" si="584"/>
        <v>0.37185633388948569</v>
      </c>
      <c r="AT486" s="56">
        <f t="shared" si="572"/>
        <v>6</v>
      </c>
      <c r="AV486" s="18">
        <f t="shared" si="585"/>
        <v>6.6895298105037746</v>
      </c>
      <c r="AW486" s="18">
        <f t="shared" si="585"/>
        <v>1.3859667435883198</v>
      </c>
      <c r="AX486" s="18">
        <f t="shared" si="585"/>
        <v>2.0878376757048058</v>
      </c>
      <c r="AY486" s="18">
        <f t="shared" si="585"/>
        <v>1.0597523877606994</v>
      </c>
      <c r="AZ486" s="18">
        <f t="shared" si="585"/>
        <v>4.4266286046661882</v>
      </c>
      <c r="BA486" s="18">
        <f t="shared" si="585"/>
        <v>0.39440828838625586</v>
      </c>
      <c r="BB486" s="56">
        <f t="shared" si="573"/>
        <v>6</v>
      </c>
      <c r="BD486" s="18">
        <f t="shared" si="586"/>
        <v>6.6895298105037746</v>
      </c>
      <c r="BE486" s="18">
        <f t="shared" si="586"/>
        <v>1.3548452148605532</v>
      </c>
      <c r="BF486" s="18">
        <f t="shared" si="586"/>
        <v>2.0878376757048058</v>
      </c>
      <c r="BG486" s="18">
        <f t="shared" si="586"/>
        <v>1.0597523877606994</v>
      </c>
      <c r="BH486" s="18">
        <f t="shared" si="586"/>
        <v>4.4266286046661882</v>
      </c>
      <c r="BI486" s="18">
        <f t="shared" si="586"/>
        <v>0.41839116217560546</v>
      </c>
      <c r="BJ486" s="56">
        <f t="shared" si="574"/>
        <v>6</v>
      </c>
      <c r="BL486" s="18">
        <f t="shared" si="587"/>
        <v>6.6895298105037746</v>
      </c>
      <c r="BM486" s="18">
        <f t="shared" si="587"/>
        <v>1.3548452148605532</v>
      </c>
      <c r="BN486" s="18">
        <f t="shared" si="587"/>
        <v>2.0878376757048058</v>
      </c>
      <c r="BO486" s="18">
        <f t="shared" si="587"/>
        <v>1.0597523877606994</v>
      </c>
      <c r="BP486" s="18">
        <f t="shared" si="587"/>
        <v>4.4266286046661882</v>
      </c>
      <c r="BQ486" s="18">
        <f t="shared" si="587"/>
        <v>0.41839116217560546</v>
      </c>
      <c r="BR486" s="56">
        <f t="shared" si="575"/>
        <v>6</v>
      </c>
      <c r="BT486" s="18">
        <f t="shared" si="588"/>
        <v>6.6895298105037746</v>
      </c>
      <c r="BU486" s="18">
        <f t="shared" si="588"/>
        <v>1.3548452148605532</v>
      </c>
      <c r="BV486" s="18">
        <f t="shared" si="588"/>
        <v>2.0878376757048058</v>
      </c>
      <c r="BW486" s="18">
        <f t="shared" si="588"/>
        <v>1.0597523877606994</v>
      </c>
      <c r="BX486" s="18">
        <f t="shared" si="588"/>
        <v>4.4266286046661882</v>
      </c>
      <c r="BY486" s="18">
        <f t="shared" si="588"/>
        <v>0.41839116217560546</v>
      </c>
      <c r="BZ486" s="56">
        <f t="shared" si="576"/>
        <v>6</v>
      </c>
      <c r="CB486" s="18">
        <f t="shared" si="589"/>
        <v>6.6895298105037746</v>
      </c>
      <c r="CC486" s="18">
        <f t="shared" si="589"/>
        <v>1.3548452148605532</v>
      </c>
      <c r="CD486" s="18">
        <f t="shared" si="589"/>
        <v>2.0878376757048058</v>
      </c>
      <c r="CE486" s="18">
        <f t="shared" si="589"/>
        <v>1.0597523877606994</v>
      </c>
      <c r="CF486" s="18">
        <f t="shared" si="589"/>
        <v>4.4266286046661882</v>
      </c>
      <c r="CG486" s="18">
        <f t="shared" si="589"/>
        <v>0.41839116217560546</v>
      </c>
      <c r="CH486" s="56">
        <f t="shared" si="577"/>
        <v>6</v>
      </c>
      <c r="CJ486" s="18">
        <f t="shared" si="590"/>
        <v>6.6895298105037746</v>
      </c>
      <c r="CK486" s="18">
        <f t="shared" si="590"/>
        <v>1.3548452148605532</v>
      </c>
      <c r="CL486" s="18">
        <f t="shared" si="590"/>
        <v>2.0878376757048058</v>
      </c>
      <c r="CM486" s="18">
        <f t="shared" si="590"/>
        <v>1.0597523877606994</v>
      </c>
      <c r="CN486" s="18">
        <f t="shared" si="590"/>
        <v>4.4266286046661882</v>
      </c>
      <c r="CO486" s="18">
        <f t="shared" si="590"/>
        <v>0.41839116217560546</v>
      </c>
      <c r="CP486" s="56">
        <f t="shared" si="578"/>
        <v>6</v>
      </c>
      <c r="CR486" s="18">
        <f t="shared" si="591"/>
        <v>6.6895298105037746</v>
      </c>
      <c r="CS486" s="18">
        <f t="shared" si="591"/>
        <v>1.3548452148605532</v>
      </c>
      <c r="CT486" s="18">
        <f t="shared" si="591"/>
        <v>2.0878376757048058</v>
      </c>
      <c r="CU486" s="18">
        <f t="shared" si="591"/>
        <v>1.0597523877606994</v>
      </c>
      <c r="CV486" s="18">
        <f t="shared" si="591"/>
        <v>4.4266286046661882</v>
      </c>
      <c r="CW486" s="18">
        <f t="shared" si="591"/>
        <v>0.41839116217560546</v>
      </c>
      <c r="CX486" s="56">
        <f t="shared" si="579"/>
        <v>6</v>
      </c>
      <c r="CZ486" s="18">
        <f t="shared" si="592"/>
        <v>6.6895298105037746</v>
      </c>
      <c r="DA486" s="18">
        <f t="shared" si="592"/>
        <v>1.3548452148605532</v>
      </c>
      <c r="DB486" s="18">
        <f t="shared" si="592"/>
        <v>2.0878376757048058</v>
      </c>
      <c r="DC486" s="18">
        <f t="shared" si="592"/>
        <v>1.0597523877606994</v>
      </c>
      <c r="DD486" s="18">
        <f t="shared" si="592"/>
        <v>4.4266286046661882</v>
      </c>
      <c r="DE486" s="18">
        <f t="shared" si="592"/>
        <v>0.41839116217560546</v>
      </c>
      <c r="DF486" s="56">
        <f t="shared" si="580"/>
        <v>6</v>
      </c>
      <c r="DH486" s="18">
        <f t="shared" si="593"/>
        <v>6.6895298105037746</v>
      </c>
      <c r="DI486" s="18">
        <f t="shared" si="593"/>
        <v>1.3548452148605532</v>
      </c>
      <c r="DJ486" s="18">
        <f t="shared" si="593"/>
        <v>2.0878376757048058</v>
      </c>
      <c r="DK486" s="18">
        <f t="shared" si="593"/>
        <v>1.0597523877606994</v>
      </c>
      <c r="DL486" s="18">
        <f t="shared" si="593"/>
        <v>4.4266286046661882</v>
      </c>
      <c r="DM486" s="18">
        <f t="shared" si="593"/>
        <v>0.41839116217560546</v>
      </c>
      <c r="DN486" s="56">
        <f t="shared" si="581"/>
        <v>6</v>
      </c>
    </row>
    <row r="487" spans="1:118" x14ac:dyDescent="0.25">
      <c r="A487" s="36" t="str">
        <f>KMeans_Data!A84</f>
        <v>Hangu</v>
      </c>
      <c r="B487" s="18">
        <f>KMeans_Data!H84</f>
        <v>-0.40440962464593949</v>
      </c>
      <c r="C487" s="18">
        <f>KMeans_Data!I84</f>
        <v>-0.14698313392952958</v>
      </c>
      <c r="D487" s="18">
        <f>KMeans_Data!J84</f>
        <v>0.13914828540559679</v>
      </c>
      <c r="E487" s="56">
        <f t="shared" si="568"/>
        <v>6</v>
      </c>
      <c r="F487" s="38">
        <f t="shared" si="569"/>
        <v>0.10258898196723507</v>
      </c>
      <c r="G487" s="18">
        <f>IF(COUNTIF(Distance_Matrix!$E$12:$DQ$12,$E487)&lt;=1,0,SUMIF(Distance_Matrix!$E$12:$DQ$12,$E487,Distance_Matrix!$E$93:$DQ$93)/(COUNTIF(Distance_Matrix!$E$12:$DQ$12,$E487)-1))</f>
        <v>0.70218640660662202</v>
      </c>
      <c r="H487" s="18">
        <f>MIN(IF(1=$E487,1E+99,IF(COUNTIF(Distance_Matrix!$E$12:$DQ$12,1)=0,1E+99,SUMIF(Distance_Matrix!$E$12:$DQ$12,1,Distance_Matrix!$E$93:$DQ$93)/COUNTIF(Distance_Matrix!$E$12:$DQ$12,1))),IF(2=$E487,1E+99,IF(COUNTIF(Distance_Matrix!$E$12:$DQ$12,2)=0,1E+99,SUMIF(Distance_Matrix!$E$12:$DQ$12,2,Distance_Matrix!$E$93:$DQ$93)/COUNTIF(Distance_Matrix!$E$12:$DQ$12,2))),IF(3=$E487,1E+99,IF(COUNTIF(Distance_Matrix!$E$12:$DQ$12,3)=0,1E+99,SUMIF(Distance_Matrix!$E$12:$DQ$12,3,Distance_Matrix!$E$93:$DQ$93)/COUNTIF(Distance_Matrix!$E$12:$DQ$12,3))),IF(4=$E487,1E+99,IF(COUNTIF(Distance_Matrix!$E$12:$DQ$12,4)=0,1E+99,SUMIF(Distance_Matrix!$E$12:$DQ$12,4,Distance_Matrix!$E$93:$DQ$93)/COUNTIF(Distance_Matrix!$E$12:$DQ$12,4))),IF(5=$E487,1E+99,IF(COUNTIF(Distance_Matrix!$E$12:$DQ$12,5)=0,1E+99,SUMIF(Distance_Matrix!$E$12:$DQ$12,5,Distance_Matrix!$E$93:$DQ$93)/COUNTIF(Distance_Matrix!$E$12:$DQ$12,5))),IF(6=$E487,1E+99,IF(COUNTIF(Distance_Matrix!$E$12:$DQ$12,6)=0,1E+99,SUMIF(Distance_Matrix!$E$12:$DQ$12,6,Distance_Matrix!$E$93:$DQ$93)/COUNTIF(Distance_Matrix!$E$12:$DQ$12,6))))</f>
        <v>1.3288502575068188</v>
      </c>
      <c r="I487" s="18">
        <f>IF(COUNTIF(Distance_Matrix!$E$12:$DQ$12,$E487)&lt;=1,0,(H487-G487)/MAX(G487,H487))</f>
        <v>0.47158349660550913</v>
      </c>
      <c r="X487" s="18">
        <f t="shared" si="582"/>
        <v>6.3834526327003553</v>
      </c>
      <c r="Y487" s="18">
        <f t="shared" si="582"/>
        <v>2.1757166284541909</v>
      </c>
      <c r="Z487" s="18">
        <f t="shared" si="582"/>
        <v>2.0315517886503232</v>
      </c>
      <c r="AA487" s="18">
        <f t="shared" si="582"/>
        <v>1.6593267180759232</v>
      </c>
      <c r="AB487" s="18">
        <f t="shared" si="582"/>
        <v>4.3143177570201923</v>
      </c>
      <c r="AC487" s="18">
        <f t="shared" si="582"/>
        <v>0.57493334592874046</v>
      </c>
      <c r="AD487" s="56">
        <f t="shared" si="570"/>
        <v>6</v>
      </c>
      <c r="AF487" s="18">
        <f t="shared" si="583"/>
        <v>6.2815110222262991</v>
      </c>
      <c r="AG487" s="18">
        <f t="shared" si="583"/>
        <v>1.6177140468625983</v>
      </c>
      <c r="AH487" s="18">
        <f t="shared" si="583"/>
        <v>1.7328833763383118</v>
      </c>
      <c r="AI487" s="18">
        <f t="shared" si="583"/>
        <v>1.2009901010437254</v>
      </c>
      <c r="AJ487" s="18">
        <f t="shared" si="583"/>
        <v>4.0210914503937243</v>
      </c>
      <c r="AK487" s="18">
        <f t="shared" si="583"/>
        <v>0.2815931206986152</v>
      </c>
      <c r="AL487" s="56">
        <f t="shared" si="571"/>
        <v>6</v>
      </c>
      <c r="AN487" s="18">
        <f t="shared" si="584"/>
        <v>6.2815110222262991</v>
      </c>
      <c r="AO487" s="18">
        <f t="shared" si="584"/>
        <v>1.5777326363416058</v>
      </c>
      <c r="AP487" s="18">
        <f t="shared" si="584"/>
        <v>1.7012946795073931</v>
      </c>
      <c r="AQ487" s="18">
        <f t="shared" si="584"/>
        <v>1.2134680421080493</v>
      </c>
      <c r="AR487" s="18">
        <f t="shared" si="584"/>
        <v>4.0210914503937243</v>
      </c>
      <c r="AS487" s="18">
        <f t="shared" si="584"/>
        <v>0.30234159539426225</v>
      </c>
      <c r="AT487" s="56">
        <f t="shared" si="572"/>
        <v>6</v>
      </c>
      <c r="AV487" s="18">
        <f t="shared" si="585"/>
        <v>6.2815110222262991</v>
      </c>
      <c r="AW487" s="18">
        <f t="shared" si="585"/>
        <v>1.5476304054814187</v>
      </c>
      <c r="AX487" s="18">
        <f t="shared" si="585"/>
        <v>1.7012946795073931</v>
      </c>
      <c r="AY487" s="18">
        <f t="shared" si="585"/>
        <v>1.2134680421080493</v>
      </c>
      <c r="AZ487" s="18">
        <f t="shared" si="585"/>
        <v>4.0210914503937243</v>
      </c>
      <c r="BA487" s="18">
        <f t="shared" si="585"/>
        <v>0.30989503740018104</v>
      </c>
      <c r="BB487" s="56">
        <f t="shared" si="573"/>
        <v>6</v>
      </c>
      <c r="BD487" s="18">
        <f t="shared" si="586"/>
        <v>6.2815110222262991</v>
      </c>
      <c r="BE487" s="18">
        <f t="shared" si="586"/>
        <v>1.5183633922762447</v>
      </c>
      <c r="BF487" s="18">
        <f t="shared" si="586"/>
        <v>1.7012946795073931</v>
      </c>
      <c r="BG487" s="18">
        <f t="shared" si="586"/>
        <v>1.2134680421080493</v>
      </c>
      <c r="BH487" s="18">
        <f t="shared" si="586"/>
        <v>4.0210914503937243</v>
      </c>
      <c r="BI487" s="18">
        <f t="shared" si="586"/>
        <v>0.32029514821057636</v>
      </c>
      <c r="BJ487" s="56">
        <f t="shared" si="574"/>
        <v>6</v>
      </c>
      <c r="BL487" s="18">
        <f t="shared" si="587"/>
        <v>6.2815110222262991</v>
      </c>
      <c r="BM487" s="18">
        <f t="shared" si="587"/>
        <v>1.5183633922762447</v>
      </c>
      <c r="BN487" s="18">
        <f t="shared" si="587"/>
        <v>1.7012946795073931</v>
      </c>
      <c r="BO487" s="18">
        <f t="shared" si="587"/>
        <v>1.2134680421080493</v>
      </c>
      <c r="BP487" s="18">
        <f t="shared" si="587"/>
        <v>4.0210914503937243</v>
      </c>
      <c r="BQ487" s="18">
        <f t="shared" si="587"/>
        <v>0.32029514821057636</v>
      </c>
      <c r="BR487" s="56">
        <f t="shared" si="575"/>
        <v>6</v>
      </c>
      <c r="BT487" s="18">
        <f t="shared" si="588"/>
        <v>6.2815110222262991</v>
      </c>
      <c r="BU487" s="18">
        <f t="shared" si="588"/>
        <v>1.5183633922762447</v>
      </c>
      <c r="BV487" s="18">
        <f t="shared" si="588"/>
        <v>1.7012946795073931</v>
      </c>
      <c r="BW487" s="18">
        <f t="shared" si="588"/>
        <v>1.2134680421080493</v>
      </c>
      <c r="BX487" s="18">
        <f t="shared" si="588"/>
        <v>4.0210914503937243</v>
      </c>
      <c r="BY487" s="18">
        <f t="shared" si="588"/>
        <v>0.32029514821057636</v>
      </c>
      <c r="BZ487" s="56">
        <f t="shared" si="576"/>
        <v>6</v>
      </c>
      <c r="CB487" s="18">
        <f t="shared" si="589"/>
        <v>6.2815110222262991</v>
      </c>
      <c r="CC487" s="18">
        <f t="shared" si="589"/>
        <v>1.5183633922762447</v>
      </c>
      <c r="CD487" s="18">
        <f t="shared" si="589"/>
        <v>1.7012946795073931</v>
      </c>
      <c r="CE487" s="18">
        <f t="shared" si="589"/>
        <v>1.2134680421080493</v>
      </c>
      <c r="CF487" s="18">
        <f t="shared" si="589"/>
        <v>4.0210914503937243</v>
      </c>
      <c r="CG487" s="18">
        <f t="shared" si="589"/>
        <v>0.32029514821057636</v>
      </c>
      <c r="CH487" s="56">
        <f t="shared" si="577"/>
        <v>6</v>
      </c>
      <c r="CJ487" s="18">
        <f t="shared" si="590"/>
        <v>6.2815110222262991</v>
      </c>
      <c r="CK487" s="18">
        <f t="shared" si="590"/>
        <v>1.5183633922762447</v>
      </c>
      <c r="CL487" s="18">
        <f t="shared" si="590"/>
        <v>1.7012946795073931</v>
      </c>
      <c r="CM487" s="18">
        <f t="shared" si="590"/>
        <v>1.2134680421080493</v>
      </c>
      <c r="CN487" s="18">
        <f t="shared" si="590"/>
        <v>4.0210914503937243</v>
      </c>
      <c r="CO487" s="18">
        <f t="shared" si="590"/>
        <v>0.32029514821057636</v>
      </c>
      <c r="CP487" s="56">
        <f t="shared" si="578"/>
        <v>6</v>
      </c>
      <c r="CR487" s="18">
        <f t="shared" si="591"/>
        <v>6.2815110222262991</v>
      </c>
      <c r="CS487" s="18">
        <f t="shared" si="591"/>
        <v>1.5183633922762447</v>
      </c>
      <c r="CT487" s="18">
        <f t="shared" si="591"/>
        <v>1.7012946795073931</v>
      </c>
      <c r="CU487" s="18">
        <f t="shared" si="591"/>
        <v>1.2134680421080493</v>
      </c>
      <c r="CV487" s="18">
        <f t="shared" si="591"/>
        <v>4.0210914503937243</v>
      </c>
      <c r="CW487" s="18">
        <f t="shared" si="591"/>
        <v>0.32029514821057636</v>
      </c>
      <c r="CX487" s="56">
        <f t="shared" si="579"/>
        <v>6</v>
      </c>
      <c r="CZ487" s="18">
        <f t="shared" si="592"/>
        <v>6.2815110222262991</v>
      </c>
      <c r="DA487" s="18">
        <f t="shared" si="592"/>
        <v>1.5183633922762447</v>
      </c>
      <c r="DB487" s="18">
        <f t="shared" si="592"/>
        <v>1.7012946795073931</v>
      </c>
      <c r="DC487" s="18">
        <f t="shared" si="592"/>
        <v>1.2134680421080493</v>
      </c>
      <c r="DD487" s="18">
        <f t="shared" si="592"/>
        <v>4.0210914503937243</v>
      </c>
      <c r="DE487" s="18">
        <f t="shared" si="592"/>
        <v>0.32029514821057636</v>
      </c>
      <c r="DF487" s="56">
        <f t="shared" si="580"/>
        <v>6</v>
      </c>
      <c r="DH487" s="18">
        <f t="shared" si="593"/>
        <v>6.2815110222262991</v>
      </c>
      <c r="DI487" s="18">
        <f t="shared" si="593"/>
        <v>1.5183633922762447</v>
      </c>
      <c r="DJ487" s="18">
        <f t="shared" si="593"/>
        <v>1.7012946795073931</v>
      </c>
      <c r="DK487" s="18">
        <f t="shared" si="593"/>
        <v>1.2134680421080493</v>
      </c>
      <c r="DL487" s="18">
        <f t="shared" si="593"/>
        <v>4.0210914503937243</v>
      </c>
      <c r="DM487" s="18">
        <f t="shared" si="593"/>
        <v>0.32029514821057636</v>
      </c>
      <c r="DN487" s="56">
        <f t="shared" si="581"/>
        <v>6</v>
      </c>
    </row>
    <row r="488" spans="1:118" x14ac:dyDescent="0.25">
      <c r="A488" s="36" t="str">
        <f>KMeans_Data!A85</f>
        <v>Mohmand</v>
      </c>
      <c r="B488" s="18">
        <f>KMeans_Data!H85</f>
        <v>-0.47094306176301559</v>
      </c>
      <c r="C488" s="18">
        <f>KMeans_Data!I85</f>
        <v>-0.14698313392952958</v>
      </c>
      <c r="D488" s="18">
        <f>KMeans_Data!J85</f>
        <v>-0.39984522290956798</v>
      </c>
      <c r="E488" s="56">
        <f t="shared" si="568"/>
        <v>6</v>
      </c>
      <c r="F488" s="38">
        <f t="shared" si="569"/>
        <v>0.52278528507841593</v>
      </c>
      <c r="G488" s="18">
        <f>IF(COUNTIF(Distance_Matrix!$E$12:$DQ$12,$E488)&lt;=1,0,SUMIF(Distance_Matrix!$E$12:$DQ$12,$E488,Distance_Matrix!$E$94:$DQ$94)/(COUNTIF(Distance_Matrix!$E$12:$DQ$12,$E488)-1))</f>
        <v>0.92671200389222674</v>
      </c>
      <c r="H488" s="18">
        <f>MIN(IF(1=$E488,1E+99,IF(COUNTIF(Distance_Matrix!$E$12:$DQ$12,1)=0,1E+99,SUMIF(Distance_Matrix!$E$12:$DQ$12,1,Distance_Matrix!$E$94:$DQ$94)/COUNTIF(Distance_Matrix!$E$12:$DQ$12,1))),IF(2=$E488,1E+99,IF(COUNTIF(Distance_Matrix!$E$12:$DQ$12,2)=0,1E+99,SUMIF(Distance_Matrix!$E$12:$DQ$12,2,Distance_Matrix!$E$94:$DQ$94)/COUNTIF(Distance_Matrix!$E$12:$DQ$12,2))),IF(3=$E488,1E+99,IF(COUNTIF(Distance_Matrix!$E$12:$DQ$12,3)=0,1E+99,SUMIF(Distance_Matrix!$E$12:$DQ$12,3,Distance_Matrix!$E$94:$DQ$94)/COUNTIF(Distance_Matrix!$E$12:$DQ$12,3))),IF(4=$E488,1E+99,IF(COUNTIF(Distance_Matrix!$E$12:$DQ$12,4)=0,1E+99,SUMIF(Distance_Matrix!$E$12:$DQ$12,4,Distance_Matrix!$E$94:$DQ$94)/COUNTIF(Distance_Matrix!$E$12:$DQ$12,4))),IF(5=$E488,1E+99,IF(COUNTIF(Distance_Matrix!$E$12:$DQ$12,5)=0,1E+99,SUMIF(Distance_Matrix!$E$12:$DQ$12,5,Distance_Matrix!$E$94:$DQ$94)/COUNTIF(Distance_Matrix!$E$12:$DQ$12,5))),IF(6=$E488,1E+99,IF(COUNTIF(Distance_Matrix!$E$12:$DQ$12,6)=0,1E+99,SUMIF(Distance_Matrix!$E$12:$DQ$12,6,Distance_Matrix!$E$94:$DQ$94)/COUNTIF(Distance_Matrix!$E$12:$DQ$12,6))))</f>
        <v>1.0249589722587231</v>
      </c>
      <c r="I488" s="18">
        <f>IF(COUNTIF(Distance_Matrix!$E$12:$DQ$12,$E488)&lt;=1,0,(H488-G488)/MAX(G488,H488))</f>
        <v>9.5854537621137673E-2</v>
      </c>
      <c r="X488" s="18">
        <f t="shared" ref="X488:AC497" si="594">SQRT(($B488-X$401)^2+($C488-X$402)^2+($D488-X$403)^2)</f>
        <v>6.6999482057459137</v>
      </c>
      <c r="Y488" s="18">
        <f t="shared" si="594"/>
        <v>1.8495305652109939</v>
      </c>
      <c r="Z488" s="18">
        <f t="shared" si="594"/>
        <v>2.459485542954774</v>
      </c>
      <c r="AA488" s="18">
        <f t="shared" si="594"/>
        <v>1.3427760609254091</v>
      </c>
      <c r="AB488" s="18">
        <f t="shared" si="594"/>
        <v>4.6566190802835576</v>
      </c>
      <c r="AC488" s="18">
        <f t="shared" si="594"/>
        <v>1.0549226118775377</v>
      </c>
      <c r="AD488" s="56">
        <f t="shared" si="570"/>
        <v>6</v>
      </c>
      <c r="AF488" s="18">
        <f t="shared" ref="AF488:AK497" si="595">SQRT(($B488-AF$401)^2+($C488-AF$402)^2+($D488-AF$403)^2)</f>
        <v>6.579376857280395</v>
      </c>
      <c r="AG488" s="18">
        <f t="shared" si="595"/>
        <v>1.2078858220837974</v>
      </c>
      <c r="AH488" s="18">
        <f t="shared" si="595"/>
        <v>2.0792019386207627</v>
      </c>
      <c r="AI488" s="18">
        <f t="shared" si="595"/>
        <v>0.85910191651693901</v>
      </c>
      <c r="AJ488" s="18">
        <f t="shared" si="595"/>
        <v>4.3097599116004845</v>
      </c>
      <c r="AK488" s="18">
        <f t="shared" si="595"/>
        <v>0.65405271105257679</v>
      </c>
      <c r="AL488" s="56">
        <f t="shared" si="571"/>
        <v>6</v>
      </c>
      <c r="AN488" s="18">
        <f t="shared" ref="AN488:AS497" si="596">SQRT(($B488-AN$401)^2+($C488-AN$402)^2+($D488-AN$403)^2)</f>
        <v>6.579376857280395</v>
      </c>
      <c r="AO488" s="18">
        <f t="shared" si="596"/>
        <v>1.1663189123030175</v>
      </c>
      <c r="AP488" s="18">
        <f t="shared" si="596"/>
        <v>2.0480311684846697</v>
      </c>
      <c r="AQ488" s="18">
        <f t="shared" si="596"/>
        <v>0.87242788211465683</v>
      </c>
      <c r="AR488" s="18">
        <f t="shared" si="596"/>
        <v>4.3097599116004845</v>
      </c>
      <c r="AS488" s="18">
        <f t="shared" si="596"/>
        <v>0.68525318181855221</v>
      </c>
      <c r="AT488" s="56">
        <f t="shared" si="572"/>
        <v>6</v>
      </c>
      <c r="AV488" s="18">
        <f t="shared" ref="AV488:BA497" si="597">SQRT(($B488-AV$401)^2+($C488-AV$402)^2+($D488-AV$403)^2)</f>
        <v>6.579376857280395</v>
      </c>
      <c r="AW488" s="18">
        <f t="shared" si="597"/>
        <v>1.1387193374425664</v>
      </c>
      <c r="AX488" s="18">
        <f t="shared" si="597"/>
        <v>2.0480311684846697</v>
      </c>
      <c r="AY488" s="18">
        <f t="shared" si="597"/>
        <v>0.87242788211465683</v>
      </c>
      <c r="AZ488" s="18">
        <f t="shared" si="597"/>
        <v>4.3097599116004845</v>
      </c>
      <c r="BA488" s="18">
        <f t="shared" si="597"/>
        <v>0.7041772178699538</v>
      </c>
      <c r="BB488" s="56">
        <f t="shared" si="573"/>
        <v>6</v>
      </c>
      <c r="BD488" s="18">
        <f t="shared" ref="BD488:BI497" si="598">SQRT(($B488-BD$401)^2+($C488-BD$402)^2+($D488-BD$403)^2)</f>
        <v>6.579376857280395</v>
      </c>
      <c r="BE488" s="18">
        <f t="shared" si="598"/>
        <v>1.112791561647225</v>
      </c>
      <c r="BF488" s="18">
        <f t="shared" si="598"/>
        <v>2.0480311684846697</v>
      </c>
      <c r="BG488" s="18">
        <f t="shared" si="598"/>
        <v>0.87242788211465683</v>
      </c>
      <c r="BH488" s="18">
        <f t="shared" si="598"/>
        <v>4.3097599116004845</v>
      </c>
      <c r="BI488" s="18">
        <f t="shared" si="598"/>
        <v>0.72303892362611843</v>
      </c>
      <c r="BJ488" s="56">
        <f t="shared" si="574"/>
        <v>6</v>
      </c>
      <c r="BL488" s="18">
        <f t="shared" ref="BL488:BQ497" si="599">SQRT(($B488-BL$401)^2+($C488-BL$402)^2+($D488-BL$403)^2)</f>
        <v>6.579376857280395</v>
      </c>
      <c r="BM488" s="18">
        <f t="shared" si="599"/>
        <v>1.112791561647225</v>
      </c>
      <c r="BN488" s="18">
        <f t="shared" si="599"/>
        <v>2.0480311684846697</v>
      </c>
      <c r="BO488" s="18">
        <f t="shared" si="599"/>
        <v>0.87242788211465683</v>
      </c>
      <c r="BP488" s="18">
        <f t="shared" si="599"/>
        <v>4.3097599116004845</v>
      </c>
      <c r="BQ488" s="18">
        <f t="shared" si="599"/>
        <v>0.72303892362611843</v>
      </c>
      <c r="BR488" s="56">
        <f t="shared" si="575"/>
        <v>6</v>
      </c>
      <c r="BT488" s="18">
        <f t="shared" ref="BT488:BY497" si="600">SQRT(($B488-BT$401)^2+($C488-BT$402)^2+($D488-BT$403)^2)</f>
        <v>6.579376857280395</v>
      </c>
      <c r="BU488" s="18">
        <f t="shared" si="600"/>
        <v>1.112791561647225</v>
      </c>
      <c r="BV488" s="18">
        <f t="shared" si="600"/>
        <v>2.0480311684846697</v>
      </c>
      <c r="BW488" s="18">
        <f t="shared" si="600"/>
        <v>0.87242788211465683</v>
      </c>
      <c r="BX488" s="18">
        <f t="shared" si="600"/>
        <v>4.3097599116004845</v>
      </c>
      <c r="BY488" s="18">
        <f t="shared" si="600"/>
        <v>0.72303892362611843</v>
      </c>
      <c r="BZ488" s="56">
        <f t="shared" si="576"/>
        <v>6</v>
      </c>
      <c r="CB488" s="18">
        <f t="shared" ref="CB488:CG497" si="601">SQRT(($B488-CB$401)^2+($C488-CB$402)^2+($D488-CB$403)^2)</f>
        <v>6.579376857280395</v>
      </c>
      <c r="CC488" s="18">
        <f t="shared" si="601"/>
        <v>1.112791561647225</v>
      </c>
      <c r="CD488" s="18">
        <f t="shared" si="601"/>
        <v>2.0480311684846697</v>
      </c>
      <c r="CE488" s="18">
        <f t="shared" si="601"/>
        <v>0.87242788211465683</v>
      </c>
      <c r="CF488" s="18">
        <f t="shared" si="601"/>
        <v>4.3097599116004845</v>
      </c>
      <c r="CG488" s="18">
        <f t="shared" si="601"/>
        <v>0.72303892362611843</v>
      </c>
      <c r="CH488" s="56">
        <f t="shared" si="577"/>
        <v>6</v>
      </c>
      <c r="CJ488" s="18">
        <f t="shared" ref="CJ488:CO497" si="602">SQRT(($B488-CJ$401)^2+($C488-CJ$402)^2+($D488-CJ$403)^2)</f>
        <v>6.579376857280395</v>
      </c>
      <c r="CK488" s="18">
        <f t="shared" si="602"/>
        <v>1.112791561647225</v>
      </c>
      <c r="CL488" s="18">
        <f t="shared" si="602"/>
        <v>2.0480311684846697</v>
      </c>
      <c r="CM488" s="18">
        <f t="shared" si="602"/>
        <v>0.87242788211465683</v>
      </c>
      <c r="CN488" s="18">
        <f t="shared" si="602"/>
        <v>4.3097599116004845</v>
      </c>
      <c r="CO488" s="18">
        <f t="shared" si="602"/>
        <v>0.72303892362611843</v>
      </c>
      <c r="CP488" s="56">
        <f t="shared" si="578"/>
        <v>6</v>
      </c>
      <c r="CR488" s="18">
        <f t="shared" ref="CR488:CW497" si="603">SQRT(($B488-CR$401)^2+($C488-CR$402)^2+($D488-CR$403)^2)</f>
        <v>6.579376857280395</v>
      </c>
      <c r="CS488" s="18">
        <f t="shared" si="603"/>
        <v>1.112791561647225</v>
      </c>
      <c r="CT488" s="18">
        <f t="shared" si="603"/>
        <v>2.0480311684846697</v>
      </c>
      <c r="CU488" s="18">
        <f t="shared" si="603"/>
        <v>0.87242788211465683</v>
      </c>
      <c r="CV488" s="18">
        <f t="shared" si="603"/>
        <v>4.3097599116004845</v>
      </c>
      <c r="CW488" s="18">
        <f t="shared" si="603"/>
        <v>0.72303892362611843</v>
      </c>
      <c r="CX488" s="56">
        <f t="shared" si="579"/>
        <v>6</v>
      </c>
      <c r="CZ488" s="18">
        <f t="shared" ref="CZ488:DE497" si="604">SQRT(($B488-CZ$401)^2+($C488-CZ$402)^2+($D488-CZ$403)^2)</f>
        <v>6.579376857280395</v>
      </c>
      <c r="DA488" s="18">
        <f t="shared" si="604"/>
        <v>1.112791561647225</v>
      </c>
      <c r="DB488" s="18">
        <f t="shared" si="604"/>
        <v>2.0480311684846697</v>
      </c>
      <c r="DC488" s="18">
        <f t="shared" si="604"/>
        <v>0.87242788211465683</v>
      </c>
      <c r="DD488" s="18">
        <f t="shared" si="604"/>
        <v>4.3097599116004845</v>
      </c>
      <c r="DE488" s="18">
        <f t="shared" si="604"/>
        <v>0.72303892362611843</v>
      </c>
      <c r="DF488" s="56">
        <f t="shared" si="580"/>
        <v>6</v>
      </c>
      <c r="DH488" s="18">
        <f t="shared" ref="DH488:DM497" si="605">SQRT(($B488-DH$401)^2+($C488-DH$402)^2+($D488-DH$403)^2)</f>
        <v>6.579376857280395</v>
      </c>
      <c r="DI488" s="18">
        <f t="shared" si="605"/>
        <v>1.112791561647225</v>
      </c>
      <c r="DJ488" s="18">
        <f t="shared" si="605"/>
        <v>2.0480311684846697</v>
      </c>
      <c r="DK488" s="18">
        <f t="shared" si="605"/>
        <v>0.87242788211465683</v>
      </c>
      <c r="DL488" s="18">
        <f t="shared" si="605"/>
        <v>4.3097599116004845</v>
      </c>
      <c r="DM488" s="18">
        <f t="shared" si="605"/>
        <v>0.72303892362611843</v>
      </c>
      <c r="DN488" s="56">
        <f t="shared" si="581"/>
        <v>6</v>
      </c>
    </row>
    <row r="489" spans="1:118" x14ac:dyDescent="0.25">
      <c r="A489" s="36" t="str">
        <f>KMeans_Data!A86</f>
        <v>Bahawal Nagar</v>
      </c>
      <c r="B489" s="18">
        <f>KMeans_Data!H86</f>
        <v>-0.47094306176301559</v>
      </c>
      <c r="C489" s="18">
        <f>KMeans_Data!I86</f>
        <v>-0.67265054538827607</v>
      </c>
      <c r="D489" s="18">
        <f>KMeans_Data!J86</f>
        <v>-0.39984522290956798</v>
      </c>
      <c r="E489" s="56">
        <f t="shared" si="568"/>
        <v>6</v>
      </c>
      <c r="F489" s="38">
        <f t="shared" si="569"/>
        <v>0.56875522883584795</v>
      </c>
      <c r="G489" s="18">
        <f>IF(COUNTIF(Distance_Matrix!$E$12:$DQ$12,$E489)&lt;=1,0,SUMIF(Distance_Matrix!$E$12:$DQ$12,$E489,Distance_Matrix!$E$95:$DQ$95)/(COUNTIF(Distance_Matrix!$E$12:$DQ$12,$E489)-1))</f>
        <v>0.91152079655558271</v>
      </c>
      <c r="H489" s="18">
        <f>MIN(IF(1=$E489,1E+99,IF(COUNTIF(Distance_Matrix!$E$12:$DQ$12,1)=0,1E+99,SUMIF(Distance_Matrix!$E$12:$DQ$12,1,Distance_Matrix!$E$95:$DQ$95)/COUNTIF(Distance_Matrix!$E$12:$DQ$12,1))),IF(2=$E489,1E+99,IF(COUNTIF(Distance_Matrix!$E$12:$DQ$12,2)=0,1E+99,SUMIF(Distance_Matrix!$E$12:$DQ$12,2,Distance_Matrix!$E$95:$DQ$95)/COUNTIF(Distance_Matrix!$E$12:$DQ$12,2))),IF(3=$E489,1E+99,IF(COUNTIF(Distance_Matrix!$E$12:$DQ$12,3)=0,1E+99,SUMIF(Distance_Matrix!$E$12:$DQ$12,3,Distance_Matrix!$E$95:$DQ$95)/COUNTIF(Distance_Matrix!$E$12:$DQ$12,3))),IF(4=$E489,1E+99,IF(COUNTIF(Distance_Matrix!$E$12:$DQ$12,4)=0,1E+99,SUMIF(Distance_Matrix!$E$12:$DQ$12,4,Distance_Matrix!$E$95:$DQ$95)/COUNTIF(Distance_Matrix!$E$12:$DQ$12,4))),IF(5=$E489,1E+99,IF(COUNTIF(Distance_Matrix!$E$12:$DQ$12,5)=0,1E+99,SUMIF(Distance_Matrix!$E$12:$DQ$12,5,Distance_Matrix!$E$95:$DQ$95)/COUNTIF(Distance_Matrix!$E$12:$DQ$12,5))),IF(6=$E489,1E+99,IF(COUNTIF(Distance_Matrix!$E$12:$DQ$12,6)=0,1E+99,SUMIF(Distance_Matrix!$E$12:$DQ$12,6,Distance_Matrix!$E$95:$DQ$95)/COUNTIF(Distance_Matrix!$E$12:$DQ$12,6))))</f>
        <v>0.89997264980376546</v>
      </c>
      <c r="I489" s="18">
        <f>IF(COUNTIF(Distance_Matrix!$E$12:$DQ$12,$E489)&lt;=1,0,(H489-G489)/MAX(G489,H489))</f>
        <v>-1.2669098495015055E-2</v>
      </c>
      <c r="X489" s="18">
        <f t="shared" si="594"/>
        <v>7.0403370809162977</v>
      </c>
      <c r="Y489" s="18">
        <f t="shared" si="594"/>
        <v>1.7732560684176326</v>
      </c>
      <c r="Z489" s="18">
        <f t="shared" si="594"/>
        <v>2.6226032521928966</v>
      </c>
      <c r="AA489" s="18">
        <f t="shared" si="594"/>
        <v>1.4420033901708058</v>
      </c>
      <c r="AB489" s="18">
        <f t="shared" si="594"/>
        <v>4.9524606015591397</v>
      </c>
      <c r="AC489" s="18">
        <f t="shared" si="594"/>
        <v>1.1786381737073788</v>
      </c>
      <c r="AD489" s="56">
        <f t="shared" si="570"/>
        <v>6</v>
      </c>
      <c r="AF489" s="18">
        <f t="shared" si="595"/>
        <v>6.9301705016420287</v>
      </c>
      <c r="AG489" s="18">
        <f t="shared" si="595"/>
        <v>1.0984945604450556</v>
      </c>
      <c r="AH489" s="18">
        <f t="shared" si="595"/>
        <v>2.3742125498831892</v>
      </c>
      <c r="AI489" s="18">
        <f t="shared" si="595"/>
        <v>0.77704947318579409</v>
      </c>
      <c r="AJ489" s="18">
        <f t="shared" si="595"/>
        <v>4.6554620321436211</v>
      </c>
      <c r="AK489" s="18">
        <f t="shared" si="595"/>
        <v>0.67026688907497622</v>
      </c>
      <c r="AL489" s="56">
        <f t="shared" si="571"/>
        <v>6</v>
      </c>
      <c r="AN489" s="18">
        <f t="shared" si="596"/>
        <v>6.9301705016420287</v>
      </c>
      <c r="AO489" s="18">
        <f t="shared" si="596"/>
        <v>1.0517032261638897</v>
      </c>
      <c r="AP489" s="18">
        <f t="shared" si="596"/>
        <v>2.3447074535014791</v>
      </c>
      <c r="AQ489" s="18">
        <f t="shared" si="596"/>
        <v>0.77134515390237224</v>
      </c>
      <c r="AR489" s="18">
        <f t="shared" si="596"/>
        <v>4.6554620321436211</v>
      </c>
      <c r="AS489" s="18">
        <f t="shared" si="596"/>
        <v>0.70468664571027673</v>
      </c>
      <c r="AT489" s="56">
        <f t="shared" si="572"/>
        <v>6</v>
      </c>
      <c r="AV489" s="18">
        <f t="shared" si="597"/>
        <v>6.9301705016420287</v>
      </c>
      <c r="AW489" s="18">
        <f t="shared" si="597"/>
        <v>1.0205936339441948</v>
      </c>
      <c r="AX489" s="18">
        <f t="shared" si="597"/>
        <v>2.3447074535014791</v>
      </c>
      <c r="AY489" s="18">
        <f t="shared" si="597"/>
        <v>0.77134515390237224</v>
      </c>
      <c r="AZ489" s="18">
        <f t="shared" si="597"/>
        <v>4.6554620321436211</v>
      </c>
      <c r="BA489" s="18">
        <f t="shared" si="597"/>
        <v>0.72943056371477388</v>
      </c>
      <c r="BB489" s="56">
        <f t="shared" si="573"/>
        <v>6</v>
      </c>
      <c r="BD489" s="18">
        <f t="shared" si="598"/>
        <v>6.9301705016420287</v>
      </c>
      <c r="BE489" s="18">
        <f t="shared" si="598"/>
        <v>0.99118486754274737</v>
      </c>
      <c r="BF489" s="18">
        <f t="shared" si="598"/>
        <v>2.3447074535014791</v>
      </c>
      <c r="BG489" s="18">
        <f t="shared" si="598"/>
        <v>0.77134515390237224</v>
      </c>
      <c r="BH489" s="18">
        <f t="shared" si="598"/>
        <v>4.6554620321436211</v>
      </c>
      <c r="BI489" s="18">
        <f t="shared" si="598"/>
        <v>0.75415862312636062</v>
      </c>
      <c r="BJ489" s="56">
        <f t="shared" si="574"/>
        <v>6</v>
      </c>
      <c r="BL489" s="18">
        <f t="shared" si="599"/>
        <v>6.9301705016420287</v>
      </c>
      <c r="BM489" s="18">
        <f t="shared" si="599"/>
        <v>0.99118486754274737</v>
      </c>
      <c r="BN489" s="18">
        <f t="shared" si="599"/>
        <v>2.3447074535014791</v>
      </c>
      <c r="BO489" s="18">
        <f t="shared" si="599"/>
        <v>0.77134515390237224</v>
      </c>
      <c r="BP489" s="18">
        <f t="shared" si="599"/>
        <v>4.6554620321436211</v>
      </c>
      <c r="BQ489" s="18">
        <f t="shared" si="599"/>
        <v>0.75415862312636062</v>
      </c>
      <c r="BR489" s="56">
        <f t="shared" si="575"/>
        <v>6</v>
      </c>
      <c r="BT489" s="18">
        <f t="shared" si="600"/>
        <v>6.9301705016420287</v>
      </c>
      <c r="BU489" s="18">
        <f t="shared" si="600"/>
        <v>0.99118486754274737</v>
      </c>
      <c r="BV489" s="18">
        <f t="shared" si="600"/>
        <v>2.3447074535014791</v>
      </c>
      <c r="BW489" s="18">
        <f t="shared" si="600"/>
        <v>0.77134515390237224</v>
      </c>
      <c r="BX489" s="18">
        <f t="shared" si="600"/>
        <v>4.6554620321436211</v>
      </c>
      <c r="BY489" s="18">
        <f t="shared" si="600"/>
        <v>0.75415862312636062</v>
      </c>
      <c r="BZ489" s="56">
        <f t="shared" si="576"/>
        <v>6</v>
      </c>
      <c r="CB489" s="18">
        <f t="shared" si="601"/>
        <v>6.9301705016420287</v>
      </c>
      <c r="CC489" s="18">
        <f t="shared" si="601"/>
        <v>0.99118486754274737</v>
      </c>
      <c r="CD489" s="18">
        <f t="shared" si="601"/>
        <v>2.3447074535014791</v>
      </c>
      <c r="CE489" s="18">
        <f t="shared" si="601"/>
        <v>0.77134515390237224</v>
      </c>
      <c r="CF489" s="18">
        <f t="shared" si="601"/>
        <v>4.6554620321436211</v>
      </c>
      <c r="CG489" s="18">
        <f t="shared" si="601"/>
        <v>0.75415862312636062</v>
      </c>
      <c r="CH489" s="56">
        <f t="shared" si="577"/>
        <v>6</v>
      </c>
      <c r="CJ489" s="18">
        <f t="shared" si="602"/>
        <v>6.9301705016420287</v>
      </c>
      <c r="CK489" s="18">
        <f t="shared" si="602"/>
        <v>0.99118486754274737</v>
      </c>
      <c r="CL489" s="18">
        <f t="shared" si="602"/>
        <v>2.3447074535014791</v>
      </c>
      <c r="CM489" s="18">
        <f t="shared" si="602"/>
        <v>0.77134515390237224</v>
      </c>
      <c r="CN489" s="18">
        <f t="shared" si="602"/>
        <v>4.6554620321436211</v>
      </c>
      <c r="CO489" s="18">
        <f t="shared" si="602"/>
        <v>0.75415862312636062</v>
      </c>
      <c r="CP489" s="56">
        <f t="shared" si="578"/>
        <v>6</v>
      </c>
      <c r="CR489" s="18">
        <f t="shared" si="603"/>
        <v>6.9301705016420287</v>
      </c>
      <c r="CS489" s="18">
        <f t="shared" si="603"/>
        <v>0.99118486754274737</v>
      </c>
      <c r="CT489" s="18">
        <f t="shared" si="603"/>
        <v>2.3447074535014791</v>
      </c>
      <c r="CU489" s="18">
        <f t="shared" si="603"/>
        <v>0.77134515390237224</v>
      </c>
      <c r="CV489" s="18">
        <f t="shared" si="603"/>
        <v>4.6554620321436211</v>
      </c>
      <c r="CW489" s="18">
        <f t="shared" si="603"/>
        <v>0.75415862312636062</v>
      </c>
      <c r="CX489" s="56">
        <f t="shared" si="579"/>
        <v>6</v>
      </c>
      <c r="CZ489" s="18">
        <f t="shared" si="604"/>
        <v>6.9301705016420287</v>
      </c>
      <c r="DA489" s="18">
        <f t="shared" si="604"/>
        <v>0.99118486754274737</v>
      </c>
      <c r="DB489" s="18">
        <f t="shared" si="604"/>
        <v>2.3447074535014791</v>
      </c>
      <c r="DC489" s="18">
        <f t="shared" si="604"/>
        <v>0.77134515390237224</v>
      </c>
      <c r="DD489" s="18">
        <f t="shared" si="604"/>
        <v>4.6554620321436211</v>
      </c>
      <c r="DE489" s="18">
        <f t="shared" si="604"/>
        <v>0.75415862312636062</v>
      </c>
      <c r="DF489" s="56">
        <f t="shared" si="580"/>
        <v>6</v>
      </c>
      <c r="DH489" s="18">
        <f t="shared" si="605"/>
        <v>6.9301705016420287</v>
      </c>
      <c r="DI489" s="18">
        <f t="shared" si="605"/>
        <v>0.99118486754274737</v>
      </c>
      <c r="DJ489" s="18">
        <f t="shared" si="605"/>
        <v>2.3447074535014791</v>
      </c>
      <c r="DK489" s="18">
        <f t="shared" si="605"/>
        <v>0.77134515390237224</v>
      </c>
      <c r="DL489" s="18">
        <f t="shared" si="605"/>
        <v>4.6554620321436211</v>
      </c>
      <c r="DM489" s="18">
        <f t="shared" si="605"/>
        <v>0.75415862312636062</v>
      </c>
      <c r="DN489" s="56">
        <f t="shared" si="581"/>
        <v>6</v>
      </c>
    </row>
    <row r="490" spans="1:118" x14ac:dyDescent="0.25">
      <c r="A490" s="36" t="str">
        <f>KMeans_Data!A87</f>
        <v>Ghizer</v>
      </c>
      <c r="B490" s="18">
        <f>KMeans_Data!H87</f>
        <v>-0.5205491527213375</v>
      </c>
      <c r="C490" s="18">
        <f>KMeans_Data!I87</f>
        <v>-0.67265054538827607</v>
      </c>
      <c r="D490" s="18">
        <f>KMeans_Data!J87</f>
        <v>-0.50324791546397885</v>
      </c>
      <c r="E490" s="56">
        <f t="shared" si="568"/>
        <v>4</v>
      </c>
      <c r="F490" s="38">
        <f t="shared" si="569"/>
        <v>0.57311762062501226</v>
      </c>
      <c r="G490" s="18">
        <f>IF(COUNTIF(Distance_Matrix!$E$12:$DQ$12,$E490)&lt;=1,0,SUMIF(Distance_Matrix!$E$12:$DQ$12,$E490,Distance_Matrix!$E$96:$DQ$96)/(COUNTIF(Distance_Matrix!$E$12:$DQ$12,$E490)-1))</f>
        <v>0.91552642776649906</v>
      </c>
      <c r="H490" s="18">
        <f>MIN(IF(1=$E490,1E+99,IF(COUNTIF(Distance_Matrix!$E$12:$DQ$12,1)=0,1E+99,SUMIF(Distance_Matrix!$E$12:$DQ$12,1,Distance_Matrix!$E$96:$DQ$96)/COUNTIF(Distance_Matrix!$E$12:$DQ$12,1))),IF(2=$E490,1E+99,IF(COUNTIF(Distance_Matrix!$E$12:$DQ$12,2)=0,1E+99,SUMIF(Distance_Matrix!$E$12:$DQ$12,2,Distance_Matrix!$E$96:$DQ$96)/COUNTIF(Distance_Matrix!$E$12:$DQ$12,2))),IF(3=$E490,1E+99,IF(COUNTIF(Distance_Matrix!$E$12:$DQ$12,3)=0,1E+99,SUMIF(Distance_Matrix!$E$12:$DQ$12,3,Distance_Matrix!$E$96:$DQ$96)/COUNTIF(Distance_Matrix!$E$12:$DQ$12,3))),IF(4=$E490,1E+99,IF(COUNTIF(Distance_Matrix!$E$12:$DQ$12,4)=0,1E+99,SUMIF(Distance_Matrix!$E$12:$DQ$12,4,Distance_Matrix!$E$96:$DQ$96)/COUNTIF(Distance_Matrix!$E$12:$DQ$12,4))),IF(5=$E490,1E+99,IF(COUNTIF(Distance_Matrix!$E$12:$DQ$12,5)=0,1E+99,SUMIF(Distance_Matrix!$E$12:$DQ$12,5,Distance_Matrix!$E$96:$DQ$96)/COUNTIF(Distance_Matrix!$E$12:$DQ$12,5))),IF(6=$E490,1E+99,IF(COUNTIF(Distance_Matrix!$E$12:$DQ$12,6)=0,1E+99,SUMIF(Distance_Matrix!$E$12:$DQ$12,6,Distance_Matrix!$E$96:$DQ$96)/COUNTIF(Distance_Matrix!$E$12:$DQ$12,6))))</f>
        <v>0.94694005045401519</v>
      </c>
      <c r="I490" s="18">
        <f>IF(COUNTIF(Distance_Matrix!$E$12:$DQ$12,$E490)&lt;=1,0,(H490-G490)/MAX(G490,H490))</f>
        <v>3.3173824121658715E-2</v>
      </c>
      <c r="X490" s="18">
        <f t="shared" si="594"/>
        <v>7.1208456226614238</v>
      </c>
      <c r="Y490" s="18">
        <f t="shared" si="594"/>
        <v>1.6863400260996402</v>
      </c>
      <c r="Z490" s="18">
        <f t="shared" si="594"/>
        <v>2.7253656976307941</v>
      </c>
      <c r="AA490" s="18">
        <f t="shared" si="594"/>
        <v>1.4314584704603783</v>
      </c>
      <c r="AB490" s="18">
        <f t="shared" si="594"/>
        <v>5.0393093377908409</v>
      </c>
      <c r="AC490" s="18">
        <f t="shared" si="594"/>
        <v>1.261614760967849</v>
      </c>
      <c r="AD490" s="56">
        <f t="shared" si="570"/>
        <v>6</v>
      </c>
      <c r="AF490" s="18">
        <f t="shared" si="595"/>
        <v>7.0076382598392266</v>
      </c>
      <c r="AG490" s="18">
        <f t="shared" si="595"/>
        <v>0.99581790062112641</v>
      </c>
      <c r="AH490" s="18">
        <f t="shared" si="595"/>
        <v>2.4599452589528905</v>
      </c>
      <c r="AI490" s="18">
        <f t="shared" si="595"/>
        <v>0.76401533279784994</v>
      </c>
      <c r="AJ490" s="18">
        <f t="shared" si="595"/>
        <v>4.7321654282321504</v>
      </c>
      <c r="AK490" s="18">
        <f t="shared" si="595"/>
        <v>0.77526476804821198</v>
      </c>
      <c r="AL490" s="56">
        <f t="shared" si="571"/>
        <v>4</v>
      </c>
      <c r="AN490" s="18">
        <f t="shared" si="596"/>
        <v>7.0076382598392266</v>
      </c>
      <c r="AO490" s="18">
        <f t="shared" si="596"/>
        <v>0.94856162655699761</v>
      </c>
      <c r="AP490" s="18">
        <f t="shared" si="596"/>
        <v>2.4302650558750387</v>
      </c>
      <c r="AQ490" s="18">
        <f t="shared" si="596"/>
        <v>0.7570453227020244</v>
      </c>
      <c r="AR490" s="18">
        <f t="shared" si="596"/>
        <v>4.7321654282321504</v>
      </c>
      <c r="AS490" s="18">
        <f t="shared" si="596"/>
        <v>0.81054267591275575</v>
      </c>
      <c r="AT490" s="56">
        <f t="shared" si="572"/>
        <v>4</v>
      </c>
      <c r="AV490" s="18">
        <f t="shared" si="597"/>
        <v>7.0076382598392266</v>
      </c>
      <c r="AW490" s="18">
        <f t="shared" si="597"/>
        <v>0.91789865496233058</v>
      </c>
      <c r="AX490" s="18">
        <f t="shared" si="597"/>
        <v>2.4302650558750387</v>
      </c>
      <c r="AY490" s="18">
        <f t="shared" si="597"/>
        <v>0.7570453227020244</v>
      </c>
      <c r="AZ490" s="18">
        <f t="shared" si="597"/>
        <v>4.7321654282321504</v>
      </c>
      <c r="BA490" s="18">
        <f t="shared" si="597"/>
        <v>0.83538941856478199</v>
      </c>
      <c r="BB490" s="56">
        <f t="shared" si="573"/>
        <v>4</v>
      </c>
      <c r="BD490" s="18">
        <f t="shared" si="598"/>
        <v>7.0076382598392266</v>
      </c>
      <c r="BE490" s="18">
        <f t="shared" si="598"/>
        <v>0.88913201395912034</v>
      </c>
      <c r="BF490" s="18">
        <f t="shared" si="598"/>
        <v>2.4302650558750387</v>
      </c>
      <c r="BG490" s="18">
        <f t="shared" si="598"/>
        <v>0.7570453227020244</v>
      </c>
      <c r="BH490" s="18">
        <f t="shared" si="598"/>
        <v>4.7321654282321504</v>
      </c>
      <c r="BI490" s="18">
        <f t="shared" si="598"/>
        <v>0.86017712327846874</v>
      </c>
      <c r="BJ490" s="56">
        <f t="shared" si="574"/>
        <v>4</v>
      </c>
      <c r="BL490" s="18">
        <f t="shared" si="599"/>
        <v>7.0076382598392266</v>
      </c>
      <c r="BM490" s="18">
        <f t="shared" si="599"/>
        <v>0.88913201395912034</v>
      </c>
      <c r="BN490" s="18">
        <f t="shared" si="599"/>
        <v>2.4302650558750387</v>
      </c>
      <c r="BO490" s="18">
        <f t="shared" si="599"/>
        <v>0.7570453227020244</v>
      </c>
      <c r="BP490" s="18">
        <f t="shared" si="599"/>
        <v>4.7321654282321504</v>
      </c>
      <c r="BQ490" s="18">
        <f t="shared" si="599"/>
        <v>0.86017712327846874</v>
      </c>
      <c r="BR490" s="56">
        <f t="shared" si="575"/>
        <v>4</v>
      </c>
      <c r="BT490" s="18">
        <f t="shared" si="600"/>
        <v>7.0076382598392266</v>
      </c>
      <c r="BU490" s="18">
        <f t="shared" si="600"/>
        <v>0.88913201395912034</v>
      </c>
      <c r="BV490" s="18">
        <f t="shared" si="600"/>
        <v>2.4302650558750387</v>
      </c>
      <c r="BW490" s="18">
        <f t="shared" si="600"/>
        <v>0.7570453227020244</v>
      </c>
      <c r="BX490" s="18">
        <f t="shared" si="600"/>
        <v>4.7321654282321504</v>
      </c>
      <c r="BY490" s="18">
        <f t="shared" si="600"/>
        <v>0.86017712327846874</v>
      </c>
      <c r="BZ490" s="56">
        <f t="shared" si="576"/>
        <v>4</v>
      </c>
      <c r="CB490" s="18">
        <f t="shared" si="601"/>
        <v>7.0076382598392266</v>
      </c>
      <c r="CC490" s="18">
        <f t="shared" si="601"/>
        <v>0.88913201395912034</v>
      </c>
      <c r="CD490" s="18">
        <f t="shared" si="601"/>
        <v>2.4302650558750387</v>
      </c>
      <c r="CE490" s="18">
        <f t="shared" si="601"/>
        <v>0.7570453227020244</v>
      </c>
      <c r="CF490" s="18">
        <f t="shared" si="601"/>
        <v>4.7321654282321504</v>
      </c>
      <c r="CG490" s="18">
        <f t="shared" si="601"/>
        <v>0.86017712327846874</v>
      </c>
      <c r="CH490" s="56">
        <f t="shared" si="577"/>
        <v>4</v>
      </c>
      <c r="CJ490" s="18">
        <f t="shared" si="602"/>
        <v>7.0076382598392266</v>
      </c>
      <c r="CK490" s="18">
        <f t="shared" si="602"/>
        <v>0.88913201395912034</v>
      </c>
      <c r="CL490" s="18">
        <f t="shared" si="602"/>
        <v>2.4302650558750387</v>
      </c>
      <c r="CM490" s="18">
        <f t="shared" si="602"/>
        <v>0.7570453227020244</v>
      </c>
      <c r="CN490" s="18">
        <f t="shared" si="602"/>
        <v>4.7321654282321504</v>
      </c>
      <c r="CO490" s="18">
        <f t="shared" si="602"/>
        <v>0.86017712327846874</v>
      </c>
      <c r="CP490" s="56">
        <f t="shared" si="578"/>
        <v>4</v>
      </c>
      <c r="CR490" s="18">
        <f t="shared" si="603"/>
        <v>7.0076382598392266</v>
      </c>
      <c r="CS490" s="18">
        <f t="shared" si="603"/>
        <v>0.88913201395912034</v>
      </c>
      <c r="CT490" s="18">
        <f t="shared" si="603"/>
        <v>2.4302650558750387</v>
      </c>
      <c r="CU490" s="18">
        <f t="shared" si="603"/>
        <v>0.7570453227020244</v>
      </c>
      <c r="CV490" s="18">
        <f t="shared" si="603"/>
        <v>4.7321654282321504</v>
      </c>
      <c r="CW490" s="18">
        <f t="shared" si="603"/>
        <v>0.86017712327846874</v>
      </c>
      <c r="CX490" s="56">
        <f t="shared" si="579"/>
        <v>4</v>
      </c>
      <c r="CZ490" s="18">
        <f t="shared" si="604"/>
        <v>7.0076382598392266</v>
      </c>
      <c r="DA490" s="18">
        <f t="shared" si="604"/>
        <v>0.88913201395912034</v>
      </c>
      <c r="DB490" s="18">
        <f t="shared" si="604"/>
        <v>2.4302650558750387</v>
      </c>
      <c r="DC490" s="18">
        <f t="shared" si="604"/>
        <v>0.7570453227020244</v>
      </c>
      <c r="DD490" s="18">
        <f t="shared" si="604"/>
        <v>4.7321654282321504</v>
      </c>
      <c r="DE490" s="18">
        <f t="shared" si="604"/>
        <v>0.86017712327846874</v>
      </c>
      <c r="DF490" s="56">
        <f t="shared" si="580"/>
        <v>4</v>
      </c>
      <c r="DH490" s="18">
        <f t="shared" si="605"/>
        <v>7.0076382598392266</v>
      </c>
      <c r="DI490" s="18">
        <f t="shared" si="605"/>
        <v>0.88913201395912034</v>
      </c>
      <c r="DJ490" s="18">
        <f t="shared" si="605"/>
        <v>2.4302650558750387</v>
      </c>
      <c r="DK490" s="18">
        <f t="shared" si="605"/>
        <v>0.7570453227020244</v>
      </c>
      <c r="DL490" s="18">
        <f t="shared" si="605"/>
        <v>4.7321654282321504</v>
      </c>
      <c r="DM490" s="18">
        <f t="shared" si="605"/>
        <v>0.86017712327846874</v>
      </c>
      <c r="DN490" s="56">
        <f t="shared" si="581"/>
        <v>4</v>
      </c>
    </row>
    <row r="491" spans="1:118" x14ac:dyDescent="0.25">
      <c r="A491" s="36" t="str">
        <f>KMeans_Data!A88</f>
        <v>Mianwali</v>
      </c>
      <c r="B491" s="18">
        <f>KMeans_Data!H88</f>
        <v>-0.54724577455296852</v>
      </c>
      <c r="C491" s="18">
        <f>KMeans_Data!I88</f>
        <v>-0.67265054538827607</v>
      </c>
      <c r="D491" s="18">
        <f>KMeans_Data!J88</f>
        <v>-0.82444601589876665</v>
      </c>
      <c r="E491" s="56">
        <f t="shared" si="568"/>
        <v>4</v>
      </c>
      <c r="F491" s="38">
        <f t="shared" si="569"/>
        <v>0.48213221614297086</v>
      </c>
      <c r="G491" s="18">
        <f>IF(COUNTIF(Distance_Matrix!$E$12:$DQ$12,$E491)&lt;=1,0,SUMIF(Distance_Matrix!$E$12:$DQ$12,$E491,Distance_Matrix!$E$97:$DQ$97)/(COUNTIF(Distance_Matrix!$E$12:$DQ$12,$E491)-1))</f>
        <v>0.83664030640733056</v>
      </c>
      <c r="H491" s="18">
        <f>MIN(IF(1=$E491,1E+99,IF(COUNTIF(Distance_Matrix!$E$12:$DQ$12,1)=0,1E+99,SUMIF(Distance_Matrix!$E$12:$DQ$12,1,Distance_Matrix!$E$97:$DQ$97)/COUNTIF(Distance_Matrix!$E$12:$DQ$12,1))),IF(2=$E491,1E+99,IF(COUNTIF(Distance_Matrix!$E$12:$DQ$12,2)=0,1E+99,SUMIF(Distance_Matrix!$E$12:$DQ$12,2,Distance_Matrix!$E$97:$DQ$97)/COUNTIF(Distance_Matrix!$E$12:$DQ$12,2))),IF(3=$E491,1E+99,IF(COUNTIF(Distance_Matrix!$E$12:$DQ$12,3)=0,1E+99,SUMIF(Distance_Matrix!$E$12:$DQ$12,3,Distance_Matrix!$E$97:$DQ$97)/COUNTIF(Distance_Matrix!$E$12:$DQ$12,3))),IF(4=$E491,1E+99,IF(COUNTIF(Distance_Matrix!$E$12:$DQ$12,4)=0,1E+99,SUMIF(Distance_Matrix!$E$12:$DQ$12,4,Distance_Matrix!$E$97:$DQ$97)/COUNTIF(Distance_Matrix!$E$12:$DQ$12,4))),IF(5=$E491,1E+99,IF(COUNTIF(Distance_Matrix!$E$12:$DQ$12,5)=0,1E+99,SUMIF(Distance_Matrix!$E$12:$DQ$12,5,Distance_Matrix!$E$97:$DQ$97)/COUNTIF(Distance_Matrix!$E$12:$DQ$12,5))),IF(6=$E491,1E+99,IF(COUNTIF(Distance_Matrix!$E$12:$DQ$12,6)=0,1E+99,SUMIF(Distance_Matrix!$E$12:$DQ$12,6,Distance_Matrix!$E$97:$DQ$97)/COUNTIF(Distance_Matrix!$E$12:$DQ$12,6))))</f>
        <v>0.79989903338798229</v>
      </c>
      <c r="I491" s="18">
        <f>IF(COUNTIF(Distance_Matrix!$E$12:$DQ$12,$E491)&lt;=1,0,(H491-G491)/MAX(G491,H491))</f>
        <v>-4.391525574128894E-2</v>
      </c>
      <c r="X491" s="18">
        <f t="shared" si="594"/>
        <v>7.3092925798473285</v>
      </c>
      <c r="Y491" s="18">
        <f t="shared" si="594"/>
        <v>1.5657907219695728</v>
      </c>
      <c r="Z491" s="18">
        <f t="shared" si="594"/>
        <v>2.980360147150797</v>
      </c>
      <c r="AA491" s="18">
        <f t="shared" si="594"/>
        <v>1.3425907007716069</v>
      </c>
      <c r="AB491" s="18">
        <f t="shared" si="594"/>
        <v>5.2440289968498544</v>
      </c>
      <c r="AC491" s="18">
        <f t="shared" si="594"/>
        <v>1.5532804366381536</v>
      </c>
      <c r="AD491" s="56">
        <f t="shared" si="570"/>
        <v>4</v>
      </c>
      <c r="AF491" s="18">
        <f t="shared" si="595"/>
        <v>7.1862281591827486</v>
      </c>
      <c r="AG491" s="18">
        <f t="shared" si="595"/>
        <v>0.81993831252717597</v>
      </c>
      <c r="AH491" s="18">
        <f t="shared" si="595"/>
        <v>2.674815013470897</v>
      </c>
      <c r="AI491" s="18">
        <f t="shared" si="595"/>
        <v>0.70483391782408344</v>
      </c>
      <c r="AJ491" s="18">
        <f t="shared" si="595"/>
        <v>4.9100690154054352</v>
      </c>
      <c r="AK491" s="18">
        <f t="shared" si="595"/>
        <v>1.0733528156860672</v>
      </c>
      <c r="AL491" s="56">
        <f t="shared" si="571"/>
        <v>4</v>
      </c>
      <c r="AN491" s="18">
        <f t="shared" si="596"/>
        <v>7.1862281591827486</v>
      </c>
      <c r="AO491" s="18">
        <f t="shared" si="596"/>
        <v>0.77241890813494118</v>
      </c>
      <c r="AP491" s="18">
        <f t="shared" si="596"/>
        <v>2.6454096203250117</v>
      </c>
      <c r="AQ491" s="18">
        <f t="shared" si="596"/>
        <v>0.69435741239146487</v>
      </c>
      <c r="AR491" s="18">
        <f t="shared" si="596"/>
        <v>4.9100690154054352</v>
      </c>
      <c r="AS491" s="18">
        <f t="shared" si="596"/>
        <v>1.1066540811179877</v>
      </c>
      <c r="AT491" s="56">
        <f t="shared" si="572"/>
        <v>4</v>
      </c>
      <c r="AV491" s="18">
        <f t="shared" si="597"/>
        <v>7.1862281591827486</v>
      </c>
      <c r="AW491" s="18">
        <f t="shared" si="597"/>
        <v>0.74636664820622112</v>
      </c>
      <c r="AX491" s="18">
        <f t="shared" si="597"/>
        <v>2.6454096203250117</v>
      </c>
      <c r="AY491" s="18">
        <f t="shared" si="597"/>
        <v>0.69435741239146487</v>
      </c>
      <c r="AZ491" s="18">
        <f t="shared" si="597"/>
        <v>4.9100690154054352</v>
      </c>
      <c r="BA491" s="18">
        <f t="shared" si="597"/>
        <v>1.1305095410926183</v>
      </c>
      <c r="BB491" s="56">
        <f t="shared" si="573"/>
        <v>4</v>
      </c>
      <c r="BD491" s="18">
        <f t="shared" si="598"/>
        <v>7.1862281591827486</v>
      </c>
      <c r="BE491" s="18">
        <f t="shared" si="598"/>
        <v>0.72343387301987827</v>
      </c>
      <c r="BF491" s="18">
        <f t="shared" si="598"/>
        <v>2.6454096203250117</v>
      </c>
      <c r="BG491" s="18">
        <f t="shared" si="598"/>
        <v>0.69435741239146487</v>
      </c>
      <c r="BH491" s="18">
        <f t="shared" si="598"/>
        <v>4.9100690154054352</v>
      </c>
      <c r="BI491" s="18">
        <f t="shared" si="598"/>
        <v>1.1539985212018804</v>
      </c>
      <c r="BJ491" s="56">
        <f t="shared" si="574"/>
        <v>4</v>
      </c>
      <c r="BL491" s="18">
        <f t="shared" si="599"/>
        <v>7.1862281591827486</v>
      </c>
      <c r="BM491" s="18">
        <f t="shared" si="599"/>
        <v>0.72343387301987827</v>
      </c>
      <c r="BN491" s="18">
        <f t="shared" si="599"/>
        <v>2.6454096203250117</v>
      </c>
      <c r="BO491" s="18">
        <f t="shared" si="599"/>
        <v>0.69435741239146487</v>
      </c>
      <c r="BP491" s="18">
        <f t="shared" si="599"/>
        <v>4.9100690154054352</v>
      </c>
      <c r="BQ491" s="18">
        <f t="shared" si="599"/>
        <v>1.1539985212018804</v>
      </c>
      <c r="BR491" s="56">
        <f t="shared" si="575"/>
        <v>4</v>
      </c>
      <c r="BT491" s="18">
        <f t="shared" si="600"/>
        <v>7.1862281591827486</v>
      </c>
      <c r="BU491" s="18">
        <f t="shared" si="600"/>
        <v>0.72343387301987827</v>
      </c>
      <c r="BV491" s="18">
        <f t="shared" si="600"/>
        <v>2.6454096203250117</v>
      </c>
      <c r="BW491" s="18">
        <f t="shared" si="600"/>
        <v>0.69435741239146487</v>
      </c>
      <c r="BX491" s="18">
        <f t="shared" si="600"/>
        <v>4.9100690154054352</v>
      </c>
      <c r="BY491" s="18">
        <f t="shared" si="600"/>
        <v>1.1539985212018804</v>
      </c>
      <c r="BZ491" s="56">
        <f t="shared" si="576"/>
        <v>4</v>
      </c>
      <c r="CB491" s="18">
        <f t="shared" si="601"/>
        <v>7.1862281591827486</v>
      </c>
      <c r="CC491" s="18">
        <f t="shared" si="601"/>
        <v>0.72343387301987827</v>
      </c>
      <c r="CD491" s="18">
        <f t="shared" si="601"/>
        <v>2.6454096203250117</v>
      </c>
      <c r="CE491" s="18">
        <f t="shared" si="601"/>
        <v>0.69435741239146487</v>
      </c>
      <c r="CF491" s="18">
        <f t="shared" si="601"/>
        <v>4.9100690154054352</v>
      </c>
      <c r="CG491" s="18">
        <f t="shared" si="601"/>
        <v>1.1539985212018804</v>
      </c>
      <c r="CH491" s="56">
        <f t="shared" si="577"/>
        <v>4</v>
      </c>
      <c r="CJ491" s="18">
        <f t="shared" si="602"/>
        <v>7.1862281591827486</v>
      </c>
      <c r="CK491" s="18">
        <f t="shared" si="602"/>
        <v>0.72343387301987827</v>
      </c>
      <c r="CL491" s="18">
        <f t="shared" si="602"/>
        <v>2.6454096203250117</v>
      </c>
      <c r="CM491" s="18">
        <f t="shared" si="602"/>
        <v>0.69435741239146487</v>
      </c>
      <c r="CN491" s="18">
        <f t="shared" si="602"/>
        <v>4.9100690154054352</v>
      </c>
      <c r="CO491" s="18">
        <f t="shared" si="602"/>
        <v>1.1539985212018804</v>
      </c>
      <c r="CP491" s="56">
        <f t="shared" si="578"/>
        <v>4</v>
      </c>
      <c r="CR491" s="18">
        <f t="shared" si="603"/>
        <v>7.1862281591827486</v>
      </c>
      <c r="CS491" s="18">
        <f t="shared" si="603"/>
        <v>0.72343387301987827</v>
      </c>
      <c r="CT491" s="18">
        <f t="shared" si="603"/>
        <v>2.6454096203250117</v>
      </c>
      <c r="CU491" s="18">
        <f t="shared" si="603"/>
        <v>0.69435741239146487</v>
      </c>
      <c r="CV491" s="18">
        <f t="shared" si="603"/>
        <v>4.9100690154054352</v>
      </c>
      <c r="CW491" s="18">
        <f t="shared" si="603"/>
        <v>1.1539985212018804</v>
      </c>
      <c r="CX491" s="56">
        <f t="shared" si="579"/>
        <v>4</v>
      </c>
      <c r="CZ491" s="18">
        <f t="shared" si="604"/>
        <v>7.1862281591827486</v>
      </c>
      <c r="DA491" s="18">
        <f t="shared" si="604"/>
        <v>0.72343387301987827</v>
      </c>
      <c r="DB491" s="18">
        <f t="shared" si="604"/>
        <v>2.6454096203250117</v>
      </c>
      <c r="DC491" s="18">
        <f t="shared" si="604"/>
        <v>0.69435741239146487</v>
      </c>
      <c r="DD491" s="18">
        <f t="shared" si="604"/>
        <v>4.9100690154054352</v>
      </c>
      <c r="DE491" s="18">
        <f t="shared" si="604"/>
        <v>1.1539985212018804</v>
      </c>
      <c r="DF491" s="56">
        <f t="shared" si="580"/>
        <v>4</v>
      </c>
      <c r="DH491" s="18">
        <f t="shared" si="605"/>
        <v>7.1862281591827486</v>
      </c>
      <c r="DI491" s="18">
        <f t="shared" si="605"/>
        <v>0.72343387301987827</v>
      </c>
      <c r="DJ491" s="18">
        <f t="shared" si="605"/>
        <v>2.6454096203250117</v>
      </c>
      <c r="DK491" s="18">
        <f t="shared" si="605"/>
        <v>0.69435741239146487</v>
      </c>
      <c r="DL491" s="18">
        <f t="shared" si="605"/>
        <v>4.9100690154054352</v>
      </c>
      <c r="DM491" s="18">
        <f t="shared" si="605"/>
        <v>1.1539985212018804</v>
      </c>
      <c r="DN491" s="56">
        <f t="shared" si="581"/>
        <v>4</v>
      </c>
    </row>
    <row r="492" spans="1:118" x14ac:dyDescent="0.25">
      <c r="A492" s="36" t="str">
        <f>KMeans_Data!A89</f>
        <v>Kharmang</v>
      </c>
      <c r="B492" s="18">
        <f>KMeans_Data!H89</f>
        <v>-0.60513538281414725</v>
      </c>
      <c r="C492" s="18">
        <f>KMeans_Data!I89</f>
        <v>-0.67265054538827607</v>
      </c>
      <c r="D492" s="18">
        <f>KMeans_Data!J89</f>
        <v>-3.44812518432112E-2</v>
      </c>
      <c r="E492" s="56">
        <f t="shared" si="568"/>
        <v>6</v>
      </c>
      <c r="F492" s="38">
        <f t="shared" si="569"/>
        <v>0.33672101401293608</v>
      </c>
      <c r="G492" s="18">
        <f>IF(COUNTIF(Distance_Matrix!$E$12:$DQ$12,$E492)&lt;=1,0,SUMIF(Distance_Matrix!$E$12:$DQ$12,$E492,Distance_Matrix!$E$98:$DQ$98)/(COUNTIF(Distance_Matrix!$E$12:$DQ$12,$E492)-1))</f>
        <v>0.79059556815047805</v>
      </c>
      <c r="H492" s="18">
        <f>MIN(IF(1=$E492,1E+99,IF(COUNTIF(Distance_Matrix!$E$12:$DQ$12,1)=0,1E+99,SUMIF(Distance_Matrix!$E$12:$DQ$12,1,Distance_Matrix!$E$98:$DQ$98)/COUNTIF(Distance_Matrix!$E$12:$DQ$12,1))),IF(2=$E492,1E+99,IF(COUNTIF(Distance_Matrix!$E$12:$DQ$12,2)=0,1E+99,SUMIF(Distance_Matrix!$E$12:$DQ$12,2,Distance_Matrix!$E$98:$DQ$98)/COUNTIF(Distance_Matrix!$E$12:$DQ$12,2))),IF(3=$E492,1E+99,IF(COUNTIF(Distance_Matrix!$E$12:$DQ$12,3)=0,1E+99,SUMIF(Distance_Matrix!$E$12:$DQ$12,3,Distance_Matrix!$E$98:$DQ$98)/COUNTIF(Distance_Matrix!$E$12:$DQ$12,3))),IF(4=$E492,1E+99,IF(COUNTIF(Distance_Matrix!$E$12:$DQ$12,4)=0,1E+99,SUMIF(Distance_Matrix!$E$12:$DQ$12,4,Distance_Matrix!$E$98:$DQ$98)/COUNTIF(Distance_Matrix!$E$12:$DQ$12,4))),IF(5=$E492,1E+99,IF(COUNTIF(Distance_Matrix!$E$12:$DQ$12,5)=0,1E+99,SUMIF(Distance_Matrix!$E$12:$DQ$12,5,Distance_Matrix!$E$98:$DQ$98)/COUNTIF(Distance_Matrix!$E$12:$DQ$12,5))),IF(6=$E492,1E+99,IF(COUNTIF(Distance_Matrix!$E$12:$DQ$12,6)=0,1E+99,SUMIF(Distance_Matrix!$E$12:$DQ$12,6,Distance_Matrix!$E$98:$DQ$98)/COUNTIF(Distance_Matrix!$E$12:$DQ$12,6))))</f>
        <v>1.2149968753995857</v>
      </c>
      <c r="I492" s="18">
        <f>IF(COUNTIF(Distance_Matrix!$E$12:$DQ$12,$E492)&lt;=1,0,(H492-G492)/MAX(G492,H492))</f>
        <v>0.34930238574443362</v>
      </c>
      <c r="X492" s="18">
        <f t="shared" si="594"/>
        <v>6.9320982715787478</v>
      </c>
      <c r="Y492" s="18">
        <f t="shared" si="594"/>
        <v>1.8463845039341165</v>
      </c>
      <c r="Z492" s="18">
        <f t="shared" si="594"/>
        <v>2.4632705018895025</v>
      </c>
      <c r="AA492" s="18">
        <f t="shared" si="594"/>
        <v>1.75371916113307</v>
      </c>
      <c r="AB492" s="18">
        <f t="shared" si="594"/>
        <v>4.8387640754866625</v>
      </c>
      <c r="AC492" s="18">
        <f t="shared" si="594"/>
        <v>0.85211492279313339</v>
      </c>
      <c r="AD492" s="56">
        <f t="shared" si="570"/>
        <v>6</v>
      </c>
      <c r="AF492" s="18">
        <f t="shared" si="595"/>
        <v>6.8352558789316831</v>
      </c>
      <c r="AG492" s="18">
        <f t="shared" si="595"/>
        <v>1.2800445647192709</v>
      </c>
      <c r="AH492" s="18">
        <f t="shared" si="595"/>
        <v>2.2668322573783333</v>
      </c>
      <c r="AI492" s="18">
        <f t="shared" si="595"/>
        <v>1.1194872251537922</v>
      </c>
      <c r="AJ492" s="18">
        <f t="shared" si="595"/>
        <v>4.573222446299221</v>
      </c>
      <c r="AK492" s="18">
        <f t="shared" si="595"/>
        <v>0.48836796346981287</v>
      </c>
      <c r="AL492" s="56">
        <f t="shared" si="571"/>
        <v>6</v>
      </c>
      <c r="AN492" s="18">
        <f t="shared" si="596"/>
        <v>6.8352558789316831</v>
      </c>
      <c r="AO492" s="18">
        <f t="shared" si="596"/>
        <v>1.2383559038193757</v>
      </c>
      <c r="AP492" s="18">
        <f t="shared" si="596"/>
        <v>2.2367462790502901</v>
      </c>
      <c r="AQ492" s="18">
        <f t="shared" si="596"/>
        <v>1.1167698572611986</v>
      </c>
      <c r="AR492" s="18">
        <f t="shared" si="596"/>
        <v>4.573222446299221</v>
      </c>
      <c r="AS492" s="18">
        <f t="shared" si="596"/>
        <v>0.52910870779600394</v>
      </c>
      <c r="AT492" s="56">
        <f t="shared" si="572"/>
        <v>6</v>
      </c>
      <c r="AV492" s="18">
        <f t="shared" si="597"/>
        <v>6.8352558789316831</v>
      </c>
      <c r="AW492" s="18">
        <f t="shared" si="597"/>
        <v>1.2063113969988633</v>
      </c>
      <c r="AX492" s="18">
        <f t="shared" si="597"/>
        <v>2.2367462790502901</v>
      </c>
      <c r="AY492" s="18">
        <f t="shared" si="597"/>
        <v>1.1167698572611986</v>
      </c>
      <c r="AZ492" s="18">
        <f t="shared" si="597"/>
        <v>4.573222446299221</v>
      </c>
      <c r="BA492" s="18">
        <f t="shared" si="597"/>
        <v>0.5539423265340796</v>
      </c>
      <c r="BB492" s="56">
        <f t="shared" si="573"/>
        <v>6</v>
      </c>
      <c r="BD492" s="18">
        <f t="shared" si="598"/>
        <v>6.8352558789316831</v>
      </c>
      <c r="BE492" s="18">
        <f t="shared" si="598"/>
        <v>1.1749230269283446</v>
      </c>
      <c r="BF492" s="18">
        <f t="shared" si="598"/>
        <v>2.2367462790502901</v>
      </c>
      <c r="BG492" s="18">
        <f t="shared" si="598"/>
        <v>1.1167698572611986</v>
      </c>
      <c r="BH492" s="18">
        <f t="shared" si="598"/>
        <v>4.573222446299221</v>
      </c>
      <c r="BI492" s="18">
        <f t="shared" si="598"/>
        <v>0.58027667022975871</v>
      </c>
      <c r="BJ492" s="56">
        <f t="shared" si="574"/>
        <v>6</v>
      </c>
      <c r="BL492" s="18">
        <f t="shared" si="599"/>
        <v>6.8352558789316831</v>
      </c>
      <c r="BM492" s="18">
        <f t="shared" si="599"/>
        <v>1.1749230269283446</v>
      </c>
      <c r="BN492" s="18">
        <f t="shared" si="599"/>
        <v>2.2367462790502901</v>
      </c>
      <c r="BO492" s="18">
        <f t="shared" si="599"/>
        <v>1.1167698572611986</v>
      </c>
      <c r="BP492" s="18">
        <f t="shared" si="599"/>
        <v>4.573222446299221</v>
      </c>
      <c r="BQ492" s="18">
        <f t="shared" si="599"/>
        <v>0.58027667022975871</v>
      </c>
      <c r="BR492" s="56">
        <f t="shared" si="575"/>
        <v>6</v>
      </c>
      <c r="BT492" s="18">
        <f t="shared" si="600"/>
        <v>6.8352558789316831</v>
      </c>
      <c r="BU492" s="18">
        <f t="shared" si="600"/>
        <v>1.1749230269283446</v>
      </c>
      <c r="BV492" s="18">
        <f t="shared" si="600"/>
        <v>2.2367462790502901</v>
      </c>
      <c r="BW492" s="18">
        <f t="shared" si="600"/>
        <v>1.1167698572611986</v>
      </c>
      <c r="BX492" s="18">
        <f t="shared" si="600"/>
        <v>4.573222446299221</v>
      </c>
      <c r="BY492" s="18">
        <f t="shared" si="600"/>
        <v>0.58027667022975871</v>
      </c>
      <c r="BZ492" s="56">
        <f t="shared" si="576"/>
        <v>6</v>
      </c>
      <c r="CB492" s="18">
        <f t="shared" si="601"/>
        <v>6.8352558789316831</v>
      </c>
      <c r="CC492" s="18">
        <f t="shared" si="601"/>
        <v>1.1749230269283446</v>
      </c>
      <c r="CD492" s="18">
        <f t="shared" si="601"/>
        <v>2.2367462790502901</v>
      </c>
      <c r="CE492" s="18">
        <f t="shared" si="601"/>
        <v>1.1167698572611986</v>
      </c>
      <c r="CF492" s="18">
        <f t="shared" si="601"/>
        <v>4.573222446299221</v>
      </c>
      <c r="CG492" s="18">
        <f t="shared" si="601"/>
        <v>0.58027667022975871</v>
      </c>
      <c r="CH492" s="56">
        <f t="shared" si="577"/>
        <v>6</v>
      </c>
      <c r="CJ492" s="18">
        <f t="shared" si="602"/>
        <v>6.8352558789316831</v>
      </c>
      <c r="CK492" s="18">
        <f t="shared" si="602"/>
        <v>1.1749230269283446</v>
      </c>
      <c r="CL492" s="18">
        <f t="shared" si="602"/>
        <v>2.2367462790502901</v>
      </c>
      <c r="CM492" s="18">
        <f t="shared" si="602"/>
        <v>1.1167698572611986</v>
      </c>
      <c r="CN492" s="18">
        <f t="shared" si="602"/>
        <v>4.573222446299221</v>
      </c>
      <c r="CO492" s="18">
        <f t="shared" si="602"/>
        <v>0.58027667022975871</v>
      </c>
      <c r="CP492" s="56">
        <f t="shared" si="578"/>
        <v>6</v>
      </c>
      <c r="CR492" s="18">
        <f t="shared" si="603"/>
        <v>6.8352558789316831</v>
      </c>
      <c r="CS492" s="18">
        <f t="shared" si="603"/>
        <v>1.1749230269283446</v>
      </c>
      <c r="CT492" s="18">
        <f t="shared" si="603"/>
        <v>2.2367462790502901</v>
      </c>
      <c r="CU492" s="18">
        <f t="shared" si="603"/>
        <v>1.1167698572611986</v>
      </c>
      <c r="CV492" s="18">
        <f t="shared" si="603"/>
        <v>4.573222446299221</v>
      </c>
      <c r="CW492" s="18">
        <f t="shared" si="603"/>
        <v>0.58027667022975871</v>
      </c>
      <c r="CX492" s="56">
        <f t="shared" si="579"/>
        <v>6</v>
      </c>
      <c r="CZ492" s="18">
        <f t="shared" si="604"/>
        <v>6.8352558789316831</v>
      </c>
      <c r="DA492" s="18">
        <f t="shared" si="604"/>
        <v>1.1749230269283446</v>
      </c>
      <c r="DB492" s="18">
        <f t="shared" si="604"/>
        <v>2.2367462790502901</v>
      </c>
      <c r="DC492" s="18">
        <f t="shared" si="604"/>
        <v>1.1167698572611986</v>
      </c>
      <c r="DD492" s="18">
        <f t="shared" si="604"/>
        <v>4.573222446299221</v>
      </c>
      <c r="DE492" s="18">
        <f t="shared" si="604"/>
        <v>0.58027667022975871</v>
      </c>
      <c r="DF492" s="56">
        <f t="shared" si="580"/>
        <v>6</v>
      </c>
      <c r="DH492" s="18">
        <f t="shared" si="605"/>
        <v>6.8352558789316831</v>
      </c>
      <c r="DI492" s="18">
        <f t="shared" si="605"/>
        <v>1.1749230269283446</v>
      </c>
      <c r="DJ492" s="18">
        <f t="shared" si="605"/>
        <v>2.2367462790502901</v>
      </c>
      <c r="DK492" s="18">
        <f t="shared" si="605"/>
        <v>1.1167698572611986</v>
      </c>
      <c r="DL492" s="18">
        <f t="shared" si="605"/>
        <v>4.573222446299221</v>
      </c>
      <c r="DM492" s="18">
        <f t="shared" si="605"/>
        <v>0.58027667022975871</v>
      </c>
      <c r="DN492" s="56">
        <f t="shared" si="581"/>
        <v>6</v>
      </c>
    </row>
    <row r="493" spans="1:118" x14ac:dyDescent="0.25">
      <c r="A493" s="36" t="str">
        <f>KMeans_Data!A90</f>
        <v>Attock</v>
      </c>
      <c r="B493" s="18">
        <f>KMeans_Data!H90</f>
        <v>-0.63668868079673557</v>
      </c>
      <c r="C493" s="18">
        <f>KMeans_Data!I90</f>
        <v>-0.67265054538827607</v>
      </c>
      <c r="D493" s="18">
        <f>KMeans_Data!J90</f>
        <v>-1.1456441163335547</v>
      </c>
      <c r="E493" s="56">
        <f t="shared" si="568"/>
        <v>2</v>
      </c>
      <c r="F493" s="38">
        <f t="shared" si="569"/>
        <v>0.38386424126339425</v>
      </c>
      <c r="G493" s="18">
        <f>IF(COUNTIF(Distance_Matrix!$E$12:$DQ$12,$E493)&lt;=1,0,SUMIF(Distance_Matrix!$E$12:$DQ$12,$E493,Distance_Matrix!$E$99:$DQ$99)/(COUNTIF(Distance_Matrix!$E$12:$DQ$12,$E493)-1))</f>
        <v>0.72419581604357419</v>
      </c>
      <c r="H493" s="18">
        <f>MIN(IF(1=$E493,1E+99,IF(COUNTIF(Distance_Matrix!$E$12:$DQ$12,1)=0,1E+99,SUMIF(Distance_Matrix!$E$12:$DQ$12,1,Distance_Matrix!$E$99:$DQ$99)/COUNTIF(Distance_Matrix!$E$12:$DQ$12,1))),IF(2=$E493,1E+99,IF(COUNTIF(Distance_Matrix!$E$12:$DQ$12,2)=0,1E+99,SUMIF(Distance_Matrix!$E$12:$DQ$12,2,Distance_Matrix!$E$99:$DQ$99)/COUNTIF(Distance_Matrix!$E$12:$DQ$12,2))),IF(3=$E493,1E+99,IF(COUNTIF(Distance_Matrix!$E$12:$DQ$12,3)=0,1E+99,SUMIF(Distance_Matrix!$E$12:$DQ$12,3,Distance_Matrix!$E$99:$DQ$99)/COUNTIF(Distance_Matrix!$E$12:$DQ$12,3))),IF(4=$E493,1E+99,IF(COUNTIF(Distance_Matrix!$E$12:$DQ$12,4)=0,1E+99,SUMIF(Distance_Matrix!$E$12:$DQ$12,4,Distance_Matrix!$E$99:$DQ$99)/COUNTIF(Distance_Matrix!$E$12:$DQ$12,4))),IF(5=$E493,1E+99,IF(COUNTIF(Distance_Matrix!$E$12:$DQ$12,5)=0,1E+99,SUMIF(Distance_Matrix!$E$12:$DQ$12,5,Distance_Matrix!$E$99:$DQ$99)/COUNTIF(Distance_Matrix!$E$12:$DQ$12,5))),IF(6=$E493,1E+99,IF(COUNTIF(Distance_Matrix!$E$12:$DQ$12,6)=0,1E+99,SUMIF(Distance_Matrix!$E$12:$DQ$12,6,Distance_Matrix!$E$99:$DQ$99)/COUNTIF(Distance_Matrix!$E$12:$DQ$12,6))))</f>
        <v>0.90424795753280041</v>
      </c>
      <c r="I493" s="18">
        <f>IF(COUNTIF(Distance_Matrix!$E$12:$DQ$12,$E493)&lt;=1,0,(H493-G493)/MAX(G493,H493))</f>
        <v>0.19911810691891452</v>
      </c>
      <c r="X493" s="18">
        <f t="shared" si="594"/>
        <v>7.5392108031360259</v>
      </c>
      <c r="Y493" s="18">
        <f t="shared" si="594"/>
        <v>1.443049301006593</v>
      </c>
      <c r="Z493" s="18">
        <f t="shared" si="594"/>
        <v>3.278929330896613</v>
      </c>
      <c r="AA493" s="18">
        <f t="shared" si="594"/>
        <v>1.3859213030549966</v>
      </c>
      <c r="AB493" s="18">
        <f t="shared" si="594"/>
        <v>5.494132987284166</v>
      </c>
      <c r="AC493" s="18">
        <f t="shared" si="594"/>
        <v>1.8516996430846584</v>
      </c>
      <c r="AD493" s="56">
        <f t="shared" si="570"/>
        <v>4</v>
      </c>
      <c r="AF493" s="18">
        <f t="shared" si="595"/>
        <v>7.4074196873951061</v>
      </c>
      <c r="AG493" s="18">
        <f t="shared" si="595"/>
        <v>0.68624211659481049</v>
      </c>
      <c r="AH493" s="18">
        <f t="shared" si="595"/>
        <v>2.9390975767041021</v>
      </c>
      <c r="AI493" s="18">
        <f t="shared" si="595"/>
        <v>0.84358425283230554</v>
      </c>
      <c r="AJ493" s="18">
        <f t="shared" si="595"/>
        <v>5.1352340870242639</v>
      </c>
      <c r="AK493" s="18">
        <f t="shared" si="595"/>
        <v>1.3977217246363351</v>
      </c>
      <c r="AL493" s="56">
        <f t="shared" si="571"/>
        <v>2</v>
      </c>
      <c r="AN493" s="18">
        <f t="shared" si="596"/>
        <v>7.4074196873951061</v>
      </c>
      <c r="AO493" s="18">
        <f t="shared" si="596"/>
        <v>0.64563202677231024</v>
      </c>
      <c r="AP493" s="18">
        <f t="shared" si="596"/>
        <v>2.9098237162103509</v>
      </c>
      <c r="AQ493" s="18">
        <f t="shared" si="596"/>
        <v>0.83199167833660115</v>
      </c>
      <c r="AR493" s="18">
        <f t="shared" si="596"/>
        <v>5.1352340870242639</v>
      </c>
      <c r="AS493" s="18">
        <f t="shared" si="596"/>
        <v>1.4310344548411835</v>
      </c>
      <c r="AT493" s="56">
        <f t="shared" si="572"/>
        <v>2</v>
      </c>
      <c r="AV493" s="18">
        <f t="shared" si="597"/>
        <v>7.4074196873951061</v>
      </c>
      <c r="AW493" s="18">
        <f t="shared" si="597"/>
        <v>0.63032444911920715</v>
      </c>
      <c r="AX493" s="18">
        <f t="shared" si="597"/>
        <v>2.9098237162103509</v>
      </c>
      <c r="AY493" s="18">
        <f t="shared" si="597"/>
        <v>0.83199167833660115</v>
      </c>
      <c r="AZ493" s="18">
        <f t="shared" si="597"/>
        <v>5.1352340870242639</v>
      </c>
      <c r="BA493" s="18">
        <f t="shared" si="597"/>
        <v>1.4545910668387338</v>
      </c>
      <c r="BB493" s="56">
        <f t="shared" si="573"/>
        <v>2</v>
      </c>
      <c r="BD493" s="18">
        <f t="shared" si="598"/>
        <v>7.4074196873951061</v>
      </c>
      <c r="BE493" s="18">
        <f t="shared" si="598"/>
        <v>0.61956778585026051</v>
      </c>
      <c r="BF493" s="18">
        <f t="shared" si="598"/>
        <v>2.9098237162103509</v>
      </c>
      <c r="BG493" s="18">
        <f t="shared" si="598"/>
        <v>0.83199167833660115</v>
      </c>
      <c r="BH493" s="18">
        <f t="shared" si="598"/>
        <v>5.1352340870242639</v>
      </c>
      <c r="BI493" s="18">
        <f t="shared" si="598"/>
        <v>1.4776917739654161</v>
      </c>
      <c r="BJ493" s="56">
        <f t="shared" si="574"/>
        <v>2</v>
      </c>
      <c r="BL493" s="18">
        <f t="shared" si="599"/>
        <v>7.4074196873951061</v>
      </c>
      <c r="BM493" s="18">
        <f t="shared" si="599"/>
        <v>0.61956778585026051</v>
      </c>
      <c r="BN493" s="18">
        <f t="shared" si="599"/>
        <v>2.9098237162103509</v>
      </c>
      <c r="BO493" s="18">
        <f t="shared" si="599"/>
        <v>0.83199167833660115</v>
      </c>
      <c r="BP493" s="18">
        <f t="shared" si="599"/>
        <v>5.1352340870242639</v>
      </c>
      <c r="BQ493" s="18">
        <f t="shared" si="599"/>
        <v>1.4776917739654161</v>
      </c>
      <c r="BR493" s="56">
        <f t="shared" si="575"/>
        <v>2</v>
      </c>
      <c r="BT493" s="18">
        <f t="shared" si="600"/>
        <v>7.4074196873951061</v>
      </c>
      <c r="BU493" s="18">
        <f t="shared" si="600"/>
        <v>0.61956778585026051</v>
      </c>
      <c r="BV493" s="18">
        <f t="shared" si="600"/>
        <v>2.9098237162103509</v>
      </c>
      <c r="BW493" s="18">
        <f t="shared" si="600"/>
        <v>0.83199167833660115</v>
      </c>
      <c r="BX493" s="18">
        <f t="shared" si="600"/>
        <v>5.1352340870242639</v>
      </c>
      <c r="BY493" s="18">
        <f t="shared" si="600"/>
        <v>1.4776917739654161</v>
      </c>
      <c r="BZ493" s="56">
        <f t="shared" si="576"/>
        <v>2</v>
      </c>
      <c r="CB493" s="18">
        <f t="shared" si="601"/>
        <v>7.4074196873951061</v>
      </c>
      <c r="CC493" s="18">
        <f t="shared" si="601"/>
        <v>0.61956778585026051</v>
      </c>
      <c r="CD493" s="18">
        <f t="shared" si="601"/>
        <v>2.9098237162103509</v>
      </c>
      <c r="CE493" s="18">
        <f t="shared" si="601"/>
        <v>0.83199167833660115</v>
      </c>
      <c r="CF493" s="18">
        <f t="shared" si="601"/>
        <v>5.1352340870242639</v>
      </c>
      <c r="CG493" s="18">
        <f t="shared" si="601"/>
        <v>1.4776917739654161</v>
      </c>
      <c r="CH493" s="56">
        <f t="shared" si="577"/>
        <v>2</v>
      </c>
      <c r="CJ493" s="18">
        <f t="shared" si="602"/>
        <v>7.4074196873951061</v>
      </c>
      <c r="CK493" s="18">
        <f t="shared" si="602"/>
        <v>0.61956778585026051</v>
      </c>
      <c r="CL493" s="18">
        <f t="shared" si="602"/>
        <v>2.9098237162103509</v>
      </c>
      <c r="CM493" s="18">
        <f t="shared" si="602"/>
        <v>0.83199167833660115</v>
      </c>
      <c r="CN493" s="18">
        <f t="shared" si="602"/>
        <v>5.1352340870242639</v>
      </c>
      <c r="CO493" s="18">
        <f t="shared" si="602"/>
        <v>1.4776917739654161</v>
      </c>
      <c r="CP493" s="56">
        <f t="shared" si="578"/>
        <v>2</v>
      </c>
      <c r="CR493" s="18">
        <f t="shared" si="603"/>
        <v>7.4074196873951061</v>
      </c>
      <c r="CS493" s="18">
        <f t="shared" si="603"/>
        <v>0.61956778585026051</v>
      </c>
      <c r="CT493" s="18">
        <f t="shared" si="603"/>
        <v>2.9098237162103509</v>
      </c>
      <c r="CU493" s="18">
        <f t="shared" si="603"/>
        <v>0.83199167833660115</v>
      </c>
      <c r="CV493" s="18">
        <f t="shared" si="603"/>
        <v>5.1352340870242639</v>
      </c>
      <c r="CW493" s="18">
        <f t="shared" si="603"/>
        <v>1.4776917739654161</v>
      </c>
      <c r="CX493" s="56">
        <f t="shared" si="579"/>
        <v>2</v>
      </c>
      <c r="CZ493" s="18">
        <f t="shared" si="604"/>
        <v>7.4074196873951061</v>
      </c>
      <c r="DA493" s="18">
        <f t="shared" si="604"/>
        <v>0.61956778585026051</v>
      </c>
      <c r="DB493" s="18">
        <f t="shared" si="604"/>
        <v>2.9098237162103509</v>
      </c>
      <c r="DC493" s="18">
        <f t="shared" si="604"/>
        <v>0.83199167833660115</v>
      </c>
      <c r="DD493" s="18">
        <f t="shared" si="604"/>
        <v>5.1352340870242639</v>
      </c>
      <c r="DE493" s="18">
        <f t="shared" si="604"/>
        <v>1.4776917739654161</v>
      </c>
      <c r="DF493" s="56">
        <f t="shared" si="580"/>
        <v>2</v>
      </c>
      <c r="DH493" s="18">
        <f t="shared" si="605"/>
        <v>7.4074196873951061</v>
      </c>
      <c r="DI493" s="18">
        <f t="shared" si="605"/>
        <v>0.61956778585026051</v>
      </c>
      <c r="DJ493" s="18">
        <f t="shared" si="605"/>
        <v>2.9098237162103509</v>
      </c>
      <c r="DK493" s="18">
        <f t="shared" si="605"/>
        <v>0.83199167833660115</v>
      </c>
      <c r="DL493" s="18">
        <f t="shared" si="605"/>
        <v>5.1352340870242639</v>
      </c>
      <c r="DM493" s="18">
        <f t="shared" si="605"/>
        <v>1.4776917739654161</v>
      </c>
      <c r="DN493" s="56">
        <f t="shared" si="581"/>
        <v>2</v>
      </c>
    </row>
    <row r="494" spans="1:118" x14ac:dyDescent="0.25">
      <c r="A494" s="36" t="str">
        <f>KMeans_Data!A91</f>
        <v>Chitral Upper</v>
      </c>
      <c r="B494" s="18">
        <f>KMeans_Data!H91</f>
        <v>-0.63668868079673557</v>
      </c>
      <c r="C494" s="18">
        <f>KMeans_Data!I91</f>
        <v>-0.67265054538827607</v>
      </c>
      <c r="D494" s="18">
        <f>KMeans_Data!J91</f>
        <v>-0.31535907140676028</v>
      </c>
      <c r="E494" s="56">
        <f t="shared" si="568"/>
        <v>6</v>
      </c>
      <c r="F494" s="38">
        <f t="shared" si="569"/>
        <v>0.59074037289440118</v>
      </c>
      <c r="G494" s="18">
        <f>IF(COUNTIF(Distance_Matrix!$E$12:$DQ$12,$E494)&lt;=1,0,SUMIF(Distance_Matrix!$E$12:$DQ$12,$E494,Distance_Matrix!$E$100:$DQ$100)/(COUNTIF(Distance_Matrix!$E$12:$DQ$12,$E494)-1))</f>
        <v>0.91777900239524268</v>
      </c>
      <c r="H494" s="18">
        <f>MIN(IF(1=$E494,1E+99,IF(COUNTIF(Distance_Matrix!$E$12:$DQ$12,1)=0,1E+99,SUMIF(Distance_Matrix!$E$12:$DQ$12,1,Distance_Matrix!$E$100:$DQ$100)/COUNTIF(Distance_Matrix!$E$12:$DQ$12,1))),IF(2=$E494,1E+99,IF(COUNTIF(Distance_Matrix!$E$12:$DQ$12,2)=0,1E+99,SUMIF(Distance_Matrix!$E$12:$DQ$12,2,Distance_Matrix!$E$100:$DQ$100)/COUNTIF(Distance_Matrix!$E$12:$DQ$12,2))),IF(3=$E494,1E+99,IF(COUNTIF(Distance_Matrix!$E$12:$DQ$12,3)=0,1E+99,SUMIF(Distance_Matrix!$E$12:$DQ$12,3,Distance_Matrix!$E$100:$DQ$100)/COUNTIF(Distance_Matrix!$E$12:$DQ$12,3))),IF(4=$E494,1E+99,IF(COUNTIF(Distance_Matrix!$E$12:$DQ$12,4)=0,1E+99,SUMIF(Distance_Matrix!$E$12:$DQ$12,4,Distance_Matrix!$E$100:$DQ$100)/COUNTIF(Distance_Matrix!$E$12:$DQ$12,4))),IF(5=$E494,1E+99,IF(COUNTIF(Distance_Matrix!$E$12:$DQ$12,5)=0,1E+99,SUMIF(Distance_Matrix!$E$12:$DQ$12,5,Distance_Matrix!$E$100:$DQ$100)/COUNTIF(Distance_Matrix!$E$12:$DQ$12,5))),IF(6=$E494,1E+99,IF(COUNTIF(Distance_Matrix!$E$12:$DQ$12,6)=0,1E+99,SUMIF(Distance_Matrix!$E$12:$DQ$12,6,Distance_Matrix!$E$100:$DQ$100)/COUNTIF(Distance_Matrix!$E$12:$DQ$12,6))))</f>
        <v>0.98472733842168747</v>
      </c>
      <c r="I494" s="18">
        <f>IF(COUNTIF(Distance_Matrix!$E$12:$DQ$12,$E494)&lt;=1,0,(H494-G494)/MAX(G494,H494))</f>
        <v>6.7986673482376359E-2</v>
      </c>
      <c r="X494" s="18">
        <f t="shared" si="594"/>
        <v>7.0869805101477814</v>
      </c>
      <c r="Y494" s="18">
        <f t="shared" si="594"/>
        <v>1.6648617182711321</v>
      </c>
      <c r="Z494" s="18">
        <f t="shared" si="594"/>
        <v>2.6639479151350605</v>
      </c>
      <c r="AA494" s="18">
        <f t="shared" si="594"/>
        <v>1.6155962101003916</v>
      </c>
      <c r="AB494" s="18">
        <f t="shared" si="594"/>
        <v>5.0032974614587671</v>
      </c>
      <c r="AC494" s="18">
        <f t="shared" si="594"/>
        <v>1.0826133962000646</v>
      </c>
      <c r="AD494" s="56">
        <f t="shared" si="570"/>
        <v>6</v>
      </c>
      <c r="AF494" s="18">
        <f t="shared" si="595"/>
        <v>6.9807269472774092</v>
      </c>
      <c r="AG494" s="18">
        <f t="shared" si="595"/>
        <v>1.0378660379637497</v>
      </c>
      <c r="AH494" s="18">
        <f t="shared" si="595"/>
        <v>2.4198290951223078</v>
      </c>
      <c r="AI494" s="18">
        <f t="shared" si="595"/>
        <v>0.95874622082991989</v>
      </c>
      <c r="AJ494" s="18">
        <f t="shared" si="595"/>
        <v>4.7104548473103289</v>
      </c>
      <c r="AK494" s="18">
        <f t="shared" si="595"/>
        <v>0.6750042843490256</v>
      </c>
      <c r="AL494" s="56">
        <f t="shared" si="571"/>
        <v>6</v>
      </c>
      <c r="AN494" s="18">
        <f t="shared" si="596"/>
        <v>6.9807269472774092</v>
      </c>
      <c r="AO494" s="18">
        <f t="shared" si="596"/>
        <v>0.99350866847597608</v>
      </c>
      <c r="AP494" s="18">
        <f t="shared" si="596"/>
        <v>2.3895064936200439</v>
      </c>
      <c r="AQ494" s="18">
        <f t="shared" si="596"/>
        <v>0.95366519099653191</v>
      </c>
      <c r="AR494" s="18">
        <f t="shared" si="596"/>
        <v>4.7104548473103289</v>
      </c>
      <c r="AS494" s="18">
        <f t="shared" si="596"/>
        <v>0.71574995728794677</v>
      </c>
      <c r="AT494" s="56">
        <f t="shared" si="572"/>
        <v>6</v>
      </c>
      <c r="AV494" s="18">
        <f t="shared" si="597"/>
        <v>6.9807269472774092</v>
      </c>
      <c r="AW494" s="18">
        <f t="shared" si="597"/>
        <v>0.96149768228502164</v>
      </c>
      <c r="AX494" s="18">
        <f t="shared" si="597"/>
        <v>2.3895064936200439</v>
      </c>
      <c r="AY494" s="18">
        <f t="shared" si="597"/>
        <v>0.95366519099653191</v>
      </c>
      <c r="AZ494" s="18">
        <f t="shared" si="597"/>
        <v>4.7104548473103289</v>
      </c>
      <c r="BA494" s="18">
        <f t="shared" si="597"/>
        <v>0.74187608253715731</v>
      </c>
      <c r="BB494" s="56">
        <f t="shared" si="573"/>
        <v>6</v>
      </c>
      <c r="BD494" s="18">
        <f t="shared" si="598"/>
        <v>6.9807269472774092</v>
      </c>
      <c r="BE494" s="18">
        <f t="shared" si="598"/>
        <v>0.93057831853848161</v>
      </c>
      <c r="BF494" s="18">
        <f t="shared" si="598"/>
        <v>2.3895064936200439</v>
      </c>
      <c r="BG494" s="18">
        <f t="shared" si="598"/>
        <v>0.95366519099653191</v>
      </c>
      <c r="BH494" s="18">
        <f t="shared" si="598"/>
        <v>4.7104548473103289</v>
      </c>
      <c r="BI494" s="18">
        <f t="shared" si="598"/>
        <v>0.76859636539239584</v>
      </c>
      <c r="BJ494" s="56">
        <f t="shared" si="574"/>
        <v>6</v>
      </c>
      <c r="BL494" s="18">
        <f t="shared" si="599"/>
        <v>6.9807269472774092</v>
      </c>
      <c r="BM494" s="18">
        <f t="shared" si="599"/>
        <v>0.93057831853848161</v>
      </c>
      <c r="BN494" s="18">
        <f t="shared" si="599"/>
        <v>2.3895064936200439</v>
      </c>
      <c r="BO494" s="18">
        <f t="shared" si="599"/>
        <v>0.95366519099653191</v>
      </c>
      <c r="BP494" s="18">
        <f t="shared" si="599"/>
        <v>4.7104548473103289</v>
      </c>
      <c r="BQ494" s="18">
        <f t="shared" si="599"/>
        <v>0.76859636539239584</v>
      </c>
      <c r="BR494" s="56">
        <f t="shared" si="575"/>
        <v>6</v>
      </c>
      <c r="BT494" s="18">
        <f t="shared" si="600"/>
        <v>6.9807269472774092</v>
      </c>
      <c r="BU494" s="18">
        <f t="shared" si="600"/>
        <v>0.93057831853848161</v>
      </c>
      <c r="BV494" s="18">
        <f t="shared" si="600"/>
        <v>2.3895064936200439</v>
      </c>
      <c r="BW494" s="18">
        <f t="shared" si="600"/>
        <v>0.95366519099653191</v>
      </c>
      <c r="BX494" s="18">
        <f t="shared" si="600"/>
        <v>4.7104548473103289</v>
      </c>
      <c r="BY494" s="18">
        <f t="shared" si="600"/>
        <v>0.76859636539239584</v>
      </c>
      <c r="BZ494" s="56">
        <f t="shared" si="576"/>
        <v>6</v>
      </c>
      <c r="CB494" s="18">
        <f t="shared" si="601"/>
        <v>6.9807269472774092</v>
      </c>
      <c r="CC494" s="18">
        <f t="shared" si="601"/>
        <v>0.93057831853848161</v>
      </c>
      <c r="CD494" s="18">
        <f t="shared" si="601"/>
        <v>2.3895064936200439</v>
      </c>
      <c r="CE494" s="18">
        <f t="shared" si="601"/>
        <v>0.95366519099653191</v>
      </c>
      <c r="CF494" s="18">
        <f t="shared" si="601"/>
        <v>4.7104548473103289</v>
      </c>
      <c r="CG494" s="18">
        <f t="shared" si="601"/>
        <v>0.76859636539239584</v>
      </c>
      <c r="CH494" s="56">
        <f t="shared" si="577"/>
        <v>6</v>
      </c>
      <c r="CJ494" s="18">
        <f t="shared" si="602"/>
        <v>6.9807269472774092</v>
      </c>
      <c r="CK494" s="18">
        <f t="shared" si="602"/>
        <v>0.93057831853848161</v>
      </c>
      <c r="CL494" s="18">
        <f t="shared" si="602"/>
        <v>2.3895064936200439</v>
      </c>
      <c r="CM494" s="18">
        <f t="shared" si="602"/>
        <v>0.95366519099653191</v>
      </c>
      <c r="CN494" s="18">
        <f t="shared" si="602"/>
        <v>4.7104548473103289</v>
      </c>
      <c r="CO494" s="18">
        <f t="shared" si="602"/>
        <v>0.76859636539239584</v>
      </c>
      <c r="CP494" s="56">
        <f t="shared" si="578"/>
        <v>6</v>
      </c>
      <c r="CR494" s="18">
        <f t="shared" si="603"/>
        <v>6.9807269472774092</v>
      </c>
      <c r="CS494" s="18">
        <f t="shared" si="603"/>
        <v>0.93057831853848161</v>
      </c>
      <c r="CT494" s="18">
        <f t="shared" si="603"/>
        <v>2.3895064936200439</v>
      </c>
      <c r="CU494" s="18">
        <f t="shared" si="603"/>
        <v>0.95366519099653191</v>
      </c>
      <c r="CV494" s="18">
        <f t="shared" si="603"/>
        <v>4.7104548473103289</v>
      </c>
      <c r="CW494" s="18">
        <f t="shared" si="603"/>
        <v>0.76859636539239584</v>
      </c>
      <c r="CX494" s="56">
        <f t="shared" si="579"/>
        <v>6</v>
      </c>
      <c r="CZ494" s="18">
        <f t="shared" si="604"/>
        <v>6.9807269472774092</v>
      </c>
      <c r="DA494" s="18">
        <f t="shared" si="604"/>
        <v>0.93057831853848161</v>
      </c>
      <c r="DB494" s="18">
        <f t="shared" si="604"/>
        <v>2.3895064936200439</v>
      </c>
      <c r="DC494" s="18">
        <f t="shared" si="604"/>
        <v>0.95366519099653191</v>
      </c>
      <c r="DD494" s="18">
        <f t="shared" si="604"/>
        <v>4.7104548473103289</v>
      </c>
      <c r="DE494" s="18">
        <f t="shared" si="604"/>
        <v>0.76859636539239584</v>
      </c>
      <c r="DF494" s="56">
        <f t="shared" si="580"/>
        <v>6</v>
      </c>
      <c r="DH494" s="18">
        <f t="shared" si="605"/>
        <v>6.9807269472774092</v>
      </c>
      <c r="DI494" s="18">
        <f t="shared" si="605"/>
        <v>0.93057831853848161</v>
      </c>
      <c r="DJ494" s="18">
        <f t="shared" si="605"/>
        <v>2.3895064936200439</v>
      </c>
      <c r="DK494" s="18">
        <f t="shared" si="605"/>
        <v>0.95366519099653191</v>
      </c>
      <c r="DL494" s="18">
        <f t="shared" si="605"/>
        <v>4.7104548473103289</v>
      </c>
      <c r="DM494" s="18">
        <f t="shared" si="605"/>
        <v>0.76859636539239584</v>
      </c>
      <c r="DN494" s="56">
        <f t="shared" si="581"/>
        <v>6</v>
      </c>
    </row>
    <row r="495" spans="1:118" x14ac:dyDescent="0.25">
      <c r="A495" s="36" t="str">
        <f>KMeans_Data!A92</f>
        <v>Matiari</v>
      </c>
      <c r="B495" s="18">
        <f>KMeans_Data!H92</f>
        <v>-0.70618776706351938</v>
      </c>
      <c r="C495" s="18">
        <f>KMeans_Data!I92</f>
        <v>-0.14698313392952958</v>
      </c>
      <c r="D495" s="18">
        <f>KMeans_Data!J92</f>
        <v>0.62851349158581915</v>
      </c>
      <c r="E495" s="56">
        <f t="shared" si="568"/>
        <v>6</v>
      </c>
      <c r="F495" s="38">
        <f t="shared" si="569"/>
        <v>0.47571745110725849</v>
      </c>
      <c r="G495" s="18">
        <f>IF(COUNTIF(Distance_Matrix!$E$12:$DQ$12,$E495)&lt;=1,0,SUMIF(Distance_Matrix!$E$12:$DQ$12,$E495,Distance_Matrix!$E$101:$DQ$101)/(COUNTIF(Distance_Matrix!$E$12:$DQ$12,$E495)-1))</f>
        <v>0.94035056438780884</v>
      </c>
      <c r="H495" s="18">
        <f>MIN(IF(1=$E495,1E+99,IF(COUNTIF(Distance_Matrix!$E$12:$DQ$12,1)=0,1E+99,SUMIF(Distance_Matrix!$E$12:$DQ$12,1,Distance_Matrix!$E$101:$DQ$101)/COUNTIF(Distance_Matrix!$E$12:$DQ$12,1))),IF(2=$E495,1E+99,IF(COUNTIF(Distance_Matrix!$E$12:$DQ$12,2)=0,1E+99,SUMIF(Distance_Matrix!$E$12:$DQ$12,2,Distance_Matrix!$E$101:$DQ$101)/COUNTIF(Distance_Matrix!$E$12:$DQ$12,2))),IF(3=$E495,1E+99,IF(COUNTIF(Distance_Matrix!$E$12:$DQ$12,3)=0,1E+99,SUMIF(Distance_Matrix!$E$12:$DQ$12,3,Distance_Matrix!$E$101:$DQ$101)/COUNTIF(Distance_Matrix!$E$12:$DQ$12,3))),IF(4=$E495,1E+99,IF(COUNTIF(Distance_Matrix!$E$12:$DQ$12,4)=0,1E+99,SUMIF(Distance_Matrix!$E$12:$DQ$12,4,Distance_Matrix!$E$101:$DQ$101)/COUNTIF(Distance_Matrix!$E$12:$DQ$12,4))),IF(5=$E495,1E+99,IF(COUNTIF(Distance_Matrix!$E$12:$DQ$12,5)=0,1E+99,SUMIF(Distance_Matrix!$E$12:$DQ$12,5,Distance_Matrix!$E$101:$DQ$101)/COUNTIF(Distance_Matrix!$E$12:$DQ$12,5))),IF(6=$E495,1E+99,IF(COUNTIF(Distance_Matrix!$E$12:$DQ$12,6)=0,1E+99,SUMIF(Distance_Matrix!$E$12:$DQ$12,6,Distance_Matrix!$E$101:$DQ$101)/COUNTIF(Distance_Matrix!$E$12:$DQ$12,6))))</f>
        <v>1.841764040838022</v>
      </c>
      <c r="I495" s="18">
        <f>IF(COUNTIF(Distance_Matrix!$E$12:$DQ$12,$E495)&lt;=1,0,(H495-G495)/MAX(G495,H495))</f>
        <v>0.48942940380140149</v>
      </c>
      <c r="X495" s="18">
        <f t="shared" si="594"/>
        <v>6.3444455343865602</v>
      </c>
      <c r="Y495" s="18">
        <f t="shared" si="594"/>
        <v>2.3044742649072281</v>
      </c>
      <c r="Z495" s="18">
        <f t="shared" si="594"/>
        <v>2.0062365515196272</v>
      </c>
      <c r="AA495" s="18">
        <f t="shared" si="594"/>
        <v>2.230507321178711</v>
      </c>
      <c r="AB495" s="18">
        <f t="shared" si="594"/>
        <v>4.2929465690047417</v>
      </c>
      <c r="AC495" s="18">
        <f t="shared" si="594"/>
        <v>0</v>
      </c>
      <c r="AD495" s="56">
        <f t="shared" si="570"/>
        <v>6</v>
      </c>
      <c r="AF495" s="18">
        <f t="shared" si="595"/>
        <v>6.2636751934553176</v>
      </c>
      <c r="AG495" s="18">
        <f t="shared" si="595"/>
        <v>1.8981484946263856</v>
      </c>
      <c r="AH495" s="18">
        <f t="shared" si="595"/>
        <v>1.8036884305607113</v>
      </c>
      <c r="AI495" s="18">
        <f t="shared" si="595"/>
        <v>1.7542226544168658</v>
      </c>
      <c r="AJ495" s="18">
        <f t="shared" si="595"/>
        <v>4.048902682091275</v>
      </c>
      <c r="AK495" s="18">
        <f t="shared" si="595"/>
        <v>0.6799440519034009</v>
      </c>
      <c r="AL495" s="56">
        <f t="shared" si="571"/>
        <v>6</v>
      </c>
      <c r="AN495" s="18">
        <f t="shared" si="596"/>
        <v>6.2636751934553176</v>
      </c>
      <c r="AO495" s="18">
        <f t="shared" si="596"/>
        <v>1.8654164157688027</v>
      </c>
      <c r="AP495" s="18">
        <f t="shared" si="596"/>
        <v>1.7728664228795281</v>
      </c>
      <c r="AQ495" s="18">
        <f t="shared" si="596"/>
        <v>1.7634446718836085</v>
      </c>
      <c r="AR495" s="18">
        <f t="shared" si="596"/>
        <v>4.048902682091275</v>
      </c>
      <c r="AS495" s="18">
        <f t="shared" si="596"/>
        <v>0.69012086012328822</v>
      </c>
      <c r="AT495" s="56">
        <f t="shared" si="572"/>
        <v>6</v>
      </c>
      <c r="AV495" s="18">
        <f t="shared" si="597"/>
        <v>6.2636751934553176</v>
      </c>
      <c r="AW495" s="18">
        <f t="shared" si="597"/>
        <v>1.8362286158455106</v>
      </c>
      <c r="AX495" s="18">
        <f t="shared" si="597"/>
        <v>1.7728664228795281</v>
      </c>
      <c r="AY495" s="18">
        <f t="shared" si="597"/>
        <v>1.7634446718836085</v>
      </c>
      <c r="AZ495" s="18">
        <f t="shared" si="597"/>
        <v>4.048902682091275</v>
      </c>
      <c r="BA495" s="18">
        <f t="shared" si="597"/>
        <v>0.68814100306788062</v>
      </c>
      <c r="BB495" s="56">
        <f t="shared" si="573"/>
        <v>6</v>
      </c>
      <c r="BD495" s="18">
        <f t="shared" si="598"/>
        <v>6.2636751934553176</v>
      </c>
      <c r="BE495" s="18">
        <f t="shared" si="598"/>
        <v>1.8069310808860144</v>
      </c>
      <c r="BF495" s="18">
        <f t="shared" si="598"/>
        <v>1.7728664228795281</v>
      </c>
      <c r="BG495" s="18">
        <f t="shared" si="598"/>
        <v>1.7634446718836085</v>
      </c>
      <c r="BH495" s="18">
        <f t="shared" si="598"/>
        <v>4.048902682091275</v>
      </c>
      <c r="BI495" s="18">
        <f t="shared" si="598"/>
        <v>0.68972273495025416</v>
      </c>
      <c r="BJ495" s="56">
        <f t="shared" si="574"/>
        <v>6</v>
      </c>
      <c r="BL495" s="18">
        <f t="shared" si="599"/>
        <v>6.2636751934553176</v>
      </c>
      <c r="BM495" s="18">
        <f t="shared" si="599"/>
        <v>1.8069310808860144</v>
      </c>
      <c r="BN495" s="18">
        <f t="shared" si="599"/>
        <v>1.7728664228795281</v>
      </c>
      <c r="BO495" s="18">
        <f t="shared" si="599"/>
        <v>1.7634446718836085</v>
      </c>
      <c r="BP495" s="18">
        <f t="shared" si="599"/>
        <v>4.048902682091275</v>
      </c>
      <c r="BQ495" s="18">
        <f t="shared" si="599"/>
        <v>0.68972273495025416</v>
      </c>
      <c r="BR495" s="56">
        <f t="shared" si="575"/>
        <v>6</v>
      </c>
      <c r="BT495" s="18">
        <f t="shared" si="600"/>
        <v>6.2636751934553176</v>
      </c>
      <c r="BU495" s="18">
        <f t="shared" si="600"/>
        <v>1.8069310808860144</v>
      </c>
      <c r="BV495" s="18">
        <f t="shared" si="600"/>
        <v>1.7728664228795281</v>
      </c>
      <c r="BW495" s="18">
        <f t="shared" si="600"/>
        <v>1.7634446718836085</v>
      </c>
      <c r="BX495" s="18">
        <f t="shared" si="600"/>
        <v>4.048902682091275</v>
      </c>
      <c r="BY495" s="18">
        <f t="shared" si="600"/>
        <v>0.68972273495025416</v>
      </c>
      <c r="BZ495" s="56">
        <f t="shared" si="576"/>
        <v>6</v>
      </c>
      <c r="CB495" s="18">
        <f t="shared" si="601"/>
        <v>6.2636751934553176</v>
      </c>
      <c r="CC495" s="18">
        <f t="shared" si="601"/>
        <v>1.8069310808860144</v>
      </c>
      <c r="CD495" s="18">
        <f t="shared" si="601"/>
        <v>1.7728664228795281</v>
      </c>
      <c r="CE495" s="18">
        <f t="shared" si="601"/>
        <v>1.7634446718836085</v>
      </c>
      <c r="CF495" s="18">
        <f t="shared" si="601"/>
        <v>4.048902682091275</v>
      </c>
      <c r="CG495" s="18">
        <f t="shared" si="601"/>
        <v>0.68972273495025416</v>
      </c>
      <c r="CH495" s="56">
        <f t="shared" si="577"/>
        <v>6</v>
      </c>
      <c r="CJ495" s="18">
        <f t="shared" si="602"/>
        <v>6.2636751934553176</v>
      </c>
      <c r="CK495" s="18">
        <f t="shared" si="602"/>
        <v>1.8069310808860144</v>
      </c>
      <c r="CL495" s="18">
        <f t="shared" si="602"/>
        <v>1.7728664228795281</v>
      </c>
      <c r="CM495" s="18">
        <f t="shared" si="602"/>
        <v>1.7634446718836085</v>
      </c>
      <c r="CN495" s="18">
        <f t="shared" si="602"/>
        <v>4.048902682091275</v>
      </c>
      <c r="CO495" s="18">
        <f t="shared" si="602"/>
        <v>0.68972273495025416</v>
      </c>
      <c r="CP495" s="56">
        <f t="shared" si="578"/>
        <v>6</v>
      </c>
      <c r="CR495" s="18">
        <f t="shared" si="603"/>
        <v>6.2636751934553176</v>
      </c>
      <c r="CS495" s="18">
        <f t="shared" si="603"/>
        <v>1.8069310808860144</v>
      </c>
      <c r="CT495" s="18">
        <f t="shared" si="603"/>
        <v>1.7728664228795281</v>
      </c>
      <c r="CU495" s="18">
        <f t="shared" si="603"/>
        <v>1.7634446718836085</v>
      </c>
      <c r="CV495" s="18">
        <f t="shared" si="603"/>
        <v>4.048902682091275</v>
      </c>
      <c r="CW495" s="18">
        <f t="shared" si="603"/>
        <v>0.68972273495025416</v>
      </c>
      <c r="CX495" s="56">
        <f t="shared" si="579"/>
        <v>6</v>
      </c>
      <c r="CZ495" s="18">
        <f t="shared" si="604"/>
        <v>6.2636751934553176</v>
      </c>
      <c r="DA495" s="18">
        <f t="shared" si="604"/>
        <v>1.8069310808860144</v>
      </c>
      <c r="DB495" s="18">
        <f t="shared" si="604"/>
        <v>1.7728664228795281</v>
      </c>
      <c r="DC495" s="18">
        <f t="shared" si="604"/>
        <v>1.7634446718836085</v>
      </c>
      <c r="DD495" s="18">
        <f t="shared" si="604"/>
        <v>4.048902682091275</v>
      </c>
      <c r="DE495" s="18">
        <f t="shared" si="604"/>
        <v>0.68972273495025416</v>
      </c>
      <c r="DF495" s="56">
        <f t="shared" si="580"/>
        <v>6</v>
      </c>
      <c r="DH495" s="18">
        <f t="shared" si="605"/>
        <v>6.2636751934553176</v>
      </c>
      <c r="DI495" s="18">
        <f t="shared" si="605"/>
        <v>1.8069310808860144</v>
      </c>
      <c r="DJ495" s="18">
        <f t="shared" si="605"/>
        <v>1.7728664228795281</v>
      </c>
      <c r="DK495" s="18">
        <f t="shared" si="605"/>
        <v>1.7634446718836085</v>
      </c>
      <c r="DL495" s="18">
        <f t="shared" si="605"/>
        <v>4.048902682091275</v>
      </c>
      <c r="DM495" s="18">
        <f t="shared" si="605"/>
        <v>0.68972273495025416</v>
      </c>
      <c r="DN495" s="56">
        <f t="shared" si="581"/>
        <v>6</v>
      </c>
    </row>
    <row r="496" spans="1:118" x14ac:dyDescent="0.25">
      <c r="A496" s="36" t="str">
        <f>KMeans_Data!A93</f>
        <v>Lakki Marwat</v>
      </c>
      <c r="B496" s="18">
        <f>KMeans_Data!H93</f>
        <v>-0.74475874463319425</v>
      </c>
      <c r="C496" s="18">
        <f>KMeans_Data!I93</f>
        <v>-0.14698313392952958</v>
      </c>
      <c r="D496" s="18">
        <f>KMeans_Data!J93</f>
        <v>-0.1820498150291911</v>
      </c>
      <c r="E496" s="56">
        <f t="shared" si="568"/>
        <v>6</v>
      </c>
      <c r="F496" s="38">
        <f t="shared" si="569"/>
        <v>0.52600584674104722</v>
      </c>
      <c r="G496" s="18">
        <f>IF(COUNTIF(Distance_Matrix!$E$12:$DQ$12,$E496)&lt;=1,0,SUMIF(Distance_Matrix!$E$12:$DQ$12,$E496,Distance_Matrix!$E$102:$DQ$102)/(COUNTIF(Distance_Matrix!$E$12:$DQ$12,$E496)-1))</f>
        <v>0.92684588124524458</v>
      </c>
      <c r="H496" s="18">
        <f>MIN(IF(1=$E496,1E+99,IF(COUNTIF(Distance_Matrix!$E$12:$DQ$12,1)=0,1E+99,SUMIF(Distance_Matrix!$E$12:$DQ$12,1,Distance_Matrix!$E$102:$DQ$102)/COUNTIF(Distance_Matrix!$E$12:$DQ$12,1))),IF(2=$E496,1E+99,IF(COUNTIF(Distance_Matrix!$E$12:$DQ$12,2)=0,1E+99,SUMIF(Distance_Matrix!$E$12:$DQ$12,2,Distance_Matrix!$E$102:$DQ$102)/COUNTIF(Distance_Matrix!$E$12:$DQ$12,2))),IF(3=$E496,1E+99,IF(COUNTIF(Distance_Matrix!$E$12:$DQ$12,3)=0,1E+99,SUMIF(Distance_Matrix!$E$12:$DQ$12,3,Distance_Matrix!$E$102:$DQ$102)/COUNTIF(Distance_Matrix!$E$12:$DQ$12,3))),IF(4=$E496,1E+99,IF(COUNTIF(Distance_Matrix!$E$12:$DQ$12,4)=0,1E+99,SUMIF(Distance_Matrix!$E$12:$DQ$12,4,Distance_Matrix!$E$102:$DQ$102)/COUNTIF(Distance_Matrix!$E$12:$DQ$12,4))),IF(5=$E496,1E+99,IF(COUNTIF(Distance_Matrix!$E$12:$DQ$12,5)=0,1E+99,SUMIF(Distance_Matrix!$E$12:$DQ$12,5,Distance_Matrix!$E$102:$DQ$102)/COUNTIF(Distance_Matrix!$E$12:$DQ$12,5))),IF(6=$E496,1E+99,IF(COUNTIF(Distance_Matrix!$E$12:$DQ$12,6)=0,1E+99,SUMIF(Distance_Matrix!$E$12:$DQ$12,6,Distance_Matrix!$E$102:$DQ$102)/COUNTIF(Distance_Matrix!$E$12:$DQ$12,6))))</f>
        <v>1.1658641486395867</v>
      </c>
      <c r="I496" s="18">
        <f>IF(COUNTIF(Distance_Matrix!$E$12:$DQ$12,$E496)&lt;=1,0,(H496-G496)/MAX(G496,H496))</f>
        <v>0.20501382401478388</v>
      </c>
      <c r="X496" s="18">
        <f t="shared" si="594"/>
        <v>6.7432716431257811</v>
      </c>
      <c r="Y496" s="18">
        <f t="shared" si="594"/>
        <v>1.7282967825727553</v>
      </c>
      <c r="Z496" s="18">
        <f t="shared" si="594"/>
        <v>2.4865230223264101</v>
      </c>
      <c r="AA496" s="18">
        <f t="shared" si="594"/>
        <v>1.6916898584203452</v>
      </c>
      <c r="AB496" s="18">
        <f t="shared" si="594"/>
        <v>4.7065657284103448</v>
      </c>
      <c r="AC496" s="18">
        <f t="shared" si="594"/>
        <v>0.81148049535484179</v>
      </c>
      <c r="AD496" s="56">
        <f t="shared" si="570"/>
        <v>6</v>
      </c>
      <c r="AF496" s="18">
        <f t="shared" si="595"/>
        <v>6.6323912864965102</v>
      </c>
      <c r="AG496" s="18">
        <f t="shared" si="595"/>
        <v>1.1912551384710568</v>
      </c>
      <c r="AH496" s="18">
        <f t="shared" si="595"/>
        <v>2.1305298225562943</v>
      </c>
      <c r="AI496" s="18">
        <f t="shared" si="595"/>
        <v>1.1813565396599801</v>
      </c>
      <c r="AJ496" s="18">
        <f t="shared" si="595"/>
        <v>4.3758276126591165</v>
      </c>
      <c r="AK496" s="18">
        <f t="shared" si="595"/>
        <v>0.64354391587667237</v>
      </c>
      <c r="AL496" s="56">
        <f t="shared" si="571"/>
        <v>6</v>
      </c>
      <c r="AN496" s="18">
        <f t="shared" si="596"/>
        <v>6.6323912864965102</v>
      </c>
      <c r="AO496" s="18">
        <f t="shared" si="596"/>
        <v>1.1551451087712361</v>
      </c>
      <c r="AP496" s="18">
        <f t="shared" si="596"/>
        <v>2.0980938706393113</v>
      </c>
      <c r="AQ496" s="18">
        <f t="shared" si="596"/>
        <v>1.1908530242434525</v>
      </c>
      <c r="AR496" s="18">
        <f t="shared" si="596"/>
        <v>4.3758276126591165</v>
      </c>
      <c r="AS496" s="18">
        <f t="shared" si="596"/>
        <v>0.68398040596477405</v>
      </c>
      <c r="AT496" s="56">
        <f t="shared" si="572"/>
        <v>6</v>
      </c>
      <c r="AV496" s="18">
        <f t="shared" si="597"/>
        <v>6.6323912864965102</v>
      </c>
      <c r="AW496" s="18">
        <f t="shared" si="597"/>
        <v>1.1268554097467931</v>
      </c>
      <c r="AX496" s="18">
        <f t="shared" si="597"/>
        <v>2.0980938706393113</v>
      </c>
      <c r="AY496" s="18">
        <f t="shared" si="597"/>
        <v>1.1908530242434525</v>
      </c>
      <c r="AZ496" s="18">
        <f t="shared" si="597"/>
        <v>4.3758276126591165</v>
      </c>
      <c r="BA496" s="18">
        <f t="shared" si="597"/>
        <v>0.70398573014243992</v>
      </c>
      <c r="BB496" s="56">
        <f t="shared" si="573"/>
        <v>6</v>
      </c>
      <c r="BD496" s="18">
        <f t="shared" si="598"/>
        <v>6.6323912864965102</v>
      </c>
      <c r="BE496" s="18">
        <f t="shared" si="598"/>
        <v>1.0992158203612832</v>
      </c>
      <c r="BF496" s="18">
        <f t="shared" si="598"/>
        <v>2.0980938706393113</v>
      </c>
      <c r="BG496" s="18">
        <f t="shared" si="598"/>
        <v>1.1908530242434525</v>
      </c>
      <c r="BH496" s="18">
        <f t="shared" si="598"/>
        <v>4.3758276126591165</v>
      </c>
      <c r="BI496" s="18">
        <f t="shared" si="598"/>
        <v>0.7252626053651513</v>
      </c>
      <c r="BJ496" s="56">
        <f t="shared" si="574"/>
        <v>6</v>
      </c>
      <c r="BL496" s="18">
        <f t="shared" si="599"/>
        <v>6.6323912864965102</v>
      </c>
      <c r="BM496" s="18">
        <f t="shared" si="599"/>
        <v>1.0992158203612832</v>
      </c>
      <c r="BN496" s="18">
        <f t="shared" si="599"/>
        <v>2.0980938706393113</v>
      </c>
      <c r="BO496" s="18">
        <f t="shared" si="599"/>
        <v>1.1908530242434525</v>
      </c>
      <c r="BP496" s="18">
        <f t="shared" si="599"/>
        <v>4.3758276126591165</v>
      </c>
      <c r="BQ496" s="18">
        <f t="shared" si="599"/>
        <v>0.7252626053651513</v>
      </c>
      <c r="BR496" s="56">
        <f t="shared" si="575"/>
        <v>6</v>
      </c>
      <c r="BT496" s="18">
        <f t="shared" si="600"/>
        <v>6.6323912864965102</v>
      </c>
      <c r="BU496" s="18">
        <f t="shared" si="600"/>
        <v>1.0992158203612832</v>
      </c>
      <c r="BV496" s="18">
        <f t="shared" si="600"/>
        <v>2.0980938706393113</v>
      </c>
      <c r="BW496" s="18">
        <f t="shared" si="600"/>
        <v>1.1908530242434525</v>
      </c>
      <c r="BX496" s="18">
        <f t="shared" si="600"/>
        <v>4.3758276126591165</v>
      </c>
      <c r="BY496" s="18">
        <f t="shared" si="600"/>
        <v>0.7252626053651513</v>
      </c>
      <c r="BZ496" s="56">
        <f t="shared" si="576"/>
        <v>6</v>
      </c>
      <c r="CB496" s="18">
        <f t="shared" si="601"/>
        <v>6.6323912864965102</v>
      </c>
      <c r="CC496" s="18">
        <f t="shared" si="601"/>
        <v>1.0992158203612832</v>
      </c>
      <c r="CD496" s="18">
        <f t="shared" si="601"/>
        <v>2.0980938706393113</v>
      </c>
      <c r="CE496" s="18">
        <f t="shared" si="601"/>
        <v>1.1908530242434525</v>
      </c>
      <c r="CF496" s="18">
        <f t="shared" si="601"/>
        <v>4.3758276126591165</v>
      </c>
      <c r="CG496" s="18">
        <f t="shared" si="601"/>
        <v>0.7252626053651513</v>
      </c>
      <c r="CH496" s="56">
        <f t="shared" si="577"/>
        <v>6</v>
      </c>
      <c r="CJ496" s="18">
        <f t="shared" si="602"/>
        <v>6.6323912864965102</v>
      </c>
      <c r="CK496" s="18">
        <f t="shared" si="602"/>
        <v>1.0992158203612832</v>
      </c>
      <c r="CL496" s="18">
        <f t="shared" si="602"/>
        <v>2.0980938706393113</v>
      </c>
      <c r="CM496" s="18">
        <f t="shared" si="602"/>
        <v>1.1908530242434525</v>
      </c>
      <c r="CN496" s="18">
        <f t="shared" si="602"/>
        <v>4.3758276126591165</v>
      </c>
      <c r="CO496" s="18">
        <f t="shared" si="602"/>
        <v>0.7252626053651513</v>
      </c>
      <c r="CP496" s="56">
        <f t="shared" si="578"/>
        <v>6</v>
      </c>
      <c r="CR496" s="18">
        <f t="shared" si="603"/>
        <v>6.6323912864965102</v>
      </c>
      <c r="CS496" s="18">
        <f t="shared" si="603"/>
        <v>1.0992158203612832</v>
      </c>
      <c r="CT496" s="18">
        <f t="shared" si="603"/>
        <v>2.0980938706393113</v>
      </c>
      <c r="CU496" s="18">
        <f t="shared" si="603"/>
        <v>1.1908530242434525</v>
      </c>
      <c r="CV496" s="18">
        <f t="shared" si="603"/>
        <v>4.3758276126591165</v>
      </c>
      <c r="CW496" s="18">
        <f t="shared" si="603"/>
        <v>0.7252626053651513</v>
      </c>
      <c r="CX496" s="56">
        <f t="shared" si="579"/>
        <v>6</v>
      </c>
      <c r="CZ496" s="18">
        <f t="shared" si="604"/>
        <v>6.6323912864965102</v>
      </c>
      <c r="DA496" s="18">
        <f t="shared" si="604"/>
        <v>1.0992158203612832</v>
      </c>
      <c r="DB496" s="18">
        <f t="shared" si="604"/>
        <v>2.0980938706393113</v>
      </c>
      <c r="DC496" s="18">
        <f t="shared" si="604"/>
        <v>1.1908530242434525</v>
      </c>
      <c r="DD496" s="18">
        <f t="shared" si="604"/>
        <v>4.3758276126591165</v>
      </c>
      <c r="DE496" s="18">
        <f t="shared" si="604"/>
        <v>0.7252626053651513</v>
      </c>
      <c r="DF496" s="56">
        <f t="shared" si="580"/>
        <v>6</v>
      </c>
      <c r="DH496" s="18">
        <f t="shared" si="605"/>
        <v>6.6323912864965102</v>
      </c>
      <c r="DI496" s="18">
        <f t="shared" si="605"/>
        <v>1.0992158203612832</v>
      </c>
      <c r="DJ496" s="18">
        <f t="shared" si="605"/>
        <v>2.0980938706393113</v>
      </c>
      <c r="DK496" s="18">
        <f t="shared" si="605"/>
        <v>1.1908530242434525</v>
      </c>
      <c r="DL496" s="18">
        <f t="shared" si="605"/>
        <v>4.3758276126591165</v>
      </c>
      <c r="DM496" s="18">
        <f t="shared" si="605"/>
        <v>0.7252626053651513</v>
      </c>
      <c r="DN496" s="56">
        <f t="shared" si="581"/>
        <v>6</v>
      </c>
    </row>
    <row r="497" spans="1:118" x14ac:dyDescent="0.25">
      <c r="A497" s="36" t="str">
        <f>KMeans_Data!A94</f>
        <v>Taftan</v>
      </c>
      <c r="B497" s="18">
        <f>KMeans_Data!H94</f>
        <v>-0.74475874463319425</v>
      </c>
      <c r="C497" s="18">
        <f>KMeans_Data!I94</f>
        <v>-0.67265054538827607</v>
      </c>
      <c r="D497" s="18">
        <f>KMeans_Data!J94</f>
        <v>-1.1456441163335547</v>
      </c>
      <c r="E497" s="56">
        <f t="shared" si="568"/>
        <v>2</v>
      </c>
      <c r="F497" s="38">
        <f t="shared" si="569"/>
        <v>0.26444289209712579</v>
      </c>
      <c r="G497" s="18">
        <f>IF(COUNTIF(Distance_Matrix!$E$12:$DQ$12,$E497)&lt;=1,0,SUMIF(Distance_Matrix!$E$12:$DQ$12,$E497,Distance_Matrix!$E$103:$DQ$103)/(COUNTIF(Distance_Matrix!$E$12:$DQ$12,$E497)-1))</f>
        <v>0.63576285746188088</v>
      </c>
      <c r="H497" s="18">
        <f>MIN(IF(1=$E497,1E+99,IF(COUNTIF(Distance_Matrix!$E$12:$DQ$12,1)=0,1E+99,SUMIF(Distance_Matrix!$E$12:$DQ$12,1,Distance_Matrix!$E$103:$DQ$103)/COUNTIF(Distance_Matrix!$E$12:$DQ$12,1))),IF(2=$E497,1E+99,IF(COUNTIF(Distance_Matrix!$E$12:$DQ$12,2)=0,1E+99,SUMIF(Distance_Matrix!$E$12:$DQ$12,2,Distance_Matrix!$E$103:$DQ$103)/COUNTIF(Distance_Matrix!$E$12:$DQ$12,2))),IF(3=$E497,1E+99,IF(COUNTIF(Distance_Matrix!$E$12:$DQ$12,3)=0,1E+99,SUMIF(Distance_Matrix!$E$12:$DQ$12,3,Distance_Matrix!$E$103:$DQ$103)/COUNTIF(Distance_Matrix!$E$12:$DQ$12,3))),IF(4=$E497,1E+99,IF(COUNTIF(Distance_Matrix!$E$12:$DQ$12,4)=0,1E+99,SUMIF(Distance_Matrix!$E$12:$DQ$12,4,Distance_Matrix!$E$103:$DQ$103)/COUNTIF(Distance_Matrix!$E$12:$DQ$12,4))),IF(5=$E497,1E+99,IF(COUNTIF(Distance_Matrix!$E$12:$DQ$12,5)=0,1E+99,SUMIF(Distance_Matrix!$E$12:$DQ$12,5,Distance_Matrix!$E$103:$DQ$103)/COUNTIF(Distance_Matrix!$E$12:$DQ$12,5))),IF(6=$E497,1E+99,IF(COUNTIF(Distance_Matrix!$E$12:$DQ$12,6)=0,1E+99,SUMIF(Distance_Matrix!$E$12:$DQ$12,6,Distance_Matrix!$E$103:$DQ$103)/COUNTIF(Distance_Matrix!$E$12:$DQ$12,6))))</f>
        <v>0.9980873412716712</v>
      </c>
      <c r="I497" s="18">
        <f>IF(COUNTIF(Distance_Matrix!$E$12:$DQ$12,$E497)&lt;=1,0,(H497-G497)/MAX(G497,H497))</f>
        <v>0.36301881491468446</v>
      </c>
      <c r="X497" s="18">
        <f t="shared" si="594"/>
        <v>7.595834527091335</v>
      </c>
      <c r="Y497" s="18">
        <f t="shared" si="594"/>
        <v>1.3349792371701343</v>
      </c>
      <c r="Z497" s="18">
        <f t="shared" si="594"/>
        <v>3.3353981460163755</v>
      </c>
      <c r="AA497" s="18">
        <f t="shared" si="594"/>
        <v>1.4864813577861453</v>
      </c>
      <c r="AB497" s="18">
        <f t="shared" si="594"/>
        <v>5.5539049886384522</v>
      </c>
      <c r="AC497" s="18">
        <f t="shared" si="594"/>
        <v>1.8507969001267033</v>
      </c>
      <c r="AD497" s="56">
        <f t="shared" si="570"/>
        <v>2</v>
      </c>
      <c r="AF497" s="18">
        <f t="shared" si="595"/>
        <v>7.4648682750744397</v>
      </c>
      <c r="AG497" s="18">
        <f t="shared" si="595"/>
        <v>0.57858505999001009</v>
      </c>
      <c r="AH497" s="18">
        <f t="shared" si="595"/>
        <v>2.9923263421656436</v>
      </c>
      <c r="AI497" s="18">
        <f t="shared" si="595"/>
        <v>0.94446365555689427</v>
      </c>
      <c r="AJ497" s="18">
        <f t="shared" si="595"/>
        <v>5.1935003890049591</v>
      </c>
      <c r="AK497" s="18">
        <f t="shared" si="595"/>
        <v>1.4302714679541157</v>
      </c>
      <c r="AL497" s="56">
        <f t="shared" si="571"/>
        <v>2</v>
      </c>
      <c r="AN497" s="18">
        <f t="shared" si="596"/>
        <v>7.4648682750744397</v>
      </c>
      <c r="AO497" s="18">
        <f t="shared" si="596"/>
        <v>0.53843464669371166</v>
      </c>
      <c r="AP497" s="18">
        <f t="shared" si="596"/>
        <v>2.96256797402719</v>
      </c>
      <c r="AQ497" s="18">
        <f t="shared" si="596"/>
        <v>0.93347019726056568</v>
      </c>
      <c r="AR497" s="18">
        <f t="shared" si="596"/>
        <v>5.1935003890049591</v>
      </c>
      <c r="AS497" s="18">
        <f t="shared" si="596"/>
        <v>1.4657740137844157</v>
      </c>
      <c r="AT497" s="56">
        <f t="shared" si="572"/>
        <v>2</v>
      </c>
      <c r="AV497" s="18">
        <f t="shared" si="597"/>
        <v>7.4648682750744397</v>
      </c>
      <c r="AW497" s="18">
        <f t="shared" si="597"/>
        <v>0.52389543362446267</v>
      </c>
      <c r="AX497" s="18">
        <f t="shared" si="597"/>
        <v>2.96256797402719</v>
      </c>
      <c r="AY497" s="18">
        <f t="shared" si="597"/>
        <v>0.93347019726056568</v>
      </c>
      <c r="AZ497" s="18">
        <f t="shared" si="597"/>
        <v>5.1935003890049591</v>
      </c>
      <c r="BA497" s="18">
        <f t="shared" si="597"/>
        <v>1.49001520245463</v>
      </c>
      <c r="BB497" s="56">
        <f t="shared" si="573"/>
        <v>2</v>
      </c>
      <c r="BD497" s="18">
        <f t="shared" si="598"/>
        <v>7.4648682750744397</v>
      </c>
      <c r="BE497" s="18">
        <f t="shared" si="598"/>
        <v>0.51424011132653369</v>
      </c>
      <c r="BF497" s="18">
        <f t="shared" si="598"/>
        <v>2.96256797402719</v>
      </c>
      <c r="BG497" s="18">
        <f t="shared" si="598"/>
        <v>0.93347019726056568</v>
      </c>
      <c r="BH497" s="18">
        <f t="shared" si="598"/>
        <v>5.1935003890049591</v>
      </c>
      <c r="BI497" s="18">
        <f t="shared" si="598"/>
        <v>1.5139666594552528</v>
      </c>
      <c r="BJ497" s="56">
        <f t="shared" si="574"/>
        <v>2</v>
      </c>
      <c r="BL497" s="18">
        <f t="shared" si="599"/>
        <v>7.4648682750744397</v>
      </c>
      <c r="BM497" s="18">
        <f t="shared" si="599"/>
        <v>0.51424011132653369</v>
      </c>
      <c r="BN497" s="18">
        <f t="shared" si="599"/>
        <v>2.96256797402719</v>
      </c>
      <c r="BO497" s="18">
        <f t="shared" si="599"/>
        <v>0.93347019726056568</v>
      </c>
      <c r="BP497" s="18">
        <f t="shared" si="599"/>
        <v>5.1935003890049591</v>
      </c>
      <c r="BQ497" s="18">
        <f t="shared" si="599"/>
        <v>1.5139666594552528</v>
      </c>
      <c r="BR497" s="56">
        <f t="shared" si="575"/>
        <v>2</v>
      </c>
      <c r="BT497" s="18">
        <f t="shared" si="600"/>
        <v>7.4648682750744397</v>
      </c>
      <c r="BU497" s="18">
        <f t="shared" si="600"/>
        <v>0.51424011132653369</v>
      </c>
      <c r="BV497" s="18">
        <f t="shared" si="600"/>
        <v>2.96256797402719</v>
      </c>
      <c r="BW497" s="18">
        <f t="shared" si="600"/>
        <v>0.93347019726056568</v>
      </c>
      <c r="BX497" s="18">
        <f t="shared" si="600"/>
        <v>5.1935003890049591</v>
      </c>
      <c r="BY497" s="18">
        <f t="shared" si="600"/>
        <v>1.5139666594552528</v>
      </c>
      <c r="BZ497" s="56">
        <f t="shared" si="576"/>
        <v>2</v>
      </c>
      <c r="CB497" s="18">
        <f t="shared" si="601"/>
        <v>7.4648682750744397</v>
      </c>
      <c r="CC497" s="18">
        <f t="shared" si="601"/>
        <v>0.51424011132653369</v>
      </c>
      <c r="CD497" s="18">
        <f t="shared" si="601"/>
        <v>2.96256797402719</v>
      </c>
      <c r="CE497" s="18">
        <f t="shared" si="601"/>
        <v>0.93347019726056568</v>
      </c>
      <c r="CF497" s="18">
        <f t="shared" si="601"/>
        <v>5.1935003890049591</v>
      </c>
      <c r="CG497" s="18">
        <f t="shared" si="601"/>
        <v>1.5139666594552528</v>
      </c>
      <c r="CH497" s="56">
        <f t="shared" si="577"/>
        <v>2</v>
      </c>
      <c r="CJ497" s="18">
        <f t="shared" si="602"/>
        <v>7.4648682750744397</v>
      </c>
      <c r="CK497" s="18">
        <f t="shared" si="602"/>
        <v>0.51424011132653369</v>
      </c>
      <c r="CL497" s="18">
        <f t="shared" si="602"/>
        <v>2.96256797402719</v>
      </c>
      <c r="CM497" s="18">
        <f t="shared" si="602"/>
        <v>0.93347019726056568</v>
      </c>
      <c r="CN497" s="18">
        <f t="shared" si="602"/>
        <v>5.1935003890049591</v>
      </c>
      <c r="CO497" s="18">
        <f t="shared" si="602"/>
        <v>1.5139666594552528</v>
      </c>
      <c r="CP497" s="56">
        <f t="shared" si="578"/>
        <v>2</v>
      </c>
      <c r="CR497" s="18">
        <f t="shared" si="603"/>
        <v>7.4648682750744397</v>
      </c>
      <c r="CS497" s="18">
        <f t="shared" si="603"/>
        <v>0.51424011132653369</v>
      </c>
      <c r="CT497" s="18">
        <f t="shared" si="603"/>
        <v>2.96256797402719</v>
      </c>
      <c r="CU497" s="18">
        <f t="shared" si="603"/>
        <v>0.93347019726056568</v>
      </c>
      <c r="CV497" s="18">
        <f t="shared" si="603"/>
        <v>5.1935003890049591</v>
      </c>
      <c r="CW497" s="18">
        <f t="shared" si="603"/>
        <v>1.5139666594552528</v>
      </c>
      <c r="CX497" s="56">
        <f t="shared" si="579"/>
        <v>2</v>
      </c>
      <c r="CZ497" s="18">
        <f t="shared" si="604"/>
        <v>7.4648682750744397</v>
      </c>
      <c r="DA497" s="18">
        <f t="shared" si="604"/>
        <v>0.51424011132653369</v>
      </c>
      <c r="DB497" s="18">
        <f t="shared" si="604"/>
        <v>2.96256797402719</v>
      </c>
      <c r="DC497" s="18">
        <f t="shared" si="604"/>
        <v>0.93347019726056568</v>
      </c>
      <c r="DD497" s="18">
        <f t="shared" si="604"/>
        <v>5.1935003890049591</v>
      </c>
      <c r="DE497" s="18">
        <f t="shared" si="604"/>
        <v>1.5139666594552528</v>
      </c>
      <c r="DF497" s="56">
        <f t="shared" si="580"/>
        <v>2</v>
      </c>
      <c r="DH497" s="18">
        <f t="shared" si="605"/>
        <v>7.4648682750744397</v>
      </c>
      <c r="DI497" s="18">
        <f t="shared" si="605"/>
        <v>0.51424011132653369</v>
      </c>
      <c r="DJ497" s="18">
        <f t="shared" si="605"/>
        <v>2.96256797402719</v>
      </c>
      <c r="DK497" s="18">
        <f t="shared" si="605"/>
        <v>0.93347019726056568</v>
      </c>
      <c r="DL497" s="18">
        <f t="shared" si="605"/>
        <v>5.1935003890049591</v>
      </c>
      <c r="DM497" s="18">
        <f t="shared" si="605"/>
        <v>1.5139666594552528</v>
      </c>
      <c r="DN497" s="56">
        <f t="shared" si="581"/>
        <v>2</v>
      </c>
    </row>
    <row r="498" spans="1:118" x14ac:dyDescent="0.25">
      <c r="A498" s="36" t="str">
        <f>KMeans_Data!A95</f>
        <v>Orakzai</v>
      </c>
      <c r="B498" s="18">
        <f>KMeans_Data!H95</f>
        <v>-0.78641857410320049</v>
      </c>
      <c r="C498" s="18">
        <f>KMeans_Data!I95</f>
        <v>-0.67265054538827607</v>
      </c>
      <c r="D498" s="18">
        <f>KMeans_Data!J95</f>
        <v>-0.39984522290956798</v>
      </c>
      <c r="E498" s="56">
        <f t="shared" si="568"/>
        <v>2</v>
      </c>
      <c r="F498" s="38">
        <f t="shared" si="569"/>
        <v>0.59468950412036725</v>
      </c>
      <c r="G498" s="18">
        <f>IF(COUNTIF(Distance_Matrix!$E$12:$DQ$12,$E498)&lt;=1,0,SUMIF(Distance_Matrix!$E$12:$DQ$12,$E498,Distance_Matrix!$E$104:$DQ$104)/(COUNTIF(Distance_Matrix!$E$12:$DQ$12,$E498)-1))</f>
        <v>0.87351510402810661</v>
      </c>
      <c r="H498" s="18">
        <f>MIN(IF(1=$E498,1E+99,IF(COUNTIF(Distance_Matrix!$E$12:$DQ$12,1)=0,1E+99,SUMIF(Distance_Matrix!$E$12:$DQ$12,1,Distance_Matrix!$E$104:$DQ$104)/COUNTIF(Distance_Matrix!$E$12:$DQ$12,1))),IF(2=$E498,1E+99,IF(COUNTIF(Distance_Matrix!$E$12:$DQ$12,2)=0,1E+99,SUMIF(Distance_Matrix!$E$12:$DQ$12,2,Distance_Matrix!$E$104:$DQ$104)/COUNTIF(Distance_Matrix!$E$12:$DQ$12,2))),IF(3=$E498,1E+99,IF(COUNTIF(Distance_Matrix!$E$12:$DQ$12,3)=0,1E+99,SUMIF(Distance_Matrix!$E$12:$DQ$12,3,Distance_Matrix!$E$104:$DQ$104)/COUNTIF(Distance_Matrix!$E$12:$DQ$12,3))),IF(4=$E498,1E+99,IF(COUNTIF(Distance_Matrix!$E$12:$DQ$12,4)=0,1E+99,SUMIF(Distance_Matrix!$E$12:$DQ$12,4,Distance_Matrix!$E$104:$DQ$104)/COUNTIF(Distance_Matrix!$E$12:$DQ$12,4))),IF(5=$E498,1E+99,IF(COUNTIF(Distance_Matrix!$E$12:$DQ$12,5)=0,1E+99,SUMIF(Distance_Matrix!$E$12:$DQ$12,5,Distance_Matrix!$E$104:$DQ$104)/COUNTIF(Distance_Matrix!$E$12:$DQ$12,5))),IF(6=$E498,1E+99,IF(COUNTIF(Distance_Matrix!$E$12:$DQ$12,6)=0,1E+99,SUMIF(Distance_Matrix!$E$12:$DQ$12,6,Distance_Matrix!$E$104:$DQ$104)/COUNTIF(Distance_Matrix!$E$12:$DQ$12,6))))</f>
        <v>1.0186210748862863</v>
      </c>
      <c r="I498" s="18">
        <f>IF(COUNTIF(Distance_Matrix!$E$12:$DQ$12,$E498)&lt;=1,0,(H498-G498)/MAX(G498,H498))</f>
        <v>0.14245333660937515</v>
      </c>
      <c r="X498" s="18">
        <f t="shared" ref="X498:AC507" si="606">SQRT(($B498-X$401)^2+($C498-X$402)^2+($D498-X$403)^2)</f>
        <v>7.2131090036106817</v>
      </c>
      <c r="Y498" s="18">
        <f t="shared" si="606"/>
        <v>1.4929471121798834</v>
      </c>
      <c r="Z498" s="18">
        <f t="shared" si="606"/>
        <v>2.8158876730251468</v>
      </c>
      <c r="AA498" s="18">
        <f t="shared" si="606"/>
        <v>1.6980661534517425</v>
      </c>
      <c r="AB498" s="18">
        <f t="shared" si="606"/>
        <v>5.1395949888301109</v>
      </c>
      <c r="AC498" s="18">
        <f t="shared" si="606"/>
        <v>1.1577067225971278</v>
      </c>
      <c r="AD498" s="56">
        <f t="shared" si="570"/>
        <v>6</v>
      </c>
      <c r="AF498" s="18">
        <f t="shared" ref="AF498:AK507" si="607">SQRT(($B498-AF$401)^2+($C498-AF$402)^2+($D498-AF$403)^2)</f>
        <v>7.1050853199929325</v>
      </c>
      <c r="AG498" s="18">
        <f t="shared" si="607"/>
        <v>0.87752333123698711</v>
      </c>
      <c r="AH498" s="18">
        <f t="shared" si="607"/>
        <v>2.5533092851736385</v>
      </c>
      <c r="AI498" s="18">
        <f t="shared" si="607"/>
        <v>1.0446112305719235</v>
      </c>
      <c r="AJ498" s="18">
        <f t="shared" si="607"/>
        <v>4.8364233463456987</v>
      </c>
      <c r="AK498" s="18">
        <f t="shared" si="607"/>
        <v>0.82390723120100684</v>
      </c>
      <c r="AL498" s="56">
        <f t="shared" si="571"/>
        <v>6</v>
      </c>
      <c r="AN498" s="18">
        <f t="shared" ref="AN498:AS507" si="608">SQRT(($B498-AN$401)^2+($C498-AN$402)^2+($D498-AN$403)^2)</f>
        <v>7.1050853199929325</v>
      </c>
      <c r="AO498" s="18">
        <f t="shared" si="608"/>
        <v>0.83450945935170928</v>
      </c>
      <c r="AP498" s="18">
        <f t="shared" si="608"/>
        <v>2.5224348855373693</v>
      </c>
      <c r="AQ498" s="18">
        <f t="shared" si="608"/>
        <v>1.0386609195052152</v>
      </c>
      <c r="AR498" s="18">
        <f t="shared" si="608"/>
        <v>4.8364233463456987</v>
      </c>
      <c r="AS498" s="18">
        <f t="shared" si="608"/>
        <v>0.86672090860014306</v>
      </c>
      <c r="AT498" s="56">
        <f t="shared" si="572"/>
        <v>2</v>
      </c>
      <c r="AV498" s="18">
        <f t="shared" ref="AV498:BA507" si="609">SQRT(($B498-AV$401)^2+($C498-AV$402)^2+($D498-AV$403)^2)</f>
        <v>7.1050853199929325</v>
      </c>
      <c r="AW498" s="18">
        <f t="shared" si="609"/>
        <v>0.80241294168433575</v>
      </c>
      <c r="AX498" s="18">
        <f t="shared" si="609"/>
        <v>2.5224348855373693</v>
      </c>
      <c r="AY498" s="18">
        <f t="shared" si="609"/>
        <v>1.0386609195052152</v>
      </c>
      <c r="AZ498" s="18">
        <f t="shared" si="609"/>
        <v>4.8364233463456987</v>
      </c>
      <c r="BA498" s="18">
        <f t="shared" si="609"/>
        <v>0.89298517855772297</v>
      </c>
      <c r="BB498" s="56">
        <f t="shared" si="573"/>
        <v>2</v>
      </c>
      <c r="BD498" s="18">
        <f t="shared" ref="BD498:BI507" si="610">SQRT(($B498-BD$401)^2+($C498-BD$402)^2+($D498-BD$403)^2)</f>
        <v>7.1050853199929325</v>
      </c>
      <c r="BE498" s="18">
        <f t="shared" si="610"/>
        <v>0.77116114017782766</v>
      </c>
      <c r="BF498" s="18">
        <f t="shared" si="610"/>
        <v>2.5224348855373693</v>
      </c>
      <c r="BG498" s="18">
        <f t="shared" si="610"/>
        <v>1.0386609195052152</v>
      </c>
      <c r="BH498" s="18">
        <f t="shared" si="610"/>
        <v>4.8364233463456987</v>
      </c>
      <c r="BI498" s="18">
        <f t="shared" si="610"/>
        <v>0.92000227722964512</v>
      </c>
      <c r="BJ498" s="56">
        <f t="shared" si="574"/>
        <v>2</v>
      </c>
      <c r="BL498" s="18">
        <f t="shared" ref="BL498:BQ507" si="611">SQRT(($B498-BL$401)^2+($C498-BL$402)^2+($D498-BL$403)^2)</f>
        <v>7.1050853199929325</v>
      </c>
      <c r="BM498" s="18">
        <f t="shared" si="611"/>
        <v>0.77116114017782766</v>
      </c>
      <c r="BN498" s="18">
        <f t="shared" si="611"/>
        <v>2.5224348855373693</v>
      </c>
      <c r="BO498" s="18">
        <f t="shared" si="611"/>
        <v>1.0386609195052152</v>
      </c>
      <c r="BP498" s="18">
        <f t="shared" si="611"/>
        <v>4.8364233463456987</v>
      </c>
      <c r="BQ498" s="18">
        <f t="shared" si="611"/>
        <v>0.92000227722964512</v>
      </c>
      <c r="BR498" s="56">
        <f t="shared" si="575"/>
        <v>2</v>
      </c>
      <c r="BT498" s="18">
        <f t="shared" ref="BT498:BY507" si="612">SQRT(($B498-BT$401)^2+($C498-BT$402)^2+($D498-BT$403)^2)</f>
        <v>7.1050853199929325</v>
      </c>
      <c r="BU498" s="18">
        <f t="shared" si="612"/>
        <v>0.77116114017782766</v>
      </c>
      <c r="BV498" s="18">
        <f t="shared" si="612"/>
        <v>2.5224348855373693</v>
      </c>
      <c r="BW498" s="18">
        <f t="shared" si="612"/>
        <v>1.0386609195052152</v>
      </c>
      <c r="BX498" s="18">
        <f t="shared" si="612"/>
        <v>4.8364233463456987</v>
      </c>
      <c r="BY498" s="18">
        <f t="shared" si="612"/>
        <v>0.92000227722964512</v>
      </c>
      <c r="BZ498" s="56">
        <f t="shared" si="576"/>
        <v>2</v>
      </c>
      <c r="CB498" s="18">
        <f t="shared" ref="CB498:CG507" si="613">SQRT(($B498-CB$401)^2+($C498-CB$402)^2+($D498-CB$403)^2)</f>
        <v>7.1050853199929325</v>
      </c>
      <c r="CC498" s="18">
        <f t="shared" si="613"/>
        <v>0.77116114017782766</v>
      </c>
      <c r="CD498" s="18">
        <f t="shared" si="613"/>
        <v>2.5224348855373693</v>
      </c>
      <c r="CE498" s="18">
        <f t="shared" si="613"/>
        <v>1.0386609195052152</v>
      </c>
      <c r="CF498" s="18">
        <f t="shared" si="613"/>
        <v>4.8364233463456987</v>
      </c>
      <c r="CG498" s="18">
        <f t="shared" si="613"/>
        <v>0.92000227722964512</v>
      </c>
      <c r="CH498" s="56">
        <f t="shared" si="577"/>
        <v>2</v>
      </c>
      <c r="CJ498" s="18">
        <f t="shared" ref="CJ498:CO507" si="614">SQRT(($B498-CJ$401)^2+($C498-CJ$402)^2+($D498-CJ$403)^2)</f>
        <v>7.1050853199929325</v>
      </c>
      <c r="CK498" s="18">
        <f t="shared" si="614"/>
        <v>0.77116114017782766</v>
      </c>
      <c r="CL498" s="18">
        <f t="shared" si="614"/>
        <v>2.5224348855373693</v>
      </c>
      <c r="CM498" s="18">
        <f t="shared" si="614"/>
        <v>1.0386609195052152</v>
      </c>
      <c r="CN498" s="18">
        <f t="shared" si="614"/>
        <v>4.8364233463456987</v>
      </c>
      <c r="CO498" s="18">
        <f t="shared" si="614"/>
        <v>0.92000227722964512</v>
      </c>
      <c r="CP498" s="56">
        <f t="shared" si="578"/>
        <v>2</v>
      </c>
      <c r="CR498" s="18">
        <f t="shared" ref="CR498:CW507" si="615">SQRT(($B498-CR$401)^2+($C498-CR$402)^2+($D498-CR$403)^2)</f>
        <v>7.1050853199929325</v>
      </c>
      <c r="CS498" s="18">
        <f t="shared" si="615"/>
        <v>0.77116114017782766</v>
      </c>
      <c r="CT498" s="18">
        <f t="shared" si="615"/>
        <v>2.5224348855373693</v>
      </c>
      <c r="CU498" s="18">
        <f t="shared" si="615"/>
        <v>1.0386609195052152</v>
      </c>
      <c r="CV498" s="18">
        <f t="shared" si="615"/>
        <v>4.8364233463456987</v>
      </c>
      <c r="CW498" s="18">
        <f t="shared" si="615"/>
        <v>0.92000227722964512</v>
      </c>
      <c r="CX498" s="56">
        <f t="shared" si="579"/>
        <v>2</v>
      </c>
      <c r="CZ498" s="18">
        <f t="shared" ref="CZ498:DE507" si="616">SQRT(($B498-CZ$401)^2+($C498-CZ$402)^2+($D498-CZ$403)^2)</f>
        <v>7.1050853199929325</v>
      </c>
      <c r="DA498" s="18">
        <f t="shared" si="616"/>
        <v>0.77116114017782766</v>
      </c>
      <c r="DB498" s="18">
        <f t="shared" si="616"/>
        <v>2.5224348855373693</v>
      </c>
      <c r="DC498" s="18">
        <f t="shared" si="616"/>
        <v>1.0386609195052152</v>
      </c>
      <c r="DD498" s="18">
        <f t="shared" si="616"/>
        <v>4.8364233463456987</v>
      </c>
      <c r="DE498" s="18">
        <f t="shared" si="616"/>
        <v>0.92000227722964512</v>
      </c>
      <c r="DF498" s="56">
        <f t="shared" si="580"/>
        <v>2</v>
      </c>
      <c r="DH498" s="18">
        <f t="shared" ref="DH498:DM507" si="617">SQRT(($B498-DH$401)^2+($C498-DH$402)^2+($D498-DH$403)^2)</f>
        <v>7.1050853199929325</v>
      </c>
      <c r="DI498" s="18">
        <f t="shared" si="617"/>
        <v>0.77116114017782766</v>
      </c>
      <c r="DJ498" s="18">
        <f t="shared" si="617"/>
        <v>2.5224348855373693</v>
      </c>
      <c r="DK498" s="18">
        <f t="shared" si="617"/>
        <v>1.0386609195052152</v>
      </c>
      <c r="DL498" s="18">
        <f t="shared" si="617"/>
        <v>4.8364233463456987</v>
      </c>
      <c r="DM498" s="18">
        <f t="shared" si="617"/>
        <v>0.92000227722964512</v>
      </c>
      <c r="DN498" s="56">
        <f t="shared" si="581"/>
        <v>2</v>
      </c>
    </row>
    <row r="499" spans="1:118" x14ac:dyDescent="0.25">
      <c r="A499" s="36" t="str">
        <f>KMeans_Data!A96</f>
        <v>North Waziristan</v>
      </c>
      <c r="B499" s="18">
        <f>KMeans_Data!H96</f>
        <v>-0.8317053870146639</v>
      </c>
      <c r="C499" s="18">
        <f>KMeans_Data!I96</f>
        <v>-0.67265054538827607</v>
      </c>
      <c r="D499" s="18">
        <f>KMeans_Data!J96</f>
        <v>-0.31535907140676028</v>
      </c>
      <c r="E499" s="56">
        <f t="shared" si="568"/>
        <v>2</v>
      </c>
      <c r="F499" s="38">
        <f t="shared" si="569"/>
        <v>0.66743150501420645</v>
      </c>
      <c r="G499" s="18">
        <f>IF(COUNTIF(Distance_Matrix!$E$12:$DQ$12,$E499)&lt;=1,0,SUMIF(Distance_Matrix!$E$12:$DQ$12,$E499,Distance_Matrix!$E$105:$DQ$105)/(COUNTIF(Distance_Matrix!$E$12:$DQ$12,$E499)-1))</f>
        <v>0.91897657999934301</v>
      </c>
      <c r="H499" s="18">
        <f>MIN(IF(1=$E499,1E+99,IF(COUNTIF(Distance_Matrix!$E$12:$DQ$12,1)=0,1E+99,SUMIF(Distance_Matrix!$E$12:$DQ$12,1,Distance_Matrix!$E$105:$DQ$105)/COUNTIF(Distance_Matrix!$E$12:$DQ$12,1))),IF(2=$E499,1E+99,IF(COUNTIF(Distance_Matrix!$E$12:$DQ$12,2)=0,1E+99,SUMIF(Distance_Matrix!$E$12:$DQ$12,2,Distance_Matrix!$E$105:$DQ$105)/COUNTIF(Distance_Matrix!$E$12:$DQ$12,2))),IF(3=$E499,1E+99,IF(COUNTIF(Distance_Matrix!$E$12:$DQ$12,3)=0,1E+99,SUMIF(Distance_Matrix!$E$12:$DQ$12,3,Distance_Matrix!$E$105:$DQ$105)/COUNTIF(Distance_Matrix!$E$12:$DQ$12,3))),IF(4=$E499,1E+99,IF(COUNTIF(Distance_Matrix!$E$12:$DQ$12,4)=0,1E+99,SUMIF(Distance_Matrix!$E$12:$DQ$12,4,Distance_Matrix!$E$105:$DQ$105)/COUNTIF(Distance_Matrix!$E$12:$DQ$12,4))),IF(5=$E499,1E+99,IF(COUNTIF(Distance_Matrix!$E$12:$DQ$12,5)=0,1E+99,SUMIF(Distance_Matrix!$E$12:$DQ$12,5,Distance_Matrix!$E$105:$DQ$105)/COUNTIF(Distance_Matrix!$E$12:$DQ$12,5))),IF(6=$E499,1E+99,IF(COUNTIF(Distance_Matrix!$E$12:$DQ$12,6)=0,1E+99,SUMIF(Distance_Matrix!$E$12:$DQ$12,6,Distance_Matrix!$E$105:$DQ$105)/COUNTIF(Distance_Matrix!$E$12:$DQ$12,6))))</f>
        <v>0.99966527168279584</v>
      </c>
      <c r="I499" s="18">
        <f>IF(COUNTIF(Distance_Matrix!$E$12:$DQ$12,$E499)&lt;=1,0,(H499-G499)/MAX(G499,H499))</f>
        <v>8.0715709517071424E-2</v>
      </c>
      <c r="X499" s="18">
        <f t="shared" si="606"/>
        <v>7.1964396719425361</v>
      </c>
      <c r="Y499" s="18">
        <f t="shared" si="606"/>
        <v>1.4989858616691543</v>
      </c>
      <c r="Z499" s="18">
        <f t="shared" si="606"/>
        <v>2.7906228532659427</v>
      </c>
      <c r="AA499" s="18">
        <f t="shared" si="606"/>
        <v>1.7743580684314197</v>
      </c>
      <c r="AB499" s="18">
        <f t="shared" si="606"/>
        <v>5.1226549086321391</v>
      </c>
      <c r="AC499" s="18">
        <f t="shared" si="606"/>
        <v>1.0876471466234441</v>
      </c>
      <c r="AD499" s="56">
        <f t="shared" si="570"/>
        <v>6</v>
      </c>
      <c r="AF499" s="18">
        <f t="shared" si="607"/>
        <v>7.0914941176067341</v>
      </c>
      <c r="AG499" s="18">
        <f t="shared" si="607"/>
        <v>0.9210875045504624</v>
      </c>
      <c r="AH499" s="18">
        <f t="shared" si="607"/>
        <v>2.5381612263728215</v>
      </c>
      <c r="AI499" s="18">
        <f t="shared" si="607"/>
        <v>1.1232311281652971</v>
      </c>
      <c r="AJ499" s="18">
        <f t="shared" si="607"/>
        <v>4.8261106283933906</v>
      </c>
      <c r="AK499" s="18">
        <f t="shared" si="607"/>
        <v>0.79918428128703278</v>
      </c>
      <c r="AL499" s="56">
        <f t="shared" si="571"/>
        <v>6</v>
      </c>
      <c r="AN499" s="18">
        <f t="shared" si="608"/>
        <v>7.0914941176067341</v>
      </c>
      <c r="AO499" s="18">
        <f t="shared" si="608"/>
        <v>0.88032232660135823</v>
      </c>
      <c r="AP499" s="18">
        <f t="shared" si="608"/>
        <v>2.5071151325364518</v>
      </c>
      <c r="AQ499" s="18">
        <f t="shared" si="608"/>
        <v>1.1179124556652733</v>
      </c>
      <c r="AR499" s="18">
        <f t="shared" si="608"/>
        <v>4.8261106283933906</v>
      </c>
      <c r="AS499" s="18">
        <f t="shared" si="608"/>
        <v>0.84312028244062853</v>
      </c>
      <c r="AT499" s="56">
        <f t="shared" si="572"/>
        <v>6</v>
      </c>
      <c r="AV499" s="18">
        <f t="shared" si="609"/>
        <v>7.0914941176067341</v>
      </c>
      <c r="AW499" s="18">
        <f t="shared" si="609"/>
        <v>0.84838653615369142</v>
      </c>
      <c r="AX499" s="18">
        <f t="shared" si="609"/>
        <v>2.5071151325364518</v>
      </c>
      <c r="AY499" s="18">
        <f t="shared" si="609"/>
        <v>1.1179124556652733</v>
      </c>
      <c r="AZ499" s="18">
        <f t="shared" si="609"/>
        <v>4.8261106283933906</v>
      </c>
      <c r="BA499" s="18">
        <f t="shared" si="609"/>
        <v>0.86923410527716161</v>
      </c>
      <c r="BB499" s="56">
        <f t="shared" si="573"/>
        <v>2</v>
      </c>
      <c r="BD499" s="18">
        <f t="shared" si="610"/>
        <v>7.0914941176067341</v>
      </c>
      <c r="BE499" s="18">
        <f t="shared" si="610"/>
        <v>0.81696481259244358</v>
      </c>
      <c r="BF499" s="18">
        <f t="shared" si="610"/>
        <v>2.5071151325364518</v>
      </c>
      <c r="BG499" s="18">
        <f t="shared" si="610"/>
        <v>1.1179124556652733</v>
      </c>
      <c r="BH499" s="18">
        <f t="shared" si="610"/>
        <v>4.8261106283933906</v>
      </c>
      <c r="BI499" s="18">
        <f t="shared" si="610"/>
        <v>0.89639767106707302</v>
      </c>
      <c r="BJ499" s="56">
        <f t="shared" si="574"/>
        <v>2</v>
      </c>
      <c r="BL499" s="18">
        <f t="shared" si="611"/>
        <v>7.0914941176067341</v>
      </c>
      <c r="BM499" s="18">
        <f t="shared" si="611"/>
        <v>0.81696481259244358</v>
      </c>
      <c r="BN499" s="18">
        <f t="shared" si="611"/>
        <v>2.5071151325364518</v>
      </c>
      <c r="BO499" s="18">
        <f t="shared" si="611"/>
        <v>1.1179124556652733</v>
      </c>
      <c r="BP499" s="18">
        <f t="shared" si="611"/>
        <v>4.8261106283933906</v>
      </c>
      <c r="BQ499" s="18">
        <f t="shared" si="611"/>
        <v>0.89639767106707302</v>
      </c>
      <c r="BR499" s="56">
        <f t="shared" si="575"/>
        <v>2</v>
      </c>
      <c r="BT499" s="18">
        <f t="shared" si="612"/>
        <v>7.0914941176067341</v>
      </c>
      <c r="BU499" s="18">
        <f t="shared" si="612"/>
        <v>0.81696481259244358</v>
      </c>
      <c r="BV499" s="18">
        <f t="shared" si="612"/>
        <v>2.5071151325364518</v>
      </c>
      <c r="BW499" s="18">
        <f t="shared" si="612"/>
        <v>1.1179124556652733</v>
      </c>
      <c r="BX499" s="18">
        <f t="shared" si="612"/>
        <v>4.8261106283933906</v>
      </c>
      <c r="BY499" s="18">
        <f t="shared" si="612"/>
        <v>0.89639767106707302</v>
      </c>
      <c r="BZ499" s="56">
        <f t="shared" si="576"/>
        <v>2</v>
      </c>
      <c r="CB499" s="18">
        <f t="shared" si="613"/>
        <v>7.0914941176067341</v>
      </c>
      <c r="CC499" s="18">
        <f t="shared" si="613"/>
        <v>0.81696481259244358</v>
      </c>
      <c r="CD499" s="18">
        <f t="shared" si="613"/>
        <v>2.5071151325364518</v>
      </c>
      <c r="CE499" s="18">
        <f t="shared" si="613"/>
        <v>1.1179124556652733</v>
      </c>
      <c r="CF499" s="18">
        <f t="shared" si="613"/>
        <v>4.8261106283933906</v>
      </c>
      <c r="CG499" s="18">
        <f t="shared" si="613"/>
        <v>0.89639767106707302</v>
      </c>
      <c r="CH499" s="56">
        <f t="shared" si="577"/>
        <v>2</v>
      </c>
      <c r="CJ499" s="18">
        <f t="shared" si="614"/>
        <v>7.0914941176067341</v>
      </c>
      <c r="CK499" s="18">
        <f t="shared" si="614"/>
        <v>0.81696481259244358</v>
      </c>
      <c r="CL499" s="18">
        <f t="shared" si="614"/>
        <v>2.5071151325364518</v>
      </c>
      <c r="CM499" s="18">
        <f t="shared" si="614"/>
        <v>1.1179124556652733</v>
      </c>
      <c r="CN499" s="18">
        <f t="shared" si="614"/>
        <v>4.8261106283933906</v>
      </c>
      <c r="CO499" s="18">
        <f t="shared" si="614"/>
        <v>0.89639767106707302</v>
      </c>
      <c r="CP499" s="56">
        <f t="shared" si="578"/>
        <v>2</v>
      </c>
      <c r="CR499" s="18">
        <f t="shared" si="615"/>
        <v>7.0914941176067341</v>
      </c>
      <c r="CS499" s="18">
        <f t="shared" si="615"/>
        <v>0.81696481259244358</v>
      </c>
      <c r="CT499" s="18">
        <f t="shared" si="615"/>
        <v>2.5071151325364518</v>
      </c>
      <c r="CU499" s="18">
        <f t="shared" si="615"/>
        <v>1.1179124556652733</v>
      </c>
      <c r="CV499" s="18">
        <f t="shared" si="615"/>
        <v>4.8261106283933906</v>
      </c>
      <c r="CW499" s="18">
        <f t="shared" si="615"/>
        <v>0.89639767106707302</v>
      </c>
      <c r="CX499" s="56">
        <f t="shared" si="579"/>
        <v>2</v>
      </c>
      <c r="CZ499" s="18">
        <f t="shared" si="616"/>
        <v>7.0914941176067341</v>
      </c>
      <c r="DA499" s="18">
        <f t="shared" si="616"/>
        <v>0.81696481259244358</v>
      </c>
      <c r="DB499" s="18">
        <f t="shared" si="616"/>
        <v>2.5071151325364518</v>
      </c>
      <c r="DC499" s="18">
        <f t="shared" si="616"/>
        <v>1.1179124556652733</v>
      </c>
      <c r="DD499" s="18">
        <f t="shared" si="616"/>
        <v>4.8261106283933906</v>
      </c>
      <c r="DE499" s="18">
        <f t="shared" si="616"/>
        <v>0.89639767106707302</v>
      </c>
      <c r="DF499" s="56">
        <f t="shared" si="580"/>
        <v>2</v>
      </c>
      <c r="DH499" s="18">
        <f t="shared" si="617"/>
        <v>7.0914941176067341</v>
      </c>
      <c r="DI499" s="18">
        <f t="shared" si="617"/>
        <v>0.81696481259244358</v>
      </c>
      <c r="DJ499" s="18">
        <f t="shared" si="617"/>
        <v>2.5071151325364518</v>
      </c>
      <c r="DK499" s="18">
        <f t="shared" si="617"/>
        <v>1.1179124556652733</v>
      </c>
      <c r="DL499" s="18">
        <f t="shared" si="617"/>
        <v>4.8261106283933906</v>
      </c>
      <c r="DM499" s="18">
        <f t="shared" si="617"/>
        <v>0.89639767106707302</v>
      </c>
      <c r="DN499" s="56">
        <f t="shared" si="581"/>
        <v>2</v>
      </c>
    </row>
    <row r="500" spans="1:118" x14ac:dyDescent="0.25">
      <c r="A500" s="36" t="str">
        <f>KMeans_Data!A97</f>
        <v>Kasur</v>
      </c>
      <c r="B500" s="18">
        <f>KMeans_Data!H97</f>
        <v>-0.8317053870146639</v>
      </c>
      <c r="C500" s="18">
        <f>KMeans_Data!I97</f>
        <v>-0.67265054538827607</v>
      </c>
      <c r="D500" s="18">
        <f>KMeans_Data!J97</f>
        <v>-1.1456441163335547</v>
      </c>
      <c r="E500" s="56">
        <f t="shared" si="568"/>
        <v>2</v>
      </c>
      <c r="F500" s="38">
        <f t="shared" si="569"/>
        <v>0.18531973934369292</v>
      </c>
      <c r="G500" s="18">
        <f>IF(COUNTIF(Distance_Matrix!$E$12:$DQ$12,$E500)&lt;=1,0,SUMIF(Distance_Matrix!$E$12:$DQ$12,$E500,Distance_Matrix!$E$106:$DQ$106)/(COUNTIF(Distance_Matrix!$E$12:$DQ$12,$E500)-1))</f>
        <v>0.57374407756679258</v>
      </c>
      <c r="H500" s="18">
        <f>MIN(IF(1=$E500,1E+99,IF(COUNTIF(Distance_Matrix!$E$12:$DQ$12,1)=0,1E+99,SUMIF(Distance_Matrix!$E$12:$DQ$12,1,Distance_Matrix!$E$106:$DQ$106)/COUNTIF(Distance_Matrix!$E$12:$DQ$12,1))),IF(2=$E500,1E+99,IF(COUNTIF(Distance_Matrix!$E$12:$DQ$12,2)=0,1E+99,SUMIF(Distance_Matrix!$E$12:$DQ$12,2,Distance_Matrix!$E$106:$DQ$106)/COUNTIF(Distance_Matrix!$E$12:$DQ$12,2))),IF(3=$E500,1E+99,IF(COUNTIF(Distance_Matrix!$E$12:$DQ$12,3)=0,1E+99,SUMIF(Distance_Matrix!$E$12:$DQ$12,3,Distance_Matrix!$E$106:$DQ$106)/COUNTIF(Distance_Matrix!$E$12:$DQ$12,3))),IF(4=$E500,1E+99,IF(COUNTIF(Distance_Matrix!$E$12:$DQ$12,4)=0,1E+99,SUMIF(Distance_Matrix!$E$12:$DQ$12,4,Distance_Matrix!$E$106:$DQ$106)/COUNTIF(Distance_Matrix!$E$12:$DQ$12,4))),IF(5=$E500,1E+99,IF(COUNTIF(Distance_Matrix!$E$12:$DQ$12,5)=0,1E+99,SUMIF(Distance_Matrix!$E$12:$DQ$12,5,Distance_Matrix!$E$106:$DQ$106)/COUNTIF(Distance_Matrix!$E$12:$DQ$12,5))),IF(6=$E500,1E+99,IF(COUNTIF(Distance_Matrix!$E$12:$DQ$12,6)=0,1E+99,SUMIF(Distance_Matrix!$E$12:$DQ$12,6,Distance_Matrix!$E$106:$DQ$106)/COUNTIF(Distance_Matrix!$E$12:$DQ$12,6))))</f>
        <v>1.0756653756622354</v>
      </c>
      <c r="I500" s="18">
        <f>IF(COUNTIF(Distance_Matrix!$E$12:$DQ$12,$E500)&lt;=1,0,(H500-G500)/MAX(G500,H500))</f>
        <v>0.4666147200159102</v>
      </c>
      <c r="X500" s="18">
        <f t="shared" si="606"/>
        <v>7.6421954132838588</v>
      </c>
      <c r="Y500" s="18">
        <f t="shared" si="606"/>
        <v>1.2480325947886648</v>
      </c>
      <c r="Z500" s="18">
        <f t="shared" si="606"/>
        <v>3.38265206186386</v>
      </c>
      <c r="AA500" s="18">
        <f t="shared" si="606"/>
        <v>1.5681113797108259</v>
      </c>
      <c r="AB500" s="18">
        <f t="shared" si="606"/>
        <v>5.6030442713811599</v>
      </c>
      <c r="AC500" s="18">
        <f t="shared" si="606"/>
        <v>1.8546471680958978</v>
      </c>
      <c r="AD500" s="56">
        <f t="shared" si="570"/>
        <v>2</v>
      </c>
      <c r="AF500" s="18">
        <f t="shared" si="607"/>
        <v>7.5118976652251153</v>
      </c>
      <c r="AG500" s="18">
        <f t="shared" si="607"/>
        <v>0.49210214475142472</v>
      </c>
      <c r="AH500" s="18">
        <f t="shared" si="607"/>
        <v>3.037265896633</v>
      </c>
      <c r="AI500" s="18">
        <f t="shared" si="607"/>
        <v>1.0266879968863336</v>
      </c>
      <c r="AJ500" s="18">
        <f t="shared" si="607"/>
        <v>5.2415253559892463</v>
      </c>
      <c r="AK500" s="18">
        <f t="shared" si="607"/>
        <v>1.4617423682328916</v>
      </c>
      <c r="AL500" s="56">
        <f t="shared" si="571"/>
        <v>2</v>
      </c>
      <c r="AN500" s="18">
        <f t="shared" si="608"/>
        <v>7.5118976652251153</v>
      </c>
      <c r="AO500" s="18">
        <f t="shared" si="608"/>
        <v>0.45249158928099714</v>
      </c>
      <c r="AP500" s="18">
        <f t="shared" si="608"/>
        <v>3.0071513204627949</v>
      </c>
      <c r="AQ500" s="18">
        <f t="shared" si="608"/>
        <v>1.0161009373258467</v>
      </c>
      <c r="AR500" s="18">
        <f t="shared" si="608"/>
        <v>5.2415253559892463</v>
      </c>
      <c r="AS500" s="18">
        <f t="shared" si="608"/>
        <v>1.4988039966078524</v>
      </c>
      <c r="AT500" s="56">
        <f t="shared" si="572"/>
        <v>2</v>
      </c>
      <c r="AV500" s="18">
        <f t="shared" si="609"/>
        <v>7.5118976652251153</v>
      </c>
      <c r="AW500" s="18">
        <f t="shared" si="609"/>
        <v>0.43885172079510215</v>
      </c>
      <c r="AX500" s="18">
        <f t="shared" si="609"/>
        <v>3.0071513204627949</v>
      </c>
      <c r="AY500" s="18">
        <f t="shared" si="609"/>
        <v>1.0161009373258467</v>
      </c>
      <c r="AZ500" s="18">
        <f t="shared" si="609"/>
        <v>5.2415253559892463</v>
      </c>
      <c r="BA500" s="18">
        <f t="shared" si="609"/>
        <v>1.5234903936892268</v>
      </c>
      <c r="BB500" s="56">
        <f t="shared" si="573"/>
        <v>2</v>
      </c>
      <c r="BD500" s="18">
        <f t="shared" si="610"/>
        <v>7.5118976652251153</v>
      </c>
      <c r="BE500" s="18">
        <f t="shared" si="610"/>
        <v>0.43048779232829926</v>
      </c>
      <c r="BF500" s="18">
        <f t="shared" si="610"/>
        <v>3.0071513204627949</v>
      </c>
      <c r="BG500" s="18">
        <f t="shared" si="610"/>
        <v>1.0161009373258467</v>
      </c>
      <c r="BH500" s="18">
        <f t="shared" si="610"/>
        <v>5.2415253559892463</v>
      </c>
      <c r="BI500" s="18">
        <f t="shared" si="610"/>
        <v>1.5480185369190931</v>
      </c>
      <c r="BJ500" s="56">
        <f t="shared" si="574"/>
        <v>2</v>
      </c>
      <c r="BL500" s="18">
        <f t="shared" si="611"/>
        <v>7.5118976652251153</v>
      </c>
      <c r="BM500" s="18">
        <f t="shared" si="611"/>
        <v>0.43048779232829926</v>
      </c>
      <c r="BN500" s="18">
        <f t="shared" si="611"/>
        <v>3.0071513204627949</v>
      </c>
      <c r="BO500" s="18">
        <f t="shared" si="611"/>
        <v>1.0161009373258467</v>
      </c>
      <c r="BP500" s="18">
        <f t="shared" si="611"/>
        <v>5.2415253559892463</v>
      </c>
      <c r="BQ500" s="18">
        <f t="shared" si="611"/>
        <v>1.5480185369190931</v>
      </c>
      <c r="BR500" s="56">
        <f t="shared" si="575"/>
        <v>2</v>
      </c>
      <c r="BT500" s="18">
        <f t="shared" si="612"/>
        <v>7.5118976652251153</v>
      </c>
      <c r="BU500" s="18">
        <f t="shared" si="612"/>
        <v>0.43048779232829926</v>
      </c>
      <c r="BV500" s="18">
        <f t="shared" si="612"/>
        <v>3.0071513204627949</v>
      </c>
      <c r="BW500" s="18">
        <f t="shared" si="612"/>
        <v>1.0161009373258467</v>
      </c>
      <c r="BX500" s="18">
        <f t="shared" si="612"/>
        <v>5.2415253559892463</v>
      </c>
      <c r="BY500" s="18">
        <f t="shared" si="612"/>
        <v>1.5480185369190931</v>
      </c>
      <c r="BZ500" s="56">
        <f t="shared" si="576"/>
        <v>2</v>
      </c>
      <c r="CB500" s="18">
        <f t="shared" si="613"/>
        <v>7.5118976652251153</v>
      </c>
      <c r="CC500" s="18">
        <f t="shared" si="613"/>
        <v>0.43048779232829926</v>
      </c>
      <c r="CD500" s="18">
        <f t="shared" si="613"/>
        <v>3.0071513204627949</v>
      </c>
      <c r="CE500" s="18">
        <f t="shared" si="613"/>
        <v>1.0161009373258467</v>
      </c>
      <c r="CF500" s="18">
        <f t="shared" si="613"/>
        <v>5.2415253559892463</v>
      </c>
      <c r="CG500" s="18">
        <f t="shared" si="613"/>
        <v>1.5480185369190931</v>
      </c>
      <c r="CH500" s="56">
        <f t="shared" si="577"/>
        <v>2</v>
      </c>
      <c r="CJ500" s="18">
        <f t="shared" si="614"/>
        <v>7.5118976652251153</v>
      </c>
      <c r="CK500" s="18">
        <f t="shared" si="614"/>
        <v>0.43048779232829926</v>
      </c>
      <c r="CL500" s="18">
        <f t="shared" si="614"/>
        <v>3.0071513204627949</v>
      </c>
      <c r="CM500" s="18">
        <f t="shared" si="614"/>
        <v>1.0161009373258467</v>
      </c>
      <c r="CN500" s="18">
        <f t="shared" si="614"/>
        <v>5.2415253559892463</v>
      </c>
      <c r="CO500" s="18">
        <f t="shared" si="614"/>
        <v>1.5480185369190931</v>
      </c>
      <c r="CP500" s="56">
        <f t="shared" si="578"/>
        <v>2</v>
      </c>
      <c r="CR500" s="18">
        <f t="shared" si="615"/>
        <v>7.5118976652251153</v>
      </c>
      <c r="CS500" s="18">
        <f t="shared" si="615"/>
        <v>0.43048779232829926</v>
      </c>
      <c r="CT500" s="18">
        <f t="shared" si="615"/>
        <v>3.0071513204627949</v>
      </c>
      <c r="CU500" s="18">
        <f t="shared" si="615"/>
        <v>1.0161009373258467</v>
      </c>
      <c r="CV500" s="18">
        <f t="shared" si="615"/>
        <v>5.2415253559892463</v>
      </c>
      <c r="CW500" s="18">
        <f t="shared" si="615"/>
        <v>1.5480185369190931</v>
      </c>
      <c r="CX500" s="56">
        <f t="shared" si="579"/>
        <v>2</v>
      </c>
      <c r="CZ500" s="18">
        <f t="shared" si="616"/>
        <v>7.5118976652251153</v>
      </c>
      <c r="DA500" s="18">
        <f t="shared" si="616"/>
        <v>0.43048779232829926</v>
      </c>
      <c r="DB500" s="18">
        <f t="shared" si="616"/>
        <v>3.0071513204627949</v>
      </c>
      <c r="DC500" s="18">
        <f t="shared" si="616"/>
        <v>1.0161009373258467</v>
      </c>
      <c r="DD500" s="18">
        <f t="shared" si="616"/>
        <v>5.2415253559892463</v>
      </c>
      <c r="DE500" s="18">
        <f t="shared" si="616"/>
        <v>1.5480185369190931</v>
      </c>
      <c r="DF500" s="56">
        <f t="shared" si="580"/>
        <v>2</v>
      </c>
      <c r="DH500" s="18">
        <f t="shared" si="617"/>
        <v>7.5118976652251153</v>
      </c>
      <c r="DI500" s="18">
        <f t="shared" si="617"/>
        <v>0.43048779232829926</v>
      </c>
      <c r="DJ500" s="18">
        <f t="shared" si="617"/>
        <v>3.0071513204627949</v>
      </c>
      <c r="DK500" s="18">
        <f t="shared" si="617"/>
        <v>1.0161009373258467</v>
      </c>
      <c r="DL500" s="18">
        <f t="shared" si="617"/>
        <v>5.2415253559892463</v>
      </c>
      <c r="DM500" s="18">
        <f t="shared" si="617"/>
        <v>1.5480185369190931</v>
      </c>
      <c r="DN500" s="56">
        <f t="shared" si="581"/>
        <v>2</v>
      </c>
    </row>
    <row r="501" spans="1:118" x14ac:dyDescent="0.25">
      <c r="A501" s="36" t="str">
        <f>KMeans_Data!A98</f>
        <v>Rajanpur</v>
      </c>
      <c r="B501" s="18">
        <f>KMeans_Data!H98</f>
        <v>-0.88131147797298559</v>
      </c>
      <c r="C501" s="18">
        <f>KMeans_Data!I98</f>
        <v>-0.67265054538827607</v>
      </c>
      <c r="D501" s="18">
        <f>KMeans_Data!J98</f>
        <v>-1.1456441163335547</v>
      </c>
      <c r="E501" s="56">
        <f t="shared" si="568"/>
        <v>2</v>
      </c>
      <c r="F501" s="38">
        <f t="shared" si="569"/>
        <v>0.14695106930244214</v>
      </c>
      <c r="G501" s="18">
        <f>IF(COUNTIF(Distance_Matrix!$E$12:$DQ$12,$E501)&lt;=1,0,SUMIF(Distance_Matrix!$E$12:$DQ$12,$E501,Distance_Matrix!$E$107:$DQ$107)/(COUNTIF(Distance_Matrix!$E$12:$DQ$12,$E501)-1))</f>
        <v>0.54326168366159699</v>
      </c>
      <c r="H501" s="18">
        <f>MIN(IF(1=$E501,1E+99,IF(COUNTIF(Distance_Matrix!$E$12:$DQ$12,1)=0,1E+99,SUMIF(Distance_Matrix!$E$12:$DQ$12,1,Distance_Matrix!$E$107:$DQ$107)/COUNTIF(Distance_Matrix!$E$12:$DQ$12,1))),IF(2=$E501,1E+99,IF(COUNTIF(Distance_Matrix!$E$12:$DQ$12,2)=0,1E+99,SUMIF(Distance_Matrix!$E$12:$DQ$12,2,Distance_Matrix!$E$107:$DQ$107)/COUNTIF(Distance_Matrix!$E$12:$DQ$12,2))),IF(3=$E501,1E+99,IF(COUNTIF(Distance_Matrix!$E$12:$DQ$12,3)=0,1E+99,SUMIF(Distance_Matrix!$E$12:$DQ$12,3,Distance_Matrix!$E$107:$DQ$107)/COUNTIF(Distance_Matrix!$E$12:$DQ$12,3))),IF(4=$E501,1E+99,IF(COUNTIF(Distance_Matrix!$E$12:$DQ$12,4)=0,1E+99,SUMIF(Distance_Matrix!$E$12:$DQ$12,4,Distance_Matrix!$E$107:$DQ$107)/COUNTIF(Distance_Matrix!$E$12:$DQ$12,4))),IF(5=$E501,1E+99,IF(COUNTIF(Distance_Matrix!$E$12:$DQ$12,5)=0,1E+99,SUMIF(Distance_Matrix!$E$12:$DQ$12,5,Distance_Matrix!$E$107:$DQ$107)/COUNTIF(Distance_Matrix!$E$12:$DQ$12,5))),IF(6=$E501,1E+99,IF(COUNTIF(Distance_Matrix!$E$12:$DQ$12,6)=0,1E+99,SUMIF(Distance_Matrix!$E$12:$DQ$12,6,Distance_Matrix!$E$107:$DQ$107)/COUNTIF(Distance_Matrix!$E$12:$DQ$12,6))))</f>
        <v>1.1205925912254084</v>
      </c>
      <c r="I501" s="18">
        <f>IF(COUNTIF(Distance_Matrix!$E$12:$DQ$12,$E501)&lt;=1,0,(H501-G501)/MAX(G501,H501))</f>
        <v>0.51520143188924639</v>
      </c>
      <c r="X501" s="18">
        <f t="shared" si="606"/>
        <v>7.6689619977801469</v>
      </c>
      <c r="Y501" s="18">
        <f t="shared" si="606"/>
        <v>1.198426503830343</v>
      </c>
      <c r="Z501" s="18">
        <f t="shared" si="606"/>
        <v>3.4103119353684268</v>
      </c>
      <c r="AA501" s="18">
        <f t="shared" si="606"/>
        <v>1.6149328167294064</v>
      </c>
      <c r="AB501" s="18">
        <f t="shared" si="606"/>
        <v>5.6314892832805281</v>
      </c>
      <c r="AC501" s="18">
        <f t="shared" si="606"/>
        <v>1.8586634335808718</v>
      </c>
      <c r="AD501" s="56">
        <f t="shared" si="570"/>
        <v>2</v>
      </c>
      <c r="AF501" s="18">
        <f t="shared" si="607"/>
        <v>7.5390473912889027</v>
      </c>
      <c r="AG501" s="18">
        <f t="shared" si="607"/>
        <v>0.44284199858112494</v>
      </c>
      <c r="AH501" s="18">
        <f t="shared" si="607"/>
        <v>3.06371575099989</v>
      </c>
      <c r="AI501" s="18">
        <f t="shared" si="607"/>
        <v>1.0739331766576907</v>
      </c>
      <c r="AJ501" s="18">
        <f t="shared" si="607"/>
        <v>5.2693719507730306</v>
      </c>
      <c r="AK501" s="18">
        <f t="shared" si="607"/>
        <v>1.4816853302553454</v>
      </c>
      <c r="AL501" s="56">
        <f t="shared" si="571"/>
        <v>2</v>
      </c>
      <c r="AN501" s="18">
        <f t="shared" si="608"/>
        <v>7.5390473912889027</v>
      </c>
      <c r="AO501" s="18">
        <f t="shared" si="608"/>
        <v>0.4036507072257382</v>
      </c>
      <c r="AP501" s="18">
        <f t="shared" si="608"/>
        <v>3.0334107539600588</v>
      </c>
      <c r="AQ501" s="18">
        <f t="shared" si="608"/>
        <v>1.0635530049518185</v>
      </c>
      <c r="AR501" s="18">
        <f t="shared" si="608"/>
        <v>5.2693719507730306</v>
      </c>
      <c r="AS501" s="18">
        <f t="shared" si="608"/>
        <v>1.519557178670226</v>
      </c>
      <c r="AT501" s="56">
        <f t="shared" si="572"/>
        <v>2</v>
      </c>
      <c r="AV501" s="18">
        <f t="shared" si="609"/>
        <v>7.5390473912889027</v>
      </c>
      <c r="AW501" s="18">
        <f t="shared" si="609"/>
        <v>0.39070679536683867</v>
      </c>
      <c r="AX501" s="18">
        <f t="shared" si="609"/>
        <v>3.0334107539600588</v>
      </c>
      <c r="AY501" s="18">
        <f t="shared" si="609"/>
        <v>1.0635530049518185</v>
      </c>
      <c r="AZ501" s="18">
        <f t="shared" si="609"/>
        <v>5.2693719507730306</v>
      </c>
      <c r="BA501" s="18">
        <f t="shared" si="609"/>
        <v>1.5444581763187446</v>
      </c>
      <c r="BB501" s="56">
        <f t="shared" si="573"/>
        <v>2</v>
      </c>
      <c r="BD501" s="18">
        <f t="shared" si="610"/>
        <v>7.5390473912889027</v>
      </c>
      <c r="BE501" s="18">
        <f t="shared" si="610"/>
        <v>0.38334197435506867</v>
      </c>
      <c r="BF501" s="18">
        <f t="shared" si="610"/>
        <v>3.0334107539600588</v>
      </c>
      <c r="BG501" s="18">
        <f t="shared" si="610"/>
        <v>1.0635530049518185</v>
      </c>
      <c r="BH501" s="18">
        <f t="shared" si="610"/>
        <v>5.2693719507730306</v>
      </c>
      <c r="BI501" s="18">
        <f t="shared" si="610"/>
        <v>1.5692746168076888</v>
      </c>
      <c r="BJ501" s="56">
        <f t="shared" si="574"/>
        <v>2</v>
      </c>
      <c r="BL501" s="18">
        <f t="shared" si="611"/>
        <v>7.5390473912889027</v>
      </c>
      <c r="BM501" s="18">
        <f t="shared" si="611"/>
        <v>0.38334197435506867</v>
      </c>
      <c r="BN501" s="18">
        <f t="shared" si="611"/>
        <v>3.0334107539600588</v>
      </c>
      <c r="BO501" s="18">
        <f t="shared" si="611"/>
        <v>1.0635530049518185</v>
      </c>
      <c r="BP501" s="18">
        <f t="shared" si="611"/>
        <v>5.2693719507730306</v>
      </c>
      <c r="BQ501" s="18">
        <f t="shared" si="611"/>
        <v>1.5692746168076888</v>
      </c>
      <c r="BR501" s="56">
        <f t="shared" si="575"/>
        <v>2</v>
      </c>
      <c r="BT501" s="18">
        <f t="shared" si="612"/>
        <v>7.5390473912889027</v>
      </c>
      <c r="BU501" s="18">
        <f t="shared" si="612"/>
        <v>0.38334197435506867</v>
      </c>
      <c r="BV501" s="18">
        <f t="shared" si="612"/>
        <v>3.0334107539600588</v>
      </c>
      <c r="BW501" s="18">
        <f t="shared" si="612"/>
        <v>1.0635530049518185</v>
      </c>
      <c r="BX501" s="18">
        <f t="shared" si="612"/>
        <v>5.2693719507730306</v>
      </c>
      <c r="BY501" s="18">
        <f t="shared" si="612"/>
        <v>1.5692746168076888</v>
      </c>
      <c r="BZ501" s="56">
        <f t="shared" si="576"/>
        <v>2</v>
      </c>
      <c r="CB501" s="18">
        <f t="shared" si="613"/>
        <v>7.5390473912889027</v>
      </c>
      <c r="CC501" s="18">
        <f t="shared" si="613"/>
        <v>0.38334197435506867</v>
      </c>
      <c r="CD501" s="18">
        <f t="shared" si="613"/>
        <v>3.0334107539600588</v>
      </c>
      <c r="CE501" s="18">
        <f t="shared" si="613"/>
        <v>1.0635530049518185</v>
      </c>
      <c r="CF501" s="18">
        <f t="shared" si="613"/>
        <v>5.2693719507730306</v>
      </c>
      <c r="CG501" s="18">
        <f t="shared" si="613"/>
        <v>1.5692746168076888</v>
      </c>
      <c r="CH501" s="56">
        <f t="shared" si="577"/>
        <v>2</v>
      </c>
      <c r="CJ501" s="18">
        <f t="shared" si="614"/>
        <v>7.5390473912889027</v>
      </c>
      <c r="CK501" s="18">
        <f t="shared" si="614"/>
        <v>0.38334197435506867</v>
      </c>
      <c r="CL501" s="18">
        <f t="shared" si="614"/>
        <v>3.0334107539600588</v>
      </c>
      <c r="CM501" s="18">
        <f t="shared" si="614"/>
        <v>1.0635530049518185</v>
      </c>
      <c r="CN501" s="18">
        <f t="shared" si="614"/>
        <v>5.2693719507730306</v>
      </c>
      <c r="CO501" s="18">
        <f t="shared" si="614"/>
        <v>1.5692746168076888</v>
      </c>
      <c r="CP501" s="56">
        <f t="shared" si="578"/>
        <v>2</v>
      </c>
      <c r="CR501" s="18">
        <f t="shared" si="615"/>
        <v>7.5390473912889027</v>
      </c>
      <c r="CS501" s="18">
        <f t="shared" si="615"/>
        <v>0.38334197435506867</v>
      </c>
      <c r="CT501" s="18">
        <f t="shared" si="615"/>
        <v>3.0334107539600588</v>
      </c>
      <c r="CU501" s="18">
        <f t="shared" si="615"/>
        <v>1.0635530049518185</v>
      </c>
      <c r="CV501" s="18">
        <f t="shared" si="615"/>
        <v>5.2693719507730306</v>
      </c>
      <c r="CW501" s="18">
        <f t="shared" si="615"/>
        <v>1.5692746168076888</v>
      </c>
      <c r="CX501" s="56">
        <f t="shared" si="579"/>
        <v>2</v>
      </c>
      <c r="CZ501" s="18">
        <f t="shared" si="616"/>
        <v>7.5390473912889027</v>
      </c>
      <c r="DA501" s="18">
        <f t="shared" si="616"/>
        <v>0.38334197435506867</v>
      </c>
      <c r="DB501" s="18">
        <f t="shared" si="616"/>
        <v>3.0334107539600588</v>
      </c>
      <c r="DC501" s="18">
        <f t="shared" si="616"/>
        <v>1.0635530049518185</v>
      </c>
      <c r="DD501" s="18">
        <f t="shared" si="616"/>
        <v>5.2693719507730306</v>
      </c>
      <c r="DE501" s="18">
        <f t="shared" si="616"/>
        <v>1.5692746168076888</v>
      </c>
      <c r="DF501" s="56">
        <f t="shared" si="580"/>
        <v>2</v>
      </c>
      <c r="DH501" s="18">
        <f t="shared" si="617"/>
        <v>7.5390473912889027</v>
      </c>
      <c r="DI501" s="18">
        <f t="shared" si="617"/>
        <v>0.38334197435506867</v>
      </c>
      <c r="DJ501" s="18">
        <f t="shared" si="617"/>
        <v>3.0334107539600588</v>
      </c>
      <c r="DK501" s="18">
        <f t="shared" si="617"/>
        <v>1.0635530049518185</v>
      </c>
      <c r="DL501" s="18">
        <f t="shared" si="617"/>
        <v>5.2693719507730306</v>
      </c>
      <c r="DM501" s="18">
        <f t="shared" si="617"/>
        <v>1.5692746168076888</v>
      </c>
      <c r="DN501" s="56">
        <f t="shared" si="581"/>
        <v>2</v>
      </c>
    </row>
    <row r="502" spans="1:118" x14ac:dyDescent="0.25">
      <c r="A502" s="36" t="str">
        <f>KMeans_Data!A99</f>
        <v>Umerkot</v>
      </c>
      <c r="B502" s="18">
        <f>KMeans_Data!H99</f>
        <v>-0.88131147797298559</v>
      </c>
      <c r="C502" s="18">
        <f>KMeans_Data!I99</f>
        <v>-0.14698313392952958</v>
      </c>
      <c r="D502" s="18">
        <f>KMeans_Data!J99</f>
        <v>-0.82444601589876665</v>
      </c>
      <c r="E502" s="56">
        <f t="shared" si="568"/>
        <v>2</v>
      </c>
      <c r="F502" s="38">
        <f t="shared" si="569"/>
        <v>0.42579721775343504</v>
      </c>
      <c r="G502" s="18">
        <f>IF(COUNTIF(Distance_Matrix!$E$12:$DQ$12,$E502)&lt;=1,0,SUMIF(Distance_Matrix!$E$12:$DQ$12,$E502,Distance_Matrix!$E$108:$DQ$108)/(COUNTIF(Distance_Matrix!$E$12:$DQ$12,$E502)-1))</f>
        <v>0.80831029803815768</v>
      </c>
      <c r="H502" s="18">
        <f>MIN(IF(1=$E502,1E+99,IF(COUNTIF(Distance_Matrix!$E$12:$DQ$12,1)=0,1E+99,SUMIF(Distance_Matrix!$E$12:$DQ$12,1,Distance_Matrix!$E$108:$DQ$108)/COUNTIF(Distance_Matrix!$E$12:$DQ$12,1))),IF(2=$E502,1E+99,IF(COUNTIF(Distance_Matrix!$E$12:$DQ$12,2)=0,1E+99,SUMIF(Distance_Matrix!$E$12:$DQ$12,2,Distance_Matrix!$E$108:$DQ$108)/COUNTIF(Distance_Matrix!$E$12:$DQ$12,2))),IF(3=$E502,1E+99,IF(COUNTIF(Distance_Matrix!$E$12:$DQ$12,3)=0,1E+99,SUMIF(Distance_Matrix!$E$12:$DQ$12,3,Distance_Matrix!$E$108:$DQ$108)/COUNTIF(Distance_Matrix!$E$12:$DQ$12,3))),IF(4=$E502,1E+99,IF(COUNTIF(Distance_Matrix!$E$12:$DQ$12,4)=0,1E+99,SUMIF(Distance_Matrix!$E$12:$DQ$12,4,Distance_Matrix!$E$108:$DQ$108)/COUNTIF(Distance_Matrix!$E$12:$DQ$12,4))),IF(5=$E502,1E+99,IF(COUNTIF(Distance_Matrix!$E$12:$DQ$12,5)=0,1E+99,SUMIF(Distance_Matrix!$E$12:$DQ$12,5,Distance_Matrix!$E$108:$DQ$108)/COUNTIF(Distance_Matrix!$E$12:$DQ$12,5))),IF(6=$E502,1E+99,IF(COUNTIF(Distance_Matrix!$E$12:$DQ$12,6)=0,1E+99,SUMIF(Distance_Matrix!$E$12:$DQ$12,6,Distance_Matrix!$E$108:$DQ$108)/COUNTIF(Distance_Matrix!$E$12:$DQ$12,6))))</f>
        <v>1.2001463095137843</v>
      </c>
      <c r="I502" s="18">
        <f>IF(COUNTIF(Distance_Matrix!$E$12:$DQ$12,$E502)&lt;=1,0,(H502-G502)/MAX(G502,H502))</f>
        <v>0.32649020237738452</v>
      </c>
      <c r="X502" s="18">
        <f t="shared" si="606"/>
        <v>7.1703290216323134</v>
      </c>
      <c r="Y502" s="18">
        <f t="shared" si="606"/>
        <v>1.3474867466048319</v>
      </c>
      <c r="Z502" s="18">
        <f t="shared" si="606"/>
        <v>3.0370836754197215</v>
      </c>
      <c r="AA502" s="18">
        <f t="shared" si="606"/>
        <v>1.5604005879269436</v>
      </c>
      <c r="AB502" s="18">
        <f t="shared" si="606"/>
        <v>5.168570922912421</v>
      </c>
      <c r="AC502" s="18">
        <f t="shared" si="606"/>
        <v>1.4634751943618836</v>
      </c>
      <c r="AD502" s="56">
        <f t="shared" si="570"/>
        <v>2</v>
      </c>
      <c r="AF502" s="18">
        <f t="shared" si="607"/>
        <v>7.0398609478577896</v>
      </c>
      <c r="AG502" s="18">
        <f t="shared" si="607"/>
        <v>0.72070373982700231</v>
      </c>
      <c r="AH502" s="18">
        <f t="shared" si="607"/>
        <v>2.6139105197834209</v>
      </c>
      <c r="AI502" s="18">
        <f t="shared" si="607"/>
        <v>1.0974333997924073</v>
      </c>
      <c r="AJ502" s="18">
        <f t="shared" si="607"/>
        <v>4.7838848048900653</v>
      </c>
      <c r="AK502" s="18">
        <f t="shared" si="607"/>
        <v>1.1962011714106169</v>
      </c>
      <c r="AL502" s="56">
        <f t="shared" si="571"/>
        <v>2</v>
      </c>
      <c r="AN502" s="18">
        <f t="shared" si="608"/>
        <v>7.0398609478577896</v>
      </c>
      <c r="AO502" s="18">
        <f t="shared" si="608"/>
        <v>0.68864140985379518</v>
      </c>
      <c r="AP502" s="18">
        <f t="shared" si="608"/>
        <v>2.5822780141330868</v>
      </c>
      <c r="AQ502" s="18">
        <f t="shared" si="608"/>
        <v>1.1035554822103435</v>
      </c>
      <c r="AR502" s="18">
        <f t="shared" si="608"/>
        <v>4.7838848048900653</v>
      </c>
      <c r="AS502" s="18">
        <f t="shared" si="608"/>
        <v>1.2347018242967696</v>
      </c>
      <c r="AT502" s="56">
        <f t="shared" si="572"/>
        <v>2</v>
      </c>
      <c r="AV502" s="18">
        <f t="shared" si="609"/>
        <v>7.0398609478577896</v>
      </c>
      <c r="AW502" s="18">
        <f t="shared" si="609"/>
        <v>0.66943346650718238</v>
      </c>
      <c r="AX502" s="18">
        <f t="shared" si="609"/>
        <v>2.5822780141330868</v>
      </c>
      <c r="AY502" s="18">
        <f t="shared" si="609"/>
        <v>1.1035554822103435</v>
      </c>
      <c r="AZ502" s="18">
        <f t="shared" si="609"/>
        <v>4.7838848048900653</v>
      </c>
      <c r="BA502" s="18">
        <f t="shared" si="609"/>
        <v>1.2569921340679202</v>
      </c>
      <c r="BB502" s="56">
        <f t="shared" si="573"/>
        <v>2</v>
      </c>
      <c r="BD502" s="18">
        <f t="shared" si="610"/>
        <v>7.0398609478577896</v>
      </c>
      <c r="BE502" s="18">
        <f t="shared" si="610"/>
        <v>0.65253139215936196</v>
      </c>
      <c r="BF502" s="18">
        <f t="shared" si="610"/>
        <v>2.5822780141330868</v>
      </c>
      <c r="BG502" s="18">
        <f t="shared" si="610"/>
        <v>1.1035554822103435</v>
      </c>
      <c r="BH502" s="18">
        <f t="shared" si="610"/>
        <v>4.7838848048900653</v>
      </c>
      <c r="BI502" s="18">
        <f t="shared" si="610"/>
        <v>1.2794308713665545</v>
      </c>
      <c r="BJ502" s="56">
        <f t="shared" si="574"/>
        <v>2</v>
      </c>
      <c r="BL502" s="18">
        <f t="shared" si="611"/>
        <v>7.0398609478577896</v>
      </c>
      <c r="BM502" s="18">
        <f t="shared" si="611"/>
        <v>0.65253139215936196</v>
      </c>
      <c r="BN502" s="18">
        <f t="shared" si="611"/>
        <v>2.5822780141330868</v>
      </c>
      <c r="BO502" s="18">
        <f t="shared" si="611"/>
        <v>1.1035554822103435</v>
      </c>
      <c r="BP502" s="18">
        <f t="shared" si="611"/>
        <v>4.7838848048900653</v>
      </c>
      <c r="BQ502" s="18">
        <f t="shared" si="611"/>
        <v>1.2794308713665545</v>
      </c>
      <c r="BR502" s="56">
        <f t="shared" si="575"/>
        <v>2</v>
      </c>
      <c r="BT502" s="18">
        <f t="shared" si="612"/>
        <v>7.0398609478577896</v>
      </c>
      <c r="BU502" s="18">
        <f t="shared" si="612"/>
        <v>0.65253139215936196</v>
      </c>
      <c r="BV502" s="18">
        <f t="shared" si="612"/>
        <v>2.5822780141330868</v>
      </c>
      <c r="BW502" s="18">
        <f t="shared" si="612"/>
        <v>1.1035554822103435</v>
      </c>
      <c r="BX502" s="18">
        <f t="shared" si="612"/>
        <v>4.7838848048900653</v>
      </c>
      <c r="BY502" s="18">
        <f t="shared" si="612"/>
        <v>1.2794308713665545</v>
      </c>
      <c r="BZ502" s="56">
        <f t="shared" si="576"/>
        <v>2</v>
      </c>
      <c r="CB502" s="18">
        <f t="shared" si="613"/>
        <v>7.0398609478577896</v>
      </c>
      <c r="CC502" s="18">
        <f t="shared" si="613"/>
        <v>0.65253139215936196</v>
      </c>
      <c r="CD502" s="18">
        <f t="shared" si="613"/>
        <v>2.5822780141330868</v>
      </c>
      <c r="CE502" s="18">
        <f t="shared" si="613"/>
        <v>1.1035554822103435</v>
      </c>
      <c r="CF502" s="18">
        <f t="shared" si="613"/>
        <v>4.7838848048900653</v>
      </c>
      <c r="CG502" s="18">
        <f t="shared" si="613"/>
        <v>1.2794308713665545</v>
      </c>
      <c r="CH502" s="56">
        <f t="shared" si="577"/>
        <v>2</v>
      </c>
      <c r="CJ502" s="18">
        <f t="shared" si="614"/>
        <v>7.0398609478577896</v>
      </c>
      <c r="CK502" s="18">
        <f t="shared" si="614"/>
        <v>0.65253139215936196</v>
      </c>
      <c r="CL502" s="18">
        <f t="shared" si="614"/>
        <v>2.5822780141330868</v>
      </c>
      <c r="CM502" s="18">
        <f t="shared" si="614"/>
        <v>1.1035554822103435</v>
      </c>
      <c r="CN502" s="18">
        <f t="shared" si="614"/>
        <v>4.7838848048900653</v>
      </c>
      <c r="CO502" s="18">
        <f t="shared" si="614"/>
        <v>1.2794308713665545</v>
      </c>
      <c r="CP502" s="56">
        <f t="shared" si="578"/>
        <v>2</v>
      </c>
      <c r="CR502" s="18">
        <f t="shared" si="615"/>
        <v>7.0398609478577896</v>
      </c>
      <c r="CS502" s="18">
        <f t="shared" si="615"/>
        <v>0.65253139215936196</v>
      </c>
      <c r="CT502" s="18">
        <f t="shared" si="615"/>
        <v>2.5822780141330868</v>
      </c>
      <c r="CU502" s="18">
        <f t="shared" si="615"/>
        <v>1.1035554822103435</v>
      </c>
      <c r="CV502" s="18">
        <f t="shared" si="615"/>
        <v>4.7838848048900653</v>
      </c>
      <c r="CW502" s="18">
        <f t="shared" si="615"/>
        <v>1.2794308713665545</v>
      </c>
      <c r="CX502" s="56">
        <f t="shared" si="579"/>
        <v>2</v>
      </c>
      <c r="CZ502" s="18">
        <f t="shared" si="616"/>
        <v>7.0398609478577896</v>
      </c>
      <c r="DA502" s="18">
        <f t="shared" si="616"/>
        <v>0.65253139215936196</v>
      </c>
      <c r="DB502" s="18">
        <f t="shared" si="616"/>
        <v>2.5822780141330868</v>
      </c>
      <c r="DC502" s="18">
        <f t="shared" si="616"/>
        <v>1.1035554822103435</v>
      </c>
      <c r="DD502" s="18">
        <f t="shared" si="616"/>
        <v>4.7838848048900653</v>
      </c>
      <c r="DE502" s="18">
        <f t="shared" si="616"/>
        <v>1.2794308713665545</v>
      </c>
      <c r="DF502" s="56">
        <f t="shared" si="580"/>
        <v>2</v>
      </c>
      <c r="DH502" s="18">
        <f t="shared" si="617"/>
        <v>7.0398609478577896</v>
      </c>
      <c r="DI502" s="18">
        <f t="shared" si="617"/>
        <v>0.65253139215936196</v>
      </c>
      <c r="DJ502" s="18">
        <f t="shared" si="617"/>
        <v>2.5822780141330868</v>
      </c>
      <c r="DK502" s="18">
        <f t="shared" si="617"/>
        <v>1.1035554822103435</v>
      </c>
      <c r="DL502" s="18">
        <f t="shared" si="617"/>
        <v>4.7838848048900653</v>
      </c>
      <c r="DM502" s="18">
        <f t="shared" si="617"/>
        <v>1.2794308713665545</v>
      </c>
      <c r="DN502" s="56">
        <f t="shared" si="581"/>
        <v>2</v>
      </c>
    </row>
    <row r="503" spans="1:118" x14ac:dyDescent="0.25">
      <c r="A503" s="36" t="str">
        <f>KMeans_Data!A100</f>
        <v>Tando Allahyar</v>
      </c>
      <c r="B503" s="18">
        <f>KMeans_Data!H100</f>
        <v>-0.88131147797298559</v>
      </c>
      <c r="C503" s="18">
        <f>KMeans_Data!I100</f>
        <v>-0.67265054538827607</v>
      </c>
      <c r="D503" s="18">
        <f>KMeans_Data!J100</f>
        <v>0.26515989636960624</v>
      </c>
      <c r="E503" s="56">
        <f t="shared" si="568"/>
        <v>6</v>
      </c>
      <c r="F503" s="38">
        <f t="shared" si="569"/>
        <v>0.57511148667075318</v>
      </c>
      <c r="G503" s="18">
        <f>IF(COUNTIF(Distance_Matrix!$E$12:$DQ$12,$E503)&lt;=1,0,SUMIF(Distance_Matrix!$E$12:$DQ$12,$E503,Distance_Matrix!$E$109:$DQ$109)/(COUNTIF(Distance_Matrix!$E$12:$DQ$12,$E503)-1))</f>
        <v>0.95074069087413704</v>
      </c>
      <c r="H503" s="18">
        <f>MIN(IF(1=$E503,1E+99,IF(COUNTIF(Distance_Matrix!$E$12:$DQ$12,1)=0,1E+99,SUMIF(Distance_Matrix!$E$12:$DQ$12,1,Distance_Matrix!$E$109:$DQ$109)/COUNTIF(Distance_Matrix!$E$12:$DQ$12,1))),IF(2=$E503,1E+99,IF(COUNTIF(Distance_Matrix!$E$12:$DQ$12,2)=0,1E+99,SUMIF(Distance_Matrix!$E$12:$DQ$12,2,Distance_Matrix!$E$109:$DQ$109)/COUNTIF(Distance_Matrix!$E$12:$DQ$12,2))),IF(3=$E503,1E+99,IF(COUNTIF(Distance_Matrix!$E$12:$DQ$12,3)=0,1E+99,SUMIF(Distance_Matrix!$E$12:$DQ$12,3,Distance_Matrix!$E$109:$DQ$109)/COUNTIF(Distance_Matrix!$E$12:$DQ$12,3))),IF(4=$E503,1E+99,IF(COUNTIF(Distance_Matrix!$E$12:$DQ$12,4)=0,1E+99,SUMIF(Distance_Matrix!$E$12:$DQ$12,4,Distance_Matrix!$E$109:$DQ$109)/COUNTIF(Distance_Matrix!$E$12:$DQ$12,4))),IF(5=$E503,1E+99,IF(COUNTIF(Distance_Matrix!$E$12:$DQ$12,5)=0,1E+99,SUMIF(Distance_Matrix!$E$12:$DQ$12,5,Distance_Matrix!$E$109:$DQ$109)/COUNTIF(Distance_Matrix!$E$12:$DQ$12,5))),IF(6=$E503,1E+99,IF(COUNTIF(Distance_Matrix!$E$12:$DQ$12,6)=0,1E+99,SUMIF(Distance_Matrix!$E$12:$DQ$12,6,Distance_Matrix!$E$109:$DQ$109)/COUNTIF(Distance_Matrix!$E$12:$DQ$12,6))))</f>
        <v>1.3915811741360462</v>
      </c>
      <c r="I503" s="18">
        <f>IF(COUNTIF(Distance_Matrix!$E$12:$DQ$12,$E503)&lt;=1,0,(H503-G503)/MAX(G503,H503))</f>
        <v>0.31679106577135324</v>
      </c>
      <c r="X503" s="18">
        <f t="shared" si="606"/>
        <v>6.9565010417417197</v>
      </c>
      <c r="Y503" s="18">
        <f t="shared" si="606"/>
        <v>1.8511061685766055</v>
      </c>
      <c r="Z503" s="18">
        <f t="shared" si="606"/>
        <v>2.4978253127828713</v>
      </c>
      <c r="AA503" s="18">
        <f t="shared" si="606"/>
        <v>2.1443824203739674</v>
      </c>
      <c r="AB503" s="18">
        <f t="shared" si="606"/>
        <v>4.8762304468318245</v>
      </c>
      <c r="AC503" s="18">
        <f t="shared" si="606"/>
        <v>0.66258612779697479</v>
      </c>
      <c r="AD503" s="56">
        <f t="shared" si="570"/>
        <v>6</v>
      </c>
      <c r="AF503" s="18">
        <f t="shared" si="607"/>
        <v>6.8720030696440411</v>
      </c>
      <c r="AG503" s="18">
        <f t="shared" si="607"/>
        <v>1.4301100120218924</v>
      </c>
      <c r="AH503" s="18">
        <f t="shared" si="607"/>
        <v>2.3403005580382801</v>
      </c>
      <c r="AI503" s="18">
        <f t="shared" si="607"/>
        <v>1.524799231652834</v>
      </c>
      <c r="AJ503" s="18">
        <f t="shared" si="607"/>
        <v>4.6345325635658394</v>
      </c>
      <c r="AK503" s="18">
        <f t="shared" si="607"/>
        <v>0.68485463812056446</v>
      </c>
      <c r="AL503" s="56">
        <f t="shared" si="571"/>
        <v>6</v>
      </c>
      <c r="AN503" s="18">
        <f t="shared" si="608"/>
        <v>6.8720030696440411</v>
      </c>
      <c r="AO503" s="18">
        <f t="shared" si="608"/>
        <v>1.3967236238088476</v>
      </c>
      <c r="AP503" s="18">
        <f t="shared" si="608"/>
        <v>2.3098427841762756</v>
      </c>
      <c r="AQ503" s="18">
        <f t="shared" si="608"/>
        <v>1.5229312326655908</v>
      </c>
      <c r="AR503" s="18">
        <f t="shared" si="608"/>
        <v>4.6345325635658394</v>
      </c>
      <c r="AS503" s="18">
        <f t="shared" si="608"/>
        <v>0.72031689775763508</v>
      </c>
      <c r="AT503" s="56">
        <f t="shared" si="572"/>
        <v>6</v>
      </c>
      <c r="AV503" s="18">
        <f t="shared" si="609"/>
        <v>6.8720030696440411</v>
      </c>
      <c r="AW503" s="18">
        <f t="shared" si="609"/>
        <v>1.3665303806802314</v>
      </c>
      <c r="AX503" s="18">
        <f t="shared" si="609"/>
        <v>2.3098427841762756</v>
      </c>
      <c r="AY503" s="18">
        <f t="shared" si="609"/>
        <v>1.5229312326655908</v>
      </c>
      <c r="AZ503" s="18">
        <f t="shared" si="609"/>
        <v>4.6345325635658394</v>
      </c>
      <c r="BA503" s="18">
        <f t="shared" si="609"/>
        <v>0.73780697118555116</v>
      </c>
      <c r="BB503" s="56">
        <f t="shared" si="573"/>
        <v>6</v>
      </c>
      <c r="BD503" s="18">
        <f t="shared" si="610"/>
        <v>6.8720030696440411</v>
      </c>
      <c r="BE503" s="18">
        <f t="shared" si="610"/>
        <v>1.3360929553361098</v>
      </c>
      <c r="BF503" s="18">
        <f t="shared" si="610"/>
        <v>2.3098427841762756</v>
      </c>
      <c r="BG503" s="18">
        <f t="shared" si="610"/>
        <v>1.5229312326655908</v>
      </c>
      <c r="BH503" s="18">
        <f t="shared" si="610"/>
        <v>4.6345325635658394</v>
      </c>
      <c r="BI503" s="18">
        <f t="shared" si="610"/>
        <v>0.7583610529759246</v>
      </c>
      <c r="BJ503" s="56">
        <f t="shared" si="574"/>
        <v>6</v>
      </c>
      <c r="BL503" s="18">
        <f t="shared" si="611"/>
        <v>6.8720030696440411</v>
      </c>
      <c r="BM503" s="18">
        <f t="shared" si="611"/>
        <v>1.3360929553361098</v>
      </c>
      <c r="BN503" s="18">
        <f t="shared" si="611"/>
        <v>2.3098427841762756</v>
      </c>
      <c r="BO503" s="18">
        <f t="shared" si="611"/>
        <v>1.5229312326655908</v>
      </c>
      <c r="BP503" s="18">
        <f t="shared" si="611"/>
        <v>4.6345325635658394</v>
      </c>
      <c r="BQ503" s="18">
        <f t="shared" si="611"/>
        <v>0.7583610529759246</v>
      </c>
      <c r="BR503" s="56">
        <f t="shared" si="575"/>
        <v>6</v>
      </c>
      <c r="BT503" s="18">
        <f t="shared" si="612"/>
        <v>6.8720030696440411</v>
      </c>
      <c r="BU503" s="18">
        <f t="shared" si="612"/>
        <v>1.3360929553361098</v>
      </c>
      <c r="BV503" s="18">
        <f t="shared" si="612"/>
        <v>2.3098427841762756</v>
      </c>
      <c r="BW503" s="18">
        <f t="shared" si="612"/>
        <v>1.5229312326655908</v>
      </c>
      <c r="BX503" s="18">
        <f t="shared" si="612"/>
        <v>4.6345325635658394</v>
      </c>
      <c r="BY503" s="18">
        <f t="shared" si="612"/>
        <v>0.7583610529759246</v>
      </c>
      <c r="BZ503" s="56">
        <f t="shared" si="576"/>
        <v>6</v>
      </c>
      <c r="CB503" s="18">
        <f t="shared" si="613"/>
        <v>6.8720030696440411</v>
      </c>
      <c r="CC503" s="18">
        <f t="shared" si="613"/>
        <v>1.3360929553361098</v>
      </c>
      <c r="CD503" s="18">
        <f t="shared" si="613"/>
        <v>2.3098427841762756</v>
      </c>
      <c r="CE503" s="18">
        <f t="shared" si="613"/>
        <v>1.5229312326655908</v>
      </c>
      <c r="CF503" s="18">
        <f t="shared" si="613"/>
        <v>4.6345325635658394</v>
      </c>
      <c r="CG503" s="18">
        <f t="shared" si="613"/>
        <v>0.7583610529759246</v>
      </c>
      <c r="CH503" s="56">
        <f t="shared" si="577"/>
        <v>6</v>
      </c>
      <c r="CJ503" s="18">
        <f t="shared" si="614"/>
        <v>6.8720030696440411</v>
      </c>
      <c r="CK503" s="18">
        <f t="shared" si="614"/>
        <v>1.3360929553361098</v>
      </c>
      <c r="CL503" s="18">
        <f t="shared" si="614"/>
        <v>2.3098427841762756</v>
      </c>
      <c r="CM503" s="18">
        <f t="shared" si="614"/>
        <v>1.5229312326655908</v>
      </c>
      <c r="CN503" s="18">
        <f t="shared" si="614"/>
        <v>4.6345325635658394</v>
      </c>
      <c r="CO503" s="18">
        <f t="shared" si="614"/>
        <v>0.7583610529759246</v>
      </c>
      <c r="CP503" s="56">
        <f t="shared" si="578"/>
        <v>6</v>
      </c>
      <c r="CR503" s="18">
        <f t="shared" si="615"/>
        <v>6.8720030696440411</v>
      </c>
      <c r="CS503" s="18">
        <f t="shared" si="615"/>
        <v>1.3360929553361098</v>
      </c>
      <c r="CT503" s="18">
        <f t="shared" si="615"/>
        <v>2.3098427841762756</v>
      </c>
      <c r="CU503" s="18">
        <f t="shared" si="615"/>
        <v>1.5229312326655908</v>
      </c>
      <c r="CV503" s="18">
        <f t="shared" si="615"/>
        <v>4.6345325635658394</v>
      </c>
      <c r="CW503" s="18">
        <f t="shared" si="615"/>
        <v>0.7583610529759246</v>
      </c>
      <c r="CX503" s="56">
        <f t="shared" si="579"/>
        <v>6</v>
      </c>
      <c r="CZ503" s="18">
        <f t="shared" si="616"/>
        <v>6.8720030696440411</v>
      </c>
      <c r="DA503" s="18">
        <f t="shared" si="616"/>
        <v>1.3360929553361098</v>
      </c>
      <c r="DB503" s="18">
        <f t="shared" si="616"/>
        <v>2.3098427841762756</v>
      </c>
      <c r="DC503" s="18">
        <f t="shared" si="616"/>
        <v>1.5229312326655908</v>
      </c>
      <c r="DD503" s="18">
        <f t="shared" si="616"/>
        <v>4.6345325635658394</v>
      </c>
      <c r="DE503" s="18">
        <f t="shared" si="616"/>
        <v>0.7583610529759246</v>
      </c>
      <c r="DF503" s="56">
        <f t="shared" si="580"/>
        <v>6</v>
      </c>
      <c r="DH503" s="18">
        <f t="shared" si="617"/>
        <v>6.8720030696440411</v>
      </c>
      <c r="DI503" s="18">
        <f t="shared" si="617"/>
        <v>1.3360929553361098</v>
      </c>
      <c r="DJ503" s="18">
        <f t="shared" si="617"/>
        <v>2.3098427841762756</v>
      </c>
      <c r="DK503" s="18">
        <f t="shared" si="617"/>
        <v>1.5229312326655908</v>
      </c>
      <c r="DL503" s="18">
        <f t="shared" si="617"/>
        <v>4.6345325635658394</v>
      </c>
      <c r="DM503" s="18">
        <f t="shared" si="617"/>
        <v>0.7583610529759246</v>
      </c>
      <c r="DN503" s="56">
        <f t="shared" si="581"/>
        <v>6</v>
      </c>
    </row>
    <row r="504" spans="1:118" x14ac:dyDescent="0.25">
      <c r="A504" s="36" t="str">
        <f>KMeans_Data!A101</f>
        <v>Mirpur</v>
      </c>
      <c r="B504" s="18">
        <f>KMeans_Data!H101</f>
        <v>-0.88131147797298559</v>
      </c>
      <c r="C504" s="18">
        <f>KMeans_Data!I101</f>
        <v>-0.67265054538827607</v>
      </c>
      <c r="D504" s="18">
        <f>KMeans_Data!J101</f>
        <v>-1.1456441163335547</v>
      </c>
      <c r="E504" s="56">
        <f t="shared" ref="E504:E524" si="618">DN504</f>
        <v>2</v>
      </c>
      <c r="F504" s="38">
        <f t="shared" ref="F504:F535" si="619">($B504-INDEX($L$401:$Q$401,E504))^2+($C504-INDEX($L$402:$Q$402,E504))^2+($D504-INDEX($L$403:$Q$403,E504))^2</f>
        <v>0.14695106930244214</v>
      </c>
      <c r="G504" s="18">
        <f>IF(COUNTIF(Distance_Matrix!$E$12:$DQ$12,$E504)&lt;=1,0,SUMIF(Distance_Matrix!$E$12:$DQ$12,$E504,Distance_Matrix!$E$110:$DQ$110)/(COUNTIF(Distance_Matrix!$E$12:$DQ$12,$E504)-1))</f>
        <v>0.54326168366159699</v>
      </c>
      <c r="H504" s="18">
        <f>MIN(IF(1=$E504,1E+99,IF(COUNTIF(Distance_Matrix!$E$12:$DQ$12,1)=0,1E+99,SUMIF(Distance_Matrix!$E$12:$DQ$12,1,Distance_Matrix!$E$110:$DQ$110)/COUNTIF(Distance_Matrix!$E$12:$DQ$12,1))),IF(2=$E504,1E+99,IF(COUNTIF(Distance_Matrix!$E$12:$DQ$12,2)=0,1E+99,SUMIF(Distance_Matrix!$E$12:$DQ$12,2,Distance_Matrix!$E$110:$DQ$110)/COUNTIF(Distance_Matrix!$E$12:$DQ$12,2))),IF(3=$E504,1E+99,IF(COUNTIF(Distance_Matrix!$E$12:$DQ$12,3)=0,1E+99,SUMIF(Distance_Matrix!$E$12:$DQ$12,3,Distance_Matrix!$E$110:$DQ$110)/COUNTIF(Distance_Matrix!$E$12:$DQ$12,3))),IF(4=$E504,1E+99,IF(COUNTIF(Distance_Matrix!$E$12:$DQ$12,4)=0,1E+99,SUMIF(Distance_Matrix!$E$12:$DQ$12,4,Distance_Matrix!$E$110:$DQ$110)/COUNTIF(Distance_Matrix!$E$12:$DQ$12,4))),IF(5=$E504,1E+99,IF(COUNTIF(Distance_Matrix!$E$12:$DQ$12,5)=0,1E+99,SUMIF(Distance_Matrix!$E$12:$DQ$12,5,Distance_Matrix!$E$110:$DQ$110)/COUNTIF(Distance_Matrix!$E$12:$DQ$12,5))),IF(6=$E504,1E+99,IF(COUNTIF(Distance_Matrix!$E$12:$DQ$12,6)=0,1E+99,SUMIF(Distance_Matrix!$E$12:$DQ$12,6,Distance_Matrix!$E$110:$DQ$110)/COUNTIF(Distance_Matrix!$E$12:$DQ$12,6))))</f>
        <v>1.1205925912254084</v>
      </c>
      <c r="I504" s="18">
        <f>IF(COUNTIF(Distance_Matrix!$E$12:$DQ$12,$E504)&lt;=1,0,(H504-G504)/MAX(G504,H504))</f>
        <v>0.51520143188924639</v>
      </c>
      <c r="X504" s="18">
        <f t="shared" si="606"/>
        <v>7.6689619977801469</v>
      </c>
      <c r="Y504" s="18">
        <f t="shared" si="606"/>
        <v>1.198426503830343</v>
      </c>
      <c r="Z504" s="18">
        <f t="shared" si="606"/>
        <v>3.4103119353684268</v>
      </c>
      <c r="AA504" s="18">
        <f t="shared" si="606"/>
        <v>1.6149328167294064</v>
      </c>
      <c r="AB504" s="18">
        <f t="shared" si="606"/>
        <v>5.6314892832805281</v>
      </c>
      <c r="AC504" s="18">
        <f t="shared" si="606"/>
        <v>1.8586634335808718</v>
      </c>
      <c r="AD504" s="56">
        <f t="shared" ref="AD504:AD535" si="620">MATCH(MIN(X504:AC504),X504:AC504,0)</f>
        <v>2</v>
      </c>
      <c r="AF504" s="18">
        <f t="shared" si="607"/>
        <v>7.5390473912889027</v>
      </c>
      <c r="AG504" s="18">
        <f t="shared" si="607"/>
        <v>0.44284199858112494</v>
      </c>
      <c r="AH504" s="18">
        <f t="shared" si="607"/>
        <v>3.06371575099989</v>
      </c>
      <c r="AI504" s="18">
        <f t="shared" si="607"/>
        <v>1.0739331766576907</v>
      </c>
      <c r="AJ504" s="18">
        <f t="shared" si="607"/>
        <v>5.2693719507730306</v>
      </c>
      <c r="AK504" s="18">
        <f t="shared" si="607"/>
        <v>1.4816853302553454</v>
      </c>
      <c r="AL504" s="56">
        <f t="shared" ref="AL504:AL535" si="621">MATCH(MIN(AF504:AK504),AF504:AK504,0)</f>
        <v>2</v>
      </c>
      <c r="AN504" s="18">
        <f t="shared" si="608"/>
        <v>7.5390473912889027</v>
      </c>
      <c r="AO504" s="18">
        <f t="shared" si="608"/>
        <v>0.4036507072257382</v>
      </c>
      <c r="AP504" s="18">
        <f t="shared" si="608"/>
        <v>3.0334107539600588</v>
      </c>
      <c r="AQ504" s="18">
        <f t="shared" si="608"/>
        <v>1.0635530049518185</v>
      </c>
      <c r="AR504" s="18">
        <f t="shared" si="608"/>
        <v>5.2693719507730306</v>
      </c>
      <c r="AS504" s="18">
        <f t="shared" si="608"/>
        <v>1.519557178670226</v>
      </c>
      <c r="AT504" s="56">
        <f t="shared" ref="AT504:AT535" si="622">MATCH(MIN(AN504:AS504),AN504:AS504,0)</f>
        <v>2</v>
      </c>
      <c r="AV504" s="18">
        <f t="shared" si="609"/>
        <v>7.5390473912889027</v>
      </c>
      <c r="AW504" s="18">
        <f t="shared" si="609"/>
        <v>0.39070679536683867</v>
      </c>
      <c r="AX504" s="18">
        <f t="shared" si="609"/>
        <v>3.0334107539600588</v>
      </c>
      <c r="AY504" s="18">
        <f t="shared" si="609"/>
        <v>1.0635530049518185</v>
      </c>
      <c r="AZ504" s="18">
        <f t="shared" si="609"/>
        <v>5.2693719507730306</v>
      </c>
      <c r="BA504" s="18">
        <f t="shared" si="609"/>
        <v>1.5444581763187446</v>
      </c>
      <c r="BB504" s="56">
        <f t="shared" ref="BB504:BB535" si="623">MATCH(MIN(AV504:BA504),AV504:BA504,0)</f>
        <v>2</v>
      </c>
      <c r="BD504" s="18">
        <f t="shared" si="610"/>
        <v>7.5390473912889027</v>
      </c>
      <c r="BE504" s="18">
        <f t="shared" si="610"/>
        <v>0.38334197435506867</v>
      </c>
      <c r="BF504" s="18">
        <f t="shared" si="610"/>
        <v>3.0334107539600588</v>
      </c>
      <c r="BG504" s="18">
        <f t="shared" si="610"/>
        <v>1.0635530049518185</v>
      </c>
      <c r="BH504" s="18">
        <f t="shared" si="610"/>
        <v>5.2693719507730306</v>
      </c>
      <c r="BI504" s="18">
        <f t="shared" si="610"/>
        <v>1.5692746168076888</v>
      </c>
      <c r="BJ504" s="56">
        <f t="shared" ref="BJ504:BJ535" si="624">MATCH(MIN(BD504:BI504),BD504:BI504,0)</f>
        <v>2</v>
      </c>
      <c r="BL504" s="18">
        <f t="shared" si="611"/>
        <v>7.5390473912889027</v>
      </c>
      <c r="BM504" s="18">
        <f t="shared" si="611"/>
        <v>0.38334197435506867</v>
      </c>
      <c r="BN504" s="18">
        <f t="shared" si="611"/>
        <v>3.0334107539600588</v>
      </c>
      <c r="BO504" s="18">
        <f t="shared" si="611"/>
        <v>1.0635530049518185</v>
      </c>
      <c r="BP504" s="18">
        <f t="shared" si="611"/>
        <v>5.2693719507730306</v>
      </c>
      <c r="BQ504" s="18">
        <f t="shared" si="611"/>
        <v>1.5692746168076888</v>
      </c>
      <c r="BR504" s="56">
        <f t="shared" ref="BR504:BR535" si="625">MATCH(MIN(BL504:BQ504),BL504:BQ504,0)</f>
        <v>2</v>
      </c>
      <c r="BT504" s="18">
        <f t="shared" si="612"/>
        <v>7.5390473912889027</v>
      </c>
      <c r="BU504" s="18">
        <f t="shared" si="612"/>
        <v>0.38334197435506867</v>
      </c>
      <c r="BV504" s="18">
        <f t="shared" si="612"/>
        <v>3.0334107539600588</v>
      </c>
      <c r="BW504" s="18">
        <f t="shared" si="612"/>
        <v>1.0635530049518185</v>
      </c>
      <c r="BX504" s="18">
        <f t="shared" si="612"/>
        <v>5.2693719507730306</v>
      </c>
      <c r="BY504" s="18">
        <f t="shared" si="612"/>
        <v>1.5692746168076888</v>
      </c>
      <c r="BZ504" s="56">
        <f t="shared" ref="BZ504:BZ535" si="626">MATCH(MIN(BT504:BY504),BT504:BY504,0)</f>
        <v>2</v>
      </c>
      <c r="CB504" s="18">
        <f t="shared" si="613"/>
        <v>7.5390473912889027</v>
      </c>
      <c r="CC504" s="18">
        <f t="shared" si="613"/>
        <v>0.38334197435506867</v>
      </c>
      <c r="CD504" s="18">
        <f t="shared" si="613"/>
        <v>3.0334107539600588</v>
      </c>
      <c r="CE504" s="18">
        <f t="shared" si="613"/>
        <v>1.0635530049518185</v>
      </c>
      <c r="CF504" s="18">
        <f t="shared" si="613"/>
        <v>5.2693719507730306</v>
      </c>
      <c r="CG504" s="18">
        <f t="shared" si="613"/>
        <v>1.5692746168076888</v>
      </c>
      <c r="CH504" s="56">
        <f t="shared" ref="CH504:CH535" si="627">MATCH(MIN(CB504:CG504),CB504:CG504,0)</f>
        <v>2</v>
      </c>
      <c r="CJ504" s="18">
        <f t="shared" si="614"/>
        <v>7.5390473912889027</v>
      </c>
      <c r="CK504" s="18">
        <f t="shared" si="614"/>
        <v>0.38334197435506867</v>
      </c>
      <c r="CL504" s="18">
        <f t="shared" si="614"/>
        <v>3.0334107539600588</v>
      </c>
      <c r="CM504" s="18">
        <f t="shared" si="614"/>
        <v>1.0635530049518185</v>
      </c>
      <c r="CN504" s="18">
        <f t="shared" si="614"/>
        <v>5.2693719507730306</v>
      </c>
      <c r="CO504" s="18">
        <f t="shared" si="614"/>
        <v>1.5692746168076888</v>
      </c>
      <c r="CP504" s="56">
        <f t="shared" ref="CP504:CP535" si="628">MATCH(MIN(CJ504:CO504),CJ504:CO504,0)</f>
        <v>2</v>
      </c>
      <c r="CR504" s="18">
        <f t="shared" si="615"/>
        <v>7.5390473912889027</v>
      </c>
      <c r="CS504" s="18">
        <f t="shared" si="615"/>
        <v>0.38334197435506867</v>
      </c>
      <c r="CT504" s="18">
        <f t="shared" si="615"/>
        <v>3.0334107539600588</v>
      </c>
      <c r="CU504" s="18">
        <f t="shared" si="615"/>
        <v>1.0635530049518185</v>
      </c>
      <c r="CV504" s="18">
        <f t="shared" si="615"/>
        <v>5.2693719507730306</v>
      </c>
      <c r="CW504" s="18">
        <f t="shared" si="615"/>
        <v>1.5692746168076888</v>
      </c>
      <c r="CX504" s="56">
        <f t="shared" ref="CX504:CX535" si="629">MATCH(MIN(CR504:CW504),CR504:CW504,0)</f>
        <v>2</v>
      </c>
      <c r="CZ504" s="18">
        <f t="shared" si="616"/>
        <v>7.5390473912889027</v>
      </c>
      <c r="DA504" s="18">
        <f t="shared" si="616"/>
        <v>0.38334197435506867</v>
      </c>
      <c r="DB504" s="18">
        <f t="shared" si="616"/>
        <v>3.0334107539600588</v>
      </c>
      <c r="DC504" s="18">
        <f t="shared" si="616"/>
        <v>1.0635530049518185</v>
      </c>
      <c r="DD504" s="18">
        <f t="shared" si="616"/>
        <v>5.2693719507730306</v>
      </c>
      <c r="DE504" s="18">
        <f t="shared" si="616"/>
        <v>1.5692746168076888</v>
      </c>
      <c r="DF504" s="56">
        <f t="shared" ref="DF504:DF535" si="630">MATCH(MIN(CZ504:DE504),CZ504:DE504,0)</f>
        <v>2</v>
      </c>
      <c r="DH504" s="18">
        <f t="shared" si="617"/>
        <v>7.5390473912889027</v>
      </c>
      <c r="DI504" s="18">
        <f t="shared" si="617"/>
        <v>0.38334197435506867</v>
      </c>
      <c r="DJ504" s="18">
        <f t="shared" si="617"/>
        <v>3.0334107539600588</v>
      </c>
      <c r="DK504" s="18">
        <f t="shared" si="617"/>
        <v>1.0635530049518185</v>
      </c>
      <c r="DL504" s="18">
        <f t="shared" si="617"/>
        <v>5.2693719507730306</v>
      </c>
      <c r="DM504" s="18">
        <f t="shared" si="617"/>
        <v>1.5692746168076888</v>
      </c>
      <c r="DN504" s="56">
        <f t="shared" ref="DN504:DN535" si="631">MATCH(MIN(DH504:DM504),DH504:DM504,0)</f>
        <v>2</v>
      </c>
    </row>
    <row r="505" spans="1:118" x14ac:dyDescent="0.25">
      <c r="A505" s="36" t="str">
        <f>KMeans_Data!A102</f>
        <v>Tank</v>
      </c>
      <c r="B505" s="18">
        <f>KMeans_Data!H102</f>
        <v>-0.9361484674096654</v>
      </c>
      <c r="C505" s="18">
        <f>KMeans_Data!I102</f>
        <v>-0.67265054538827607</v>
      </c>
      <c r="D505" s="18">
        <f>KMeans_Data!J102</f>
        <v>-3.44812518432112E-2</v>
      </c>
      <c r="E505" s="56">
        <f t="shared" si="618"/>
        <v>6</v>
      </c>
      <c r="F505" s="38">
        <f t="shared" si="619"/>
        <v>0.7220265095060302</v>
      </c>
      <c r="G505" s="18">
        <f>IF(COUNTIF(Distance_Matrix!$E$12:$DQ$12,$E505)&lt;=1,0,SUMIF(Distance_Matrix!$E$12:$DQ$12,$E505,Distance_Matrix!$E$111:$DQ$111)/(COUNTIF(Distance_Matrix!$E$12:$DQ$12,$E505)-1))</f>
        <v>1.0009535729679342</v>
      </c>
      <c r="H505" s="18">
        <f>MIN(IF(1=$E505,1E+99,IF(COUNTIF(Distance_Matrix!$E$12:$DQ$12,1)=0,1E+99,SUMIF(Distance_Matrix!$E$12:$DQ$12,1,Distance_Matrix!$E$111:$DQ$111)/COUNTIF(Distance_Matrix!$E$12:$DQ$12,1))),IF(2=$E505,1E+99,IF(COUNTIF(Distance_Matrix!$E$12:$DQ$12,2)=0,1E+99,SUMIF(Distance_Matrix!$E$12:$DQ$12,2,Distance_Matrix!$E$111:$DQ$111)/COUNTIF(Distance_Matrix!$E$12:$DQ$12,2))),IF(3=$E505,1E+99,IF(COUNTIF(Distance_Matrix!$E$12:$DQ$12,3)=0,1E+99,SUMIF(Distance_Matrix!$E$12:$DQ$12,3,Distance_Matrix!$E$111:$DQ$111)/COUNTIF(Distance_Matrix!$E$12:$DQ$12,3))),IF(4=$E505,1E+99,IF(COUNTIF(Distance_Matrix!$E$12:$DQ$12,4)=0,1E+99,SUMIF(Distance_Matrix!$E$12:$DQ$12,4,Distance_Matrix!$E$111:$DQ$111)/COUNTIF(Distance_Matrix!$E$12:$DQ$12,4))),IF(5=$E505,1E+99,IF(COUNTIF(Distance_Matrix!$E$12:$DQ$12,5)=0,1E+99,SUMIF(Distance_Matrix!$E$12:$DQ$12,5,Distance_Matrix!$E$111:$DQ$111)/COUNTIF(Distance_Matrix!$E$12:$DQ$12,5))),IF(6=$E505,1E+99,IF(COUNTIF(Distance_Matrix!$E$12:$DQ$12,6)=0,1E+99,SUMIF(Distance_Matrix!$E$12:$DQ$12,6,Distance_Matrix!$E$111:$DQ$111)/COUNTIF(Distance_Matrix!$E$12:$DQ$12,6))))</f>
        <v>1.1028320788231623</v>
      </c>
      <c r="I505" s="18">
        <f>IF(COUNTIF(Distance_Matrix!$E$12:$DQ$12,$E505)&lt;=1,0,(H505-G505)/MAX(G505,H505))</f>
        <v>9.2378982994349546E-2</v>
      </c>
      <c r="X505" s="18">
        <f t="shared" si="606"/>
        <v>7.1226294067257934</v>
      </c>
      <c r="Y505" s="18">
        <f t="shared" si="606"/>
        <v>1.5945155655726664</v>
      </c>
      <c r="Z505" s="18">
        <f t="shared" si="606"/>
        <v>2.6952979135147523</v>
      </c>
      <c r="AA505" s="18">
        <f t="shared" si="606"/>
        <v>2.0032894147356153</v>
      </c>
      <c r="AB505" s="18">
        <f t="shared" si="606"/>
        <v>5.0486834822094453</v>
      </c>
      <c r="AC505" s="18">
        <f t="shared" si="606"/>
        <v>0.87679540429221847</v>
      </c>
      <c r="AD505" s="56">
        <f t="shared" si="620"/>
        <v>6</v>
      </c>
      <c r="AF505" s="18">
        <f t="shared" si="607"/>
        <v>7.0278438898168121</v>
      </c>
      <c r="AG505" s="18">
        <f t="shared" si="607"/>
        <v>1.1288701086517752</v>
      </c>
      <c r="AH505" s="18">
        <f t="shared" si="607"/>
        <v>2.4816280803672641</v>
      </c>
      <c r="AI505" s="18">
        <f t="shared" si="607"/>
        <v>1.3633215906240854</v>
      </c>
      <c r="AJ505" s="18">
        <f t="shared" si="607"/>
        <v>4.7760450912769814</v>
      </c>
      <c r="AK505" s="18">
        <f t="shared" si="607"/>
        <v>0.75720343982085747</v>
      </c>
      <c r="AL505" s="56">
        <f t="shared" si="621"/>
        <v>6</v>
      </c>
      <c r="AN505" s="18">
        <f t="shared" si="608"/>
        <v>7.0278438898168121</v>
      </c>
      <c r="AO505" s="18">
        <f t="shared" si="608"/>
        <v>1.0943750380658661</v>
      </c>
      <c r="AP505" s="18">
        <f t="shared" si="608"/>
        <v>2.4504375459841539</v>
      </c>
      <c r="AQ505" s="18">
        <f t="shared" si="608"/>
        <v>1.3597168585393795</v>
      </c>
      <c r="AR505" s="18">
        <f t="shared" si="608"/>
        <v>4.7760450912769814</v>
      </c>
      <c r="AS505" s="18">
        <f t="shared" si="608"/>
        <v>0.80068739824626256</v>
      </c>
      <c r="AT505" s="56">
        <f t="shared" si="622"/>
        <v>6</v>
      </c>
      <c r="AV505" s="18">
        <f t="shared" si="609"/>
        <v>7.0278438898168121</v>
      </c>
      <c r="AW505" s="18">
        <f t="shared" si="609"/>
        <v>1.0638772843617237</v>
      </c>
      <c r="AX505" s="18">
        <f t="shared" si="609"/>
        <v>2.4504375459841539</v>
      </c>
      <c r="AY505" s="18">
        <f t="shared" si="609"/>
        <v>1.3597168585393795</v>
      </c>
      <c r="AZ505" s="18">
        <f t="shared" si="609"/>
        <v>4.7760450912769814</v>
      </c>
      <c r="BA505" s="18">
        <f t="shared" si="609"/>
        <v>0.82417028218422483</v>
      </c>
      <c r="BB505" s="56">
        <f t="shared" si="623"/>
        <v>6</v>
      </c>
      <c r="BD505" s="18">
        <f t="shared" si="610"/>
        <v>7.0278438898168121</v>
      </c>
      <c r="BE505" s="18">
        <f t="shared" si="610"/>
        <v>1.0332330693248326</v>
      </c>
      <c r="BF505" s="18">
        <f t="shared" si="610"/>
        <v>2.4504375459841539</v>
      </c>
      <c r="BG505" s="18">
        <f t="shared" si="610"/>
        <v>1.3597168585393795</v>
      </c>
      <c r="BH505" s="18">
        <f t="shared" si="610"/>
        <v>4.7760450912769814</v>
      </c>
      <c r="BI505" s="18">
        <f t="shared" si="610"/>
        <v>0.84972143053240112</v>
      </c>
      <c r="BJ505" s="56">
        <f t="shared" si="624"/>
        <v>6</v>
      </c>
      <c r="BL505" s="18">
        <f t="shared" si="611"/>
        <v>7.0278438898168121</v>
      </c>
      <c r="BM505" s="18">
        <f t="shared" si="611"/>
        <v>1.0332330693248326</v>
      </c>
      <c r="BN505" s="18">
        <f t="shared" si="611"/>
        <v>2.4504375459841539</v>
      </c>
      <c r="BO505" s="18">
        <f t="shared" si="611"/>
        <v>1.3597168585393795</v>
      </c>
      <c r="BP505" s="18">
        <f t="shared" si="611"/>
        <v>4.7760450912769814</v>
      </c>
      <c r="BQ505" s="18">
        <f t="shared" si="611"/>
        <v>0.84972143053240112</v>
      </c>
      <c r="BR505" s="56">
        <f t="shared" si="625"/>
        <v>6</v>
      </c>
      <c r="BT505" s="18">
        <f t="shared" si="612"/>
        <v>7.0278438898168121</v>
      </c>
      <c r="BU505" s="18">
        <f t="shared" si="612"/>
        <v>1.0332330693248326</v>
      </c>
      <c r="BV505" s="18">
        <f t="shared" si="612"/>
        <v>2.4504375459841539</v>
      </c>
      <c r="BW505" s="18">
        <f t="shared" si="612"/>
        <v>1.3597168585393795</v>
      </c>
      <c r="BX505" s="18">
        <f t="shared" si="612"/>
        <v>4.7760450912769814</v>
      </c>
      <c r="BY505" s="18">
        <f t="shared" si="612"/>
        <v>0.84972143053240112</v>
      </c>
      <c r="BZ505" s="56">
        <f t="shared" si="626"/>
        <v>6</v>
      </c>
      <c r="CB505" s="18">
        <f t="shared" si="613"/>
        <v>7.0278438898168121</v>
      </c>
      <c r="CC505" s="18">
        <f t="shared" si="613"/>
        <v>1.0332330693248326</v>
      </c>
      <c r="CD505" s="18">
        <f t="shared" si="613"/>
        <v>2.4504375459841539</v>
      </c>
      <c r="CE505" s="18">
        <f t="shared" si="613"/>
        <v>1.3597168585393795</v>
      </c>
      <c r="CF505" s="18">
        <f t="shared" si="613"/>
        <v>4.7760450912769814</v>
      </c>
      <c r="CG505" s="18">
        <f t="shared" si="613"/>
        <v>0.84972143053240112</v>
      </c>
      <c r="CH505" s="56">
        <f t="shared" si="627"/>
        <v>6</v>
      </c>
      <c r="CJ505" s="18">
        <f t="shared" si="614"/>
        <v>7.0278438898168121</v>
      </c>
      <c r="CK505" s="18">
        <f t="shared" si="614"/>
        <v>1.0332330693248326</v>
      </c>
      <c r="CL505" s="18">
        <f t="shared" si="614"/>
        <v>2.4504375459841539</v>
      </c>
      <c r="CM505" s="18">
        <f t="shared" si="614"/>
        <v>1.3597168585393795</v>
      </c>
      <c r="CN505" s="18">
        <f t="shared" si="614"/>
        <v>4.7760450912769814</v>
      </c>
      <c r="CO505" s="18">
        <f t="shared" si="614"/>
        <v>0.84972143053240112</v>
      </c>
      <c r="CP505" s="56">
        <f t="shared" si="628"/>
        <v>6</v>
      </c>
      <c r="CR505" s="18">
        <f t="shared" si="615"/>
        <v>7.0278438898168121</v>
      </c>
      <c r="CS505" s="18">
        <f t="shared" si="615"/>
        <v>1.0332330693248326</v>
      </c>
      <c r="CT505" s="18">
        <f t="shared" si="615"/>
        <v>2.4504375459841539</v>
      </c>
      <c r="CU505" s="18">
        <f t="shared" si="615"/>
        <v>1.3597168585393795</v>
      </c>
      <c r="CV505" s="18">
        <f t="shared" si="615"/>
        <v>4.7760450912769814</v>
      </c>
      <c r="CW505" s="18">
        <f t="shared" si="615"/>
        <v>0.84972143053240112</v>
      </c>
      <c r="CX505" s="56">
        <f t="shared" si="629"/>
        <v>6</v>
      </c>
      <c r="CZ505" s="18">
        <f t="shared" si="616"/>
        <v>7.0278438898168121</v>
      </c>
      <c r="DA505" s="18">
        <f t="shared" si="616"/>
        <v>1.0332330693248326</v>
      </c>
      <c r="DB505" s="18">
        <f t="shared" si="616"/>
        <v>2.4504375459841539</v>
      </c>
      <c r="DC505" s="18">
        <f t="shared" si="616"/>
        <v>1.3597168585393795</v>
      </c>
      <c r="DD505" s="18">
        <f t="shared" si="616"/>
        <v>4.7760450912769814</v>
      </c>
      <c r="DE505" s="18">
        <f t="shared" si="616"/>
        <v>0.84972143053240112</v>
      </c>
      <c r="DF505" s="56">
        <f t="shared" si="630"/>
        <v>6</v>
      </c>
      <c r="DH505" s="18">
        <f t="shared" si="617"/>
        <v>7.0278438898168121</v>
      </c>
      <c r="DI505" s="18">
        <f t="shared" si="617"/>
        <v>1.0332330693248326</v>
      </c>
      <c r="DJ505" s="18">
        <f t="shared" si="617"/>
        <v>2.4504375459841539</v>
      </c>
      <c r="DK505" s="18">
        <f t="shared" si="617"/>
        <v>1.3597168585393795</v>
      </c>
      <c r="DL505" s="18">
        <f t="shared" si="617"/>
        <v>4.7760450912769814</v>
      </c>
      <c r="DM505" s="18">
        <f t="shared" si="617"/>
        <v>0.84972143053240112</v>
      </c>
      <c r="DN505" s="56">
        <f t="shared" si="631"/>
        <v>6</v>
      </c>
    </row>
    <row r="506" spans="1:118" x14ac:dyDescent="0.25">
      <c r="A506" s="36" t="str">
        <f>KMeans_Data!A103</f>
        <v>Sahiwal</v>
      </c>
      <c r="B506" s="18">
        <f>KMeans_Data!H103</f>
        <v>-0.9361484674096654</v>
      </c>
      <c r="C506" s="18">
        <f>KMeans_Data!I103</f>
        <v>-0.67265054538827607</v>
      </c>
      <c r="D506" s="18">
        <f>KMeans_Data!J103</f>
        <v>-1.1456441163335547</v>
      </c>
      <c r="E506" s="56">
        <f t="shared" si="618"/>
        <v>2</v>
      </c>
      <c r="F506" s="38">
        <f t="shared" si="619"/>
        <v>0.11026381645909288</v>
      </c>
      <c r="G506" s="18">
        <f>IF(COUNTIF(Distance_Matrix!$E$12:$DQ$12,$E506)&lt;=1,0,SUMIF(Distance_Matrix!$E$12:$DQ$12,$E506,Distance_Matrix!$E$112:$DQ$112)/(COUNTIF(Distance_Matrix!$E$12:$DQ$12,$E506)-1))</f>
        <v>0.51898418036486405</v>
      </c>
      <c r="H506" s="18">
        <f>MIN(IF(1=$E506,1E+99,IF(COUNTIF(Distance_Matrix!$E$12:$DQ$12,1)=0,1E+99,SUMIF(Distance_Matrix!$E$12:$DQ$12,1,Distance_Matrix!$E$112:$DQ$112)/COUNTIF(Distance_Matrix!$E$12:$DQ$12,1))),IF(2=$E506,1E+99,IF(COUNTIF(Distance_Matrix!$E$12:$DQ$12,2)=0,1E+99,SUMIF(Distance_Matrix!$E$12:$DQ$12,2,Distance_Matrix!$E$112:$DQ$112)/COUNTIF(Distance_Matrix!$E$12:$DQ$12,2))),IF(3=$E506,1E+99,IF(COUNTIF(Distance_Matrix!$E$12:$DQ$12,3)=0,1E+99,SUMIF(Distance_Matrix!$E$12:$DQ$12,3,Distance_Matrix!$E$112:$DQ$112)/COUNTIF(Distance_Matrix!$E$12:$DQ$12,3))),IF(4=$E506,1E+99,IF(COUNTIF(Distance_Matrix!$E$12:$DQ$12,4)=0,1E+99,SUMIF(Distance_Matrix!$E$12:$DQ$12,4,Distance_Matrix!$E$112:$DQ$112)/COUNTIF(Distance_Matrix!$E$12:$DQ$12,4))),IF(5=$E506,1E+99,IF(COUNTIF(Distance_Matrix!$E$12:$DQ$12,5)=0,1E+99,SUMIF(Distance_Matrix!$E$12:$DQ$12,5,Distance_Matrix!$E$112:$DQ$112)/COUNTIF(Distance_Matrix!$E$12:$DQ$12,5))),IF(6=$E506,1E+99,IF(COUNTIF(Distance_Matrix!$E$12:$DQ$12,6)=0,1E+99,SUMIF(Distance_Matrix!$E$12:$DQ$12,6,Distance_Matrix!$E$112:$DQ$112)/COUNTIF(Distance_Matrix!$E$12:$DQ$12,6))))</f>
        <v>1.1707301742059573</v>
      </c>
      <c r="I506" s="18">
        <f>IF(COUNTIF(Distance_Matrix!$E$12:$DQ$12,$E506)&lt;=1,0,(H506-G506)/MAX(G506,H506))</f>
        <v>0.55670043208985975</v>
      </c>
      <c r="X506" s="18">
        <f t="shared" si="606"/>
        <v>7.6988147546876338</v>
      </c>
      <c r="Y506" s="18">
        <f t="shared" si="606"/>
        <v>1.1435895143936632</v>
      </c>
      <c r="Z506" s="18">
        <f t="shared" si="606"/>
        <v>3.4414619554110497</v>
      </c>
      <c r="AA506" s="18">
        <f t="shared" si="606"/>
        <v>1.6668789901397698</v>
      </c>
      <c r="AB506" s="18">
        <f t="shared" si="606"/>
        <v>5.6632731880532097</v>
      </c>
      <c r="AC506" s="18">
        <f t="shared" si="606"/>
        <v>1.8646295527293413</v>
      </c>
      <c r="AD506" s="56">
        <f t="shared" si="620"/>
        <v>2</v>
      </c>
      <c r="AF506" s="18">
        <f t="shared" si="607"/>
        <v>7.5693250262882046</v>
      </c>
      <c r="AG506" s="18">
        <f t="shared" si="607"/>
        <v>0.38848990074062745</v>
      </c>
      <c r="AH506" s="18">
        <f t="shared" si="607"/>
        <v>3.0936172824110009</v>
      </c>
      <c r="AI506" s="18">
        <f t="shared" si="607"/>
        <v>1.126396561098312</v>
      </c>
      <c r="AJ506" s="18">
        <f t="shared" si="607"/>
        <v>5.3005249613884615</v>
      </c>
      <c r="AK506" s="18">
        <f t="shared" si="607"/>
        <v>1.505326987268669</v>
      </c>
      <c r="AL506" s="56">
        <f t="shared" si="621"/>
        <v>2</v>
      </c>
      <c r="AN506" s="18">
        <f t="shared" si="608"/>
        <v>7.5693250262882046</v>
      </c>
      <c r="AO506" s="18">
        <f t="shared" si="608"/>
        <v>0.34991024785213587</v>
      </c>
      <c r="AP506" s="18">
        <f t="shared" si="608"/>
        <v>3.0631121988340557</v>
      </c>
      <c r="AQ506" s="18">
        <f t="shared" si="608"/>
        <v>1.11622681659834</v>
      </c>
      <c r="AR506" s="18">
        <f t="shared" si="608"/>
        <v>5.3005249613884615</v>
      </c>
      <c r="AS506" s="18">
        <f t="shared" si="608"/>
        <v>1.5440295764424199</v>
      </c>
      <c r="AT506" s="56">
        <f t="shared" si="622"/>
        <v>2</v>
      </c>
      <c r="AV506" s="18">
        <f t="shared" si="609"/>
        <v>7.5693250262882046</v>
      </c>
      <c r="AW506" s="18">
        <f t="shared" si="609"/>
        <v>0.33797720559453642</v>
      </c>
      <c r="AX506" s="18">
        <f t="shared" si="609"/>
        <v>3.0631121988340557</v>
      </c>
      <c r="AY506" s="18">
        <f t="shared" si="609"/>
        <v>1.11622681659834</v>
      </c>
      <c r="AZ506" s="18">
        <f t="shared" si="609"/>
        <v>5.3005249613884615</v>
      </c>
      <c r="BA506" s="18">
        <f t="shared" si="609"/>
        <v>1.5691366398053597</v>
      </c>
      <c r="BB506" s="56">
        <f t="shared" si="623"/>
        <v>2</v>
      </c>
      <c r="BD506" s="18">
        <f t="shared" si="610"/>
        <v>7.5693250262882046</v>
      </c>
      <c r="BE506" s="18">
        <f t="shared" si="610"/>
        <v>0.33205995913252306</v>
      </c>
      <c r="BF506" s="18">
        <f t="shared" si="610"/>
        <v>3.0631121988340557</v>
      </c>
      <c r="BG506" s="18">
        <f t="shared" si="610"/>
        <v>1.11622681659834</v>
      </c>
      <c r="BH506" s="18">
        <f t="shared" si="610"/>
        <v>5.3005249613884615</v>
      </c>
      <c r="BI506" s="18">
        <f t="shared" si="610"/>
        <v>1.594239248721389</v>
      </c>
      <c r="BJ506" s="56">
        <f t="shared" si="624"/>
        <v>2</v>
      </c>
      <c r="BL506" s="18">
        <f t="shared" si="611"/>
        <v>7.5693250262882046</v>
      </c>
      <c r="BM506" s="18">
        <f t="shared" si="611"/>
        <v>0.33205995913252306</v>
      </c>
      <c r="BN506" s="18">
        <f t="shared" si="611"/>
        <v>3.0631121988340557</v>
      </c>
      <c r="BO506" s="18">
        <f t="shared" si="611"/>
        <v>1.11622681659834</v>
      </c>
      <c r="BP506" s="18">
        <f t="shared" si="611"/>
        <v>5.3005249613884615</v>
      </c>
      <c r="BQ506" s="18">
        <f t="shared" si="611"/>
        <v>1.594239248721389</v>
      </c>
      <c r="BR506" s="56">
        <f t="shared" si="625"/>
        <v>2</v>
      </c>
      <c r="BT506" s="18">
        <f t="shared" si="612"/>
        <v>7.5693250262882046</v>
      </c>
      <c r="BU506" s="18">
        <f t="shared" si="612"/>
        <v>0.33205995913252306</v>
      </c>
      <c r="BV506" s="18">
        <f t="shared" si="612"/>
        <v>3.0631121988340557</v>
      </c>
      <c r="BW506" s="18">
        <f t="shared" si="612"/>
        <v>1.11622681659834</v>
      </c>
      <c r="BX506" s="18">
        <f t="shared" si="612"/>
        <v>5.3005249613884615</v>
      </c>
      <c r="BY506" s="18">
        <f t="shared" si="612"/>
        <v>1.594239248721389</v>
      </c>
      <c r="BZ506" s="56">
        <f t="shared" si="626"/>
        <v>2</v>
      </c>
      <c r="CB506" s="18">
        <f t="shared" si="613"/>
        <v>7.5693250262882046</v>
      </c>
      <c r="CC506" s="18">
        <f t="shared" si="613"/>
        <v>0.33205995913252306</v>
      </c>
      <c r="CD506" s="18">
        <f t="shared" si="613"/>
        <v>3.0631121988340557</v>
      </c>
      <c r="CE506" s="18">
        <f t="shared" si="613"/>
        <v>1.11622681659834</v>
      </c>
      <c r="CF506" s="18">
        <f t="shared" si="613"/>
        <v>5.3005249613884615</v>
      </c>
      <c r="CG506" s="18">
        <f t="shared" si="613"/>
        <v>1.594239248721389</v>
      </c>
      <c r="CH506" s="56">
        <f t="shared" si="627"/>
        <v>2</v>
      </c>
      <c r="CJ506" s="18">
        <f t="shared" si="614"/>
        <v>7.5693250262882046</v>
      </c>
      <c r="CK506" s="18">
        <f t="shared" si="614"/>
        <v>0.33205995913252306</v>
      </c>
      <c r="CL506" s="18">
        <f t="shared" si="614"/>
        <v>3.0631121988340557</v>
      </c>
      <c r="CM506" s="18">
        <f t="shared" si="614"/>
        <v>1.11622681659834</v>
      </c>
      <c r="CN506" s="18">
        <f t="shared" si="614"/>
        <v>5.3005249613884615</v>
      </c>
      <c r="CO506" s="18">
        <f t="shared" si="614"/>
        <v>1.594239248721389</v>
      </c>
      <c r="CP506" s="56">
        <f t="shared" si="628"/>
        <v>2</v>
      </c>
      <c r="CR506" s="18">
        <f t="shared" si="615"/>
        <v>7.5693250262882046</v>
      </c>
      <c r="CS506" s="18">
        <f t="shared" si="615"/>
        <v>0.33205995913252306</v>
      </c>
      <c r="CT506" s="18">
        <f t="shared" si="615"/>
        <v>3.0631121988340557</v>
      </c>
      <c r="CU506" s="18">
        <f t="shared" si="615"/>
        <v>1.11622681659834</v>
      </c>
      <c r="CV506" s="18">
        <f t="shared" si="615"/>
        <v>5.3005249613884615</v>
      </c>
      <c r="CW506" s="18">
        <f t="shared" si="615"/>
        <v>1.594239248721389</v>
      </c>
      <c r="CX506" s="56">
        <f t="shared" si="629"/>
        <v>2</v>
      </c>
      <c r="CZ506" s="18">
        <f t="shared" si="616"/>
        <v>7.5693250262882046</v>
      </c>
      <c r="DA506" s="18">
        <f t="shared" si="616"/>
        <v>0.33205995913252306</v>
      </c>
      <c r="DB506" s="18">
        <f t="shared" si="616"/>
        <v>3.0631121988340557</v>
      </c>
      <c r="DC506" s="18">
        <f t="shared" si="616"/>
        <v>1.11622681659834</v>
      </c>
      <c r="DD506" s="18">
        <f t="shared" si="616"/>
        <v>5.3005249613884615</v>
      </c>
      <c r="DE506" s="18">
        <f t="shared" si="616"/>
        <v>1.594239248721389</v>
      </c>
      <c r="DF506" s="56">
        <f t="shared" si="630"/>
        <v>2</v>
      </c>
      <c r="DH506" s="18">
        <f t="shared" si="617"/>
        <v>7.5693250262882046</v>
      </c>
      <c r="DI506" s="18">
        <f t="shared" si="617"/>
        <v>0.33205995913252306</v>
      </c>
      <c r="DJ506" s="18">
        <f t="shared" si="617"/>
        <v>3.0631121988340557</v>
      </c>
      <c r="DK506" s="18">
        <f t="shared" si="617"/>
        <v>1.11622681659834</v>
      </c>
      <c r="DL506" s="18">
        <f t="shared" si="617"/>
        <v>5.3005249613884615</v>
      </c>
      <c r="DM506" s="18">
        <f t="shared" si="617"/>
        <v>1.594239248721389</v>
      </c>
      <c r="DN506" s="56">
        <f t="shared" si="631"/>
        <v>2</v>
      </c>
    </row>
    <row r="507" spans="1:118" x14ac:dyDescent="0.25">
      <c r="A507" s="36" t="str">
        <f>KMeans_Data!A104</f>
        <v>Chiniot</v>
      </c>
      <c r="B507" s="18">
        <f>KMeans_Data!H104</f>
        <v>-0.9361484674096654</v>
      </c>
      <c r="C507" s="18">
        <f>KMeans_Data!I104</f>
        <v>-0.67265054538827607</v>
      </c>
      <c r="D507" s="18">
        <f>KMeans_Data!J104</f>
        <v>-1.1456441163335547</v>
      </c>
      <c r="E507" s="56">
        <f t="shared" si="618"/>
        <v>2</v>
      </c>
      <c r="F507" s="38">
        <f t="shared" si="619"/>
        <v>0.11026381645909288</v>
      </c>
      <c r="G507" s="18">
        <f>IF(COUNTIF(Distance_Matrix!$E$12:$DQ$12,$E507)&lt;=1,0,SUMIF(Distance_Matrix!$E$12:$DQ$12,$E507,Distance_Matrix!$E$113:$DQ$113)/(COUNTIF(Distance_Matrix!$E$12:$DQ$12,$E507)-1))</f>
        <v>0.51898418036486405</v>
      </c>
      <c r="H507" s="18">
        <f>MIN(IF(1=$E507,1E+99,IF(COUNTIF(Distance_Matrix!$E$12:$DQ$12,1)=0,1E+99,SUMIF(Distance_Matrix!$E$12:$DQ$12,1,Distance_Matrix!$E$113:$DQ$113)/COUNTIF(Distance_Matrix!$E$12:$DQ$12,1))),IF(2=$E507,1E+99,IF(COUNTIF(Distance_Matrix!$E$12:$DQ$12,2)=0,1E+99,SUMIF(Distance_Matrix!$E$12:$DQ$12,2,Distance_Matrix!$E$113:$DQ$113)/COUNTIF(Distance_Matrix!$E$12:$DQ$12,2))),IF(3=$E507,1E+99,IF(COUNTIF(Distance_Matrix!$E$12:$DQ$12,3)=0,1E+99,SUMIF(Distance_Matrix!$E$12:$DQ$12,3,Distance_Matrix!$E$113:$DQ$113)/COUNTIF(Distance_Matrix!$E$12:$DQ$12,3))),IF(4=$E507,1E+99,IF(COUNTIF(Distance_Matrix!$E$12:$DQ$12,4)=0,1E+99,SUMIF(Distance_Matrix!$E$12:$DQ$12,4,Distance_Matrix!$E$113:$DQ$113)/COUNTIF(Distance_Matrix!$E$12:$DQ$12,4))),IF(5=$E507,1E+99,IF(COUNTIF(Distance_Matrix!$E$12:$DQ$12,5)=0,1E+99,SUMIF(Distance_Matrix!$E$12:$DQ$12,5,Distance_Matrix!$E$113:$DQ$113)/COUNTIF(Distance_Matrix!$E$12:$DQ$12,5))),IF(6=$E507,1E+99,IF(COUNTIF(Distance_Matrix!$E$12:$DQ$12,6)=0,1E+99,SUMIF(Distance_Matrix!$E$12:$DQ$12,6,Distance_Matrix!$E$113:$DQ$113)/COUNTIF(Distance_Matrix!$E$12:$DQ$12,6))))</f>
        <v>1.1707301742059573</v>
      </c>
      <c r="I507" s="18">
        <f>IF(COUNTIF(Distance_Matrix!$E$12:$DQ$12,$E507)&lt;=1,0,(H507-G507)/MAX(G507,H507))</f>
        <v>0.55670043208985975</v>
      </c>
      <c r="X507" s="18">
        <f t="shared" si="606"/>
        <v>7.6988147546876338</v>
      </c>
      <c r="Y507" s="18">
        <f t="shared" si="606"/>
        <v>1.1435895143936632</v>
      </c>
      <c r="Z507" s="18">
        <f t="shared" si="606"/>
        <v>3.4414619554110497</v>
      </c>
      <c r="AA507" s="18">
        <f t="shared" si="606"/>
        <v>1.6668789901397698</v>
      </c>
      <c r="AB507" s="18">
        <f t="shared" si="606"/>
        <v>5.6632731880532097</v>
      </c>
      <c r="AC507" s="18">
        <f t="shared" si="606"/>
        <v>1.8646295527293413</v>
      </c>
      <c r="AD507" s="56">
        <f t="shared" si="620"/>
        <v>2</v>
      </c>
      <c r="AF507" s="18">
        <f t="shared" si="607"/>
        <v>7.5693250262882046</v>
      </c>
      <c r="AG507" s="18">
        <f t="shared" si="607"/>
        <v>0.38848990074062745</v>
      </c>
      <c r="AH507" s="18">
        <f t="shared" si="607"/>
        <v>3.0936172824110009</v>
      </c>
      <c r="AI507" s="18">
        <f t="shared" si="607"/>
        <v>1.126396561098312</v>
      </c>
      <c r="AJ507" s="18">
        <f t="shared" si="607"/>
        <v>5.3005249613884615</v>
      </c>
      <c r="AK507" s="18">
        <f t="shared" si="607"/>
        <v>1.505326987268669</v>
      </c>
      <c r="AL507" s="56">
        <f t="shared" si="621"/>
        <v>2</v>
      </c>
      <c r="AN507" s="18">
        <f t="shared" si="608"/>
        <v>7.5693250262882046</v>
      </c>
      <c r="AO507" s="18">
        <f t="shared" si="608"/>
        <v>0.34991024785213587</v>
      </c>
      <c r="AP507" s="18">
        <f t="shared" si="608"/>
        <v>3.0631121988340557</v>
      </c>
      <c r="AQ507" s="18">
        <f t="shared" si="608"/>
        <v>1.11622681659834</v>
      </c>
      <c r="AR507" s="18">
        <f t="shared" si="608"/>
        <v>5.3005249613884615</v>
      </c>
      <c r="AS507" s="18">
        <f t="shared" si="608"/>
        <v>1.5440295764424199</v>
      </c>
      <c r="AT507" s="56">
        <f t="shared" si="622"/>
        <v>2</v>
      </c>
      <c r="AV507" s="18">
        <f t="shared" si="609"/>
        <v>7.5693250262882046</v>
      </c>
      <c r="AW507" s="18">
        <f t="shared" si="609"/>
        <v>0.33797720559453642</v>
      </c>
      <c r="AX507" s="18">
        <f t="shared" si="609"/>
        <v>3.0631121988340557</v>
      </c>
      <c r="AY507" s="18">
        <f t="shared" si="609"/>
        <v>1.11622681659834</v>
      </c>
      <c r="AZ507" s="18">
        <f t="shared" si="609"/>
        <v>5.3005249613884615</v>
      </c>
      <c r="BA507" s="18">
        <f t="shared" si="609"/>
        <v>1.5691366398053597</v>
      </c>
      <c r="BB507" s="56">
        <f t="shared" si="623"/>
        <v>2</v>
      </c>
      <c r="BD507" s="18">
        <f t="shared" si="610"/>
        <v>7.5693250262882046</v>
      </c>
      <c r="BE507" s="18">
        <f t="shared" si="610"/>
        <v>0.33205995913252306</v>
      </c>
      <c r="BF507" s="18">
        <f t="shared" si="610"/>
        <v>3.0631121988340557</v>
      </c>
      <c r="BG507" s="18">
        <f t="shared" si="610"/>
        <v>1.11622681659834</v>
      </c>
      <c r="BH507" s="18">
        <f t="shared" si="610"/>
        <v>5.3005249613884615</v>
      </c>
      <c r="BI507" s="18">
        <f t="shared" si="610"/>
        <v>1.594239248721389</v>
      </c>
      <c r="BJ507" s="56">
        <f t="shared" si="624"/>
        <v>2</v>
      </c>
      <c r="BL507" s="18">
        <f t="shared" si="611"/>
        <v>7.5693250262882046</v>
      </c>
      <c r="BM507" s="18">
        <f t="shared" si="611"/>
        <v>0.33205995913252306</v>
      </c>
      <c r="BN507" s="18">
        <f t="shared" si="611"/>
        <v>3.0631121988340557</v>
      </c>
      <c r="BO507" s="18">
        <f t="shared" si="611"/>
        <v>1.11622681659834</v>
      </c>
      <c r="BP507" s="18">
        <f t="shared" si="611"/>
        <v>5.3005249613884615</v>
      </c>
      <c r="BQ507" s="18">
        <f t="shared" si="611"/>
        <v>1.594239248721389</v>
      </c>
      <c r="BR507" s="56">
        <f t="shared" si="625"/>
        <v>2</v>
      </c>
      <c r="BT507" s="18">
        <f t="shared" si="612"/>
        <v>7.5693250262882046</v>
      </c>
      <c r="BU507" s="18">
        <f t="shared" si="612"/>
        <v>0.33205995913252306</v>
      </c>
      <c r="BV507" s="18">
        <f t="shared" si="612"/>
        <v>3.0631121988340557</v>
      </c>
      <c r="BW507" s="18">
        <f t="shared" si="612"/>
        <v>1.11622681659834</v>
      </c>
      <c r="BX507" s="18">
        <f t="shared" si="612"/>
        <v>5.3005249613884615</v>
      </c>
      <c r="BY507" s="18">
        <f t="shared" si="612"/>
        <v>1.594239248721389</v>
      </c>
      <c r="BZ507" s="56">
        <f t="shared" si="626"/>
        <v>2</v>
      </c>
      <c r="CB507" s="18">
        <f t="shared" si="613"/>
        <v>7.5693250262882046</v>
      </c>
      <c r="CC507" s="18">
        <f t="shared" si="613"/>
        <v>0.33205995913252306</v>
      </c>
      <c r="CD507" s="18">
        <f t="shared" si="613"/>
        <v>3.0631121988340557</v>
      </c>
      <c r="CE507" s="18">
        <f t="shared" si="613"/>
        <v>1.11622681659834</v>
      </c>
      <c r="CF507" s="18">
        <f t="shared" si="613"/>
        <v>5.3005249613884615</v>
      </c>
      <c r="CG507" s="18">
        <f t="shared" si="613"/>
        <v>1.594239248721389</v>
      </c>
      <c r="CH507" s="56">
        <f t="shared" si="627"/>
        <v>2</v>
      </c>
      <c r="CJ507" s="18">
        <f t="shared" si="614"/>
        <v>7.5693250262882046</v>
      </c>
      <c r="CK507" s="18">
        <f t="shared" si="614"/>
        <v>0.33205995913252306</v>
      </c>
      <c r="CL507" s="18">
        <f t="shared" si="614"/>
        <v>3.0631121988340557</v>
      </c>
      <c r="CM507" s="18">
        <f t="shared" si="614"/>
        <v>1.11622681659834</v>
      </c>
      <c r="CN507" s="18">
        <f t="shared" si="614"/>
        <v>5.3005249613884615</v>
      </c>
      <c r="CO507" s="18">
        <f t="shared" si="614"/>
        <v>1.594239248721389</v>
      </c>
      <c r="CP507" s="56">
        <f t="shared" si="628"/>
        <v>2</v>
      </c>
      <c r="CR507" s="18">
        <f t="shared" si="615"/>
        <v>7.5693250262882046</v>
      </c>
      <c r="CS507" s="18">
        <f t="shared" si="615"/>
        <v>0.33205995913252306</v>
      </c>
      <c r="CT507" s="18">
        <f t="shared" si="615"/>
        <v>3.0631121988340557</v>
      </c>
      <c r="CU507" s="18">
        <f t="shared" si="615"/>
        <v>1.11622681659834</v>
      </c>
      <c r="CV507" s="18">
        <f t="shared" si="615"/>
        <v>5.3005249613884615</v>
      </c>
      <c r="CW507" s="18">
        <f t="shared" si="615"/>
        <v>1.594239248721389</v>
      </c>
      <c r="CX507" s="56">
        <f t="shared" si="629"/>
        <v>2</v>
      </c>
      <c r="CZ507" s="18">
        <f t="shared" si="616"/>
        <v>7.5693250262882046</v>
      </c>
      <c r="DA507" s="18">
        <f t="shared" si="616"/>
        <v>0.33205995913252306</v>
      </c>
      <c r="DB507" s="18">
        <f t="shared" si="616"/>
        <v>3.0631121988340557</v>
      </c>
      <c r="DC507" s="18">
        <f t="shared" si="616"/>
        <v>1.11622681659834</v>
      </c>
      <c r="DD507" s="18">
        <f t="shared" si="616"/>
        <v>5.3005249613884615</v>
      </c>
      <c r="DE507" s="18">
        <f t="shared" si="616"/>
        <v>1.594239248721389</v>
      </c>
      <c r="DF507" s="56">
        <f t="shared" si="630"/>
        <v>2</v>
      </c>
      <c r="DH507" s="18">
        <f t="shared" si="617"/>
        <v>7.5693250262882046</v>
      </c>
      <c r="DI507" s="18">
        <f t="shared" si="617"/>
        <v>0.33205995913252306</v>
      </c>
      <c r="DJ507" s="18">
        <f t="shared" si="617"/>
        <v>3.0631121988340557</v>
      </c>
      <c r="DK507" s="18">
        <f t="shared" si="617"/>
        <v>1.11622681659834</v>
      </c>
      <c r="DL507" s="18">
        <f t="shared" si="617"/>
        <v>5.3005249613884615</v>
      </c>
      <c r="DM507" s="18">
        <f t="shared" si="617"/>
        <v>1.594239248721389</v>
      </c>
      <c r="DN507" s="56">
        <f t="shared" si="631"/>
        <v>2</v>
      </c>
    </row>
    <row r="508" spans="1:118" x14ac:dyDescent="0.25">
      <c r="A508" s="36" t="str">
        <f>KMeans_Data!A105</f>
        <v>South Waziristan</v>
      </c>
      <c r="B508" s="18">
        <f>KMeans_Data!H105</f>
        <v>-0.9361484674096654</v>
      </c>
      <c r="C508" s="18">
        <f>KMeans_Data!I105</f>
        <v>-0.67265054538827607</v>
      </c>
      <c r="D508" s="18">
        <f>KMeans_Data!J105</f>
        <v>-0.50324791546397885</v>
      </c>
      <c r="E508" s="56">
        <f t="shared" si="618"/>
        <v>2</v>
      </c>
      <c r="F508" s="38">
        <f t="shared" si="619"/>
        <v>0.36257731675183874</v>
      </c>
      <c r="G508" s="18">
        <f>IF(COUNTIF(Distance_Matrix!$E$12:$DQ$12,$E508)&lt;=1,0,SUMIF(Distance_Matrix!$E$12:$DQ$12,$E508,Distance_Matrix!$E$114:$DQ$114)/(COUNTIF(Distance_Matrix!$E$12:$DQ$12,$E508)-1))</f>
        <v>0.74371490837933318</v>
      </c>
      <c r="H508" s="18">
        <f>MIN(IF(1=$E508,1E+99,IF(COUNTIF(Distance_Matrix!$E$12:$DQ$12,1)=0,1E+99,SUMIF(Distance_Matrix!$E$12:$DQ$12,1,Distance_Matrix!$E$114:$DQ$114)/COUNTIF(Distance_Matrix!$E$12:$DQ$12,1))),IF(2=$E508,1E+99,IF(COUNTIF(Distance_Matrix!$E$12:$DQ$12,2)=0,1E+99,SUMIF(Distance_Matrix!$E$12:$DQ$12,2,Distance_Matrix!$E$114:$DQ$114)/COUNTIF(Distance_Matrix!$E$12:$DQ$12,2))),IF(3=$E508,1E+99,IF(COUNTIF(Distance_Matrix!$E$12:$DQ$12,3)=0,1E+99,SUMIF(Distance_Matrix!$E$12:$DQ$12,3,Distance_Matrix!$E$114:$DQ$114)/COUNTIF(Distance_Matrix!$E$12:$DQ$12,3))),IF(4=$E508,1E+99,IF(COUNTIF(Distance_Matrix!$E$12:$DQ$12,4)=0,1E+99,SUMIF(Distance_Matrix!$E$12:$DQ$12,4,Distance_Matrix!$E$114:$DQ$114)/COUNTIF(Distance_Matrix!$E$12:$DQ$12,4))),IF(5=$E508,1E+99,IF(COUNTIF(Distance_Matrix!$E$12:$DQ$12,5)=0,1E+99,SUMIF(Distance_Matrix!$E$12:$DQ$12,5,Distance_Matrix!$E$114:$DQ$114)/COUNTIF(Distance_Matrix!$E$12:$DQ$12,5))),IF(6=$E508,1E+99,IF(COUNTIF(Distance_Matrix!$E$12:$DQ$12,6)=0,1E+99,SUMIF(Distance_Matrix!$E$12:$DQ$12,6,Distance_Matrix!$E$114:$DQ$114)/COUNTIF(Distance_Matrix!$E$12:$DQ$12,6))))</f>
        <v>1.17216038870705</v>
      </c>
      <c r="I508" s="18">
        <f>IF(COUNTIF(Distance_Matrix!$E$12:$DQ$12,$E508)&lt;=1,0,(H508-G508)/MAX(G508,H508))</f>
        <v>0.36551779471093798</v>
      </c>
      <c r="X508" s="18">
        <f t="shared" ref="X508:AC517" si="632">SQRT(($B508-X$401)^2+($C508-X$402)^2+($D508-X$403)^2)</f>
        <v>7.3507445801816038</v>
      </c>
      <c r="Y508" s="18">
        <f t="shared" si="632"/>
        <v>1.3116668236723832</v>
      </c>
      <c r="Z508" s="18">
        <f t="shared" si="632"/>
        <v>2.9824911910641334</v>
      </c>
      <c r="AA508" s="18">
        <f t="shared" si="632"/>
        <v>1.7863813833168558</v>
      </c>
      <c r="AB508" s="18">
        <f t="shared" si="632"/>
        <v>5.2882357000404303</v>
      </c>
      <c r="AC508" s="18">
        <f t="shared" si="632"/>
        <v>1.2688940198695742</v>
      </c>
      <c r="AD508" s="56">
        <f t="shared" si="620"/>
        <v>6</v>
      </c>
      <c r="AF508" s="18">
        <f t="shared" ref="AF508:AK517" si="633">SQRT(($B508-AF$401)^2+($C508-AF$402)^2+($D508-AF$403)^2)</f>
        <v>7.2404390537183643</v>
      </c>
      <c r="AG508" s="18">
        <f t="shared" si="633"/>
        <v>0.70659381010772371</v>
      </c>
      <c r="AH508" s="18">
        <f t="shared" si="633"/>
        <v>2.7012518200667781</v>
      </c>
      <c r="AI508" s="18">
        <f t="shared" si="633"/>
        <v>1.1439669628263338</v>
      </c>
      <c r="AJ508" s="18">
        <f t="shared" si="633"/>
        <v>4.9738355342392788</v>
      </c>
      <c r="AK508" s="18">
        <f t="shared" si="633"/>
        <v>0.9931278541737325</v>
      </c>
      <c r="AL508" s="56">
        <f t="shared" si="621"/>
        <v>2</v>
      </c>
      <c r="AN508" s="18">
        <f t="shared" ref="AN508:AS517" si="634">SQRT(($B508-AN$401)^2+($C508-AN$402)^2+($D508-AN$403)^2)</f>
        <v>7.2404390537183643</v>
      </c>
      <c r="AO508" s="18">
        <f t="shared" si="634"/>
        <v>0.6655220193927649</v>
      </c>
      <c r="AP508" s="18">
        <f t="shared" si="634"/>
        <v>2.6699425860872799</v>
      </c>
      <c r="AQ508" s="18">
        <f t="shared" si="634"/>
        <v>1.1372616389394465</v>
      </c>
      <c r="AR508" s="18">
        <f t="shared" si="634"/>
        <v>4.9738355342392788</v>
      </c>
      <c r="AS508" s="18">
        <f t="shared" si="634"/>
        <v>1.0369453286561454</v>
      </c>
      <c r="AT508" s="56">
        <f t="shared" si="622"/>
        <v>2</v>
      </c>
      <c r="AV508" s="18">
        <f t="shared" ref="AV508:BA517" si="635">SQRT(($B508-AV$401)^2+($C508-AV$402)^2+($D508-AV$403)^2)</f>
        <v>7.2404390537183643</v>
      </c>
      <c r="AW508" s="18">
        <f t="shared" si="635"/>
        <v>0.63356375810085508</v>
      </c>
      <c r="AX508" s="18">
        <f t="shared" si="635"/>
        <v>2.6699425860872799</v>
      </c>
      <c r="AY508" s="18">
        <f t="shared" si="635"/>
        <v>1.1372616389394465</v>
      </c>
      <c r="AZ508" s="18">
        <f t="shared" si="635"/>
        <v>4.9738355342392788</v>
      </c>
      <c r="BA508" s="18">
        <f t="shared" si="635"/>
        <v>1.0631506729882929</v>
      </c>
      <c r="BB508" s="56">
        <f t="shared" si="623"/>
        <v>2</v>
      </c>
      <c r="BD508" s="18">
        <f t="shared" ref="BD508:BI517" si="636">SQRT(($B508-BD$401)^2+($C508-BD$402)^2+($D508-BD$403)^2)</f>
        <v>7.2404390537183643</v>
      </c>
      <c r="BE508" s="18">
        <f t="shared" si="636"/>
        <v>0.60214393358385565</v>
      </c>
      <c r="BF508" s="18">
        <f t="shared" si="636"/>
        <v>2.6699425860872799</v>
      </c>
      <c r="BG508" s="18">
        <f t="shared" si="636"/>
        <v>1.1372616389394465</v>
      </c>
      <c r="BH508" s="18">
        <f t="shared" si="636"/>
        <v>4.9738355342392788</v>
      </c>
      <c r="BI508" s="18">
        <f t="shared" si="636"/>
        <v>1.0901908880660125</v>
      </c>
      <c r="BJ508" s="56">
        <f t="shared" si="624"/>
        <v>2</v>
      </c>
      <c r="BL508" s="18">
        <f t="shared" ref="BL508:BQ517" si="637">SQRT(($B508-BL$401)^2+($C508-BL$402)^2+($D508-BL$403)^2)</f>
        <v>7.2404390537183643</v>
      </c>
      <c r="BM508" s="18">
        <f t="shared" si="637"/>
        <v>0.60214393358385565</v>
      </c>
      <c r="BN508" s="18">
        <f t="shared" si="637"/>
        <v>2.6699425860872799</v>
      </c>
      <c r="BO508" s="18">
        <f t="shared" si="637"/>
        <v>1.1372616389394465</v>
      </c>
      <c r="BP508" s="18">
        <f t="shared" si="637"/>
        <v>4.9738355342392788</v>
      </c>
      <c r="BQ508" s="18">
        <f t="shared" si="637"/>
        <v>1.0901908880660125</v>
      </c>
      <c r="BR508" s="56">
        <f t="shared" si="625"/>
        <v>2</v>
      </c>
      <c r="BT508" s="18">
        <f t="shared" ref="BT508:BY517" si="638">SQRT(($B508-BT$401)^2+($C508-BT$402)^2+($D508-BT$403)^2)</f>
        <v>7.2404390537183643</v>
      </c>
      <c r="BU508" s="18">
        <f t="shared" si="638"/>
        <v>0.60214393358385565</v>
      </c>
      <c r="BV508" s="18">
        <f t="shared" si="638"/>
        <v>2.6699425860872799</v>
      </c>
      <c r="BW508" s="18">
        <f t="shared" si="638"/>
        <v>1.1372616389394465</v>
      </c>
      <c r="BX508" s="18">
        <f t="shared" si="638"/>
        <v>4.9738355342392788</v>
      </c>
      <c r="BY508" s="18">
        <f t="shared" si="638"/>
        <v>1.0901908880660125</v>
      </c>
      <c r="BZ508" s="56">
        <f t="shared" si="626"/>
        <v>2</v>
      </c>
      <c r="CB508" s="18">
        <f t="shared" ref="CB508:CG517" si="639">SQRT(($B508-CB$401)^2+($C508-CB$402)^2+($D508-CB$403)^2)</f>
        <v>7.2404390537183643</v>
      </c>
      <c r="CC508" s="18">
        <f t="shared" si="639"/>
        <v>0.60214393358385565</v>
      </c>
      <c r="CD508" s="18">
        <f t="shared" si="639"/>
        <v>2.6699425860872799</v>
      </c>
      <c r="CE508" s="18">
        <f t="shared" si="639"/>
        <v>1.1372616389394465</v>
      </c>
      <c r="CF508" s="18">
        <f t="shared" si="639"/>
        <v>4.9738355342392788</v>
      </c>
      <c r="CG508" s="18">
        <f t="shared" si="639"/>
        <v>1.0901908880660125</v>
      </c>
      <c r="CH508" s="56">
        <f t="shared" si="627"/>
        <v>2</v>
      </c>
      <c r="CJ508" s="18">
        <f t="shared" ref="CJ508:CO517" si="640">SQRT(($B508-CJ$401)^2+($C508-CJ$402)^2+($D508-CJ$403)^2)</f>
        <v>7.2404390537183643</v>
      </c>
      <c r="CK508" s="18">
        <f t="shared" si="640"/>
        <v>0.60214393358385565</v>
      </c>
      <c r="CL508" s="18">
        <f t="shared" si="640"/>
        <v>2.6699425860872799</v>
      </c>
      <c r="CM508" s="18">
        <f t="shared" si="640"/>
        <v>1.1372616389394465</v>
      </c>
      <c r="CN508" s="18">
        <f t="shared" si="640"/>
        <v>4.9738355342392788</v>
      </c>
      <c r="CO508" s="18">
        <f t="shared" si="640"/>
        <v>1.0901908880660125</v>
      </c>
      <c r="CP508" s="56">
        <f t="shared" si="628"/>
        <v>2</v>
      </c>
      <c r="CR508" s="18">
        <f t="shared" ref="CR508:CW517" si="641">SQRT(($B508-CR$401)^2+($C508-CR$402)^2+($D508-CR$403)^2)</f>
        <v>7.2404390537183643</v>
      </c>
      <c r="CS508" s="18">
        <f t="shared" si="641"/>
        <v>0.60214393358385565</v>
      </c>
      <c r="CT508" s="18">
        <f t="shared" si="641"/>
        <v>2.6699425860872799</v>
      </c>
      <c r="CU508" s="18">
        <f t="shared" si="641"/>
        <v>1.1372616389394465</v>
      </c>
      <c r="CV508" s="18">
        <f t="shared" si="641"/>
        <v>4.9738355342392788</v>
      </c>
      <c r="CW508" s="18">
        <f t="shared" si="641"/>
        <v>1.0901908880660125</v>
      </c>
      <c r="CX508" s="56">
        <f t="shared" si="629"/>
        <v>2</v>
      </c>
      <c r="CZ508" s="18">
        <f t="shared" ref="CZ508:DE517" si="642">SQRT(($B508-CZ$401)^2+($C508-CZ$402)^2+($D508-CZ$403)^2)</f>
        <v>7.2404390537183643</v>
      </c>
      <c r="DA508" s="18">
        <f t="shared" si="642"/>
        <v>0.60214393358385565</v>
      </c>
      <c r="DB508" s="18">
        <f t="shared" si="642"/>
        <v>2.6699425860872799</v>
      </c>
      <c r="DC508" s="18">
        <f t="shared" si="642"/>
        <v>1.1372616389394465</v>
      </c>
      <c r="DD508" s="18">
        <f t="shared" si="642"/>
        <v>4.9738355342392788</v>
      </c>
      <c r="DE508" s="18">
        <f t="shared" si="642"/>
        <v>1.0901908880660125</v>
      </c>
      <c r="DF508" s="56">
        <f t="shared" si="630"/>
        <v>2</v>
      </c>
      <c r="DH508" s="18">
        <f t="shared" ref="DH508:DM517" si="643">SQRT(($B508-DH$401)^2+($C508-DH$402)^2+($D508-DH$403)^2)</f>
        <v>7.2404390537183643</v>
      </c>
      <c r="DI508" s="18">
        <f t="shared" si="643"/>
        <v>0.60214393358385565</v>
      </c>
      <c r="DJ508" s="18">
        <f t="shared" si="643"/>
        <v>2.6699425860872799</v>
      </c>
      <c r="DK508" s="18">
        <f t="shared" si="643"/>
        <v>1.1372616389394465</v>
      </c>
      <c r="DL508" s="18">
        <f t="shared" si="643"/>
        <v>4.9738355342392788</v>
      </c>
      <c r="DM508" s="18">
        <f t="shared" si="643"/>
        <v>1.0901908880660125</v>
      </c>
      <c r="DN508" s="56">
        <f t="shared" si="631"/>
        <v>2</v>
      </c>
    </row>
    <row r="509" spans="1:118" x14ac:dyDescent="0.25">
      <c r="A509" s="36" t="str">
        <f>KMeans_Data!A106</f>
        <v>Toba Tek Singh</v>
      </c>
      <c r="B509" s="18">
        <f>KMeans_Data!H106</f>
        <v>-0.99745100604838388</v>
      </c>
      <c r="C509" s="18">
        <f>KMeans_Data!I106</f>
        <v>-0.67265054538827607</v>
      </c>
      <c r="D509" s="18">
        <f>KMeans_Data!J106</f>
        <v>-1.1456441163335547</v>
      </c>
      <c r="E509" s="56">
        <f t="shared" si="618"/>
        <v>2</v>
      </c>
      <c r="F509" s="38">
        <f t="shared" si="619"/>
        <v>7.6370605015799897E-2</v>
      </c>
      <c r="G509" s="18">
        <f>IF(COUNTIF(Distance_Matrix!$E$12:$DQ$12,$E509)&lt;=1,0,SUMIF(Distance_Matrix!$E$12:$DQ$12,$E509,Distance_Matrix!$E$115:$DQ$115)/(COUNTIF(Distance_Matrix!$E$12:$DQ$12,$E509)-1))</f>
        <v>0.50255494618092</v>
      </c>
      <c r="H509" s="18">
        <f>MIN(IF(1=$E509,1E+99,IF(COUNTIF(Distance_Matrix!$E$12:$DQ$12,1)=0,1E+99,SUMIF(Distance_Matrix!$E$12:$DQ$12,1,Distance_Matrix!$E$115:$DQ$115)/COUNTIF(Distance_Matrix!$E$12:$DQ$12,1))),IF(2=$E509,1E+99,IF(COUNTIF(Distance_Matrix!$E$12:$DQ$12,2)=0,1E+99,SUMIF(Distance_Matrix!$E$12:$DQ$12,2,Distance_Matrix!$E$115:$DQ$115)/COUNTIF(Distance_Matrix!$E$12:$DQ$12,2))),IF(3=$E509,1E+99,IF(COUNTIF(Distance_Matrix!$E$12:$DQ$12,3)=0,1E+99,SUMIF(Distance_Matrix!$E$12:$DQ$12,3,Distance_Matrix!$E$115:$DQ$115)/COUNTIF(Distance_Matrix!$E$12:$DQ$12,3))),IF(4=$E509,1E+99,IF(COUNTIF(Distance_Matrix!$E$12:$DQ$12,4)=0,1E+99,SUMIF(Distance_Matrix!$E$12:$DQ$12,4,Distance_Matrix!$E$115:$DQ$115)/COUNTIF(Distance_Matrix!$E$12:$DQ$12,4))),IF(5=$E509,1E+99,IF(COUNTIF(Distance_Matrix!$E$12:$DQ$12,5)=0,1E+99,SUMIF(Distance_Matrix!$E$12:$DQ$12,5,Distance_Matrix!$E$115:$DQ$115)/COUNTIF(Distance_Matrix!$E$12:$DQ$12,5))),IF(6=$E509,1E+99,IF(COUNTIF(Distance_Matrix!$E$12:$DQ$12,6)=0,1E+99,SUMIF(Distance_Matrix!$E$12:$DQ$12,6,Distance_Matrix!$E$115:$DQ$115)/COUNTIF(Distance_Matrix!$E$12:$DQ$12,6))))</f>
        <v>1.2272870522491959</v>
      </c>
      <c r="I509" s="18">
        <f>IF(COUNTIF(Distance_Matrix!$E$12:$DQ$12,$E509)&lt;=1,0,(H509-G509)/MAX(G509,H509))</f>
        <v>0.59051556417880458</v>
      </c>
      <c r="X509" s="18">
        <f t="shared" si="632"/>
        <v>7.7325112391913207</v>
      </c>
      <c r="Y509" s="18">
        <f t="shared" si="632"/>
        <v>1.0822869757549447</v>
      </c>
      <c r="Z509" s="18">
        <f t="shared" si="632"/>
        <v>3.4769782447328597</v>
      </c>
      <c r="AA509" s="18">
        <f t="shared" si="632"/>
        <v>1.7251617082042925</v>
      </c>
      <c r="AB509" s="18">
        <f t="shared" si="632"/>
        <v>5.6992193655609942</v>
      </c>
      <c r="AC509" s="18">
        <f t="shared" si="632"/>
        <v>1.8731779732828078</v>
      </c>
      <c r="AD509" s="56">
        <f t="shared" si="620"/>
        <v>2</v>
      </c>
      <c r="AF509" s="18">
        <f t="shared" si="633"/>
        <v>7.6034980030225183</v>
      </c>
      <c r="AG509" s="18">
        <f t="shared" si="633"/>
        <v>0.32792061388038618</v>
      </c>
      <c r="AH509" s="18">
        <f t="shared" si="633"/>
        <v>3.1278441663635062</v>
      </c>
      <c r="AI509" s="18">
        <f t="shared" si="633"/>
        <v>1.185300030536881</v>
      </c>
      <c r="AJ509" s="18">
        <f t="shared" si="633"/>
        <v>5.3358029228727446</v>
      </c>
      <c r="AK509" s="18">
        <f t="shared" si="633"/>
        <v>1.5336469950343821</v>
      </c>
      <c r="AL509" s="56">
        <f t="shared" si="621"/>
        <v>2</v>
      </c>
      <c r="AN509" s="18">
        <f t="shared" si="634"/>
        <v>7.6034980030225183</v>
      </c>
      <c r="AO509" s="18">
        <f t="shared" si="634"/>
        <v>0.29031940550091107</v>
      </c>
      <c r="AP509" s="18">
        <f t="shared" si="634"/>
        <v>3.0971278989757738</v>
      </c>
      <c r="AQ509" s="18">
        <f t="shared" si="634"/>
        <v>1.1753453910457881</v>
      </c>
      <c r="AR509" s="18">
        <f t="shared" si="634"/>
        <v>5.3358029228727446</v>
      </c>
      <c r="AS509" s="18">
        <f t="shared" si="634"/>
        <v>1.5732005640769622</v>
      </c>
      <c r="AT509" s="56">
        <f t="shared" si="622"/>
        <v>2</v>
      </c>
      <c r="AV509" s="18">
        <f t="shared" si="635"/>
        <v>7.6034980030225183</v>
      </c>
      <c r="AW509" s="18">
        <f t="shared" si="635"/>
        <v>0.27999061913429796</v>
      </c>
      <c r="AX509" s="18">
        <f t="shared" si="635"/>
        <v>3.0971278989757738</v>
      </c>
      <c r="AY509" s="18">
        <f t="shared" si="635"/>
        <v>1.1753453910457881</v>
      </c>
      <c r="AZ509" s="18">
        <f t="shared" si="635"/>
        <v>5.3358029228727446</v>
      </c>
      <c r="BA509" s="18">
        <f t="shared" si="635"/>
        <v>1.5985017488182143</v>
      </c>
      <c r="BB509" s="56">
        <f t="shared" si="623"/>
        <v>2</v>
      </c>
      <c r="BD509" s="18">
        <f t="shared" si="636"/>
        <v>7.6034980030225183</v>
      </c>
      <c r="BE509" s="18">
        <f t="shared" si="636"/>
        <v>0.27635232044583941</v>
      </c>
      <c r="BF509" s="18">
        <f t="shared" si="636"/>
        <v>3.0971278989757738</v>
      </c>
      <c r="BG509" s="18">
        <f t="shared" si="636"/>
        <v>1.1753453910457881</v>
      </c>
      <c r="BH509" s="18">
        <f t="shared" si="636"/>
        <v>5.3358029228727446</v>
      </c>
      <c r="BI509" s="18">
        <f t="shared" si="636"/>
        <v>1.623886092388563</v>
      </c>
      <c r="BJ509" s="56">
        <f t="shared" si="624"/>
        <v>2</v>
      </c>
      <c r="BL509" s="18">
        <f t="shared" si="637"/>
        <v>7.6034980030225183</v>
      </c>
      <c r="BM509" s="18">
        <f t="shared" si="637"/>
        <v>0.27635232044583941</v>
      </c>
      <c r="BN509" s="18">
        <f t="shared" si="637"/>
        <v>3.0971278989757738</v>
      </c>
      <c r="BO509" s="18">
        <f t="shared" si="637"/>
        <v>1.1753453910457881</v>
      </c>
      <c r="BP509" s="18">
        <f t="shared" si="637"/>
        <v>5.3358029228727446</v>
      </c>
      <c r="BQ509" s="18">
        <f t="shared" si="637"/>
        <v>1.623886092388563</v>
      </c>
      <c r="BR509" s="56">
        <f t="shared" si="625"/>
        <v>2</v>
      </c>
      <c r="BT509" s="18">
        <f t="shared" si="638"/>
        <v>7.6034980030225183</v>
      </c>
      <c r="BU509" s="18">
        <f t="shared" si="638"/>
        <v>0.27635232044583941</v>
      </c>
      <c r="BV509" s="18">
        <f t="shared" si="638"/>
        <v>3.0971278989757738</v>
      </c>
      <c r="BW509" s="18">
        <f t="shared" si="638"/>
        <v>1.1753453910457881</v>
      </c>
      <c r="BX509" s="18">
        <f t="shared" si="638"/>
        <v>5.3358029228727446</v>
      </c>
      <c r="BY509" s="18">
        <f t="shared" si="638"/>
        <v>1.623886092388563</v>
      </c>
      <c r="BZ509" s="56">
        <f t="shared" si="626"/>
        <v>2</v>
      </c>
      <c r="CB509" s="18">
        <f t="shared" si="639"/>
        <v>7.6034980030225183</v>
      </c>
      <c r="CC509" s="18">
        <f t="shared" si="639"/>
        <v>0.27635232044583941</v>
      </c>
      <c r="CD509" s="18">
        <f t="shared" si="639"/>
        <v>3.0971278989757738</v>
      </c>
      <c r="CE509" s="18">
        <f t="shared" si="639"/>
        <v>1.1753453910457881</v>
      </c>
      <c r="CF509" s="18">
        <f t="shared" si="639"/>
        <v>5.3358029228727446</v>
      </c>
      <c r="CG509" s="18">
        <f t="shared" si="639"/>
        <v>1.623886092388563</v>
      </c>
      <c r="CH509" s="56">
        <f t="shared" si="627"/>
        <v>2</v>
      </c>
      <c r="CJ509" s="18">
        <f t="shared" si="640"/>
        <v>7.6034980030225183</v>
      </c>
      <c r="CK509" s="18">
        <f t="shared" si="640"/>
        <v>0.27635232044583941</v>
      </c>
      <c r="CL509" s="18">
        <f t="shared" si="640"/>
        <v>3.0971278989757738</v>
      </c>
      <c r="CM509" s="18">
        <f t="shared" si="640"/>
        <v>1.1753453910457881</v>
      </c>
      <c r="CN509" s="18">
        <f t="shared" si="640"/>
        <v>5.3358029228727446</v>
      </c>
      <c r="CO509" s="18">
        <f t="shared" si="640"/>
        <v>1.623886092388563</v>
      </c>
      <c r="CP509" s="56">
        <f t="shared" si="628"/>
        <v>2</v>
      </c>
      <c r="CR509" s="18">
        <f t="shared" si="641"/>
        <v>7.6034980030225183</v>
      </c>
      <c r="CS509" s="18">
        <f t="shared" si="641"/>
        <v>0.27635232044583941</v>
      </c>
      <c r="CT509" s="18">
        <f t="shared" si="641"/>
        <v>3.0971278989757738</v>
      </c>
      <c r="CU509" s="18">
        <f t="shared" si="641"/>
        <v>1.1753453910457881</v>
      </c>
      <c r="CV509" s="18">
        <f t="shared" si="641"/>
        <v>5.3358029228727446</v>
      </c>
      <c r="CW509" s="18">
        <f t="shared" si="641"/>
        <v>1.623886092388563</v>
      </c>
      <c r="CX509" s="56">
        <f t="shared" si="629"/>
        <v>2</v>
      </c>
      <c r="CZ509" s="18">
        <f t="shared" si="642"/>
        <v>7.6034980030225183</v>
      </c>
      <c r="DA509" s="18">
        <f t="shared" si="642"/>
        <v>0.27635232044583941</v>
      </c>
      <c r="DB509" s="18">
        <f t="shared" si="642"/>
        <v>3.0971278989757738</v>
      </c>
      <c r="DC509" s="18">
        <f t="shared" si="642"/>
        <v>1.1753453910457881</v>
      </c>
      <c r="DD509" s="18">
        <f t="shared" si="642"/>
        <v>5.3358029228727446</v>
      </c>
      <c r="DE509" s="18">
        <f t="shared" si="642"/>
        <v>1.623886092388563</v>
      </c>
      <c r="DF509" s="56">
        <f t="shared" si="630"/>
        <v>2</v>
      </c>
      <c r="DH509" s="18">
        <f t="shared" si="643"/>
        <v>7.6034980030225183</v>
      </c>
      <c r="DI509" s="18">
        <f t="shared" si="643"/>
        <v>0.27635232044583941</v>
      </c>
      <c r="DJ509" s="18">
        <f t="shared" si="643"/>
        <v>3.0971278989757738</v>
      </c>
      <c r="DK509" s="18">
        <f t="shared" si="643"/>
        <v>1.1753453910457881</v>
      </c>
      <c r="DL509" s="18">
        <f t="shared" si="643"/>
        <v>5.3358029228727446</v>
      </c>
      <c r="DM509" s="18">
        <f t="shared" si="643"/>
        <v>1.623886092388563</v>
      </c>
      <c r="DN509" s="56">
        <f t="shared" si="631"/>
        <v>2</v>
      </c>
    </row>
    <row r="510" spans="1:118" x14ac:dyDescent="0.25">
      <c r="A510" s="36" t="str">
        <f>KMeans_Data!A107</f>
        <v>Khanewal</v>
      </c>
      <c r="B510" s="18">
        <f>KMeans_Data!H107</f>
        <v>-0.99745100604838388</v>
      </c>
      <c r="C510" s="18">
        <f>KMeans_Data!I107</f>
        <v>-0.67265054538827607</v>
      </c>
      <c r="D510" s="18">
        <f>KMeans_Data!J107</f>
        <v>-1.1456441163335547</v>
      </c>
      <c r="E510" s="56">
        <f t="shared" si="618"/>
        <v>2</v>
      </c>
      <c r="F510" s="38">
        <f t="shared" si="619"/>
        <v>7.6370605015799897E-2</v>
      </c>
      <c r="G510" s="18">
        <f>IF(COUNTIF(Distance_Matrix!$E$12:$DQ$12,$E510)&lt;=1,0,SUMIF(Distance_Matrix!$E$12:$DQ$12,$E510,Distance_Matrix!$E$116:$DQ$116)/(COUNTIF(Distance_Matrix!$E$12:$DQ$12,$E510)-1))</f>
        <v>0.50255494618092</v>
      </c>
      <c r="H510" s="18">
        <f>MIN(IF(1=$E510,1E+99,IF(COUNTIF(Distance_Matrix!$E$12:$DQ$12,1)=0,1E+99,SUMIF(Distance_Matrix!$E$12:$DQ$12,1,Distance_Matrix!$E$116:$DQ$116)/COUNTIF(Distance_Matrix!$E$12:$DQ$12,1))),IF(2=$E510,1E+99,IF(COUNTIF(Distance_Matrix!$E$12:$DQ$12,2)=0,1E+99,SUMIF(Distance_Matrix!$E$12:$DQ$12,2,Distance_Matrix!$E$116:$DQ$116)/COUNTIF(Distance_Matrix!$E$12:$DQ$12,2))),IF(3=$E510,1E+99,IF(COUNTIF(Distance_Matrix!$E$12:$DQ$12,3)=0,1E+99,SUMIF(Distance_Matrix!$E$12:$DQ$12,3,Distance_Matrix!$E$116:$DQ$116)/COUNTIF(Distance_Matrix!$E$12:$DQ$12,3))),IF(4=$E510,1E+99,IF(COUNTIF(Distance_Matrix!$E$12:$DQ$12,4)=0,1E+99,SUMIF(Distance_Matrix!$E$12:$DQ$12,4,Distance_Matrix!$E$116:$DQ$116)/COUNTIF(Distance_Matrix!$E$12:$DQ$12,4))),IF(5=$E510,1E+99,IF(COUNTIF(Distance_Matrix!$E$12:$DQ$12,5)=0,1E+99,SUMIF(Distance_Matrix!$E$12:$DQ$12,5,Distance_Matrix!$E$116:$DQ$116)/COUNTIF(Distance_Matrix!$E$12:$DQ$12,5))),IF(6=$E510,1E+99,IF(COUNTIF(Distance_Matrix!$E$12:$DQ$12,6)=0,1E+99,SUMIF(Distance_Matrix!$E$12:$DQ$12,6,Distance_Matrix!$E$116:$DQ$116)/COUNTIF(Distance_Matrix!$E$12:$DQ$12,6))))</f>
        <v>1.2272870522491959</v>
      </c>
      <c r="I510" s="18">
        <f>IF(COUNTIF(Distance_Matrix!$E$12:$DQ$12,$E510)&lt;=1,0,(H510-G510)/MAX(G510,H510))</f>
        <v>0.59051556417880458</v>
      </c>
      <c r="X510" s="18">
        <f t="shared" si="632"/>
        <v>7.7325112391913207</v>
      </c>
      <c r="Y510" s="18">
        <f t="shared" si="632"/>
        <v>1.0822869757549447</v>
      </c>
      <c r="Z510" s="18">
        <f t="shared" si="632"/>
        <v>3.4769782447328597</v>
      </c>
      <c r="AA510" s="18">
        <f t="shared" si="632"/>
        <v>1.7251617082042925</v>
      </c>
      <c r="AB510" s="18">
        <f t="shared" si="632"/>
        <v>5.6992193655609942</v>
      </c>
      <c r="AC510" s="18">
        <f t="shared" si="632"/>
        <v>1.8731779732828078</v>
      </c>
      <c r="AD510" s="56">
        <f t="shared" si="620"/>
        <v>2</v>
      </c>
      <c r="AF510" s="18">
        <f t="shared" si="633"/>
        <v>7.6034980030225183</v>
      </c>
      <c r="AG510" s="18">
        <f t="shared" si="633"/>
        <v>0.32792061388038618</v>
      </c>
      <c r="AH510" s="18">
        <f t="shared" si="633"/>
        <v>3.1278441663635062</v>
      </c>
      <c r="AI510" s="18">
        <f t="shared" si="633"/>
        <v>1.185300030536881</v>
      </c>
      <c r="AJ510" s="18">
        <f t="shared" si="633"/>
        <v>5.3358029228727446</v>
      </c>
      <c r="AK510" s="18">
        <f t="shared" si="633"/>
        <v>1.5336469950343821</v>
      </c>
      <c r="AL510" s="56">
        <f t="shared" si="621"/>
        <v>2</v>
      </c>
      <c r="AN510" s="18">
        <f t="shared" si="634"/>
        <v>7.6034980030225183</v>
      </c>
      <c r="AO510" s="18">
        <f t="shared" si="634"/>
        <v>0.29031940550091107</v>
      </c>
      <c r="AP510" s="18">
        <f t="shared" si="634"/>
        <v>3.0971278989757738</v>
      </c>
      <c r="AQ510" s="18">
        <f t="shared" si="634"/>
        <v>1.1753453910457881</v>
      </c>
      <c r="AR510" s="18">
        <f t="shared" si="634"/>
        <v>5.3358029228727446</v>
      </c>
      <c r="AS510" s="18">
        <f t="shared" si="634"/>
        <v>1.5732005640769622</v>
      </c>
      <c r="AT510" s="56">
        <f t="shared" si="622"/>
        <v>2</v>
      </c>
      <c r="AV510" s="18">
        <f t="shared" si="635"/>
        <v>7.6034980030225183</v>
      </c>
      <c r="AW510" s="18">
        <f t="shared" si="635"/>
        <v>0.27999061913429796</v>
      </c>
      <c r="AX510" s="18">
        <f t="shared" si="635"/>
        <v>3.0971278989757738</v>
      </c>
      <c r="AY510" s="18">
        <f t="shared" si="635"/>
        <v>1.1753453910457881</v>
      </c>
      <c r="AZ510" s="18">
        <f t="shared" si="635"/>
        <v>5.3358029228727446</v>
      </c>
      <c r="BA510" s="18">
        <f t="shared" si="635"/>
        <v>1.5985017488182143</v>
      </c>
      <c r="BB510" s="56">
        <f t="shared" si="623"/>
        <v>2</v>
      </c>
      <c r="BD510" s="18">
        <f t="shared" si="636"/>
        <v>7.6034980030225183</v>
      </c>
      <c r="BE510" s="18">
        <f t="shared" si="636"/>
        <v>0.27635232044583941</v>
      </c>
      <c r="BF510" s="18">
        <f t="shared" si="636"/>
        <v>3.0971278989757738</v>
      </c>
      <c r="BG510" s="18">
        <f t="shared" si="636"/>
        <v>1.1753453910457881</v>
      </c>
      <c r="BH510" s="18">
        <f t="shared" si="636"/>
        <v>5.3358029228727446</v>
      </c>
      <c r="BI510" s="18">
        <f t="shared" si="636"/>
        <v>1.623886092388563</v>
      </c>
      <c r="BJ510" s="56">
        <f t="shared" si="624"/>
        <v>2</v>
      </c>
      <c r="BL510" s="18">
        <f t="shared" si="637"/>
        <v>7.6034980030225183</v>
      </c>
      <c r="BM510" s="18">
        <f t="shared" si="637"/>
        <v>0.27635232044583941</v>
      </c>
      <c r="BN510" s="18">
        <f t="shared" si="637"/>
        <v>3.0971278989757738</v>
      </c>
      <c r="BO510" s="18">
        <f t="shared" si="637"/>
        <v>1.1753453910457881</v>
      </c>
      <c r="BP510" s="18">
        <f t="shared" si="637"/>
        <v>5.3358029228727446</v>
      </c>
      <c r="BQ510" s="18">
        <f t="shared" si="637"/>
        <v>1.623886092388563</v>
      </c>
      <c r="BR510" s="56">
        <f t="shared" si="625"/>
        <v>2</v>
      </c>
      <c r="BT510" s="18">
        <f t="shared" si="638"/>
        <v>7.6034980030225183</v>
      </c>
      <c r="BU510" s="18">
        <f t="shared" si="638"/>
        <v>0.27635232044583941</v>
      </c>
      <c r="BV510" s="18">
        <f t="shared" si="638"/>
        <v>3.0971278989757738</v>
      </c>
      <c r="BW510" s="18">
        <f t="shared" si="638"/>
        <v>1.1753453910457881</v>
      </c>
      <c r="BX510" s="18">
        <f t="shared" si="638"/>
        <v>5.3358029228727446</v>
      </c>
      <c r="BY510" s="18">
        <f t="shared" si="638"/>
        <v>1.623886092388563</v>
      </c>
      <c r="BZ510" s="56">
        <f t="shared" si="626"/>
        <v>2</v>
      </c>
      <c r="CB510" s="18">
        <f t="shared" si="639"/>
        <v>7.6034980030225183</v>
      </c>
      <c r="CC510" s="18">
        <f t="shared" si="639"/>
        <v>0.27635232044583941</v>
      </c>
      <c r="CD510" s="18">
        <f t="shared" si="639"/>
        <v>3.0971278989757738</v>
      </c>
      <c r="CE510" s="18">
        <f t="shared" si="639"/>
        <v>1.1753453910457881</v>
      </c>
      <c r="CF510" s="18">
        <f t="shared" si="639"/>
        <v>5.3358029228727446</v>
      </c>
      <c r="CG510" s="18">
        <f t="shared" si="639"/>
        <v>1.623886092388563</v>
      </c>
      <c r="CH510" s="56">
        <f t="shared" si="627"/>
        <v>2</v>
      </c>
      <c r="CJ510" s="18">
        <f t="shared" si="640"/>
        <v>7.6034980030225183</v>
      </c>
      <c r="CK510" s="18">
        <f t="shared" si="640"/>
        <v>0.27635232044583941</v>
      </c>
      <c r="CL510" s="18">
        <f t="shared" si="640"/>
        <v>3.0971278989757738</v>
      </c>
      <c r="CM510" s="18">
        <f t="shared" si="640"/>
        <v>1.1753453910457881</v>
      </c>
      <c r="CN510" s="18">
        <f t="shared" si="640"/>
        <v>5.3358029228727446</v>
      </c>
      <c r="CO510" s="18">
        <f t="shared" si="640"/>
        <v>1.623886092388563</v>
      </c>
      <c r="CP510" s="56">
        <f t="shared" si="628"/>
        <v>2</v>
      </c>
      <c r="CR510" s="18">
        <f t="shared" si="641"/>
        <v>7.6034980030225183</v>
      </c>
      <c r="CS510" s="18">
        <f t="shared" si="641"/>
        <v>0.27635232044583941</v>
      </c>
      <c r="CT510" s="18">
        <f t="shared" si="641"/>
        <v>3.0971278989757738</v>
      </c>
      <c r="CU510" s="18">
        <f t="shared" si="641"/>
        <v>1.1753453910457881</v>
      </c>
      <c r="CV510" s="18">
        <f t="shared" si="641"/>
        <v>5.3358029228727446</v>
      </c>
      <c r="CW510" s="18">
        <f t="shared" si="641"/>
        <v>1.623886092388563</v>
      </c>
      <c r="CX510" s="56">
        <f t="shared" si="629"/>
        <v>2</v>
      </c>
      <c r="CZ510" s="18">
        <f t="shared" si="642"/>
        <v>7.6034980030225183</v>
      </c>
      <c r="DA510" s="18">
        <f t="shared" si="642"/>
        <v>0.27635232044583941</v>
      </c>
      <c r="DB510" s="18">
        <f t="shared" si="642"/>
        <v>3.0971278989757738</v>
      </c>
      <c r="DC510" s="18">
        <f t="shared" si="642"/>
        <v>1.1753453910457881</v>
      </c>
      <c r="DD510" s="18">
        <f t="shared" si="642"/>
        <v>5.3358029228727446</v>
      </c>
      <c r="DE510" s="18">
        <f t="shared" si="642"/>
        <v>1.623886092388563</v>
      </c>
      <c r="DF510" s="56">
        <f t="shared" si="630"/>
        <v>2</v>
      </c>
      <c r="DH510" s="18">
        <f t="shared" si="643"/>
        <v>7.6034980030225183</v>
      </c>
      <c r="DI510" s="18">
        <f t="shared" si="643"/>
        <v>0.27635232044583941</v>
      </c>
      <c r="DJ510" s="18">
        <f t="shared" si="643"/>
        <v>3.0971278989757738</v>
      </c>
      <c r="DK510" s="18">
        <f t="shared" si="643"/>
        <v>1.1753453910457881</v>
      </c>
      <c r="DL510" s="18">
        <f t="shared" si="643"/>
        <v>5.3358029228727446</v>
      </c>
      <c r="DM510" s="18">
        <f t="shared" si="643"/>
        <v>1.623886092388563</v>
      </c>
      <c r="DN510" s="56">
        <f t="shared" si="631"/>
        <v>2</v>
      </c>
    </row>
    <row r="511" spans="1:118" x14ac:dyDescent="0.25">
      <c r="A511" s="36" t="str">
        <f>KMeans_Data!A108</f>
        <v>Tharparkar</v>
      </c>
      <c r="B511" s="18">
        <f>KMeans_Data!H108</f>
        <v>-0.99745100604838388</v>
      </c>
      <c r="C511" s="18">
        <f>KMeans_Data!I108</f>
        <v>-0.67265054538827607</v>
      </c>
      <c r="D511" s="18">
        <f>KMeans_Data!J108</f>
        <v>-0.63655717184154814</v>
      </c>
      <c r="E511" s="56">
        <f t="shared" si="618"/>
        <v>2</v>
      </c>
      <c r="F511" s="38">
        <f t="shared" si="619"/>
        <v>0.20845832120889096</v>
      </c>
      <c r="G511" s="18">
        <f>IF(COUNTIF(Distance_Matrix!$E$12:$DQ$12,$E511)&lt;=1,0,SUMIF(Distance_Matrix!$E$12:$DQ$12,$E511,Distance_Matrix!$E$117:$DQ$117)/(COUNTIF(Distance_Matrix!$E$12:$DQ$12,$E511)-1))</f>
        <v>0.64486665867649284</v>
      </c>
      <c r="H511" s="18">
        <f>MIN(IF(1=$E511,1E+99,IF(COUNTIF(Distance_Matrix!$E$12:$DQ$12,1)=0,1E+99,SUMIF(Distance_Matrix!$E$12:$DQ$12,1,Distance_Matrix!$E$117:$DQ$117)/COUNTIF(Distance_Matrix!$E$12:$DQ$12,1))),IF(2=$E511,1E+99,IF(COUNTIF(Distance_Matrix!$E$12:$DQ$12,2)=0,1E+99,SUMIF(Distance_Matrix!$E$12:$DQ$12,2,Distance_Matrix!$E$117:$DQ$117)/COUNTIF(Distance_Matrix!$E$12:$DQ$12,2))),IF(3=$E511,1E+99,IF(COUNTIF(Distance_Matrix!$E$12:$DQ$12,3)=0,1E+99,SUMIF(Distance_Matrix!$E$12:$DQ$12,3,Distance_Matrix!$E$117:$DQ$117)/COUNTIF(Distance_Matrix!$E$12:$DQ$12,3))),IF(4=$E511,1E+99,IF(COUNTIF(Distance_Matrix!$E$12:$DQ$12,4)=0,1E+99,SUMIF(Distance_Matrix!$E$12:$DQ$12,4,Distance_Matrix!$E$117:$DQ$117)/COUNTIF(Distance_Matrix!$E$12:$DQ$12,4))),IF(5=$E511,1E+99,IF(COUNTIF(Distance_Matrix!$E$12:$DQ$12,5)=0,1E+99,SUMIF(Distance_Matrix!$E$12:$DQ$12,5,Distance_Matrix!$E$117:$DQ$117)/COUNTIF(Distance_Matrix!$E$12:$DQ$12,5))),IF(6=$E511,1E+99,IF(COUNTIF(Distance_Matrix!$E$12:$DQ$12,6)=0,1E+99,SUMIF(Distance_Matrix!$E$12:$DQ$12,6,Distance_Matrix!$E$117:$DQ$117)/COUNTIF(Distance_Matrix!$E$12:$DQ$12,6))))</f>
        <v>1.2268550652962094</v>
      </c>
      <c r="I511" s="18">
        <f>IF(COUNTIF(Distance_Matrix!$E$12:$DQ$12,$E511)&lt;=1,0,(H511-G511)/MAX(G511,H511))</f>
        <v>0.4743742134521835</v>
      </c>
      <c r="X511" s="18">
        <f t="shared" si="632"/>
        <v>7.454703706650184</v>
      </c>
      <c r="Y511" s="18">
        <f t="shared" si="632"/>
        <v>1.1960412262714826</v>
      </c>
      <c r="Z511" s="18">
        <f t="shared" si="632"/>
        <v>3.1120659850710299</v>
      </c>
      <c r="AA511" s="18">
        <f t="shared" si="632"/>
        <v>1.7987085468486994</v>
      </c>
      <c r="AB511" s="18">
        <f t="shared" si="632"/>
        <v>5.39984587511535</v>
      </c>
      <c r="AC511" s="18">
        <f t="shared" si="632"/>
        <v>1.4005585619024479</v>
      </c>
      <c r="AD511" s="56">
        <f t="shared" si="620"/>
        <v>2</v>
      </c>
      <c r="AF511" s="18">
        <f t="shared" si="633"/>
        <v>7.3406647315733045</v>
      </c>
      <c r="AG511" s="18">
        <f t="shared" si="633"/>
        <v>0.56189598245061523</v>
      </c>
      <c r="AH511" s="18">
        <f t="shared" si="633"/>
        <v>2.8131251947335483</v>
      </c>
      <c r="AI511" s="18">
        <f t="shared" si="633"/>
        <v>1.1699073415432073</v>
      </c>
      <c r="AJ511" s="18">
        <f t="shared" si="633"/>
        <v>5.0737504614180757</v>
      </c>
      <c r="AK511" s="18">
        <f t="shared" si="633"/>
        <v>1.1269710610073054</v>
      </c>
      <c r="AL511" s="56">
        <f t="shared" si="621"/>
        <v>2</v>
      </c>
      <c r="AN511" s="18">
        <f t="shared" si="634"/>
        <v>7.3406647315733045</v>
      </c>
      <c r="AO511" s="18">
        <f t="shared" si="634"/>
        <v>0.51999579791552009</v>
      </c>
      <c r="AP511" s="18">
        <f t="shared" si="634"/>
        <v>2.7817319446231634</v>
      </c>
      <c r="AQ511" s="18">
        <f t="shared" si="634"/>
        <v>1.1623836578185529</v>
      </c>
      <c r="AR511" s="18">
        <f t="shared" si="634"/>
        <v>5.0737504614180757</v>
      </c>
      <c r="AS511" s="18">
        <f t="shared" si="634"/>
        <v>1.1704345197616548</v>
      </c>
      <c r="AT511" s="56">
        <f t="shared" si="622"/>
        <v>2</v>
      </c>
      <c r="AV511" s="18">
        <f t="shared" si="635"/>
        <v>7.3406647315733045</v>
      </c>
      <c r="AW511" s="18">
        <f t="shared" si="635"/>
        <v>0.48796424798903143</v>
      </c>
      <c r="AX511" s="18">
        <f t="shared" si="635"/>
        <v>2.7817319446231634</v>
      </c>
      <c r="AY511" s="18">
        <f t="shared" si="635"/>
        <v>1.1623836578185529</v>
      </c>
      <c r="AZ511" s="18">
        <f t="shared" si="635"/>
        <v>5.0737504614180757</v>
      </c>
      <c r="BA511" s="18">
        <f t="shared" si="635"/>
        <v>1.1965933779733069</v>
      </c>
      <c r="BB511" s="56">
        <f t="shared" si="623"/>
        <v>2</v>
      </c>
      <c r="BD511" s="18">
        <f t="shared" si="636"/>
        <v>7.3406647315733045</v>
      </c>
      <c r="BE511" s="18">
        <f t="shared" si="636"/>
        <v>0.45657236141589974</v>
      </c>
      <c r="BF511" s="18">
        <f t="shared" si="636"/>
        <v>2.7817319446231634</v>
      </c>
      <c r="BG511" s="18">
        <f t="shared" si="636"/>
        <v>1.1623836578185529</v>
      </c>
      <c r="BH511" s="18">
        <f t="shared" si="636"/>
        <v>5.0737504614180757</v>
      </c>
      <c r="BI511" s="18">
        <f t="shared" si="636"/>
        <v>1.2234571674734178</v>
      </c>
      <c r="BJ511" s="56">
        <f t="shared" si="624"/>
        <v>2</v>
      </c>
      <c r="BL511" s="18">
        <f t="shared" si="637"/>
        <v>7.3406647315733045</v>
      </c>
      <c r="BM511" s="18">
        <f t="shared" si="637"/>
        <v>0.45657236141589974</v>
      </c>
      <c r="BN511" s="18">
        <f t="shared" si="637"/>
        <v>2.7817319446231634</v>
      </c>
      <c r="BO511" s="18">
        <f t="shared" si="637"/>
        <v>1.1623836578185529</v>
      </c>
      <c r="BP511" s="18">
        <f t="shared" si="637"/>
        <v>5.0737504614180757</v>
      </c>
      <c r="BQ511" s="18">
        <f t="shared" si="637"/>
        <v>1.2234571674734178</v>
      </c>
      <c r="BR511" s="56">
        <f t="shared" si="625"/>
        <v>2</v>
      </c>
      <c r="BT511" s="18">
        <f t="shared" si="638"/>
        <v>7.3406647315733045</v>
      </c>
      <c r="BU511" s="18">
        <f t="shared" si="638"/>
        <v>0.45657236141589974</v>
      </c>
      <c r="BV511" s="18">
        <f t="shared" si="638"/>
        <v>2.7817319446231634</v>
      </c>
      <c r="BW511" s="18">
        <f t="shared" si="638"/>
        <v>1.1623836578185529</v>
      </c>
      <c r="BX511" s="18">
        <f t="shared" si="638"/>
        <v>5.0737504614180757</v>
      </c>
      <c r="BY511" s="18">
        <f t="shared" si="638"/>
        <v>1.2234571674734178</v>
      </c>
      <c r="BZ511" s="56">
        <f t="shared" si="626"/>
        <v>2</v>
      </c>
      <c r="CB511" s="18">
        <f t="shared" si="639"/>
        <v>7.3406647315733045</v>
      </c>
      <c r="CC511" s="18">
        <f t="shared" si="639"/>
        <v>0.45657236141589974</v>
      </c>
      <c r="CD511" s="18">
        <f t="shared" si="639"/>
        <v>2.7817319446231634</v>
      </c>
      <c r="CE511" s="18">
        <f t="shared" si="639"/>
        <v>1.1623836578185529</v>
      </c>
      <c r="CF511" s="18">
        <f t="shared" si="639"/>
        <v>5.0737504614180757</v>
      </c>
      <c r="CG511" s="18">
        <f t="shared" si="639"/>
        <v>1.2234571674734178</v>
      </c>
      <c r="CH511" s="56">
        <f t="shared" si="627"/>
        <v>2</v>
      </c>
      <c r="CJ511" s="18">
        <f t="shared" si="640"/>
        <v>7.3406647315733045</v>
      </c>
      <c r="CK511" s="18">
        <f t="shared" si="640"/>
        <v>0.45657236141589974</v>
      </c>
      <c r="CL511" s="18">
        <f t="shared" si="640"/>
        <v>2.7817319446231634</v>
      </c>
      <c r="CM511" s="18">
        <f t="shared" si="640"/>
        <v>1.1623836578185529</v>
      </c>
      <c r="CN511" s="18">
        <f t="shared" si="640"/>
        <v>5.0737504614180757</v>
      </c>
      <c r="CO511" s="18">
        <f t="shared" si="640"/>
        <v>1.2234571674734178</v>
      </c>
      <c r="CP511" s="56">
        <f t="shared" si="628"/>
        <v>2</v>
      </c>
      <c r="CR511" s="18">
        <f t="shared" si="641"/>
        <v>7.3406647315733045</v>
      </c>
      <c r="CS511" s="18">
        <f t="shared" si="641"/>
        <v>0.45657236141589974</v>
      </c>
      <c r="CT511" s="18">
        <f t="shared" si="641"/>
        <v>2.7817319446231634</v>
      </c>
      <c r="CU511" s="18">
        <f t="shared" si="641"/>
        <v>1.1623836578185529</v>
      </c>
      <c r="CV511" s="18">
        <f t="shared" si="641"/>
        <v>5.0737504614180757</v>
      </c>
      <c r="CW511" s="18">
        <f t="shared" si="641"/>
        <v>1.2234571674734178</v>
      </c>
      <c r="CX511" s="56">
        <f t="shared" si="629"/>
        <v>2</v>
      </c>
      <c r="CZ511" s="18">
        <f t="shared" si="642"/>
        <v>7.3406647315733045</v>
      </c>
      <c r="DA511" s="18">
        <f t="shared" si="642"/>
        <v>0.45657236141589974</v>
      </c>
      <c r="DB511" s="18">
        <f t="shared" si="642"/>
        <v>2.7817319446231634</v>
      </c>
      <c r="DC511" s="18">
        <f t="shared" si="642"/>
        <v>1.1623836578185529</v>
      </c>
      <c r="DD511" s="18">
        <f t="shared" si="642"/>
        <v>5.0737504614180757</v>
      </c>
      <c r="DE511" s="18">
        <f t="shared" si="642"/>
        <v>1.2234571674734178</v>
      </c>
      <c r="DF511" s="56">
        <f t="shared" si="630"/>
        <v>2</v>
      </c>
      <c r="DH511" s="18">
        <f t="shared" si="643"/>
        <v>7.3406647315733045</v>
      </c>
      <c r="DI511" s="18">
        <f t="shared" si="643"/>
        <v>0.45657236141589974</v>
      </c>
      <c r="DJ511" s="18">
        <f t="shared" si="643"/>
        <v>2.7817319446231634</v>
      </c>
      <c r="DK511" s="18">
        <f t="shared" si="643"/>
        <v>1.1623836578185529</v>
      </c>
      <c r="DL511" s="18">
        <f t="shared" si="643"/>
        <v>5.0737504614180757</v>
      </c>
      <c r="DM511" s="18">
        <f t="shared" si="643"/>
        <v>1.2234571674734178</v>
      </c>
      <c r="DN511" s="56">
        <f t="shared" si="631"/>
        <v>2</v>
      </c>
    </row>
    <row r="512" spans="1:118" x14ac:dyDescent="0.25">
      <c r="A512" s="36" t="str">
        <f>KMeans_Data!A109</f>
        <v>Chakwal</v>
      </c>
      <c r="B512" s="18">
        <f>KMeans_Data!H109</f>
        <v>-1.1471808993548489</v>
      </c>
      <c r="C512" s="18">
        <f>KMeans_Data!I109</f>
        <v>-0.67265054538827607</v>
      </c>
      <c r="D512" s="18">
        <f>KMeans_Data!J109</f>
        <v>-0.82444601589876665</v>
      </c>
      <c r="E512" s="56">
        <f t="shared" si="618"/>
        <v>2</v>
      </c>
      <c r="F512" s="38">
        <f t="shared" si="619"/>
        <v>4.81736910253837E-2</v>
      </c>
      <c r="G512" s="18">
        <f>IF(COUNTIF(Distance_Matrix!$E$12:$DQ$12,$E512)&lt;=1,0,SUMIF(Distance_Matrix!$E$12:$DQ$12,$E512,Distance_Matrix!$E$118:$DQ$118)/(COUNTIF(Distance_Matrix!$E$12:$DQ$12,$E512)-1))</f>
        <v>0.53144406925940879</v>
      </c>
      <c r="H512" s="18">
        <f>MIN(IF(1=$E512,1E+99,IF(COUNTIF(Distance_Matrix!$E$12:$DQ$12,1)=0,1E+99,SUMIF(Distance_Matrix!$E$12:$DQ$12,1,Distance_Matrix!$E$118:$DQ$118)/COUNTIF(Distance_Matrix!$E$12:$DQ$12,1))),IF(2=$E512,1E+99,IF(COUNTIF(Distance_Matrix!$E$12:$DQ$12,2)=0,1E+99,SUMIF(Distance_Matrix!$E$12:$DQ$12,2,Distance_Matrix!$E$118:$DQ$118)/COUNTIF(Distance_Matrix!$E$12:$DQ$12,2))),IF(3=$E512,1E+99,IF(COUNTIF(Distance_Matrix!$E$12:$DQ$12,3)=0,1E+99,SUMIF(Distance_Matrix!$E$12:$DQ$12,3,Distance_Matrix!$E$118:$DQ$118)/COUNTIF(Distance_Matrix!$E$12:$DQ$12,3))),IF(4=$E512,1E+99,IF(COUNTIF(Distance_Matrix!$E$12:$DQ$12,4)=0,1E+99,SUMIF(Distance_Matrix!$E$12:$DQ$12,4,Distance_Matrix!$E$118:$DQ$118)/COUNTIF(Distance_Matrix!$E$12:$DQ$12,4))),IF(5=$E512,1E+99,IF(COUNTIF(Distance_Matrix!$E$12:$DQ$12,5)=0,1E+99,SUMIF(Distance_Matrix!$E$12:$DQ$12,5,Distance_Matrix!$E$118:$DQ$118)/COUNTIF(Distance_Matrix!$E$12:$DQ$12,5))),IF(6=$E512,1E+99,IF(COUNTIF(Distance_Matrix!$E$12:$DQ$12,6)=0,1E+99,SUMIF(Distance_Matrix!$E$12:$DQ$12,6,Distance_Matrix!$E$118:$DQ$118)/COUNTIF(Distance_Matrix!$E$12:$DQ$12,6))))</f>
        <v>1.3427293495332875</v>
      </c>
      <c r="I512" s="18">
        <f>IF(COUNTIF(Distance_Matrix!$E$12:$DQ$12,$E512)&lt;=1,0,(H512-G512)/MAX(G512,H512))</f>
        <v>0.60420611239031097</v>
      </c>
      <c r="X512" s="18">
        <f t="shared" si="632"/>
        <v>7.6400948807562985</v>
      </c>
      <c r="Y512" s="18">
        <f t="shared" si="632"/>
        <v>0.98632192095062787</v>
      </c>
      <c r="Z512" s="18">
        <f t="shared" si="632"/>
        <v>3.3382274243213987</v>
      </c>
      <c r="AA512" s="18">
        <f t="shared" si="632"/>
        <v>1.8957372607825711</v>
      </c>
      <c r="AB512" s="18">
        <f t="shared" si="632"/>
        <v>5.5994211927358934</v>
      </c>
      <c r="AC512" s="18">
        <f t="shared" si="632"/>
        <v>1.606826842129452</v>
      </c>
      <c r="AD512" s="56">
        <f t="shared" si="620"/>
        <v>2</v>
      </c>
      <c r="AF512" s="18">
        <f t="shared" si="633"/>
        <v>7.5214808424228226</v>
      </c>
      <c r="AG512" s="18">
        <f t="shared" si="633"/>
        <v>0.32272552148856015</v>
      </c>
      <c r="AH512" s="18">
        <f t="shared" si="633"/>
        <v>3.0158065409327333</v>
      </c>
      <c r="AI512" s="18">
        <f t="shared" si="633"/>
        <v>1.2984204715198489</v>
      </c>
      <c r="AJ512" s="18">
        <f t="shared" si="633"/>
        <v>5.2571327524198388</v>
      </c>
      <c r="AK512" s="18">
        <f t="shared" si="633"/>
        <v>1.360462462271939</v>
      </c>
      <c r="AL512" s="56">
        <f t="shared" si="621"/>
        <v>2</v>
      </c>
      <c r="AN512" s="18">
        <f t="shared" si="634"/>
        <v>7.5214808424228226</v>
      </c>
      <c r="AO512" s="18">
        <f t="shared" si="634"/>
        <v>0.2824381837270154</v>
      </c>
      <c r="AP512" s="18">
        <f t="shared" si="634"/>
        <v>2.9841929307051447</v>
      </c>
      <c r="AQ512" s="18">
        <f t="shared" si="634"/>
        <v>1.2901396350042422</v>
      </c>
      <c r="AR512" s="18">
        <f t="shared" si="634"/>
        <v>5.2571327524198388</v>
      </c>
      <c r="AS512" s="18">
        <f t="shared" si="634"/>
        <v>1.4039603145805202</v>
      </c>
      <c r="AT512" s="56">
        <f t="shared" si="622"/>
        <v>2</v>
      </c>
      <c r="AV512" s="18">
        <f t="shared" si="635"/>
        <v>7.5214808424228226</v>
      </c>
      <c r="AW512" s="18">
        <f t="shared" si="635"/>
        <v>0.25077551172172385</v>
      </c>
      <c r="AX512" s="18">
        <f t="shared" si="635"/>
        <v>2.9841929307051447</v>
      </c>
      <c r="AY512" s="18">
        <f t="shared" si="635"/>
        <v>1.2901396350042422</v>
      </c>
      <c r="AZ512" s="18">
        <f t="shared" si="635"/>
        <v>5.2571327524198388</v>
      </c>
      <c r="BA512" s="18">
        <f t="shared" si="635"/>
        <v>1.429993524500883</v>
      </c>
      <c r="BB512" s="56">
        <f t="shared" si="623"/>
        <v>2</v>
      </c>
      <c r="BD512" s="18">
        <f t="shared" si="636"/>
        <v>7.5214808424228226</v>
      </c>
      <c r="BE512" s="18">
        <f t="shared" si="636"/>
        <v>0.21948505877481433</v>
      </c>
      <c r="BF512" s="18">
        <f t="shared" si="636"/>
        <v>2.9841929307051447</v>
      </c>
      <c r="BG512" s="18">
        <f t="shared" si="636"/>
        <v>1.2901396350042422</v>
      </c>
      <c r="BH512" s="18">
        <f t="shared" si="636"/>
        <v>5.2571327524198388</v>
      </c>
      <c r="BI512" s="18">
        <f t="shared" si="636"/>
        <v>1.4566825962119923</v>
      </c>
      <c r="BJ512" s="56">
        <f t="shared" si="624"/>
        <v>2</v>
      </c>
      <c r="BL512" s="18">
        <f t="shared" si="637"/>
        <v>7.5214808424228226</v>
      </c>
      <c r="BM512" s="18">
        <f t="shared" si="637"/>
        <v>0.21948505877481433</v>
      </c>
      <c r="BN512" s="18">
        <f t="shared" si="637"/>
        <v>2.9841929307051447</v>
      </c>
      <c r="BO512" s="18">
        <f t="shared" si="637"/>
        <v>1.2901396350042422</v>
      </c>
      <c r="BP512" s="18">
        <f t="shared" si="637"/>
        <v>5.2571327524198388</v>
      </c>
      <c r="BQ512" s="18">
        <f t="shared" si="637"/>
        <v>1.4566825962119923</v>
      </c>
      <c r="BR512" s="56">
        <f t="shared" si="625"/>
        <v>2</v>
      </c>
      <c r="BT512" s="18">
        <f t="shared" si="638"/>
        <v>7.5214808424228226</v>
      </c>
      <c r="BU512" s="18">
        <f t="shared" si="638"/>
        <v>0.21948505877481433</v>
      </c>
      <c r="BV512" s="18">
        <f t="shared" si="638"/>
        <v>2.9841929307051447</v>
      </c>
      <c r="BW512" s="18">
        <f t="shared" si="638"/>
        <v>1.2901396350042422</v>
      </c>
      <c r="BX512" s="18">
        <f t="shared" si="638"/>
        <v>5.2571327524198388</v>
      </c>
      <c r="BY512" s="18">
        <f t="shared" si="638"/>
        <v>1.4566825962119923</v>
      </c>
      <c r="BZ512" s="56">
        <f t="shared" si="626"/>
        <v>2</v>
      </c>
      <c r="CB512" s="18">
        <f t="shared" si="639"/>
        <v>7.5214808424228226</v>
      </c>
      <c r="CC512" s="18">
        <f t="shared" si="639"/>
        <v>0.21948505877481433</v>
      </c>
      <c r="CD512" s="18">
        <f t="shared" si="639"/>
        <v>2.9841929307051447</v>
      </c>
      <c r="CE512" s="18">
        <f t="shared" si="639"/>
        <v>1.2901396350042422</v>
      </c>
      <c r="CF512" s="18">
        <f t="shared" si="639"/>
        <v>5.2571327524198388</v>
      </c>
      <c r="CG512" s="18">
        <f t="shared" si="639"/>
        <v>1.4566825962119923</v>
      </c>
      <c r="CH512" s="56">
        <f t="shared" si="627"/>
        <v>2</v>
      </c>
      <c r="CJ512" s="18">
        <f t="shared" si="640"/>
        <v>7.5214808424228226</v>
      </c>
      <c r="CK512" s="18">
        <f t="shared" si="640"/>
        <v>0.21948505877481433</v>
      </c>
      <c r="CL512" s="18">
        <f t="shared" si="640"/>
        <v>2.9841929307051447</v>
      </c>
      <c r="CM512" s="18">
        <f t="shared" si="640"/>
        <v>1.2901396350042422</v>
      </c>
      <c r="CN512" s="18">
        <f t="shared" si="640"/>
        <v>5.2571327524198388</v>
      </c>
      <c r="CO512" s="18">
        <f t="shared" si="640"/>
        <v>1.4566825962119923</v>
      </c>
      <c r="CP512" s="56">
        <f t="shared" si="628"/>
        <v>2</v>
      </c>
      <c r="CR512" s="18">
        <f t="shared" si="641"/>
        <v>7.5214808424228226</v>
      </c>
      <c r="CS512" s="18">
        <f t="shared" si="641"/>
        <v>0.21948505877481433</v>
      </c>
      <c r="CT512" s="18">
        <f t="shared" si="641"/>
        <v>2.9841929307051447</v>
      </c>
      <c r="CU512" s="18">
        <f t="shared" si="641"/>
        <v>1.2901396350042422</v>
      </c>
      <c r="CV512" s="18">
        <f t="shared" si="641"/>
        <v>5.2571327524198388</v>
      </c>
      <c r="CW512" s="18">
        <f t="shared" si="641"/>
        <v>1.4566825962119923</v>
      </c>
      <c r="CX512" s="56">
        <f t="shared" si="629"/>
        <v>2</v>
      </c>
      <c r="CZ512" s="18">
        <f t="shared" si="642"/>
        <v>7.5214808424228226</v>
      </c>
      <c r="DA512" s="18">
        <f t="shared" si="642"/>
        <v>0.21948505877481433</v>
      </c>
      <c r="DB512" s="18">
        <f t="shared" si="642"/>
        <v>2.9841929307051447</v>
      </c>
      <c r="DC512" s="18">
        <f t="shared" si="642"/>
        <v>1.2901396350042422</v>
      </c>
      <c r="DD512" s="18">
        <f t="shared" si="642"/>
        <v>5.2571327524198388</v>
      </c>
      <c r="DE512" s="18">
        <f t="shared" si="642"/>
        <v>1.4566825962119923</v>
      </c>
      <c r="DF512" s="56">
        <f t="shared" si="630"/>
        <v>2</v>
      </c>
      <c r="DH512" s="18">
        <f t="shared" si="643"/>
        <v>7.5214808424228226</v>
      </c>
      <c r="DI512" s="18">
        <f t="shared" si="643"/>
        <v>0.21948505877481433</v>
      </c>
      <c r="DJ512" s="18">
        <f t="shared" si="643"/>
        <v>2.9841929307051447</v>
      </c>
      <c r="DK512" s="18">
        <f t="shared" si="643"/>
        <v>1.2901396350042422</v>
      </c>
      <c r="DL512" s="18">
        <f t="shared" si="643"/>
        <v>5.2571327524198388</v>
      </c>
      <c r="DM512" s="18">
        <f t="shared" si="643"/>
        <v>1.4566825962119923</v>
      </c>
      <c r="DN512" s="56">
        <f t="shared" si="631"/>
        <v>2</v>
      </c>
    </row>
    <row r="513" spans="1:118" x14ac:dyDescent="0.25">
      <c r="A513" s="36" t="str">
        <f>KMeans_Data!A110</f>
        <v>Pishin</v>
      </c>
      <c r="B513" s="18">
        <f>KMeans_Data!H110</f>
        <v>-1.3582133313000322</v>
      </c>
      <c r="C513" s="18">
        <f>KMeans_Data!I110</f>
        <v>-0.67265054538827607</v>
      </c>
      <c r="D513" s="18">
        <f>KMeans_Data!J110</f>
        <v>-1.1456441163335547</v>
      </c>
      <c r="E513" s="56">
        <f t="shared" si="618"/>
        <v>2</v>
      </c>
      <c r="F513" s="38">
        <f t="shared" si="619"/>
        <v>2.9175879410157732E-2</v>
      </c>
      <c r="G513" s="18">
        <f>IF(COUNTIF(Distance_Matrix!$E$12:$DQ$12,$E513)&lt;=1,0,SUMIF(Distance_Matrix!$E$12:$DQ$12,$E513,Distance_Matrix!$E$119:$DQ$119)/(COUNTIF(Distance_Matrix!$E$12:$DQ$12,$E513)-1))</f>
        <v>0.48867768631420855</v>
      </c>
      <c r="H513" s="18">
        <f>MIN(IF(1=$E513,1E+99,IF(COUNTIF(Distance_Matrix!$E$12:$DQ$12,1)=0,1E+99,SUMIF(Distance_Matrix!$E$12:$DQ$12,1,Distance_Matrix!$E$119:$DQ$119)/COUNTIF(Distance_Matrix!$E$12:$DQ$12,1))),IF(2=$E513,1E+99,IF(COUNTIF(Distance_Matrix!$E$12:$DQ$12,2)=0,1E+99,SUMIF(Distance_Matrix!$E$12:$DQ$12,2,Distance_Matrix!$E$119:$DQ$119)/COUNTIF(Distance_Matrix!$E$12:$DQ$12,2))),IF(3=$E513,1E+99,IF(COUNTIF(Distance_Matrix!$E$12:$DQ$12,3)=0,1E+99,SUMIF(Distance_Matrix!$E$12:$DQ$12,3,Distance_Matrix!$E$119:$DQ$119)/COUNTIF(Distance_Matrix!$E$12:$DQ$12,3))),IF(4=$E513,1E+99,IF(COUNTIF(Distance_Matrix!$E$12:$DQ$12,4)=0,1E+99,SUMIF(Distance_Matrix!$E$12:$DQ$12,4,Distance_Matrix!$E$119:$DQ$119)/COUNTIF(Distance_Matrix!$E$12:$DQ$12,4))),IF(5=$E513,1E+99,IF(COUNTIF(Distance_Matrix!$E$12:$DQ$12,5)=0,1E+99,SUMIF(Distance_Matrix!$E$12:$DQ$12,5,Distance_Matrix!$E$119:$DQ$119)/COUNTIF(Distance_Matrix!$E$12:$DQ$12,5))),IF(6=$E513,1E+99,IF(COUNTIF(Distance_Matrix!$E$12:$DQ$12,6)=0,1E+99,SUMIF(Distance_Matrix!$E$12:$DQ$12,6,Distance_Matrix!$E$119:$DQ$119)/COUNTIF(Distance_Matrix!$E$12:$DQ$12,6))))</f>
        <v>1.5676549063337639</v>
      </c>
      <c r="I513" s="18">
        <f>IF(COUNTIF(Distance_Matrix!$E$12:$DQ$12,$E513)&lt;=1,0,(H513-G513)/MAX(G513,H513))</f>
        <v>0.68827470616153197</v>
      </c>
      <c r="X513" s="18">
        <f t="shared" si="632"/>
        <v>7.9375096538498271</v>
      </c>
      <c r="Y513" s="18">
        <f t="shared" si="632"/>
        <v>0.72152465050329639</v>
      </c>
      <c r="Z513" s="18">
        <f t="shared" si="632"/>
        <v>3.6996860383442045</v>
      </c>
      <c r="AA513" s="18">
        <f t="shared" si="632"/>
        <v>2.0716869674950886</v>
      </c>
      <c r="AB513" s="18">
        <f t="shared" si="632"/>
        <v>5.9192063980105338</v>
      </c>
      <c r="AC513" s="18">
        <f t="shared" si="632"/>
        <v>1.9619120218872905</v>
      </c>
      <c r="AD513" s="56">
        <f t="shared" si="620"/>
        <v>2</v>
      </c>
      <c r="AF513" s="18">
        <f t="shared" si="633"/>
        <v>7.8113248715802506</v>
      </c>
      <c r="AG513" s="18">
        <f t="shared" si="633"/>
        <v>6.6592237301395657E-2</v>
      </c>
      <c r="AH513" s="18">
        <f t="shared" si="633"/>
        <v>3.3449697462551824</v>
      </c>
      <c r="AI513" s="18">
        <f t="shared" si="633"/>
        <v>1.5357528589577085</v>
      </c>
      <c r="AJ513" s="18">
        <f t="shared" si="633"/>
        <v>5.5525899763606423</v>
      </c>
      <c r="AK513" s="18">
        <f t="shared" si="633"/>
        <v>1.7351712024689556</v>
      </c>
      <c r="AL513" s="56">
        <f t="shared" si="621"/>
        <v>2</v>
      </c>
      <c r="AN513" s="18">
        <f t="shared" si="634"/>
        <v>7.8113248715802506</v>
      </c>
      <c r="AO513" s="18">
        <f t="shared" si="634"/>
        <v>0.10967639248551156</v>
      </c>
      <c r="AP513" s="18">
        <f t="shared" si="634"/>
        <v>3.3132502616690331</v>
      </c>
      <c r="AQ513" s="18">
        <f t="shared" si="634"/>
        <v>1.5267489427950331</v>
      </c>
      <c r="AR513" s="18">
        <f t="shared" si="634"/>
        <v>5.5525899763606423</v>
      </c>
      <c r="AS513" s="18">
        <f t="shared" si="634"/>
        <v>1.7783023728611209</v>
      </c>
      <c r="AT513" s="56">
        <f t="shared" si="622"/>
        <v>2</v>
      </c>
      <c r="AV513" s="18">
        <f t="shared" si="635"/>
        <v>7.8113248715802506</v>
      </c>
      <c r="AW513" s="18">
        <f t="shared" si="635"/>
        <v>0.14063958578912006</v>
      </c>
      <c r="AX513" s="18">
        <f t="shared" si="635"/>
        <v>3.3132502616690331</v>
      </c>
      <c r="AY513" s="18">
        <f t="shared" si="635"/>
        <v>1.5267489427950331</v>
      </c>
      <c r="AZ513" s="18">
        <f t="shared" si="635"/>
        <v>5.5525899763606423</v>
      </c>
      <c r="BA513" s="18">
        <f t="shared" si="635"/>
        <v>1.804128438017838</v>
      </c>
      <c r="BB513" s="56">
        <f t="shared" si="623"/>
        <v>2</v>
      </c>
      <c r="BD513" s="18">
        <f t="shared" si="636"/>
        <v>7.8113248715802506</v>
      </c>
      <c r="BE513" s="18">
        <f t="shared" si="636"/>
        <v>0.17080948278757163</v>
      </c>
      <c r="BF513" s="18">
        <f t="shared" si="636"/>
        <v>3.3132502616690331</v>
      </c>
      <c r="BG513" s="18">
        <f t="shared" si="636"/>
        <v>1.5267489427950331</v>
      </c>
      <c r="BH513" s="18">
        <f t="shared" si="636"/>
        <v>5.5525899763606423</v>
      </c>
      <c r="BI513" s="18">
        <f t="shared" si="636"/>
        <v>1.8305021207042858</v>
      </c>
      <c r="BJ513" s="56">
        <f t="shared" si="624"/>
        <v>2</v>
      </c>
      <c r="BL513" s="18">
        <f t="shared" si="637"/>
        <v>7.8113248715802506</v>
      </c>
      <c r="BM513" s="18">
        <f t="shared" si="637"/>
        <v>0.17080948278757163</v>
      </c>
      <c r="BN513" s="18">
        <f t="shared" si="637"/>
        <v>3.3132502616690331</v>
      </c>
      <c r="BO513" s="18">
        <f t="shared" si="637"/>
        <v>1.5267489427950331</v>
      </c>
      <c r="BP513" s="18">
        <f t="shared" si="637"/>
        <v>5.5525899763606423</v>
      </c>
      <c r="BQ513" s="18">
        <f t="shared" si="637"/>
        <v>1.8305021207042858</v>
      </c>
      <c r="BR513" s="56">
        <f t="shared" si="625"/>
        <v>2</v>
      </c>
      <c r="BT513" s="18">
        <f t="shared" si="638"/>
        <v>7.8113248715802506</v>
      </c>
      <c r="BU513" s="18">
        <f t="shared" si="638"/>
        <v>0.17080948278757163</v>
      </c>
      <c r="BV513" s="18">
        <f t="shared" si="638"/>
        <v>3.3132502616690331</v>
      </c>
      <c r="BW513" s="18">
        <f t="shared" si="638"/>
        <v>1.5267489427950331</v>
      </c>
      <c r="BX513" s="18">
        <f t="shared" si="638"/>
        <v>5.5525899763606423</v>
      </c>
      <c r="BY513" s="18">
        <f t="shared" si="638"/>
        <v>1.8305021207042858</v>
      </c>
      <c r="BZ513" s="56">
        <f t="shared" si="626"/>
        <v>2</v>
      </c>
      <c r="CB513" s="18">
        <f t="shared" si="639"/>
        <v>7.8113248715802506</v>
      </c>
      <c r="CC513" s="18">
        <f t="shared" si="639"/>
        <v>0.17080948278757163</v>
      </c>
      <c r="CD513" s="18">
        <f t="shared" si="639"/>
        <v>3.3132502616690331</v>
      </c>
      <c r="CE513" s="18">
        <f t="shared" si="639"/>
        <v>1.5267489427950331</v>
      </c>
      <c r="CF513" s="18">
        <f t="shared" si="639"/>
        <v>5.5525899763606423</v>
      </c>
      <c r="CG513" s="18">
        <f t="shared" si="639"/>
        <v>1.8305021207042858</v>
      </c>
      <c r="CH513" s="56">
        <f t="shared" si="627"/>
        <v>2</v>
      </c>
      <c r="CJ513" s="18">
        <f t="shared" si="640"/>
        <v>7.8113248715802506</v>
      </c>
      <c r="CK513" s="18">
        <f t="shared" si="640"/>
        <v>0.17080948278757163</v>
      </c>
      <c r="CL513" s="18">
        <f t="shared" si="640"/>
        <v>3.3132502616690331</v>
      </c>
      <c r="CM513" s="18">
        <f t="shared" si="640"/>
        <v>1.5267489427950331</v>
      </c>
      <c r="CN513" s="18">
        <f t="shared" si="640"/>
        <v>5.5525899763606423</v>
      </c>
      <c r="CO513" s="18">
        <f t="shared" si="640"/>
        <v>1.8305021207042858</v>
      </c>
      <c r="CP513" s="56">
        <f t="shared" si="628"/>
        <v>2</v>
      </c>
      <c r="CR513" s="18">
        <f t="shared" si="641"/>
        <v>7.8113248715802506</v>
      </c>
      <c r="CS513" s="18">
        <f t="shared" si="641"/>
        <v>0.17080948278757163</v>
      </c>
      <c r="CT513" s="18">
        <f t="shared" si="641"/>
        <v>3.3132502616690331</v>
      </c>
      <c r="CU513" s="18">
        <f t="shared" si="641"/>
        <v>1.5267489427950331</v>
      </c>
      <c r="CV513" s="18">
        <f t="shared" si="641"/>
        <v>5.5525899763606423</v>
      </c>
      <c r="CW513" s="18">
        <f t="shared" si="641"/>
        <v>1.8305021207042858</v>
      </c>
      <c r="CX513" s="56">
        <f t="shared" si="629"/>
        <v>2</v>
      </c>
      <c r="CZ513" s="18">
        <f t="shared" si="642"/>
        <v>7.8113248715802506</v>
      </c>
      <c r="DA513" s="18">
        <f t="shared" si="642"/>
        <v>0.17080948278757163</v>
      </c>
      <c r="DB513" s="18">
        <f t="shared" si="642"/>
        <v>3.3132502616690331</v>
      </c>
      <c r="DC513" s="18">
        <f t="shared" si="642"/>
        <v>1.5267489427950331</v>
      </c>
      <c r="DD513" s="18">
        <f t="shared" si="642"/>
        <v>5.5525899763606423</v>
      </c>
      <c r="DE513" s="18">
        <f t="shared" si="642"/>
        <v>1.8305021207042858</v>
      </c>
      <c r="DF513" s="56">
        <f t="shared" si="630"/>
        <v>2</v>
      </c>
      <c r="DH513" s="18">
        <f t="shared" si="643"/>
        <v>7.8113248715802506</v>
      </c>
      <c r="DI513" s="18">
        <f t="shared" si="643"/>
        <v>0.17080948278757163</v>
      </c>
      <c r="DJ513" s="18">
        <f t="shared" si="643"/>
        <v>3.3132502616690331</v>
      </c>
      <c r="DK513" s="18">
        <f t="shared" si="643"/>
        <v>1.5267489427950331</v>
      </c>
      <c r="DL513" s="18">
        <f t="shared" si="643"/>
        <v>5.5525899763606423</v>
      </c>
      <c r="DM513" s="18">
        <f t="shared" si="643"/>
        <v>1.8305021207042858</v>
      </c>
      <c r="DN513" s="56">
        <f t="shared" si="631"/>
        <v>2</v>
      </c>
    </row>
    <row r="514" spans="1:118" x14ac:dyDescent="0.25">
      <c r="A514" s="36" t="str">
        <f>KMeans_Data!A111</f>
        <v>Kohistan Lower</v>
      </c>
      <c r="B514" s="18">
        <f>KMeans_Data!H111</f>
        <v>-1.507943224606497</v>
      </c>
      <c r="C514" s="18">
        <f>KMeans_Data!I111</f>
        <v>-0.67265054538827607</v>
      </c>
      <c r="D514" s="18">
        <f>KMeans_Data!J111</f>
        <v>-1.1456441163335547</v>
      </c>
      <c r="E514" s="56">
        <f t="shared" si="618"/>
        <v>2</v>
      </c>
      <c r="F514" s="38">
        <f t="shared" si="619"/>
        <v>8.6024243934127609E-2</v>
      </c>
      <c r="G514" s="18">
        <f>IF(COUNTIF(Distance_Matrix!$E$12:$DQ$12,$E514)&lt;=1,0,SUMIF(Distance_Matrix!$E$12:$DQ$12,$E514,Distance_Matrix!$E$120:$DQ$120)/(COUNTIF(Distance_Matrix!$E$12:$DQ$12,$E514)-1))</f>
        <v>0.50493236156717092</v>
      </c>
      <c r="H514" s="18">
        <f>MIN(IF(1=$E514,1E+99,IF(COUNTIF(Distance_Matrix!$E$12:$DQ$12,1)=0,1E+99,SUMIF(Distance_Matrix!$E$12:$DQ$12,1,Distance_Matrix!$E$120:$DQ$120)/COUNTIF(Distance_Matrix!$E$12:$DQ$12,1))),IF(2=$E514,1E+99,IF(COUNTIF(Distance_Matrix!$E$12:$DQ$12,2)=0,1E+99,SUMIF(Distance_Matrix!$E$12:$DQ$12,2,Distance_Matrix!$E$120:$DQ$120)/COUNTIF(Distance_Matrix!$E$12:$DQ$12,2))),IF(3=$E514,1E+99,IF(COUNTIF(Distance_Matrix!$E$12:$DQ$12,3)=0,1E+99,SUMIF(Distance_Matrix!$E$12:$DQ$12,3,Distance_Matrix!$E$120:$DQ$120)/COUNTIF(Distance_Matrix!$E$12:$DQ$12,3))),IF(4=$E514,1E+99,IF(COUNTIF(Distance_Matrix!$E$12:$DQ$12,4)=0,1E+99,SUMIF(Distance_Matrix!$E$12:$DQ$12,4,Distance_Matrix!$E$120:$DQ$120)/COUNTIF(Distance_Matrix!$E$12:$DQ$12,4))),IF(5=$E514,1E+99,IF(COUNTIF(Distance_Matrix!$E$12:$DQ$12,5)=0,1E+99,SUMIF(Distance_Matrix!$E$12:$DQ$12,5,Distance_Matrix!$E$120:$DQ$120)/COUNTIF(Distance_Matrix!$E$12:$DQ$12,5))),IF(6=$E514,1E+99,IF(COUNTIF(Distance_Matrix!$E$12:$DQ$12,6)=0,1E+99,SUMIF(Distance_Matrix!$E$12:$DQ$12,6,Distance_Matrix!$E$120:$DQ$120)/COUNTIF(Distance_Matrix!$E$12:$DQ$12,6))))</f>
        <v>1.7114276544425087</v>
      </c>
      <c r="I514" s="18">
        <f>IF(COUNTIF(Distance_Matrix!$E$12:$DQ$12,$E514)&lt;=1,0,(H514-G514)/MAX(G514,H514))</f>
        <v>0.70496423833255695</v>
      </c>
      <c r="X514" s="18">
        <f t="shared" si="632"/>
        <v>8.0258166331110399</v>
      </c>
      <c r="Y514" s="18">
        <f t="shared" si="632"/>
        <v>0.57179475719683159</v>
      </c>
      <c r="Z514" s="18">
        <f t="shared" si="632"/>
        <v>3.7983505335880898</v>
      </c>
      <c r="AA514" s="18">
        <f t="shared" si="632"/>
        <v>2.2168421962261942</v>
      </c>
      <c r="AB514" s="18">
        <f t="shared" si="632"/>
        <v>6.0145021339637186</v>
      </c>
      <c r="AC514" s="18">
        <f t="shared" si="632"/>
        <v>2.0166242235250182</v>
      </c>
      <c r="AD514" s="56">
        <f t="shared" si="620"/>
        <v>2</v>
      </c>
      <c r="AF514" s="18">
        <f t="shared" si="633"/>
        <v>7.9008133942326788</v>
      </c>
      <c r="AG514" s="18">
        <f t="shared" si="633"/>
        <v>0.19514400628611303</v>
      </c>
      <c r="AH514" s="18">
        <f t="shared" si="633"/>
        <v>3.4421734184393777</v>
      </c>
      <c r="AI514" s="18">
        <f t="shared" si="633"/>
        <v>1.6824841251365874</v>
      </c>
      <c r="AJ514" s="18">
        <f t="shared" si="633"/>
        <v>5.6468904621384244</v>
      </c>
      <c r="AK514" s="18">
        <f t="shared" si="633"/>
        <v>1.8332101184379219</v>
      </c>
      <c r="AL514" s="56">
        <f t="shared" si="621"/>
        <v>2</v>
      </c>
      <c r="AN514" s="18">
        <f t="shared" si="634"/>
        <v>7.9008133942326788</v>
      </c>
      <c r="AO514" s="18">
        <f t="shared" si="634"/>
        <v>0.24181753818461471</v>
      </c>
      <c r="AP514" s="18">
        <f t="shared" si="634"/>
        <v>3.4101417881063143</v>
      </c>
      <c r="AQ514" s="18">
        <f t="shared" si="634"/>
        <v>1.673764316708845</v>
      </c>
      <c r="AR514" s="18">
        <f t="shared" si="634"/>
        <v>5.6468904621384244</v>
      </c>
      <c r="AS514" s="18">
        <f t="shared" si="634"/>
        <v>1.8772564468507738</v>
      </c>
      <c r="AT514" s="56">
        <f t="shared" si="622"/>
        <v>2</v>
      </c>
      <c r="AV514" s="18">
        <f t="shared" si="635"/>
        <v>7.9008133942326788</v>
      </c>
      <c r="AW514" s="18">
        <f t="shared" si="635"/>
        <v>0.26811920891477664</v>
      </c>
      <c r="AX514" s="18">
        <f t="shared" si="635"/>
        <v>3.4101417881063143</v>
      </c>
      <c r="AY514" s="18">
        <f t="shared" si="635"/>
        <v>1.673764316708845</v>
      </c>
      <c r="AZ514" s="18">
        <f t="shared" si="635"/>
        <v>5.6468904621384244</v>
      </c>
      <c r="BA514" s="18">
        <f t="shared" si="635"/>
        <v>1.9030778515649611</v>
      </c>
      <c r="BB514" s="56">
        <f t="shared" si="623"/>
        <v>2</v>
      </c>
      <c r="BD514" s="18">
        <f t="shared" si="636"/>
        <v>7.9008133942326788</v>
      </c>
      <c r="BE514" s="18">
        <f t="shared" si="636"/>
        <v>0.29329889862412989</v>
      </c>
      <c r="BF514" s="18">
        <f t="shared" si="636"/>
        <v>3.4101417881063143</v>
      </c>
      <c r="BG514" s="18">
        <f t="shared" si="636"/>
        <v>1.673764316708845</v>
      </c>
      <c r="BH514" s="18">
        <f t="shared" si="636"/>
        <v>5.6468904621384244</v>
      </c>
      <c r="BI514" s="18">
        <f t="shared" si="636"/>
        <v>1.9296112283277032</v>
      </c>
      <c r="BJ514" s="56">
        <f t="shared" si="624"/>
        <v>2</v>
      </c>
      <c r="BL514" s="18">
        <f t="shared" si="637"/>
        <v>7.9008133942326788</v>
      </c>
      <c r="BM514" s="18">
        <f t="shared" si="637"/>
        <v>0.29329889862412989</v>
      </c>
      <c r="BN514" s="18">
        <f t="shared" si="637"/>
        <v>3.4101417881063143</v>
      </c>
      <c r="BO514" s="18">
        <f t="shared" si="637"/>
        <v>1.673764316708845</v>
      </c>
      <c r="BP514" s="18">
        <f t="shared" si="637"/>
        <v>5.6468904621384244</v>
      </c>
      <c r="BQ514" s="18">
        <f t="shared" si="637"/>
        <v>1.9296112283277032</v>
      </c>
      <c r="BR514" s="56">
        <f t="shared" si="625"/>
        <v>2</v>
      </c>
      <c r="BT514" s="18">
        <f t="shared" si="638"/>
        <v>7.9008133942326788</v>
      </c>
      <c r="BU514" s="18">
        <f t="shared" si="638"/>
        <v>0.29329889862412989</v>
      </c>
      <c r="BV514" s="18">
        <f t="shared" si="638"/>
        <v>3.4101417881063143</v>
      </c>
      <c r="BW514" s="18">
        <f t="shared" si="638"/>
        <v>1.673764316708845</v>
      </c>
      <c r="BX514" s="18">
        <f t="shared" si="638"/>
        <v>5.6468904621384244</v>
      </c>
      <c r="BY514" s="18">
        <f t="shared" si="638"/>
        <v>1.9296112283277032</v>
      </c>
      <c r="BZ514" s="56">
        <f t="shared" si="626"/>
        <v>2</v>
      </c>
      <c r="CB514" s="18">
        <f t="shared" si="639"/>
        <v>7.9008133942326788</v>
      </c>
      <c r="CC514" s="18">
        <f t="shared" si="639"/>
        <v>0.29329889862412989</v>
      </c>
      <c r="CD514" s="18">
        <f t="shared" si="639"/>
        <v>3.4101417881063143</v>
      </c>
      <c r="CE514" s="18">
        <f t="shared" si="639"/>
        <v>1.673764316708845</v>
      </c>
      <c r="CF514" s="18">
        <f t="shared" si="639"/>
        <v>5.6468904621384244</v>
      </c>
      <c r="CG514" s="18">
        <f t="shared" si="639"/>
        <v>1.9296112283277032</v>
      </c>
      <c r="CH514" s="56">
        <f t="shared" si="627"/>
        <v>2</v>
      </c>
      <c r="CJ514" s="18">
        <f t="shared" si="640"/>
        <v>7.9008133942326788</v>
      </c>
      <c r="CK514" s="18">
        <f t="shared" si="640"/>
        <v>0.29329889862412989</v>
      </c>
      <c r="CL514" s="18">
        <f t="shared" si="640"/>
        <v>3.4101417881063143</v>
      </c>
      <c r="CM514" s="18">
        <f t="shared" si="640"/>
        <v>1.673764316708845</v>
      </c>
      <c r="CN514" s="18">
        <f t="shared" si="640"/>
        <v>5.6468904621384244</v>
      </c>
      <c r="CO514" s="18">
        <f t="shared" si="640"/>
        <v>1.9296112283277032</v>
      </c>
      <c r="CP514" s="56">
        <f t="shared" si="628"/>
        <v>2</v>
      </c>
      <c r="CR514" s="18">
        <f t="shared" si="641"/>
        <v>7.9008133942326788</v>
      </c>
      <c r="CS514" s="18">
        <f t="shared" si="641"/>
        <v>0.29329889862412989</v>
      </c>
      <c r="CT514" s="18">
        <f t="shared" si="641"/>
        <v>3.4101417881063143</v>
      </c>
      <c r="CU514" s="18">
        <f t="shared" si="641"/>
        <v>1.673764316708845</v>
      </c>
      <c r="CV514" s="18">
        <f t="shared" si="641"/>
        <v>5.6468904621384244</v>
      </c>
      <c r="CW514" s="18">
        <f t="shared" si="641"/>
        <v>1.9296112283277032</v>
      </c>
      <c r="CX514" s="56">
        <f t="shared" si="629"/>
        <v>2</v>
      </c>
      <c r="CZ514" s="18">
        <f t="shared" si="642"/>
        <v>7.9008133942326788</v>
      </c>
      <c r="DA514" s="18">
        <f t="shared" si="642"/>
        <v>0.29329889862412989</v>
      </c>
      <c r="DB514" s="18">
        <f t="shared" si="642"/>
        <v>3.4101417881063143</v>
      </c>
      <c r="DC514" s="18">
        <f t="shared" si="642"/>
        <v>1.673764316708845</v>
      </c>
      <c r="DD514" s="18">
        <f t="shared" si="642"/>
        <v>5.6468904621384244</v>
      </c>
      <c r="DE514" s="18">
        <f t="shared" si="642"/>
        <v>1.9296112283277032</v>
      </c>
      <c r="DF514" s="56">
        <f t="shared" si="630"/>
        <v>2</v>
      </c>
      <c r="DH514" s="18">
        <f t="shared" si="643"/>
        <v>7.9008133942326788</v>
      </c>
      <c r="DI514" s="18">
        <f t="shared" si="643"/>
        <v>0.29329889862412989</v>
      </c>
      <c r="DJ514" s="18">
        <f t="shared" si="643"/>
        <v>3.4101417881063143</v>
      </c>
      <c r="DK514" s="18">
        <f t="shared" si="643"/>
        <v>1.673764316708845</v>
      </c>
      <c r="DL514" s="18">
        <f t="shared" si="643"/>
        <v>5.6468904621384244</v>
      </c>
      <c r="DM514" s="18">
        <f t="shared" si="643"/>
        <v>1.9296112283277032</v>
      </c>
      <c r="DN514" s="56">
        <f t="shared" si="631"/>
        <v>2</v>
      </c>
    </row>
    <row r="515" spans="1:118" x14ac:dyDescent="0.25">
      <c r="A515" s="36" t="str">
        <f>KMeans_Data!A112</f>
        <v>Bhambore</v>
      </c>
      <c r="B515" s="18">
        <f>KMeans_Data!H112</f>
        <v>-1.507943224606497</v>
      </c>
      <c r="C515" s="18">
        <f>KMeans_Data!I112</f>
        <v>-0.67265054538827607</v>
      </c>
      <c r="D515" s="18">
        <f>KMeans_Data!J112</f>
        <v>-1.1456441163335547</v>
      </c>
      <c r="E515" s="56">
        <f t="shared" si="618"/>
        <v>2</v>
      </c>
      <c r="F515" s="38">
        <f t="shared" si="619"/>
        <v>8.6024243934127609E-2</v>
      </c>
      <c r="G515" s="18">
        <f>IF(COUNTIF(Distance_Matrix!$E$12:$DQ$12,$E515)&lt;=1,0,SUMIF(Distance_Matrix!$E$12:$DQ$12,$E515,Distance_Matrix!$E$121:$DQ$121)/(COUNTIF(Distance_Matrix!$E$12:$DQ$12,$E515)-1))</f>
        <v>0.50493236156717092</v>
      </c>
      <c r="H515" s="18">
        <f>MIN(IF(1=$E515,1E+99,IF(COUNTIF(Distance_Matrix!$E$12:$DQ$12,1)=0,1E+99,SUMIF(Distance_Matrix!$E$12:$DQ$12,1,Distance_Matrix!$E$121:$DQ$121)/COUNTIF(Distance_Matrix!$E$12:$DQ$12,1))),IF(2=$E515,1E+99,IF(COUNTIF(Distance_Matrix!$E$12:$DQ$12,2)=0,1E+99,SUMIF(Distance_Matrix!$E$12:$DQ$12,2,Distance_Matrix!$E$121:$DQ$121)/COUNTIF(Distance_Matrix!$E$12:$DQ$12,2))),IF(3=$E515,1E+99,IF(COUNTIF(Distance_Matrix!$E$12:$DQ$12,3)=0,1E+99,SUMIF(Distance_Matrix!$E$12:$DQ$12,3,Distance_Matrix!$E$121:$DQ$121)/COUNTIF(Distance_Matrix!$E$12:$DQ$12,3))),IF(4=$E515,1E+99,IF(COUNTIF(Distance_Matrix!$E$12:$DQ$12,4)=0,1E+99,SUMIF(Distance_Matrix!$E$12:$DQ$12,4,Distance_Matrix!$E$121:$DQ$121)/COUNTIF(Distance_Matrix!$E$12:$DQ$12,4))),IF(5=$E515,1E+99,IF(COUNTIF(Distance_Matrix!$E$12:$DQ$12,5)=0,1E+99,SUMIF(Distance_Matrix!$E$12:$DQ$12,5,Distance_Matrix!$E$121:$DQ$121)/COUNTIF(Distance_Matrix!$E$12:$DQ$12,5))),IF(6=$E515,1E+99,IF(COUNTIF(Distance_Matrix!$E$12:$DQ$12,6)=0,1E+99,SUMIF(Distance_Matrix!$E$12:$DQ$12,6,Distance_Matrix!$E$121:$DQ$121)/COUNTIF(Distance_Matrix!$E$12:$DQ$12,6))))</f>
        <v>1.7114276544425087</v>
      </c>
      <c r="I515" s="18">
        <f>IF(COUNTIF(Distance_Matrix!$E$12:$DQ$12,$E515)&lt;=1,0,(H515-G515)/MAX(G515,H515))</f>
        <v>0.70496423833255695</v>
      </c>
      <c r="X515" s="18">
        <f t="shared" si="632"/>
        <v>8.0258166331110399</v>
      </c>
      <c r="Y515" s="18">
        <f t="shared" si="632"/>
        <v>0.57179475719683159</v>
      </c>
      <c r="Z515" s="18">
        <f t="shared" si="632"/>
        <v>3.7983505335880898</v>
      </c>
      <c r="AA515" s="18">
        <f t="shared" si="632"/>
        <v>2.2168421962261942</v>
      </c>
      <c r="AB515" s="18">
        <f t="shared" si="632"/>
        <v>6.0145021339637186</v>
      </c>
      <c r="AC515" s="18">
        <f t="shared" si="632"/>
        <v>2.0166242235250182</v>
      </c>
      <c r="AD515" s="56">
        <f t="shared" si="620"/>
        <v>2</v>
      </c>
      <c r="AF515" s="18">
        <f t="shared" si="633"/>
        <v>7.9008133942326788</v>
      </c>
      <c r="AG515" s="18">
        <f t="shared" si="633"/>
        <v>0.19514400628611303</v>
      </c>
      <c r="AH515" s="18">
        <f t="shared" si="633"/>
        <v>3.4421734184393777</v>
      </c>
      <c r="AI515" s="18">
        <f t="shared" si="633"/>
        <v>1.6824841251365874</v>
      </c>
      <c r="AJ515" s="18">
        <f t="shared" si="633"/>
        <v>5.6468904621384244</v>
      </c>
      <c r="AK515" s="18">
        <f t="shared" si="633"/>
        <v>1.8332101184379219</v>
      </c>
      <c r="AL515" s="56">
        <f t="shared" si="621"/>
        <v>2</v>
      </c>
      <c r="AN515" s="18">
        <f t="shared" si="634"/>
        <v>7.9008133942326788</v>
      </c>
      <c r="AO515" s="18">
        <f t="shared" si="634"/>
        <v>0.24181753818461471</v>
      </c>
      <c r="AP515" s="18">
        <f t="shared" si="634"/>
        <v>3.4101417881063143</v>
      </c>
      <c r="AQ515" s="18">
        <f t="shared" si="634"/>
        <v>1.673764316708845</v>
      </c>
      <c r="AR515" s="18">
        <f t="shared" si="634"/>
        <v>5.6468904621384244</v>
      </c>
      <c r="AS515" s="18">
        <f t="shared" si="634"/>
        <v>1.8772564468507738</v>
      </c>
      <c r="AT515" s="56">
        <f t="shared" si="622"/>
        <v>2</v>
      </c>
      <c r="AV515" s="18">
        <f t="shared" si="635"/>
        <v>7.9008133942326788</v>
      </c>
      <c r="AW515" s="18">
        <f t="shared" si="635"/>
        <v>0.26811920891477664</v>
      </c>
      <c r="AX515" s="18">
        <f t="shared" si="635"/>
        <v>3.4101417881063143</v>
      </c>
      <c r="AY515" s="18">
        <f t="shared" si="635"/>
        <v>1.673764316708845</v>
      </c>
      <c r="AZ515" s="18">
        <f t="shared" si="635"/>
        <v>5.6468904621384244</v>
      </c>
      <c r="BA515" s="18">
        <f t="shared" si="635"/>
        <v>1.9030778515649611</v>
      </c>
      <c r="BB515" s="56">
        <f t="shared" si="623"/>
        <v>2</v>
      </c>
      <c r="BD515" s="18">
        <f t="shared" si="636"/>
        <v>7.9008133942326788</v>
      </c>
      <c r="BE515" s="18">
        <f t="shared" si="636"/>
        <v>0.29329889862412989</v>
      </c>
      <c r="BF515" s="18">
        <f t="shared" si="636"/>
        <v>3.4101417881063143</v>
      </c>
      <c r="BG515" s="18">
        <f t="shared" si="636"/>
        <v>1.673764316708845</v>
      </c>
      <c r="BH515" s="18">
        <f t="shared" si="636"/>
        <v>5.6468904621384244</v>
      </c>
      <c r="BI515" s="18">
        <f t="shared" si="636"/>
        <v>1.9296112283277032</v>
      </c>
      <c r="BJ515" s="56">
        <f t="shared" si="624"/>
        <v>2</v>
      </c>
      <c r="BL515" s="18">
        <f t="shared" si="637"/>
        <v>7.9008133942326788</v>
      </c>
      <c r="BM515" s="18">
        <f t="shared" si="637"/>
        <v>0.29329889862412989</v>
      </c>
      <c r="BN515" s="18">
        <f t="shared" si="637"/>
        <v>3.4101417881063143</v>
      </c>
      <c r="BO515" s="18">
        <f t="shared" si="637"/>
        <v>1.673764316708845</v>
      </c>
      <c r="BP515" s="18">
        <f t="shared" si="637"/>
        <v>5.6468904621384244</v>
      </c>
      <c r="BQ515" s="18">
        <f t="shared" si="637"/>
        <v>1.9296112283277032</v>
      </c>
      <c r="BR515" s="56">
        <f t="shared" si="625"/>
        <v>2</v>
      </c>
      <c r="BT515" s="18">
        <f t="shared" si="638"/>
        <v>7.9008133942326788</v>
      </c>
      <c r="BU515" s="18">
        <f t="shared" si="638"/>
        <v>0.29329889862412989</v>
      </c>
      <c r="BV515" s="18">
        <f t="shared" si="638"/>
        <v>3.4101417881063143</v>
      </c>
      <c r="BW515" s="18">
        <f t="shared" si="638"/>
        <v>1.673764316708845</v>
      </c>
      <c r="BX515" s="18">
        <f t="shared" si="638"/>
        <v>5.6468904621384244</v>
      </c>
      <c r="BY515" s="18">
        <f t="shared" si="638"/>
        <v>1.9296112283277032</v>
      </c>
      <c r="BZ515" s="56">
        <f t="shared" si="626"/>
        <v>2</v>
      </c>
      <c r="CB515" s="18">
        <f t="shared" si="639"/>
        <v>7.9008133942326788</v>
      </c>
      <c r="CC515" s="18">
        <f t="shared" si="639"/>
        <v>0.29329889862412989</v>
      </c>
      <c r="CD515" s="18">
        <f t="shared" si="639"/>
        <v>3.4101417881063143</v>
      </c>
      <c r="CE515" s="18">
        <f t="shared" si="639"/>
        <v>1.673764316708845</v>
      </c>
      <c r="CF515" s="18">
        <f t="shared" si="639"/>
        <v>5.6468904621384244</v>
      </c>
      <c r="CG515" s="18">
        <f t="shared" si="639"/>
        <v>1.9296112283277032</v>
      </c>
      <c r="CH515" s="56">
        <f t="shared" si="627"/>
        <v>2</v>
      </c>
      <c r="CJ515" s="18">
        <f t="shared" si="640"/>
        <v>7.9008133942326788</v>
      </c>
      <c r="CK515" s="18">
        <f t="shared" si="640"/>
        <v>0.29329889862412989</v>
      </c>
      <c r="CL515" s="18">
        <f t="shared" si="640"/>
        <v>3.4101417881063143</v>
      </c>
      <c r="CM515" s="18">
        <f t="shared" si="640"/>
        <v>1.673764316708845</v>
      </c>
      <c r="CN515" s="18">
        <f t="shared" si="640"/>
        <v>5.6468904621384244</v>
      </c>
      <c r="CO515" s="18">
        <f t="shared" si="640"/>
        <v>1.9296112283277032</v>
      </c>
      <c r="CP515" s="56">
        <f t="shared" si="628"/>
        <v>2</v>
      </c>
      <c r="CR515" s="18">
        <f t="shared" si="641"/>
        <v>7.9008133942326788</v>
      </c>
      <c r="CS515" s="18">
        <f t="shared" si="641"/>
        <v>0.29329889862412989</v>
      </c>
      <c r="CT515" s="18">
        <f t="shared" si="641"/>
        <v>3.4101417881063143</v>
      </c>
      <c r="CU515" s="18">
        <f t="shared" si="641"/>
        <v>1.673764316708845</v>
      </c>
      <c r="CV515" s="18">
        <f t="shared" si="641"/>
        <v>5.6468904621384244</v>
      </c>
      <c r="CW515" s="18">
        <f t="shared" si="641"/>
        <v>1.9296112283277032</v>
      </c>
      <c r="CX515" s="56">
        <f t="shared" si="629"/>
        <v>2</v>
      </c>
      <c r="CZ515" s="18">
        <f t="shared" si="642"/>
        <v>7.9008133942326788</v>
      </c>
      <c r="DA515" s="18">
        <f t="shared" si="642"/>
        <v>0.29329889862412989</v>
      </c>
      <c r="DB515" s="18">
        <f t="shared" si="642"/>
        <v>3.4101417881063143</v>
      </c>
      <c r="DC515" s="18">
        <f t="shared" si="642"/>
        <v>1.673764316708845</v>
      </c>
      <c r="DD515" s="18">
        <f t="shared" si="642"/>
        <v>5.6468904621384244</v>
      </c>
      <c r="DE515" s="18">
        <f t="shared" si="642"/>
        <v>1.9296112283277032</v>
      </c>
      <c r="DF515" s="56">
        <f t="shared" si="630"/>
        <v>2</v>
      </c>
      <c r="DH515" s="18">
        <f t="shared" si="643"/>
        <v>7.9008133942326788</v>
      </c>
      <c r="DI515" s="18">
        <f t="shared" si="643"/>
        <v>0.29329889862412989</v>
      </c>
      <c r="DJ515" s="18">
        <f t="shared" si="643"/>
        <v>3.4101417881063143</v>
      </c>
      <c r="DK515" s="18">
        <f t="shared" si="643"/>
        <v>1.673764316708845</v>
      </c>
      <c r="DL515" s="18">
        <f t="shared" si="643"/>
        <v>5.6468904621384244</v>
      </c>
      <c r="DM515" s="18">
        <f t="shared" si="643"/>
        <v>1.9296112283277032</v>
      </c>
      <c r="DN515" s="56">
        <f t="shared" si="631"/>
        <v>2</v>
      </c>
    </row>
    <row r="516" spans="1:118" x14ac:dyDescent="0.25">
      <c r="A516" s="36" t="str">
        <f>KMeans_Data!A113</f>
        <v>Jhang</v>
      </c>
      <c r="B516" s="18">
        <f>KMeans_Data!H113</f>
        <v>-1.507943224606497</v>
      </c>
      <c r="C516" s="18">
        <f>KMeans_Data!I113</f>
        <v>-0.67265054538827607</v>
      </c>
      <c r="D516" s="18">
        <f>KMeans_Data!J113</f>
        <v>-1.1456441163335547</v>
      </c>
      <c r="E516" s="56">
        <f t="shared" si="618"/>
        <v>2</v>
      </c>
      <c r="F516" s="38">
        <f t="shared" si="619"/>
        <v>8.6024243934127609E-2</v>
      </c>
      <c r="G516" s="18">
        <f>IF(COUNTIF(Distance_Matrix!$E$12:$DQ$12,$E516)&lt;=1,0,SUMIF(Distance_Matrix!$E$12:$DQ$12,$E516,Distance_Matrix!$E$122:$DQ$122)/(COUNTIF(Distance_Matrix!$E$12:$DQ$12,$E516)-1))</f>
        <v>0.50493236156717092</v>
      </c>
      <c r="H516" s="18">
        <f>MIN(IF(1=$E516,1E+99,IF(COUNTIF(Distance_Matrix!$E$12:$DQ$12,1)=0,1E+99,SUMIF(Distance_Matrix!$E$12:$DQ$12,1,Distance_Matrix!$E$122:$DQ$122)/COUNTIF(Distance_Matrix!$E$12:$DQ$12,1))),IF(2=$E516,1E+99,IF(COUNTIF(Distance_Matrix!$E$12:$DQ$12,2)=0,1E+99,SUMIF(Distance_Matrix!$E$12:$DQ$12,2,Distance_Matrix!$E$122:$DQ$122)/COUNTIF(Distance_Matrix!$E$12:$DQ$12,2))),IF(3=$E516,1E+99,IF(COUNTIF(Distance_Matrix!$E$12:$DQ$12,3)=0,1E+99,SUMIF(Distance_Matrix!$E$12:$DQ$12,3,Distance_Matrix!$E$122:$DQ$122)/COUNTIF(Distance_Matrix!$E$12:$DQ$12,3))),IF(4=$E516,1E+99,IF(COUNTIF(Distance_Matrix!$E$12:$DQ$12,4)=0,1E+99,SUMIF(Distance_Matrix!$E$12:$DQ$12,4,Distance_Matrix!$E$122:$DQ$122)/COUNTIF(Distance_Matrix!$E$12:$DQ$12,4))),IF(5=$E516,1E+99,IF(COUNTIF(Distance_Matrix!$E$12:$DQ$12,5)=0,1E+99,SUMIF(Distance_Matrix!$E$12:$DQ$12,5,Distance_Matrix!$E$122:$DQ$122)/COUNTIF(Distance_Matrix!$E$12:$DQ$12,5))),IF(6=$E516,1E+99,IF(COUNTIF(Distance_Matrix!$E$12:$DQ$12,6)=0,1E+99,SUMIF(Distance_Matrix!$E$12:$DQ$12,6,Distance_Matrix!$E$122:$DQ$122)/COUNTIF(Distance_Matrix!$E$12:$DQ$12,6))))</f>
        <v>1.7114276544425087</v>
      </c>
      <c r="I516" s="18">
        <f>IF(COUNTIF(Distance_Matrix!$E$12:$DQ$12,$E516)&lt;=1,0,(H516-G516)/MAX(G516,H516))</f>
        <v>0.70496423833255695</v>
      </c>
      <c r="X516" s="18">
        <f t="shared" si="632"/>
        <v>8.0258166331110399</v>
      </c>
      <c r="Y516" s="18">
        <f t="shared" si="632"/>
        <v>0.57179475719683159</v>
      </c>
      <c r="Z516" s="18">
        <f t="shared" si="632"/>
        <v>3.7983505335880898</v>
      </c>
      <c r="AA516" s="18">
        <f t="shared" si="632"/>
        <v>2.2168421962261942</v>
      </c>
      <c r="AB516" s="18">
        <f t="shared" si="632"/>
        <v>6.0145021339637186</v>
      </c>
      <c r="AC516" s="18">
        <f t="shared" si="632"/>
        <v>2.0166242235250182</v>
      </c>
      <c r="AD516" s="56">
        <f t="shared" si="620"/>
        <v>2</v>
      </c>
      <c r="AF516" s="18">
        <f t="shared" si="633"/>
        <v>7.9008133942326788</v>
      </c>
      <c r="AG516" s="18">
        <f t="shared" si="633"/>
        <v>0.19514400628611303</v>
      </c>
      <c r="AH516" s="18">
        <f t="shared" si="633"/>
        <v>3.4421734184393777</v>
      </c>
      <c r="AI516" s="18">
        <f t="shared" si="633"/>
        <v>1.6824841251365874</v>
      </c>
      <c r="AJ516" s="18">
        <f t="shared" si="633"/>
        <v>5.6468904621384244</v>
      </c>
      <c r="AK516" s="18">
        <f t="shared" si="633"/>
        <v>1.8332101184379219</v>
      </c>
      <c r="AL516" s="56">
        <f t="shared" si="621"/>
        <v>2</v>
      </c>
      <c r="AN516" s="18">
        <f t="shared" si="634"/>
        <v>7.9008133942326788</v>
      </c>
      <c r="AO516" s="18">
        <f t="shared" si="634"/>
        <v>0.24181753818461471</v>
      </c>
      <c r="AP516" s="18">
        <f t="shared" si="634"/>
        <v>3.4101417881063143</v>
      </c>
      <c r="AQ516" s="18">
        <f t="shared" si="634"/>
        <v>1.673764316708845</v>
      </c>
      <c r="AR516" s="18">
        <f t="shared" si="634"/>
        <v>5.6468904621384244</v>
      </c>
      <c r="AS516" s="18">
        <f t="shared" si="634"/>
        <v>1.8772564468507738</v>
      </c>
      <c r="AT516" s="56">
        <f t="shared" si="622"/>
        <v>2</v>
      </c>
      <c r="AV516" s="18">
        <f t="shared" si="635"/>
        <v>7.9008133942326788</v>
      </c>
      <c r="AW516" s="18">
        <f t="shared" si="635"/>
        <v>0.26811920891477664</v>
      </c>
      <c r="AX516" s="18">
        <f t="shared" si="635"/>
        <v>3.4101417881063143</v>
      </c>
      <c r="AY516" s="18">
        <f t="shared" si="635"/>
        <v>1.673764316708845</v>
      </c>
      <c r="AZ516" s="18">
        <f t="shared" si="635"/>
        <v>5.6468904621384244</v>
      </c>
      <c r="BA516" s="18">
        <f t="shared" si="635"/>
        <v>1.9030778515649611</v>
      </c>
      <c r="BB516" s="56">
        <f t="shared" si="623"/>
        <v>2</v>
      </c>
      <c r="BD516" s="18">
        <f t="shared" si="636"/>
        <v>7.9008133942326788</v>
      </c>
      <c r="BE516" s="18">
        <f t="shared" si="636"/>
        <v>0.29329889862412989</v>
      </c>
      <c r="BF516" s="18">
        <f t="shared" si="636"/>
        <v>3.4101417881063143</v>
      </c>
      <c r="BG516" s="18">
        <f t="shared" si="636"/>
        <v>1.673764316708845</v>
      </c>
      <c r="BH516" s="18">
        <f t="shared" si="636"/>
        <v>5.6468904621384244</v>
      </c>
      <c r="BI516" s="18">
        <f t="shared" si="636"/>
        <v>1.9296112283277032</v>
      </c>
      <c r="BJ516" s="56">
        <f t="shared" si="624"/>
        <v>2</v>
      </c>
      <c r="BL516" s="18">
        <f t="shared" si="637"/>
        <v>7.9008133942326788</v>
      </c>
      <c r="BM516" s="18">
        <f t="shared" si="637"/>
        <v>0.29329889862412989</v>
      </c>
      <c r="BN516" s="18">
        <f t="shared" si="637"/>
        <v>3.4101417881063143</v>
      </c>
      <c r="BO516" s="18">
        <f t="shared" si="637"/>
        <v>1.673764316708845</v>
      </c>
      <c r="BP516" s="18">
        <f t="shared" si="637"/>
        <v>5.6468904621384244</v>
      </c>
      <c r="BQ516" s="18">
        <f t="shared" si="637"/>
        <v>1.9296112283277032</v>
      </c>
      <c r="BR516" s="56">
        <f t="shared" si="625"/>
        <v>2</v>
      </c>
      <c r="BT516" s="18">
        <f t="shared" si="638"/>
        <v>7.9008133942326788</v>
      </c>
      <c r="BU516" s="18">
        <f t="shared" si="638"/>
        <v>0.29329889862412989</v>
      </c>
      <c r="BV516" s="18">
        <f t="shared" si="638"/>
        <v>3.4101417881063143</v>
      </c>
      <c r="BW516" s="18">
        <f t="shared" si="638"/>
        <v>1.673764316708845</v>
      </c>
      <c r="BX516" s="18">
        <f t="shared" si="638"/>
        <v>5.6468904621384244</v>
      </c>
      <c r="BY516" s="18">
        <f t="shared" si="638"/>
        <v>1.9296112283277032</v>
      </c>
      <c r="BZ516" s="56">
        <f t="shared" si="626"/>
        <v>2</v>
      </c>
      <c r="CB516" s="18">
        <f t="shared" si="639"/>
        <v>7.9008133942326788</v>
      </c>
      <c r="CC516" s="18">
        <f t="shared" si="639"/>
        <v>0.29329889862412989</v>
      </c>
      <c r="CD516" s="18">
        <f t="shared" si="639"/>
        <v>3.4101417881063143</v>
      </c>
      <c r="CE516" s="18">
        <f t="shared" si="639"/>
        <v>1.673764316708845</v>
      </c>
      <c r="CF516" s="18">
        <f t="shared" si="639"/>
        <v>5.6468904621384244</v>
      </c>
      <c r="CG516" s="18">
        <f t="shared" si="639"/>
        <v>1.9296112283277032</v>
      </c>
      <c r="CH516" s="56">
        <f t="shared" si="627"/>
        <v>2</v>
      </c>
      <c r="CJ516" s="18">
        <f t="shared" si="640"/>
        <v>7.9008133942326788</v>
      </c>
      <c r="CK516" s="18">
        <f t="shared" si="640"/>
        <v>0.29329889862412989</v>
      </c>
      <c r="CL516" s="18">
        <f t="shared" si="640"/>
        <v>3.4101417881063143</v>
      </c>
      <c r="CM516" s="18">
        <f t="shared" si="640"/>
        <v>1.673764316708845</v>
      </c>
      <c r="CN516" s="18">
        <f t="shared" si="640"/>
        <v>5.6468904621384244</v>
      </c>
      <c r="CO516" s="18">
        <f t="shared" si="640"/>
        <v>1.9296112283277032</v>
      </c>
      <c r="CP516" s="56">
        <f t="shared" si="628"/>
        <v>2</v>
      </c>
      <c r="CR516" s="18">
        <f t="shared" si="641"/>
        <v>7.9008133942326788</v>
      </c>
      <c r="CS516" s="18">
        <f t="shared" si="641"/>
        <v>0.29329889862412989</v>
      </c>
      <c r="CT516" s="18">
        <f t="shared" si="641"/>
        <v>3.4101417881063143</v>
      </c>
      <c r="CU516" s="18">
        <f t="shared" si="641"/>
        <v>1.673764316708845</v>
      </c>
      <c r="CV516" s="18">
        <f t="shared" si="641"/>
        <v>5.6468904621384244</v>
      </c>
      <c r="CW516" s="18">
        <f t="shared" si="641"/>
        <v>1.9296112283277032</v>
      </c>
      <c r="CX516" s="56">
        <f t="shared" si="629"/>
        <v>2</v>
      </c>
      <c r="CZ516" s="18">
        <f t="shared" si="642"/>
        <v>7.9008133942326788</v>
      </c>
      <c r="DA516" s="18">
        <f t="shared" si="642"/>
        <v>0.29329889862412989</v>
      </c>
      <c r="DB516" s="18">
        <f t="shared" si="642"/>
        <v>3.4101417881063143</v>
      </c>
      <c r="DC516" s="18">
        <f t="shared" si="642"/>
        <v>1.673764316708845</v>
      </c>
      <c r="DD516" s="18">
        <f t="shared" si="642"/>
        <v>5.6468904621384244</v>
      </c>
      <c r="DE516" s="18">
        <f t="shared" si="642"/>
        <v>1.9296112283277032</v>
      </c>
      <c r="DF516" s="56">
        <f t="shared" si="630"/>
        <v>2</v>
      </c>
      <c r="DH516" s="18">
        <f t="shared" si="643"/>
        <v>7.9008133942326788</v>
      </c>
      <c r="DI516" s="18">
        <f t="shared" si="643"/>
        <v>0.29329889862412989</v>
      </c>
      <c r="DJ516" s="18">
        <f t="shared" si="643"/>
        <v>3.4101417881063143</v>
      </c>
      <c r="DK516" s="18">
        <f t="shared" si="643"/>
        <v>1.673764316708845</v>
      </c>
      <c r="DL516" s="18">
        <f t="shared" si="643"/>
        <v>5.6468904621384244</v>
      </c>
      <c r="DM516" s="18">
        <f t="shared" si="643"/>
        <v>1.9296112283277032</v>
      </c>
      <c r="DN516" s="56">
        <f t="shared" si="631"/>
        <v>2</v>
      </c>
    </row>
    <row r="517" spans="1:118" x14ac:dyDescent="0.25">
      <c r="A517" s="36" t="str">
        <f>KMeans_Data!A114</f>
        <v>Tor Ghar</v>
      </c>
      <c r="B517" s="18">
        <f>KMeans_Data!H114</f>
        <v>-1.507943224606497</v>
      </c>
      <c r="C517" s="18">
        <f>KMeans_Data!I114</f>
        <v>-0.67265054538827607</v>
      </c>
      <c r="D517" s="18">
        <f>KMeans_Data!J114</f>
        <v>-1.1456441163335547</v>
      </c>
      <c r="E517" s="56">
        <f t="shared" si="618"/>
        <v>2</v>
      </c>
      <c r="F517" s="38">
        <f t="shared" si="619"/>
        <v>8.6024243934127609E-2</v>
      </c>
      <c r="G517" s="18">
        <f>IF(COUNTIF(Distance_Matrix!$E$12:$DQ$12,$E517)&lt;=1,0,SUMIF(Distance_Matrix!$E$12:$DQ$12,$E517,Distance_Matrix!$E$123:$DQ$123)/(COUNTIF(Distance_Matrix!$E$12:$DQ$12,$E517)-1))</f>
        <v>0.50493236156717092</v>
      </c>
      <c r="H517" s="18">
        <f>MIN(IF(1=$E517,1E+99,IF(COUNTIF(Distance_Matrix!$E$12:$DQ$12,1)=0,1E+99,SUMIF(Distance_Matrix!$E$12:$DQ$12,1,Distance_Matrix!$E$123:$DQ$123)/COUNTIF(Distance_Matrix!$E$12:$DQ$12,1))),IF(2=$E517,1E+99,IF(COUNTIF(Distance_Matrix!$E$12:$DQ$12,2)=0,1E+99,SUMIF(Distance_Matrix!$E$12:$DQ$12,2,Distance_Matrix!$E$123:$DQ$123)/COUNTIF(Distance_Matrix!$E$12:$DQ$12,2))),IF(3=$E517,1E+99,IF(COUNTIF(Distance_Matrix!$E$12:$DQ$12,3)=0,1E+99,SUMIF(Distance_Matrix!$E$12:$DQ$12,3,Distance_Matrix!$E$123:$DQ$123)/COUNTIF(Distance_Matrix!$E$12:$DQ$12,3))),IF(4=$E517,1E+99,IF(COUNTIF(Distance_Matrix!$E$12:$DQ$12,4)=0,1E+99,SUMIF(Distance_Matrix!$E$12:$DQ$12,4,Distance_Matrix!$E$123:$DQ$123)/COUNTIF(Distance_Matrix!$E$12:$DQ$12,4))),IF(5=$E517,1E+99,IF(COUNTIF(Distance_Matrix!$E$12:$DQ$12,5)=0,1E+99,SUMIF(Distance_Matrix!$E$12:$DQ$12,5,Distance_Matrix!$E$123:$DQ$123)/COUNTIF(Distance_Matrix!$E$12:$DQ$12,5))),IF(6=$E517,1E+99,IF(COUNTIF(Distance_Matrix!$E$12:$DQ$12,6)=0,1E+99,SUMIF(Distance_Matrix!$E$12:$DQ$12,6,Distance_Matrix!$E$123:$DQ$123)/COUNTIF(Distance_Matrix!$E$12:$DQ$12,6))))</f>
        <v>1.7114276544425087</v>
      </c>
      <c r="I517" s="18">
        <f>IF(COUNTIF(Distance_Matrix!$E$12:$DQ$12,$E517)&lt;=1,0,(H517-G517)/MAX(G517,H517))</f>
        <v>0.70496423833255695</v>
      </c>
      <c r="X517" s="18">
        <f t="shared" si="632"/>
        <v>8.0258166331110399</v>
      </c>
      <c r="Y517" s="18">
        <f t="shared" si="632"/>
        <v>0.57179475719683159</v>
      </c>
      <c r="Z517" s="18">
        <f t="shared" si="632"/>
        <v>3.7983505335880898</v>
      </c>
      <c r="AA517" s="18">
        <f t="shared" si="632"/>
        <v>2.2168421962261942</v>
      </c>
      <c r="AB517" s="18">
        <f t="shared" si="632"/>
        <v>6.0145021339637186</v>
      </c>
      <c r="AC517" s="18">
        <f t="shared" si="632"/>
        <v>2.0166242235250182</v>
      </c>
      <c r="AD517" s="56">
        <f t="shared" si="620"/>
        <v>2</v>
      </c>
      <c r="AF517" s="18">
        <f t="shared" si="633"/>
        <v>7.9008133942326788</v>
      </c>
      <c r="AG517" s="18">
        <f t="shared" si="633"/>
        <v>0.19514400628611303</v>
      </c>
      <c r="AH517" s="18">
        <f t="shared" si="633"/>
        <v>3.4421734184393777</v>
      </c>
      <c r="AI517" s="18">
        <f t="shared" si="633"/>
        <v>1.6824841251365874</v>
      </c>
      <c r="AJ517" s="18">
        <f t="shared" si="633"/>
        <v>5.6468904621384244</v>
      </c>
      <c r="AK517" s="18">
        <f t="shared" si="633"/>
        <v>1.8332101184379219</v>
      </c>
      <c r="AL517" s="56">
        <f t="shared" si="621"/>
        <v>2</v>
      </c>
      <c r="AN517" s="18">
        <f t="shared" si="634"/>
        <v>7.9008133942326788</v>
      </c>
      <c r="AO517" s="18">
        <f t="shared" si="634"/>
        <v>0.24181753818461471</v>
      </c>
      <c r="AP517" s="18">
        <f t="shared" si="634"/>
        <v>3.4101417881063143</v>
      </c>
      <c r="AQ517" s="18">
        <f t="shared" si="634"/>
        <v>1.673764316708845</v>
      </c>
      <c r="AR517" s="18">
        <f t="shared" si="634"/>
        <v>5.6468904621384244</v>
      </c>
      <c r="AS517" s="18">
        <f t="shared" si="634"/>
        <v>1.8772564468507738</v>
      </c>
      <c r="AT517" s="56">
        <f t="shared" si="622"/>
        <v>2</v>
      </c>
      <c r="AV517" s="18">
        <f t="shared" si="635"/>
        <v>7.9008133942326788</v>
      </c>
      <c r="AW517" s="18">
        <f t="shared" si="635"/>
        <v>0.26811920891477664</v>
      </c>
      <c r="AX517" s="18">
        <f t="shared" si="635"/>
        <v>3.4101417881063143</v>
      </c>
      <c r="AY517" s="18">
        <f t="shared" si="635"/>
        <v>1.673764316708845</v>
      </c>
      <c r="AZ517" s="18">
        <f t="shared" si="635"/>
        <v>5.6468904621384244</v>
      </c>
      <c r="BA517" s="18">
        <f t="shared" si="635"/>
        <v>1.9030778515649611</v>
      </c>
      <c r="BB517" s="56">
        <f t="shared" si="623"/>
        <v>2</v>
      </c>
      <c r="BD517" s="18">
        <f t="shared" si="636"/>
        <v>7.9008133942326788</v>
      </c>
      <c r="BE517" s="18">
        <f t="shared" si="636"/>
        <v>0.29329889862412989</v>
      </c>
      <c r="BF517" s="18">
        <f t="shared" si="636"/>
        <v>3.4101417881063143</v>
      </c>
      <c r="BG517" s="18">
        <f t="shared" si="636"/>
        <v>1.673764316708845</v>
      </c>
      <c r="BH517" s="18">
        <f t="shared" si="636"/>
        <v>5.6468904621384244</v>
      </c>
      <c r="BI517" s="18">
        <f t="shared" si="636"/>
        <v>1.9296112283277032</v>
      </c>
      <c r="BJ517" s="56">
        <f t="shared" si="624"/>
        <v>2</v>
      </c>
      <c r="BL517" s="18">
        <f t="shared" si="637"/>
        <v>7.9008133942326788</v>
      </c>
      <c r="BM517" s="18">
        <f t="shared" si="637"/>
        <v>0.29329889862412989</v>
      </c>
      <c r="BN517" s="18">
        <f t="shared" si="637"/>
        <v>3.4101417881063143</v>
      </c>
      <c r="BO517" s="18">
        <f t="shared" si="637"/>
        <v>1.673764316708845</v>
      </c>
      <c r="BP517" s="18">
        <f t="shared" si="637"/>
        <v>5.6468904621384244</v>
      </c>
      <c r="BQ517" s="18">
        <f t="shared" si="637"/>
        <v>1.9296112283277032</v>
      </c>
      <c r="BR517" s="56">
        <f t="shared" si="625"/>
        <v>2</v>
      </c>
      <c r="BT517" s="18">
        <f t="shared" si="638"/>
        <v>7.9008133942326788</v>
      </c>
      <c r="BU517" s="18">
        <f t="shared" si="638"/>
        <v>0.29329889862412989</v>
      </c>
      <c r="BV517" s="18">
        <f t="shared" si="638"/>
        <v>3.4101417881063143</v>
      </c>
      <c r="BW517" s="18">
        <f t="shared" si="638"/>
        <v>1.673764316708845</v>
      </c>
      <c r="BX517" s="18">
        <f t="shared" si="638"/>
        <v>5.6468904621384244</v>
      </c>
      <c r="BY517" s="18">
        <f t="shared" si="638"/>
        <v>1.9296112283277032</v>
      </c>
      <c r="BZ517" s="56">
        <f t="shared" si="626"/>
        <v>2</v>
      </c>
      <c r="CB517" s="18">
        <f t="shared" si="639"/>
        <v>7.9008133942326788</v>
      </c>
      <c r="CC517" s="18">
        <f t="shared" si="639"/>
        <v>0.29329889862412989</v>
      </c>
      <c r="CD517" s="18">
        <f t="shared" si="639"/>
        <v>3.4101417881063143</v>
      </c>
      <c r="CE517" s="18">
        <f t="shared" si="639"/>
        <v>1.673764316708845</v>
      </c>
      <c r="CF517" s="18">
        <f t="shared" si="639"/>
        <v>5.6468904621384244</v>
      </c>
      <c r="CG517" s="18">
        <f t="shared" si="639"/>
        <v>1.9296112283277032</v>
      </c>
      <c r="CH517" s="56">
        <f t="shared" si="627"/>
        <v>2</v>
      </c>
      <c r="CJ517" s="18">
        <f t="shared" si="640"/>
        <v>7.9008133942326788</v>
      </c>
      <c r="CK517" s="18">
        <f t="shared" si="640"/>
        <v>0.29329889862412989</v>
      </c>
      <c r="CL517" s="18">
        <f t="shared" si="640"/>
        <v>3.4101417881063143</v>
      </c>
      <c r="CM517" s="18">
        <f t="shared" si="640"/>
        <v>1.673764316708845</v>
      </c>
      <c r="CN517" s="18">
        <f t="shared" si="640"/>
        <v>5.6468904621384244</v>
      </c>
      <c r="CO517" s="18">
        <f t="shared" si="640"/>
        <v>1.9296112283277032</v>
      </c>
      <c r="CP517" s="56">
        <f t="shared" si="628"/>
        <v>2</v>
      </c>
      <c r="CR517" s="18">
        <f t="shared" si="641"/>
        <v>7.9008133942326788</v>
      </c>
      <c r="CS517" s="18">
        <f t="shared" si="641"/>
        <v>0.29329889862412989</v>
      </c>
      <c r="CT517" s="18">
        <f t="shared" si="641"/>
        <v>3.4101417881063143</v>
      </c>
      <c r="CU517" s="18">
        <f t="shared" si="641"/>
        <v>1.673764316708845</v>
      </c>
      <c r="CV517" s="18">
        <f t="shared" si="641"/>
        <v>5.6468904621384244</v>
      </c>
      <c r="CW517" s="18">
        <f t="shared" si="641"/>
        <v>1.9296112283277032</v>
      </c>
      <c r="CX517" s="56">
        <f t="shared" si="629"/>
        <v>2</v>
      </c>
      <c r="CZ517" s="18">
        <f t="shared" si="642"/>
        <v>7.9008133942326788</v>
      </c>
      <c r="DA517" s="18">
        <f t="shared" si="642"/>
        <v>0.29329889862412989</v>
      </c>
      <c r="DB517" s="18">
        <f t="shared" si="642"/>
        <v>3.4101417881063143</v>
      </c>
      <c r="DC517" s="18">
        <f t="shared" si="642"/>
        <v>1.673764316708845</v>
      </c>
      <c r="DD517" s="18">
        <f t="shared" si="642"/>
        <v>5.6468904621384244</v>
      </c>
      <c r="DE517" s="18">
        <f t="shared" si="642"/>
        <v>1.9296112283277032</v>
      </c>
      <c r="DF517" s="56">
        <f t="shared" si="630"/>
        <v>2</v>
      </c>
      <c r="DH517" s="18">
        <f t="shared" si="643"/>
        <v>7.9008133942326788</v>
      </c>
      <c r="DI517" s="18">
        <f t="shared" si="643"/>
        <v>0.29329889862412989</v>
      </c>
      <c r="DJ517" s="18">
        <f t="shared" si="643"/>
        <v>3.4101417881063143</v>
      </c>
      <c r="DK517" s="18">
        <f t="shared" si="643"/>
        <v>1.673764316708845</v>
      </c>
      <c r="DL517" s="18">
        <f t="shared" si="643"/>
        <v>5.6468904621384244</v>
      </c>
      <c r="DM517" s="18">
        <f t="shared" si="643"/>
        <v>1.9296112283277032</v>
      </c>
      <c r="DN517" s="56">
        <f t="shared" si="631"/>
        <v>2</v>
      </c>
    </row>
    <row r="518" spans="1:118" x14ac:dyDescent="0.25">
      <c r="A518" s="36" t="str">
        <f>KMeans_Data!A115</f>
        <v>Trarkhel</v>
      </c>
      <c r="B518" s="18">
        <f>KMeans_Data!H115</f>
        <v>-1.7189756565516803</v>
      </c>
      <c r="C518" s="18">
        <f>KMeans_Data!I115</f>
        <v>-0.67265054538827607</v>
      </c>
      <c r="D518" s="18">
        <f>KMeans_Data!J115</f>
        <v>-1.1456441163335547</v>
      </c>
      <c r="E518" s="56">
        <f t="shared" si="618"/>
        <v>2</v>
      </c>
      <c r="F518" s="38">
        <f t="shared" si="619"/>
        <v>0.24228006444646752</v>
      </c>
      <c r="G518" s="18">
        <f>IF(COUNTIF(Distance_Matrix!$E$12:$DQ$12,$E518)&lt;=1,0,SUMIF(Distance_Matrix!$E$12:$DQ$12,$E518,Distance_Matrix!$E$124:$DQ$124)/(COUNTIF(Distance_Matrix!$E$12:$DQ$12,$E518)-1))</f>
        <v>0.598262577309979</v>
      </c>
      <c r="H518" s="18">
        <f>MIN(IF(1=$E518,1E+99,IF(COUNTIF(Distance_Matrix!$E$12:$DQ$12,1)=0,1E+99,SUMIF(Distance_Matrix!$E$12:$DQ$12,1,Distance_Matrix!$E$124:$DQ$124)/COUNTIF(Distance_Matrix!$E$12:$DQ$12,1))),IF(2=$E518,1E+99,IF(COUNTIF(Distance_Matrix!$E$12:$DQ$12,2)=0,1E+99,SUMIF(Distance_Matrix!$E$12:$DQ$12,2,Distance_Matrix!$E$124:$DQ$124)/COUNTIF(Distance_Matrix!$E$12:$DQ$12,2))),IF(3=$E518,1E+99,IF(COUNTIF(Distance_Matrix!$E$12:$DQ$12,3)=0,1E+99,SUMIF(Distance_Matrix!$E$12:$DQ$12,3,Distance_Matrix!$E$124:$DQ$124)/COUNTIF(Distance_Matrix!$E$12:$DQ$12,3))),IF(4=$E518,1E+99,IF(COUNTIF(Distance_Matrix!$E$12:$DQ$12,4)=0,1E+99,SUMIF(Distance_Matrix!$E$12:$DQ$12,4,Distance_Matrix!$E$124:$DQ$124)/COUNTIF(Distance_Matrix!$E$12:$DQ$12,4))),IF(5=$E518,1E+99,IF(COUNTIF(Distance_Matrix!$E$12:$DQ$12,5)=0,1E+99,SUMIF(Distance_Matrix!$E$12:$DQ$12,5,Distance_Matrix!$E$124:$DQ$124)/COUNTIF(Distance_Matrix!$E$12:$DQ$12,5))),IF(6=$E518,1E+99,IF(COUNTIF(Distance_Matrix!$E$12:$DQ$12,6)=0,1E+99,SUMIF(Distance_Matrix!$E$12:$DQ$12,6,Distance_Matrix!$E$124:$DQ$124)/COUNTIF(Distance_Matrix!$E$12:$DQ$12,6))))</f>
        <v>1.9156163804050268</v>
      </c>
      <c r="I518" s="18">
        <f>IF(COUNTIF(Distance_Matrix!$E$12:$DQ$12,$E518)&lt;=1,0,(H518-G518)/MAX(G518,H518))</f>
        <v>0.68769186595518361</v>
      </c>
      <c r="X518" s="18">
        <f t="shared" ref="X518:AC524" si="644">SQRT(($B518-X$401)^2+($C518-X$402)^2+($D518-X$403)^2)</f>
        <v>8.153323730623006</v>
      </c>
      <c r="Y518" s="18">
        <f t="shared" si="644"/>
        <v>0.36076232525164831</v>
      </c>
      <c r="Z518" s="18">
        <f t="shared" si="644"/>
        <v>3.9428764577316429</v>
      </c>
      <c r="AA518" s="18">
        <f t="shared" si="644"/>
        <v>2.4223727569813844</v>
      </c>
      <c r="AB518" s="18">
        <f t="shared" si="644"/>
        <v>6.1524959405394304</v>
      </c>
      <c r="AC518" s="18">
        <f t="shared" si="644"/>
        <v>2.1094313817476538</v>
      </c>
      <c r="AD518" s="56">
        <f t="shared" si="620"/>
        <v>2</v>
      </c>
      <c r="AF518" s="18">
        <f t="shared" ref="AF518:AK524" si="645">SQRT(($B518-AF$401)^2+($C518-AF$402)^2+($D518-AF$403)^2)</f>
        <v>8.0299881399296584</v>
      </c>
      <c r="AG518" s="18">
        <f t="shared" si="645"/>
        <v>0.40203984102557977</v>
      </c>
      <c r="AH518" s="18">
        <f t="shared" si="645"/>
        <v>3.5853221596270339</v>
      </c>
      <c r="AI518" s="18">
        <f t="shared" si="645"/>
        <v>1.8900890020961369</v>
      </c>
      <c r="AJ518" s="18">
        <f t="shared" si="645"/>
        <v>5.7837718635909194</v>
      </c>
      <c r="AK518" s="18">
        <f t="shared" si="645"/>
        <v>1.9823884606754254</v>
      </c>
      <c r="AL518" s="56">
        <f t="shared" si="621"/>
        <v>2</v>
      </c>
      <c r="AN518" s="18">
        <f t="shared" ref="AN518:AS524" si="646">SQRT(($B518-AN$401)^2+($C518-AN$402)^2+($D518-AN$403)^2)</f>
        <v>8.0299881399296584</v>
      </c>
      <c r="AO518" s="18">
        <f t="shared" si="646"/>
        <v>0.44729338869339608</v>
      </c>
      <c r="AP518" s="18">
        <f t="shared" si="646"/>
        <v>3.5529357271033901</v>
      </c>
      <c r="AQ518" s="18">
        <f t="shared" si="646"/>
        <v>1.881697847966266</v>
      </c>
      <c r="AR518" s="18">
        <f t="shared" si="646"/>
        <v>5.7837718635909194</v>
      </c>
      <c r="AS518" s="18">
        <f t="shared" si="646"/>
        <v>2.0273276879865438</v>
      </c>
      <c r="AT518" s="56">
        <f t="shared" si="622"/>
        <v>2</v>
      </c>
      <c r="AV518" s="18">
        <f t="shared" ref="AV518:BA524" si="647">SQRT(($B518-AV$401)^2+($C518-AV$402)^2+($D518-AV$403)^2)</f>
        <v>8.0299881399296584</v>
      </c>
      <c r="AW518" s="18">
        <f t="shared" si="647"/>
        <v>0.47059871442728674</v>
      </c>
      <c r="AX518" s="18">
        <f t="shared" si="647"/>
        <v>3.5529357271033901</v>
      </c>
      <c r="AY518" s="18">
        <f t="shared" si="647"/>
        <v>1.881697847966266</v>
      </c>
      <c r="AZ518" s="18">
        <f t="shared" si="647"/>
        <v>5.7837718635909194</v>
      </c>
      <c r="BA518" s="18">
        <f t="shared" si="647"/>
        <v>2.053009963784012</v>
      </c>
      <c r="BB518" s="56">
        <f t="shared" si="623"/>
        <v>2</v>
      </c>
      <c r="BD518" s="18">
        <f t="shared" ref="BD518:BI524" si="648">SQRT(($B518-BD$401)^2+($C518-BD$402)^2+($D518-BD$403)^2)</f>
        <v>8.0299881399296584</v>
      </c>
      <c r="BE518" s="18">
        <f t="shared" si="648"/>
        <v>0.49221952871301999</v>
      </c>
      <c r="BF518" s="18">
        <f t="shared" si="648"/>
        <v>3.5529357271033901</v>
      </c>
      <c r="BG518" s="18">
        <f t="shared" si="648"/>
        <v>1.881697847966266</v>
      </c>
      <c r="BH518" s="18">
        <f t="shared" si="648"/>
        <v>5.7837718635909194</v>
      </c>
      <c r="BI518" s="18">
        <f t="shared" si="648"/>
        <v>2.0796078710648143</v>
      </c>
      <c r="BJ518" s="56">
        <f t="shared" si="624"/>
        <v>2</v>
      </c>
      <c r="BL518" s="18">
        <f t="shared" ref="BL518:BQ524" si="649">SQRT(($B518-BL$401)^2+($C518-BL$402)^2+($D518-BL$403)^2)</f>
        <v>8.0299881399296584</v>
      </c>
      <c r="BM518" s="18">
        <f t="shared" si="649"/>
        <v>0.49221952871301999</v>
      </c>
      <c r="BN518" s="18">
        <f t="shared" si="649"/>
        <v>3.5529357271033901</v>
      </c>
      <c r="BO518" s="18">
        <f t="shared" si="649"/>
        <v>1.881697847966266</v>
      </c>
      <c r="BP518" s="18">
        <f t="shared" si="649"/>
        <v>5.7837718635909194</v>
      </c>
      <c r="BQ518" s="18">
        <f t="shared" si="649"/>
        <v>2.0796078710648143</v>
      </c>
      <c r="BR518" s="56">
        <f t="shared" si="625"/>
        <v>2</v>
      </c>
      <c r="BT518" s="18">
        <f t="shared" ref="BT518:BY524" si="650">SQRT(($B518-BT$401)^2+($C518-BT$402)^2+($D518-BT$403)^2)</f>
        <v>8.0299881399296584</v>
      </c>
      <c r="BU518" s="18">
        <f t="shared" si="650"/>
        <v>0.49221952871301999</v>
      </c>
      <c r="BV518" s="18">
        <f t="shared" si="650"/>
        <v>3.5529357271033901</v>
      </c>
      <c r="BW518" s="18">
        <f t="shared" si="650"/>
        <v>1.881697847966266</v>
      </c>
      <c r="BX518" s="18">
        <f t="shared" si="650"/>
        <v>5.7837718635909194</v>
      </c>
      <c r="BY518" s="18">
        <f t="shared" si="650"/>
        <v>2.0796078710648143</v>
      </c>
      <c r="BZ518" s="56">
        <f t="shared" si="626"/>
        <v>2</v>
      </c>
      <c r="CB518" s="18">
        <f t="shared" ref="CB518:CG524" si="651">SQRT(($B518-CB$401)^2+($C518-CB$402)^2+($D518-CB$403)^2)</f>
        <v>8.0299881399296584</v>
      </c>
      <c r="CC518" s="18">
        <f t="shared" si="651"/>
        <v>0.49221952871301999</v>
      </c>
      <c r="CD518" s="18">
        <f t="shared" si="651"/>
        <v>3.5529357271033901</v>
      </c>
      <c r="CE518" s="18">
        <f t="shared" si="651"/>
        <v>1.881697847966266</v>
      </c>
      <c r="CF518" s="18">
        <f t="shared" si="651"/>
        <v>5.7837718635909194</v>
      </c>
      <c r="CG518" s="18">
        <f t="shared" si="651"/>
        <v>2.0796078710648143</v>
      </c>
      <c r="CH518" s="56">
        <f t="shared" si="627"/>
        <v>2</v>
      </c>
      <c r="CJ518" s="18">
        <f t="shared" ref="CJ518:CO524" si="652">SQRT(($B518-CJ$401)^2+($C518-CJ$402)^2+($D518-CJ$403)^2)</f>
        <v>8.0299881399296584</v>
      </c>
      <c r="CK518" s="18">
        <f t="shared" si="652"/>
        <v>0.49221952871301999</v>
      </c>
      <c r="CL518" s="18">
        <f t="shared" si="652"/>
        <v>3.5529357271033901</v>
      </c>
      <c r="CM518" s="18">
        <f t="shared" si="652"/>
        <v>1.881697847966266</v>
      </c>
      <c r="CN518" s="18">
        <f t="shared" si="652"/>
        <v>5.7837718635909194</v>
      </c>
      <c r="CO518" s="18">
        <f t="shared" si="652"/>
        <v>2.0796078710648143</v>
      </c>
      <c r="CP518" s="56">
        <f t="shared" si="628"/>
        <v>2</v>
      </c>
      <c r="CR518" s="18">
        <f t="shared" ref="CR518:CW524" si="653">SQRT(($B518-CR$401)^2+($C518-CR$402)^2+($D518-CR$403)^2)</f>
        <v>8.0299881399296584</v>
      </c>
      <c r="CS518" s="18">
        <f t="shared" si="653"/>
        <v>0.49221952871301999</v>
      </c>
      <c r="CT518" s="18">
        <f t="shared" si="653"/>
        <v>3.5529357271033901</v>
      </c>
      <c r="CU518" s="18">
        <f t="shared" si="653"/>
        <v>1.881697847966266</v>
      </c>
      <c r="CV518" s="18">
        <f t="shared" si="653"/>
        <v>5.7837718635909194</v>
      </c>
      <c r="CW518" s="18">
        <f t="shared" si="653"/>
        <v>2.0796078710648143</v>
      </c>
      <c r="CX518" s="56">
        <f t="shared" si="629"/>
        <v>2</v>
      </c>
      <c r="CZ518" s="18">
        <f t="shared" ref="CZ518:DE524" si="654">SQRT(($B518-CZ$401)^2+($C518-CZ$402)^2+($D518-CZ$403)^2)</f>
        <v>8.0299881399296584</v>
      </c>
      <c r="DA518" s="18">
        <f t="shared" si="654"/>
        <v>0.49221952871301999</v>
      </c>
      <c r="DB518" s="18">
        <f t="shared" si="654"/>
        <v>3.5529357271033901</v>
      </c>
      <c r="DC518" s="18">
        <f t="shared" si="654"/>
        <v>1.881697847966266</v>
      </c>
      <c r="DD518" s="18">
        <f t="shared" si="654"/>
        <v>5.7837718635909194</v>
      </c>
      <c r="DE518" s="18">
        <f t="shared" si="654"/>
        <v>2.0796078710648143</v>
      </c>
      <c r="DF518" s="56">
        <f t="shared" si="630"/>
        <v>2</v>
      </c>
      <c r="DH518" s="18">
        <f t="shared" ref="DH518:DM524" si="655">SQRT(($B518-DH$401)^2+($C518-DH$402)^2+($D518-DH$403)^2)</f>
        <v>8.0299881399296584</v>
      </c>
      <c r="DI518" s="18">
        <f t="shared" si="655"/>
        <v>0.49221952871301999</v>
      </c>
      <c r="DJ518" s="18">
        <f t="shared" si="655"/>
        <v>3.5529357271033901</v>
      </c>
      <c r="DK518" s="18">
        <f t="shared" si="655"/>
        <v>1.881697847966266</v>
      </c>
      <c r="DL518" s="18">
        <f t="shared" si="655"/>
        <v>5.7837718635909194</v>
      </c>
      <c r="DM518" s="18">
        <f t="shared" si="655"/>
        <v>2.0796078710648143</v>
      </c>
      <c r="DN518" s="56">
        <f t="shared" si="631"/>
        <v>2</v>
      </c>
    </row>
    <row r="519" spans="1:118" x14ac:dyDescent="0.25">
      <c r="A519" s="36" t="str">
        <f>KMeans_Data!A116</f>
        <v>Kohistan Upper</v>
      </c>
      <c r="B519" s="18">
        <f>KMeans_Data!H116</f>
        <v>-1.7189756565516803</v>
      </c>
      <c r="C519" s="18">
        <f>KMeans_Data!I116</f>
        <v>-0.67265054538827607</v>
      </c>
      <c r="D519" s="18">
        <f>KMeans_Data!J116</f>
        <v>-1.1456441163335547</v>
      </c>
      <c r="E519" s="56">
        <f t="shared" si="618"/>
        <v>2</v>
      </c>
      <c r="F519" s="38">
        <f t="shared" si="619"/>
        <v>0.24228006444646752</v>
      </c>
      <c r="G519" s="18">
        <f>IF(COUNTIF(Distance_Matrix!$E$12:$DQ$12,$E519)&lt;=1,0,SUMIF(Distance_Matrix!$E$12:$DQ$12,$E519,Distance_Matrix!$E$125:$DQ$125)/(COUNTIF(Distance_Matrix!$E$12:$DQ$12,$E519)-1))</f>
        <v>0.598262577309979</v>
      </c>
      <c r="H519" s="18">
        <f>MIN(IF(1=$E519,1E+99,IF(COUNTIF(Distance_Matrix!$E$12:$DQ$12,1)=0,1E+99,SUMIF(Distance_Matrix!$E$12:$DQ$12,1,Distance_Matrix!$E$125:$DQ$125)/COUNTIF(Distance_Matrix!$E$12:$DQ$12,1))),IF(2=$E519,1E+99,IF(COUNTIF(Distance_Matrix!$E$12:$DQ$12,2)=0,1E+99,SUMIF(Distance_Matrix!$E$12:$DQ$12,2,Distance_Matrix!$E$125:$DQ$125)/COUNTIF(Distance_Matrix!$E$12:$DQ$12,2))),IF(3=$E519,1E+99,IF(COUNTIF(Distance_Matrix!$E$12:$DQ$12,3)=0,1E+99,SUMIF(Distance_Matrix!$E$12:$DQ$12,3,Distance_Matrix!$E$125:$DQ$125)/COUNTIF(Distance_Matrix!$E$12:$DQ$12,3))),IF(4=$E519,1E+99,IF(COUNTIF(Distance_Matrix!$E$12:$DQ$12,4)=0,1E+99,SUMIF(Distance_Matrix!$E$12:$DQ$12,4,Distance_Matrix!$E$125:$DQ$125)/COUNTIF(Distance_Matrix!$E$12:$DQ$12,4))),IF(5=$E519,1E+99,IF(COUNTIF(Distance_Matrix!$E$12:$DQ$12,5)=0,1E+99,SUMIF(Distance_Matrix!$E$12:$DQ$12,5,Distance_Matrix!$E$125:$DQ$125)/COUNTIF(Distance_Matrix!$E$12:$DQ$12,5))),IF(6=$E519,1E+99,IF(COUNTIF(Distance_Matrix!$E$12:$DQ$12,6)=0,1E+99,SUMIF(Distance_Matrix!$E$12:$DQ$12,6,Distance_Matrix!$E$125:$DQ$125)/COUNTIF(Distance_Matrix!$E$12:$DQ$12,6))))</f>
        <v>1.9156163804050268</v>
      </c>
      <c r="I519" s="18">
        <f>IF(COUNTIF(Distance_Matrix!$E$12:$DQ$12,$E519)&lt;=1,0,(H519-G519)/MAX(G519,H519))</f>
        <v>0.68769186595518361</v>
      </c>
      <c r="X519" s="18">
        <f t="shared" si="644"/>
        <v>8.153323730623006</v>
      </c>
      <c r="Y519" s="18">
        <f t="shared" si="644"/>
        <v>0.36076232525164831</v>
      </c>
      <c r="Z519" s="18">
        <f t="shared" si="644"/>
        <v>3.9428764577316429</v>
      </c>
      <c r="AA519" s="18">
        <f t="shared" si="644"/>
        <v>2.4223727569813844</v>
      </c>
      <c r="AB519" s="18">
        <f t="shared" si="644"/>
        <v>6.1524959405394304</v>
      </c>
      <c r="AC519" s="18">
        <f t="shared" si="644"/>
        <v>2.1094313817476538</v>
      </c>
      <c r="AD519" s="56">
        <f t="shared" si="620"/>
        <v>2</v>
      </c>
      <c r="AF519" s="18">
        <f t="shared" si="645"/>
        <v>8.0299881399296584</v>
      </c>
      <c r="AG519" s="18">
        <f t="shared" si="645"/>
        <v>0.40203984102557977</v>
      </c>
      <c r="AH519" s="18">
        <f t="shared" si="645"/>
        <v>3.5853221596270339</v>
      </c>
      <c r="AI519" s="18">
        <f t="shared" si="645"/>
        <v>1.8900890020961369</v>
      </c>
      <c r="AJ519" s="18">
        <f t="shared" si="645"/>
        <v>5.7837718635909194</v>
      </c>
      <c r="AK519" s="18">
        <f t="shared" si="645"/>
        <v>1.9823884606754254</v>
      </c>
      <c r="AL519" s="56">
        <f t="shared" si="621"/>
        <v>2</v>
      </c>
      <c r="AN519" s="18">
        <f t="shared" si="646"/>
        <v>8.0299881399296584</v>
      </c>
      <c r="AO519" s="18">
        <f t="shared" si="646"/>
        <v>0.44729338869339608</v>
      </c>
      <c r="AP519" s="18">
        <f t="shared" si="646"/>
        <v>3.5529357271033901</v>
      </c>
      <c r="AQ519" s="18">
        <f t="shared" si="646"/>
        <v>1.881697847966266</v>
      </c>
      <c r="AR519" s="18">
        <f t="shared" si="646"/>
        <v>5.7837718635909194</v>
      </c>
      <c r="AS519" s="18">
        <f t="shared" si="646"/>
        <v>2.0273276879865438</v>
      </c>
      <c r="AT519" s="56">
        <f t="shared" si="622"/>
        <v>2</v>
      </c>
      <c r="AV519" s="18">
        <f t="shared" si="647"/>
        <v>8.0299881399296584</v>
      </c>
      <c r="AW519" s="18">
        <f t="shared" si="647"/>
        <v>0.47059871442728674</v>
      </c>
      <c r="AX519" s="18">
        <f t="shared" si="647"/>
        <v>3.5529357271033901</v>
      </c>
      <c r="AY519" s="18">
        <f t="shared" si="647"/>
        <v>1.881697847966266</v>
      </c>
      <c r="AZ519" s="18">
        <f t="shared" si="647"/>
        <v>5.7837718635909194</v>
      </c>
      <c r="BA519" s="18">
        <f t="shared" si="647"/>
        <v>2.053009963784012</v>
      </c>
      <c r="BB519" s="56">
        <f t="shared" si="623"/>
        <v>2</v>
      </c>
      <c r="BD519" s="18">
        <f t="shared" si="648"/>
        <v>8.0299881399296584</v>
      </c>
      <c r="BE519" s="18">
        <f t="shared" si="648"/>
        <v>0.49221952871301999</v>
      </c>
      <c r="BF519" s="18">
        <f t="shared" si="648"/>
        <v>3.5529357271033901</v>
      </c>
      <c r="BG519" s="18">
        <f t="shared" si="648"/>
        <v>1.881697847966266</v>
      </c>
      <c r="BH519" s="18">
        <f t="shared" si="648"/>
        <v>5.7837718635909194</v>
      </c>
      <c r="BI519" s="18">
        <f t="shared" si="648"/>
        <v>2.0796078710648143</v>
      </c>
      <c r="BJ519" s="56">
        <f t="shared" si="624"/>
        <v>2</v>
      </c>
      <c r="BL519" s="18">
        <f t="shared" si="649"/>
        <v>8.0299881399296584</v>
      </c>
      <c r="BM519" s="18">
        <f t="shared" si="649"/>
        <v>0.49221952871301999</v>
      </c>
      <c r="BN519" s="18">
        <f t="shared" si="649"/>
        <v>3.5529357271033901</v>
      </c>
      <c r="BO519" s="18">
        <f t="shared" si="649"/>
        <v>1.881697847966266</v>
      </c>
      <c r="BP519" s="18">
        <f t="shared" si="649"/>
        <v>5.7837718635909194</v>
      </c>
      <c r="BQ519" s="18">
        <f t="shared" si="649"/>
        <v>2.0796078710648143</v>
      </c>
      <c r="BR519" s="56">
        <f t="shared" si="625"/>
        <v>2</v>
      </c>
      <c r="BT519" s="18">
        <f t="shared" si="650"/>
        <v>8.0299881399296584</v>
      </c>
      <c r="BU519" s="18">
        <f t="shared" si="650"/>
        <v>0.49221952871301999</v>
      </c>
      <c r="BV519" s="18">
        <f t="shared" si="650"/>
        <v>3.5529357271033901</v>
      </c>
      <c r="BW519" s="18">
        <f t="shared" si="650"/>
        <v>1.881697847966266</v>
      </c>
      <c r="BX519" s="18">
        <f t="shared" si="650"/>
        <v>5.7837718635909194</v>
      </c>
      <c r="BY519" s="18">
        <f t="shared" si="650"/>
        <v>2.0796078710648143</v>
      </c>
      <c r="BZ519" s="56">
        <f t="shared" si="626"/>
        <v>2</v>
      </c>
      <c r="CB519" s="18">
        <f t="shared" si="651"/>
        <v>8.0299881399296584</v>
      </c>
      <c r="CC519" s="18">
        <f t="shared" si="651"/>
        <v>0.49221952871301999</v>
      </c>
      <c r="CD519" s="18">
        <f t="shared" si="651"/>
        <v>3.5529357271033901</v>
      </c>
      <c r="CE519" s="18">
        <f t="shared" si="651"/>
        <v>1.881697847966266</v>
      </c>
      <c r="CF519" s="18">
        <f t="shared" si="651"/>
        <v>5.7837718635909194</v>
      </c>
      <c r="CG519" s="18">
        <f t="shared" si="651"/>
        <v>2.0796078710648143</v>
      </c>
      <c r="CH519" s="56">
        <f t="shared" si="627"/>
        <v>2</v>
      </c>
      <c r="CJ519" s="18">
        <f t="shared" si="652"/>
        <v>8.0299881399296584</v>
      </c>
      <c r="CK519" s="18">
        <f t="shared" si="652"/>
        <v>0.49221952871301999</v>
      </c>
      <c r="CL519" s="18">
        <f t="shared" si="652"/>
        <v>3.5529357271033901</v>
      </c>
      <c r="CM519" s="18">
        <f t="shared" si="652"/>
        <v>1.881697847966266</v>
      </c>
      <c r="CN519" s="18">
        <f t="shared" si="652"/>
        <v>5.7837718635909194</v>
      </c>
      <c r="CO519" s="18">
        <f t="shared" si="652"/>
        <v>2.0796078710648143</v>
      </c>
      <c r="CP519" s="56">
        <f t="shared" si="628"/>
        <v>2</v>
      </c>
      <c r="CR519" s="18">
        <f t="shared" si="653"/>
        <v>8.0299881399296584</v>
      </c>
      <c r="CS519" s="18">
        <f t="shared" si="653"/>
        <v>0.49221952871301999</v>
      </c>
      <c r="CT519" s="18">
        <f t="shared" si="653"/>
        <v>3.5529357271033901</v>
      </c>
      <c r="CU519" s="18">
        <f t="shared" si="653"/>
        <v>1.881697847966266</v>
      </c>
      <c r="CV519" s="18">
        <f t="shared" si="653"/>
        <v>5.7837718635909194</v>
      </c>
      <c r="CW519" s="18">
        <f t="shared" si="653"/>
        <v>2.0796078710648143</v>
      </c>
      <c r="CX519" s="56">
        <f t="shared" si="629"/>
        <v>2</v>
      </c>
      <c r="CZ519" s="18">
        <f t="shared" si="654"/>
        <v>8.0299881399296584</v>
      </c>
      <c r="DA519" s="18">
        <f t="shared" si="654"/>
        <v>0.49221952871301999</v>
      </c>
      <c r="DB519" s="18">
        <f t="shared" si="654"/>
        <v>3.5529357271033901</v>
      </c>
      <c r="DC519" s="18">
        <f t="shared" si="654"/>
        <v>1.881697847966266</v>
      </c>
      <c r="DD519" s="18">
        <f t="shared" si="654"/>
        <v>5.7837718635909194</v>
      </c>
      <c r="DE519" s="18">
        <f t="shared" si="654"/>
        <v>2.0796078710648143</v>
      </c>
      <c r="DF519" s="56">
        <f t="shared" si="630"/>
        <v>2</v>
      </c>
      <c r="DH519" s="18">
        <f t="shared" si="655"/>
        <v>8.0299881399296584</v>
      </c>
      <c r="DI519" s="18">
        <f t="shared" si="655"/>
        <v>0.49221952871301999</v>
      </c>
      <c r="DJ519" s="18">
        <f t="shared" si="655"/>
        <v>3.5529357271033901</v>
      </c>
      <c r="DK519" s="18">
        <f t="shared" si="655"/>
        <v>1.881697847966266</v>
      </c>
      <c r="DL519" s="18">
        <f t="shared" si="655"/>
        <v>5.7837718635909194</v>
      </c>
      <c r="DM519" s="18">
        <f t="shared" si="655"/>
        <v>2.0796078710648143</v>
      </c>
      <c r="DN519" s="56">
        <f t="shared" si="631"/>
        <v>2</v>
      </c>
    </row>
    <row r="520" spans="1:118" x14ac:dyDescent="0.25">
      <c r="A520" s="36" t="str">
        <f>KMeans_Data!A117</f>
        <v>Okara</v>
      </c>
      <c r="B520" s="18">
        <f>KMeans_Data!H117</f>
        <v>-1.7189756565516803</v>
      </c>
      <c r="C520" s="18">
        <f>KMeans_Data!I117</f>
        <v>-0.67265054538827607</v>
      </c>
      <c r="D520" s="18">
        <f>KMeans_Data!J117</f>
        <v>-1.1456441163335547</v>
      </c>
      <c r="E520" s="56">
        <f t="shared" si="618"/>
        <v>2</v>
      </c>
      <c r="F520" s="38">
        <f t="shared" si="619"/>
        <v>0.24228006444646752</v>
      </c>
      <c r="G520" s="18">
        <f>IF(COUNTIF(Distance_Matrix!$E$12:$DQ$12,$E520)&lt;=1,0,SUMIF(Distance_Matrix!$E$12:$DQ$12,$E520,Distance_Matrix!$E$126:$DQ$126)/(COUNTIF(Distance_Matrix!$E$12:$DQ$12,$E520)-1))</f>
        <v>0.598262577309979</v>
      </c>
      <c r="H520" s="18">
        <f>MIN(IF(1=$E520,1E+99,IF(COUNTIF(Distance_Matrix!$E$12:$DQ$12,1)=0,1E+99,SUMIF(Distance_Matrix!$E$12:$DQ$12,1,Distance_Matrix!$E$126:$DQ$126)/COUNTIF(Distance_Matrix!$E$12:$DQ$12,1))),IF(2=$E520,1E+99,IF(COUNTIF(Distance_Matrix!$E$12:$DQ$12,2)=0,1E+99,SUMIF(Distance_Matrix!$E$12:$DQ$12,2,Distance_Matrix!$E$126:$DQ$126)/COUNTIF(Distance_Matrix!$E$12:$DQ$12,2))),IF(3=$E520,1E+99,IF(COUNTIF(Distance_Matrix!$E$12:$DQ$12,3)=0,1E+99,SUMIF(Distance_Matrix!$E$12:$DQ$12,3,Distance_Matrix!$E$126:$DQ$126)/COUNTIF(Distance_Matrix!$E$12:$DQ$12,3))),IF(4=$E520,1E+99,IF(COUNTIF(Distance_Matrix!$E$12:$DQ$12,4)=0,1E+99,SUMIF(Distance_Matrix!$E$12:$DQ$12,4,Distance_Matrix!$E$126:$DQ$126)/COUNTIF(Distance_Matrix!$E$12:$DQ$12,4))),IF(5=$E520,1E+99,IF(COUNTIF(Distance_Matrix!$E$12:$DQ$12,5)=0,1E+99,SUMIF(Distance_Matrix!$E$12:$DQ$12,5,Distance_Matrix!$E$126:$DQ$126)/COUNTIF(Distance_Matrix!$E$12:$DQ$12,5))),IF(6=$E520,1E+99,IF(COUNTIF(Distance_Matrix!$E$12:$DQ$12,6)=0,1E+99,SUMIF(Distance_Matrix!$E$12:$DQ$12,6,Distance_Matrix!$E$126:$DQ$126)/COUNTIF(Distance_Matrix!$E$12:$DQ$12,6))))</f>
        <v>1.9156163804050268</v>
      </c>
      <c r="I520" s="18">
        <f>IF(COUNTIF(Distance_Matrix!$E$12:$DQ$12,$E520)&lt;=1,0,(H520-G520)/MAX(G520,H520))</f>
        <v>0.68769186595518361</v>
      </c>
      <c r="X520" s="18">
        <f t="shared" si="644"/>
        <v>8.153323730623006</v>
      </c>
      <c r="Y520" s="18">
        <f t="shared" si="644"/>
        <v>0.36076232525164831</v>
      </c>
      <c r="Z520" s="18">
        <f t="shared" si="644"/>
        <v>3.9428764577316429</v>
      </c>
      <c r="AA520" s="18">
        <f t="shared" si="644"/>
        <v>2.4223727569813844</v>
      </c>
      <c r="AB520" s="18">
        <f t="shared" si="644"/>
        <v>6.1524959405394304</v>
      </c>
      <c r="AC520" s="18">
        <f t="shared" si="644"/>
        <v>2.1094313817476538</v>
      </c>
      <c r="AD520" s="56">
        <f t="shared" si="620"/>
        <v>2</v>
      </c>
      <c r="AF520" s="18">
        <f t="shared" si="645"/>
        <v>8.0299881399296584</v>
      </c>
      <c r="AG520" s="18">
        <f t="shared" si="645"/>
        <v>0.40203984102557977</v>
      </c>
      <c r="AH520" s="18">
        <f t="shared" si="645"/>
        <v>3.5853221596270339</v>
      </c>
      <c r="AI520" s="18">
        <f t="shared" si="645"/>
        <v>1.8900890020961369</v>
      </c>
      <c r="AJ520" s="18">
        <f t="shared" si="645"/>
        <v>5.7837718635909194</v>
      </c>
      <c r="AK520" s="18">
        <f t="shared" si="645"/>
        <v>1.9823884606754254</v>
      </c>
      <c r="AL520" s="56">
        <f t="shared" si="621"/>
        <v>2</v>
      </c>
      <c r="AN520" s="18">
        <f t="shared" si="646"/>
        <v>8.0299881399296584</v>
      </c>
      <c r="AO520" s="18">
        <f t="shared" si="646"/>
        <v>0.44729338869339608</v>
      </c>
      <c r="AP520" s="18">
        <f t="shared" si="646"/>
        <v>3.5529357271033901</v>
      </c>
      <c r="AQ520" s="18">
        <f t="shared" si="646"/>
        <v>1.881697847966266</v>
      </c>
      <c r="AR520" s="18">
        <f t="shared" si="646"/>
        <v>5.7837718635909194</v>
      </c>
      <c r="AS520" s="18">
        <f t="shared" si="646"/>
        <v>2.0273276879865438</v>
      </c>
      <c r="AT520" s="56">
        <f t="shared" si="622"/>
        <v>2</v>
      </c>
      <c r="AV520" s="18">
        <f t="shared" si="647"/>
        <v>8.0299881399296584</v>
      </c>
      <c r="AW520" s="18">
        <f t="shared" si="647"/>
        <v>0.47059871442728674</v>
      </c>
      <c r="AX520" s="18">
        <f t="shared" si="647"/>
        <v>3.5529357271033901</v>
      </c>
      <c r="AY520" s="18">
        <f t="shared" si="647"/>
        <v>1.881697847966266</v>
      </c>
      <c r="AZ520" s="18">
        <f t="shared" si="647"/>
        <v>5.7837718635909194</v>
      </c>
      <c r="BA520" s="18">
        <f t="shared" si="647"/>
        <v>2.053009963784012</v>
      </c>
      <c r="BB520" s="56">
        <f t="shared" si="623"/>
        <v>2</v>
      </c>
      <c r="BD520" s="18">
        <f t="shared" si="648"/>
        <v>8.0299881399296584</v>
      </c>
      <c r="BE520" s="18">
        <f t="shared" si="648"/>
        <v>0.49221952871301999</v>
      </c>
      <c r="BF520" s="18">
        <f t="shared" si="648"/>
        <v>3.5529357271033901</v>
      </c>
      <c r="BG520" s="18">
        <f t="shared" si="648"/>
        <v>1.881697847966266</v>
      </c>
      <c r="BH520" s="18">
        <f t="shared" si="648"/>
        <v>5.7837718635909194</v>
      </c>
      <c r="BI520" s="18">
        <f t="shared" si="648"/>
        <v>2.0796078710648143</v>
      </c>
      <c r="BJ520" s="56">
        <f t="shared" si="624"/>
        <v>2</v>
      </c>
      <c r="BL520" s="18">
        <f t="shared" si="649"/>
        <v>8.0299881399296584</v>
      </c>
      <c r="BM520" s="18">
        <f t="shared" si="649"/>
        <v>0.49221952871301999</v>
      </c>
      <c r="BN520" s="18">
        <f t="shared" si="649"/>
        <v>3.5529357271033901</v>
      </c>
      <c r="BO520" s="18">
        <f t="shared" si="649"/>
        <v>1.881697847966266</v>
      </c>
      <c r="BP520" s="18">
        <f t="shared" si="649"/>
        <v>5.7837718635909194</v>
      </c>
      <c r="BQ520" s="18">
        <f t="shared" si="649"/>
        <v>2.0796078710648143</v>
      </c>
      <c r="BR520" s="56">
        <f t="shared" si="625"/>
        <v>2</v>
      </c>
      <c r="BT520" s="18">
        <f t="shared" si="650"/>
        <v>8.0299881399296584</v>
      </c>
      <c r="BU520" s="18">
        <f t="shared" si="650"/>
        <v>0.49221952871301999</v>
      </c>
      <c r="BV520" s="18">
        <f t="shared" si="650"/>
        <v>3.5529357271033901</v>
      </c>
      <c r="BW520" s="18">
        <f t="shared" si="650"/>
        <v>1.881697847966266</v>
      </c>
      <c r="BX520" s="18">
        <f t="shared" si="650"/>
        <v>5.7837718635909194</v>
      </c>
      <c r="BY520" s="18">
        <f t="shared" si="650"/>
        <v>2.0796078710648143</v>
      </c>
      <c r="BZ520" s="56">
        <f t="shared" si="626"/>
        <v>2</v>
      </c>
      <c r="CB520" s="18">
        <f t="shared" si="651"/>
        <v>8.0299881399296584</v>
      </c>
      <c r="CC520" s="18">
        <f t="shared" si="651"/>
        <v>0.49221952871301999</v>
      </c>
      <c r="CD520" s="18">
        <f t="shared" si="651"/>
        <v>3.5529357271033901</v>
      </c>
      <c r="CE520" s="18">
        <f t="shared" si="651"/>
        <v>1.881697847966266</v>
      </c>
      <c r="CF520" s="18">
        <f t="shared" si="651"/>
        <v>5.7837718635909194</v>
      </c>
      <c r="CG520" s="18">
        <f t="shared" si="651"/>
        <v>2.0796078710648143</v>
      </c>
      <c r="CH520" s="56">
        <f t="shared" si="627"/>
        <v>2</v>
      </c>
      <c r="CJ520" s="18">
        <f t="shared" si="652"/>
        <v>8.0299881399296584</v>
      </c>
      <c r="CK520" s="18">
        <f t="shared" si="652"/>
        <v>0.49221952871301999</v>
      </c>
      <c r="CL520" s="18">
        <f t="shared" si="652"/>
        <v>3.5529357271033901</v>
      </c>
      <c r="CM520" s="18">
        <f t="shared" si="652"/>
        <v>1.881697847966266</v>
      </c>
      <c r="CN520" s="18">
        <f t="shared" si="652"/>
        <v>5.7837718635909194</v>
      </c>
      <c r="CO520" s="18">
        <f t="shared" si="652"/>
        <v>2.0796078710648143</v>
      </c>
      <c r="CP520" s="56">
        <f t="shared" si="628"/>
        <v>2</v>
      </c>
      <c r="CR520" s="18">
        <f t="shared" si="653"/>
        <v>8.0299881399296584</v>
      </c>
      <c r="CS520" s="18">
        <f t="shared" si="653"/>
        <v>0.49221952871301999</v>
      </c>
      <c r="CT520" s="18">
        <f t="shared" si="653"/>
        <v>3.5529357271033901</v>
      </c>
      <c r="CU520" s="18">
        <f t="shared" si="653"/>
        <v>1.881697847966266</v>
      </c>
      <c r="CV520" s="18">
        <f t="shared" si="653"/>
        <v>5.7837718635909194</v>
      </c>
      <c r="CW520" s="18">
        <f t="shared" si="653"/>
        <v>2.0796078710648143</v>
      </c>
      <c r="CX520" s="56">
        <f t="shared" si="629"/>
        <v>2</v>
      </c>
      <c r="CZ520" s="18">
        <f t="shared" si="654"/>
        <v>8.0299881399296584</v>
      </c>
      <c r="DA520" s="18">
        <f t="shared" si="654"/>
        <v>0.49221952871301999</v>
      </c>
      <c r="DB520" s="18">
        <f t="shared" si="654"/>
        <v>3.5529357271033901</v>
      </c>
      <c r="DC520" s="18">
        <f t="shared" si="654"/>
        <v>1.881697847966266</v>
      </c>
      <c r="DD520" s="18">
        <f t="shared" si="654"/>
        <v>5.7837718635909194</v>
      </c>
      <c r="DE520" s="18">
        <f t="shared" si="654"/>
        <v>2.0796078710648143</v>
      </c>
      <c r="DF520" s="56">
        <f t="shared" si="630"/>
        <v>2</v>
      </c>
      <c r="DH520" s="18">
        <f t="shared" si="655"/>
        <v>8.0299881399296584</v>
      </c>
      <c r="DI520" s="18">
        <f t="shared" si="655"/>
        <v>0.49221952871301999</v>
      </c>
      <c r="DJ520" s="18">
        <f t="shared" si="655"/>
        <v>3.5529357271033901</v>
      </c>
      <c r="DK520" s="18">
        <f t="shared" si="655"/>
        <v>1.881697847966266</v>
      </c>
      <c r="DL520" s="18">
        <f t="shared" si="655"/>
        <v>5.7837718635909194</v>
      </c>
      <c r="DM520" s="18">
        <f t="shared" si="655"/>
        <v>2.0796078710648143</v>
      </c>
      <c r="DN520" s="56">
        <f t="shared" si="631"/>
        <v>2</v>
      </c>
    </row>
    <row r="521" spans="1:118" x14ac:dyDescent="0.25">
      <c r="A521" s="36" t="str">
        <f>KMeans_Data!A118</f>
        <v>Ziarat</v>
      </c>
      <c r="B521" s="18">
        <f>KMeans_Data!H118</f>
        <v>-1.7189756565516803</v>
      </c>
      <c r="C521" s="18">
        <f>KMeans_Data!I118</f>
        <v>-0.67265054538827607</v>
      </c>
      <c r="D521" s="18">
        <f>KMeans_Data!J118</f>
        <v>-1.1456441163335547</v>
      </c>
      <c r="E521" s="56">
        <f t="shared" si="618"/>
        <v>2</v>
      </c>
      <c r="F521" s="38">
        <f t="shared" si="619"/>
        <v>0.24228006444646752</v>
      </c>
      <c r="G521" s="18">
        <f>IF(COUNTIF(Distance_Matrix!$E$12:$DQ$12,$E521)&lt;=1,0,SUMIF(Distance_Matrix!$E$12:$DQ$12,$E521,Distance_Matrix!$E$127:$DQ$127)/(COUNTIF(Distance_Matrix!$E$12:$DQ$12,$E521)-1))</f>
        <v>0.598262577309979</v>
      </c>
      <c r="H521" s="18">
        <f>MIN(IF(1=$E521,1E+99,IF(COUNTIF(Distance_Matrix!$E$12:$DQ$12,1)=0,1E+99,SUMIF(Distance_Matrix!$E$12:$DQ$12,1,Distance_Matrix!$E$127:$DQ$127)/COUNTIF(Distance_Matrix!$E$12:$DQ$12,1))),IF(2=$E521,1E+99,IF(COUNTIF(Distance_Matrix!$E$12:$DQ$12,2)=0,1E+99,SUMIF(Distance_Matrix!$E$12:$DQ$12,2,Distance_Matrix!$E$127:$DQ$127)/COUNTIF(Distance_Matrix!$E$12:$DQ$12,2))),IF(3=$E521,1E+99,IF(COUNTIF(Distance_Matrix!$E$12:$DQ$12,3)=0,1E+99,SUMIF(Distance_Matrix!$E$12:$DQ$12,3,Distance_Matrix!$E$127:$DQ$127)/COUNTIF(Distance_Matrix!$E$12:$DQ$12,3))),IF(4=$E521,1E+99,IF(COUNTIF(Distance_Matrix!$E$12:$DQ$12,4)=0,1E+99,SUMIF(Distance_Matrix!$E$12:$DQ$12,4,Distance_Matrix!$E$127:$DQ$127)/COUNTIF(Distance_Matrix!$E$12:$DQ$12,4))),IF(5=$E521,1E+99,IF(COUNTIF(Distance_Matrix!$E$12:$DQ$12,5)=0,1E+99,SUMIF(Distance_Matrix!$E$12:$DQ$12,5,Distance_Matrix!$E$127:$DQ$127)/COUNTIF(Distance_Matrix!$E$12:$DQ$12,5))),IF(6=$E521,1E+99,IF(COUNTIF(Distance_Matrix!$E$12:$DQ$12,6)=0,1E+99,SUMIF(Distance_Matrix!$E$12:$DQ$12,6,Distance_Matrix!$E$127:$DQ$127)/COUNTIF(Distance_Matrix!$E$12:$DQ$12,6))))</f>
        <v>1.9156163804050268</v>
      </c>
      <c r="I521" s="18">
        <f>IF(COUNTIF(Distance_Matrix!$E$12:$DQ$12,$E521)&lt;=1,0,(H521-G521)/MAX(G521,H521))</f>
        <v>0.68769186595518361</v>
      </c>
      <c r="X521" s="18">
        <f t="shared" si="644"/>
        <v>8.153323730623006</v>
      </c>
      <c r="Y521" s="18">
        <f t="shared" si="644"/>
        <v>0.36076232525164831</v>
      </c>
      <c r="Z521" s="18">
        <f t="shared" si="644"/>
        <v>3.9428764577316429</v>
      </c>
      <c r="AA521" s="18">
        <f t="shared" si="644"/>
        <v>2.4223727569813844</v>
      </c>
      <c r="AB521" s="18">
        <f t="shared" si="644"/>
        <v>6.1524959405394304</v>
      </c>
      <c r="AC521" s="18">
        <f t="shared" si="644"/>
        <v>2.1094313817476538</v>
      </c>
      <c r="AD521" s="56">
        <f t="shared" si="620"/>
        <v>2</v>
      </c>
      <c r="AF521" s="18">
        <f t="shared" si="645"/>
        <v>8.0299881399296584</v>
      </c>
      <c r="AG521" s="18">
        <f t="shared" si="645"/>
        <v>0.40203984102557977</v>
      </c>
      <c r="AH521" s="18">
        <f t="shared" si="645"/>
        <v>3.5853221596270339</v>
      </c>
      <c r="AI521" s="18">
        <f t="shared" si="645"/>
        <v>1.8900890020961369</v>
      </c>
      <c r="AJ521" s="18">
        <f t="shared" si="645"/>
        <v>5.7837718635909194</v>
      </c>
      <c r="AK521" s="18">
        <f t="shared" si="645"/>
        <v>1.9823884606754254</v>
      </c>
      <c r="AL521" s="56">
        <f t="shared" si="621"/>
        <v>2</v>
      </c>
      <c r="AN521" s="18">
        <f t="shared" si="646"/>
        <v>8.0299881399296584</v>
      </c>
      <c r="AO521" s="18">
        <f t="shared" si="646"/>
        <v>0.44729338869339608</v>
      </c>
      <c r="AP521" s="18">
        <f t="shared" si="646"/>
        <v>3.5529357271033901</v>
      </c>
      <c r="AQ521" s="18">
        <f t="shared" si="646"/>
        <v>1.881697847966266</v>
      </c>
      <c r="AR521" s="18">
        <f t="shared" si="646"/>
        <v>5.7837718635909194</v>
      </c>
      <c r="AS521" s="18">
        <f t="shared" si="646"/>
        <v>2.0273276879865438</v>
      </c>
      <c r="AT521" s="56">
        <f t="shared" si="622"/>
        <v>2</v>
      </c>
      <c r="AV521" s="18">
        <f t="shared" si="647"/>
        <v>8.0299881399296584</v>
      </c>
      <c r="AW521" s="18">
        <f t="shared" si="647"/>
        <v>0.47059871442728674</v>
      </c>
      <c r="AX521" s="18">
        <f t="shared" si="647"/>
        <v>3.5529357271033901</v>
      </c>
      <c r="AY521" s="18">
        <f t="shared" si="647"/>
        <v>1.881697847966266</v>
      </c>
      <c r="AZ521" s="18">
        <f t="shared" si="647"/>
        <v>5.7837718635909194</v>
      </c>
      <c r="BA521" s="18">
        <f t="shared" si="647"/>
        <v>2.053009963784012</v>
      </c>
      <c r="BB521" s="56">
        <f t="shared" si="623"/>
        <v>2</v>
      </c>
      <c r="BD521" s="18">
        <f t="shared" si="648"/>
        <v>8.0299881399296584</v>
      </c>
      <c r="BE521" s="18">
        <f t="shared" si="648"/>
        <v>0.49221952871301999</v>
      </c>
      <c r="BF521" s="18">
        <f t="shared" si="648"/>
        <v>3.5529357271033901</v>
      </c>
      <c r="BG521" s="18">
        <f t="shared" si="648"/>
        <v>1.881697847966266</v>
      </c>
      <c r="BH521" s="18">
        <f t="shared" si="648"/>
        <v>5.7837718635909194</v>
      </c>
      <c r="BI521" s="18">
        <f t="shared" si="648"/>
        <v>2.0796078710648143</v>
      </c>
      <c r="BJ521" s="56">
        <f t="shared" si="624"/>
        <v>2</v>
      </c>
      <c r="BL521" s="18">
        <f t="shared" si="649"/>
        <v>8.0299881399296584</v>
      </c>
      <c r="BM521" s="18">
        <f t="shared" si="649"/>
        <v>0.49221952871301999</v>
      </c>
      <c r="BN521" s="18">
        <f t="shared" si="649"/>
        <v>3.5529357271033901</v>
      </c>
      <c r="BO521" s="18">
        <f t="shared" si="649"/>
        <v>1.881697847966266</v>
      </c>
      <c r="BP521" s="18">
        <f t="shared" si="649"/>
        <v>5.7837718635909194</v>
      </c>
      <c r="BQ521" s="18">
        <f t="shared" si="649"/>
        <v>2.0796078710648143</v>
      </c>
      <c r="BR521" s="56">
        <f t="shared" si="625"/>
        <v>2</v>
      </c>
      <c r="BT521" s="18">
        <f t="shared" si="650"/>
        <v>8.0299881399296584</v>
      </c>
      <c r="BU521" s="18">
        <f t="shared" si="650"/>
        <v>0.49221952871301999</v>
      </c>
      <c r="BV521" s="18">
        <f t="shared" si="650"/>
        <v>3.5529357271033901</v>
      </c>
      <c r="BW521" s="18">
        <f t="shared" si="650"/>
        <v>1.881697847966266</v>
      </c>
      <c r="BX521" s="18">
        <f t="shared" si="650"/>
        <v>5.7837718635909194</v>
      </c>
      <c r="BY521" s="18">
        <f t="shared" si="650"/>
        <v>2.0796078710648143</v>
      </c>
      <c r="BZ521" s="56">
        <f t="shared" si="626"/>
        <v>2</v>
      </c>
      <c r="CB521" s="18">
        <f t="shared" si="651"/>
        <v>8.0299881399296584</v>
      </c>
      <c r="CC521" s="18">
        <f t="shared" si="651"/>
        <v>0.49221952871301999</v>
      </c>
      <c r="CD521" s="18">
        <f t="shared" si="651"/>
        <v>3.5529357271033901</v>
      </c>
      <c r="CE521" s="18">
        <f t="shared" si="651"/>
        <v>1.881697847966266</v>
      </c>
      <c r="CF521" s="18">
        <f t="shared" si="651"/>
        <v>5.7837718635909194</v>
      </c>
      <c r="CG521" s="18">
        <f t="shared" si="651"/>
        <v>2.0796078710648143</v>
      </c>
      <c r="CH521" s="56">
        <f t="shared" si="627"/>
        <v>2</v>
      </c>
      <c r="CJ521" s="18">
        <f t="shared" si="652"/>
        <v>8.0299881399296584</v>
      </c>
      <c r="CK521" s="18">
        <f t="shared" si="652"/>
        <v>0.49221952871301999</v>
      </c>
      <c r="CL521" s="18">
        <f t="shared" si="652"/>
        <v>3.5529357271033901</v>
      </c>
      <c r="CM521" s="18">
        <f t="shared" si="652"/>
        <v>1.881697847966266</v>
      </c>
      <c r="CN521" s="18">
        <f t="shared" si="652"/>
        <v>5.7837718635909194</v>
      </c>
      <c r="CO521" s="18">
        <f t="shared" si="652"/>
        <v>2.0796078710648143</v>
      </c>
      <c r="CP521" s="56">
        <f t="shared" si="628"/>
        <v>2</v>
      </c>
      <c r="CR521" s="18">
        <f t="shared" si="653"/>
        <v>8.0299881399296584</v>
      </c>
      <c r="CS521" s="18">
        <f t="shared" si="653"/>
        <v>0.49221952871301999</v>
      </c>
      <c r="CT521" s="18">
        <f t="shared" si="653"/>
        <v>3.5529357271033901</v>
      </c>
      <c r="CU521" s="18">
        <f t="shared" si="653"/>
        <v>1.881697847966266</v>
      </c>
      <c r="CV521" s="18">
        <f t="shared" si="653"/>
        <v>5.7837718635909194</v>
      </c>
      <c r="CW521" s="18">
        <f t="shared" si="653"/>
        <v>2.0796078710648143</v>
      </c>
      <c r="CX521" s="56">
        <f t="shared" si="629"/>
        <v>2</v>
      </c>
      <c r="CZ521" s="18">
        <f t="shared" si="654"/>
        <v>8.0299881399296584</v>
      </c>
      <c r="DA521" s="18">
        <f t="shared" si="654"/>
        <v>0.49221952871301999</v>
      </c>
      <c r="DB521" s="18">
        <f t="shared" si="654"/>
        <v>3.5529357271033901</v>
      </c>
      <c r="DC521" s="18">
        <f t="shared" si="654"/>
        <v>1.881697847966266</v>
      </c>
      <c r="DD521" s="18">
        <f t="shared" si="654"/>
        <v>5.7837718635909194</v>
      </c>
      <c r="DE521" s="18">
        <f t="shared" si="654"/>
        <v>2.0796078710648143</v>
      </c>
      <c r="DF521" s="56">
        <f t="shared" si="630"/>
        <v>2</v>
      </c>
      <c r="DH521" s="18">
        <f t="shared" si="655"/>
        <v>8.0299881399296584</v>
      </c>
      <c r="DI521" s="18">
        <f t="shared" si="655"/>
        <v>0.49221952871301999</v>
      </c>
      <c r="DJ521" s="18">
        <f t="shared" si="655"/>
        <v>3.5529357271033901</v>
      </c>
      <c r="DK521" s="18">
        <f t="shared" si="655"/>
        <v>1.881697847966266</v>
      </c>
      <c r="DL521" s="18">
        <f t="shared" si="655"/>
        <v>5.7837718635909194</v>
      </c>
      <c r="DM521" s="18">
        <f t="shared" si="655"/>
        <v>2.0796078710648143</v>
      </c>
      <c r="DN521" s="56">
        <f t="shared" si="631"/>
        <v>2</v>
      </c>
    </row>
    <row r="522" spans="1:118" x14ac:dyDescent="0.25">
      <c r="A522" s="36" t="str">
        <f>KMeans_Data!A119</f>
        <v>Pakpatan</v>
      </c>
      <c r="B522" s="18">
        <f>KMeans_Data!H119</f>
        <v>-1.7189756565516803</v>
      </c>
      <c r="C522" s="18">
        <f>KMeans_Data!I119</f>
        <v>-0.67265054538827607</v>
      </c>
      <c r="D522" s="18">
        <f>KMeans_Data!J119</f>
        <v>-1.1456441163335547</v>
      </c>
      <c r="E522" s="56">
        <f t="shared" si="618"/>
        <v>2</v>
      </c>
      <c r="F522" s="38">
        <f t="shared" si="619"/>
        <v>0.24228006444646752</v>
      </c>
      <c r="G522" s="18">
        <f>IF(COUNTIF(Distance_Matrix!$E$12:$DQ$12,$E522)&lt;=1,0,SUMIF(Distance_Matrix!$E$12:$DQ$12,$E522,Distance_Matrix!$E$128:$DQ$128)/(COUNTIF(Distance_Matrix!$E$12:$DQ$12,$E522)-1))</f>
        <v>0.598262577309979</v>
      </c>
      <c r="H522" s="18">
        <f>MIN(IF(1=$E522,1E+99,IF(COUNTIF(Distance_Matrix!$E$12:$DQ$12,1)=0,1E+99,SUMIF(Distance_Matrix!$E$12:$DQ$12,1,Distance_Matrix!$E$128:$DQ$128)/COUNTIF(Distance_Matrix!$E$12:$DQ$12,1))),IF(2=$E522,1E+99,IF(COUNTIF(Distance_Matrix!$E$12:$DQ$12,2)=0,1E+99,SUMIF(Distance_Matrix!$E$12:$DQ$12,2,Distance_Matrix!$E$128:$DQ$128)/COUNTIF(Distance_Matrix!$E$12:$DQ$12,2))),IF(3=$E522,1E+99,IF(COUNTIF(Distance_Matrix!$E$12:$DQ$12,3)=0,1E+99,SUMIF(Distance_Matrix!$E$12:$DQ$12,3,Distance_Matrix!$E$128:$DQ$128)/COUNTIF(Distance_Matrix!$E$12:$DQ$12,3))),IF(4=$E522,1E+99,IF(COUNTIF(Distance_Matrix!$E$12:$DQ$12,4)=0,1E+99,SUMIF(Distance_Matrix!$E$12:$DQ$12,4,Distance_Matrix!$E$128:$DQ$128)/COUNTIF(Distance_Matrix!$E$12:$DQ$12,4))),IF(5=$E522,1E+99,IF(COUNTIF(Distance_Matrix!$E$12:$DQ$12,5)=0,1E+99,SUMIF(Distance_Matrix!$E$12:$DQ$12,5,Distance_Matrix!$E$128:$DQ$128)/COUNTIF(Distance_Matrix!$E$12:$DQ$12,5))),IF(6=$E522,1E+99,IF(COUNTIF(Distance_Matrix!$E$12:$DQ$12,6)=0,1E+99,SUMIF(Distance_Matrix!$E$12:$DQ$12,6,Distance_Matrix!$E$128:$DQ$128)/COUNTIF(Distance_Matrix!$E$12:$DQ$12,6))))</f>
        <v>1.9156163804050268</v>
      </c>
      <c r="I522" s="18">
        <f>IF(COUNTIF(Distance_Matrix!$E$12:$DQ$12,$E522)&lt;=1,0,(H522-G522)/MAX(G522,H522))</f>
        <v>0.68769186595518361</v>
      </c>
      <c r="X522" s="18">
        <f t="shared" si="644"/>
        <v>8.153323730623006</v>
      </c>
      <c r="Y522" s="18">
        <f t="shared" si="644"/>
        <v>0.36076232525164831</v>
      </c>
      <c r="Z522" s="18">
        <f t="shared" si="644"/>
        <v>3.9428764577316429</v>
      </c>
      <c r="AA522" s="18">
        <f t="shared" si="644"/>
        <v>2.4223727569813844</v>
      </c>
      <c r="AB522" s="18">
        <f t="shared" si="644"/>
        <v>6.1524959405394304</v>
      </c>
      <c r="AC522" s="18">
        <f t="shared" si="644"/>
        <v>2.1094313817476538</v>
      </c>
      <c r="AD522" s="56">
        <f t="shared" si="620"/>
        <v>2</v>
      </c>
      <c r="AF522" s="18">
        <f t="shared" si="645"/>
        <v>8.0299881399296584</v>
      </c>
      <c r="AG522" s="18">
        <f t="shared" si="645"/>
        <v>0.40203984102557977</v>
      </c>
      <c r="AH522" s="18">
        <f t="shared" si="645"/>
        <v>3.5853221596270339</v>
      </c>
      <c r="AI522" s="18">
        <f t="shared" si="645"/>
        <v>1.8900890020961369</v>
      </c>
      <c r="AJ522" s="18">
        <f t="shared" si="645"/>
        <v>5.7837718635909194</v>
      </c>
      <c r="AK522" s="18">
        <f t="shared" si="645"/>
        <v>1.9823884606754254</v>
      </c>
      <c r="AL522" s="56">
        <f t="shared" si="621"/>
        <v>2</v>
      </c>
      <c r="AN522" s="18">
        <f t="shared" si="646"/>
        <v>8.0299881399296584</v>
      </c>
      <c r="AO522" s="18">
        <f t="shared" si="646"/>
        <v>0.44729338869339608</v>
      </c>
      <c r="AP522" s="18">
        <f t="shared" si="646"/>
        <v>3.5529357271033901</v>
      </c>
      <c r="AQ522" s="18">
        <f t="shared" si="646"/>
        <v>1.881697847966266</v>
      </c>
      <c r="AR522" s="18">
        <f t="shared" si="646"/>
        <v>5.7837718635909194</v>
      </c>
      <c r="AS522" s="18">
        <f t="shared" si="646"/>
        <v>2.0273276879865438</v>
      </c>
      <c r="AT522" s="56">
        <f t="shared" si="622"/>
        <v>2</v>
      </c>
      <c r="AV522" s="18">
        <f t="shared" si="647"/>
        <v>8.0299881399296584</v>
      </c>
      <c r="AW522" s="18">
        <f t="shared" si="647"/>
        <v>0.47059871442728674</v>
      </c>
      <c r="AX522" s="18">
        <f t="shared" si="647"/>
        <v>3.5529357271033901</v>
      </c>
      <c r="AY522" s="18">
        <f t="shared" si="647"/>
        <v>1.881697847966266</v>
      </c>
      <c r="AZ522" s="18">
        <f t="shared" si="647"/>
        <v>5.7837718635909194</v>
      </c>
      <c r="BA522" s="18">
        <f t="shared" si="647"/>
        <v>2.053009963784012</v>
      </c>
      <c r="BB522" s="56">
        <f t="shared" si="623"/>
        <v>2</v>
      </c>
      <c r="BD522" s="18">
        <f t="shared" si="648"/>
        <v>8.0299881399296584</v>
      </c>
      <c r="BE522" s="18">
        <f t="shared" si="648"/>
        <v>0.49221952871301999</v>
      </c>
      <c r="BF522" s="18">
        <f t="shared" si="648"/>
        <v>3.5529357271033901</v>
      </c>
      <c r="BG522" s="18">
        <f t="shared" si="648"/>
        <v>1.881697847966266</v>
      </c>
      <c r="BH522" s="18">
        <f t="shared" si="648"/>
        <v>5.7837718635909194</v>
      </c>
      <c r="BI522" s="18">
        <f t="shared" si="648"/>
        <v>2.0796078710648143</v>
      </c>
      <c r="BJ522" s="56">
        <f t="shared" si="624"/>
        <v>2</v>
      </c>
      <c r="BL522" s="18">
        <f t="shared" si="649"/>
        <v>8.0299881399296584</v>
      </c>
      <c r="BM522" s="18">
        <f t="shared" si="649"/>
        <v>0.49221952871301999</v>
      </c>
      <c r="BN522" s="18">
        <f t="shared" si="649"/>
        <v>3.5529357271033901</v>
      </c>
      <c r="BO522" s="18">
        <f t="shared" si="649"/>
        <v>1.881697847966266</v>
      </c>
      <c r="BP522" s="18">
        <f t="shared" si="649"/>
        <v>5.7837718635909194</v>
      </c>
      <c r="BQ522" s="18">
        <f t="shared" si="649"/>
        <v>2.0796078710648143</v>
      </c>
      <c r="BR522" s="56">
        <f t="shared" si="625"/>
        <v>2</v>
      </c>
      <c r="BT522" s="18">
        <f t="shared" si="650"/>
        <v>8.0299881399296584</v>
      </c>
      <c r="BU522" s="18">
        <f t="shared" si="650"/>
        <v>0.49221952871301999</v>
      </c>
      <c r="BV522" s="18">
        <f t="shared" si="650"/>
        <v>3.5529357271033901</v>
      </c>
      <c r="BW522" s="18">
        <f t="shared" si="650"/>
        <v>1.881697847966266</v>
      </c>
      <c r="BX522" s="18">
        <f t="shared" si="650"/>
        <v>5.7837718635909194</v>
      </c>
      <c r="BY522" s="18">
        <f t="shared" si="650"/>
        <v>2.0796078710648143</v>
      </c>
      <c r="BZ522" s="56">
        <f t="shared" si="626"/>
        <v>2</v>
      </c>
      <c r="CB522" s="18">
        <f t="shared" si="651"/>
        <v>8.0299881399296584</v>
      </c>
      <c r="CC522" s="18">
        <f t="shared" si="651"/>
        <v>0.49221952871301999</v>
      </c>
      <c r="CD522" s="18">
        <f t="shared" si="651"/>
        <v>3.5529357271033901</v>
      </c>
      <c r="CE522" s="18">
        <f t="shared" si="651"/>
        <v>1.881697847966266</v>
      </c>
      <c r="CF522" s="18">
        <f t="shared" si="651"/>
        <v>5.7837718635909194</v>
      </c>
      <c r="CG522" s="18">
        <f t="shared" si="651"/>
        <v>2.0796078710648143</v>
      </c>
      <c r="CH522" s="56">
        <f t="shared" si="627"/>
        <v>2</v>
      </c>
      <c r="CJ522" s="18">
        <f t="shared" si="652"/>
        <v>8.0299881399296584</v>
      </c>
      <c r="CK522" s="18">
        <f t="shared" si="652"/>
        <v>0.49221952871301999</v>
      </c>
      <c r="CL522" s="18">
        <f t="shared" si="652"/>
        <v>3.5529357271033901</v>
      </c>
      <c r="CM522" s="18">
        <f t="shared" si="652"/>
        <v>1.881697847966266</v>
      </c>
      <c r="CN522" s="18">
        <f t="shared" si="652"/>
        <v>5.7837718635909194</v>
      </c>
      <c r="CO522" s="18">
        <f t="shared" si="652"/>
        <v>2.0796078710648143</v>
      </c>
      <c r="CP522" s="56">
        <f t="shared" si="628"/>
        <v>2</v>
      </c>
      <c r="CR522" s="18">
        <f t="shared" si="653"/>
        <v>8.0299881399296584</v>
      </c>
      <c r="CS522" s="18">
        <f t="shared" si="653"/>
        <v>0.49221952871301999</v>
      </c>
      <c r="CT522" s="18">
        <f t="shared" si="653"/>
        <v>3.5529357271033901</v>
      </c>
      <c r="CU522" s="18">
        <f t="shared" si="653"/>
        <v>1.881697847966266</v>
      </c>
      <c r="CV522" s="18">
        <f t="shared" si="653"/>
        <v>5.7837718635909194</v>
      </c>
      <c r="CW522" s="18">
        <f t="shared" si="653"/>
        <v>2.0796078710648143</v>
      </c>
      <c r="CX522" s="56">
        <f t="shared" si="629"/>
        <v>2</v>
      </c>
      <c r="CZ522" s="18">
        <f t="shared" si="654"/>
        <v>8.0299881399296584</v>
      </c>
      <c r="DA522" s="18">
        <f t="shared" si="654"/>
        <v>0.49221952871301999</v>
      </c>
      <c r="DB522" s="18">
        <f t="shared" si="654"/>
        <v>3.5529357271033901</v>
      </c>
      <c r="DC522" s="18">
        <f t="shared" si="654"/>
        <v>1.881697847966266</v>
      </c>
      <c r="DD522" s="18">
        <f t="shared" si="654"/>
        <v>5.7837718635909194</v>
      </c>
      <c r="DE522" s="18">
        <f t="shared" si="654"/>
        <v>2.0796078710648143</v>
      </c>
      <c r="DF522" s="56">
        <f t="shared" si="630"/>
        <v>2</v>
      </c>
      <c r="DH522" s="18">
        <f t="shared" si="655"/>
        <v>8.0299881399296584</v>
      </c>
      <c r="DI522" s="18">
        <f t="shared" si="655"/>
        <v>0.49221952871301999</v>
      </c>
      <c r="DJ522" s="18">
        <f t="shared" si="655"/>
        <v>3.5529357271033901</v>
      </c>
      <c r="DK522" s="18">
        <f t="shared" si="655"/>
        <v>1.881697847966266</v>
      </c>
      <c r="DL522" s="18">
        <f t="shared" si="655"/>
        <v>5.7837718635909194</v>
      </c>
      <c r="DM522" s="18">
        <f t="shared" si="655"/>
        <v>2.0796078710648143</v>
      </c>
      <c r="DN522" s="56">
        <f t="shared" si="631"/>
        <v>2</v>
      </c>
    </row>
    <row r="523" spans="1:118" x14ac:dyDescent="0.25">
      <c r="A523" s="36" t="str">
        <f>KMeans_Data!A120</f>
        <v>Chitral</v>
      </c>
      <c r="B523" s="18">
        <f>KMeans_Data!H120</f>
        <v>-2.0797379818033286</v>
      </c>
      <c r="C523" s="18">
        <f>KMeans_Data!I120</f>
        <v>-0.67265054538827607</v>
      </c>
      <c r="D523" s="18">
        <f>KMeans_Data!J120</f>
        <v>-1.1456441163335547</v>
      </c>
      <c r="E523" s="56">
        <f t="shared" si="618"/>
        <v>2</v>
      </c>
      <c r="F523" s="38">
        <f t="shared" si="619"/>
        <v>0.71568316012472954</v>
      </c>
      <c r="G523" s="18">
        <f>IF(COUNTIF(Distance_Matrix!$E$12:$DQ$12,$E523)&lt;=1,0,SUMIF(Distance_Matrix!$E$12:$DQ$12,$E523,Distance_Matrix!$E$129:$DQ$129)/(COUNTIF(Distance_Matrix!$E$12:$DQ$12,$E523)-1))</f>
        <v>0.90463969683925072</v>
      </c>
      <c r="H523" s="18">
        <f>MIN(IF(1=$E523,1E+99,IF(COUNTIF(Distance_Matrix!$E$12:$DQ$12,1)=0,1E+99,SUMIF(Distance_Matrix!$E$12:$DQ$12,1,Distance_Matrix!$E$129:$DQ$129)/COUNTIF(Distance_Matrix!$E$12:$DQ$12,1))),IF(2=$E523,1E+99,IF(COUNTIF(Distance_Matrix!$E$12:$DQ$12,2)=0,1E+99,SUMIF(Distance_Matrix!$E$12:$DQ$12,2,Distance_Matrix!$E$129:$DQ$129)/COUNTIF(Distance_Matrix!$E$12:$DQ$12,2))),IF(3=$E523,1E+99,IF(COUNTIF(Distance_Matrix!$E$12:$DQ$12,3)=0,1E+99,SUMIF(Distance_Matrix!$E$12:$DQ$12,3,Distance_Matrix!$E$129:$DQ$129)/COUNTIF(Distance_Matrix!$E$12:$DQ$12,3))),IF(4=$E523,1E+99,IF(COUNTIF(Distance_Matrix!$E$12:$DQ$12,4)=0,1E+99,SUMIF(Distance_Matrix!$E$12:$DQ$12,4,Distance_Matrix!$E$129:$DQ$129)/COUNTIF(Distance_Matrix!$E$12:$DQ$12,4))),IF(5=$E523,1E+99,IF(COUNTIF(Distance_Matrix!$E$12:$DQ$12,5)=0,1E+99,SUMIF(Distance_Matrix!$E$12:$DQ$12,5,Distance_Matrix!$E$129:$DQ$129)/COUNTIF(Distance_Matrix!$E$12:$DQ$12,5))),IF(6=$E523,1E+99,IF(COUNTIF(Distance_Matrix!$E$12:$DQ$12,6)=0,1E+99,SUMIF(Distance_Matrix!$E$12:$DQ$12,6,Distance_Matrix!$E$129:$DQ$129)/COUNTIF(Distance_Matrix!$E$12:$DQ$12,6))))</f>
        <v>2.26755314998847</v>
      </c>
      <c r="I523" s="18">
        <f>IF(COUNTIF(Distance_Matrix!$E$12:$DQ$12,$E523)&lt;=1,0,(H523-G523)/MAX(G523,H523))</f>
        <v>0.60105027886828122</v>
      </c>
      <c r="X523" s="18">
        <f t="shared" si="644"/>
        <v>8.3791178007212217</v>
      </c>
      <c r="Y523" s="18">
        <f t="shared" si="644"/>
        <v>0</v>
      </c>
      <c r="Z523" s="18">
        <f t="shared" si="644"/>
        <v>4.2029955567656474</v>
      </c>
      <c r="AA523" s="18">
        <f t="shared" si="644"/>
        <v>2.7756425502726647</v>
      </c>
      <c r="AB523" s="18">
        <f t="shared" si="644"/>
        <v>6.3976329314131073</v>
      </c>
      <c r="AC523" s="18">
        <f t="shared" si="644"/>
        <v>2.3044742649072281</v>
      </c>
      <c r="AD523" s="56">
        <f t="shared" si="620"/>
        <v>2</v>
      </c>
      <c r="AF523" s="18">
        <f t="shared" si="645"/>
        <v>8.2586271084300478</v>
      </c>
      <c r="AG523" s="18">
        <f t="shared" si="645"/>
        <v>0.76101015244009307</v>
      </c>
      <c r="AH523" s="18">
        <f t="shared" si="645"/>
        <v>3.8445476045829898</v>
      </c>
      <c r="AI523" s="18">
        <f t="shared" si="645"/>
        <v>2.2464716643071019</v>
      </c>
      <c r="AJ523" s="18">
        <f t="shared" si="645"/>
        <v>6.0276925440165936</v>
      </c>
      <c r="AK523" s="18">
        <f t="shared" si="645"/>
        <v>2.2603556859048886</v>
      </c>
      <c r="AL523" s="56">
        <f t="shared" si="621"/>
        <v>2</v>
      </c>
      <c r="AN523" s="18">
        <f t="shared" si="646"/>
        <v>8.2586271084300478</v>
      </c>
      <c r="AO523" s="18">
        <f t="shared" si="646"/>
        <v>0.80524080293472411</v>
      </c>
      <c r="AP523" s="18">
        <f t="shared" si="646"/>
        <v>3.8117418821383251</v>
      </c>
      <c r="AQ523" s="18">
        <f t="shared" si="646"/>
        <v>2.2385062337188062</v>
      </c>
      <c r="AR523" s="18">
        <f t="shared" si="646"/>
        <v>6.0276925440165936</v>
      </c>
      <c r="AS523" s="18">
        <f t="shared" si="646"/>
        <v>2.3060907810127924</v>
      </c>
      <c r="AT523" s="56">
        <f t="shared" si="622"/>
        <v>2</v>
      </c>
      <c r="AV523" s="18">
        <f t="shared" si="647"/>
        <v>8.2586271084300478</v>
      </c>
      <c r="AW523" s="18">
        <f t="shared" si="647"/>
        <v>0.82670775827510345</v>
      </c>
      <c r="AX523" s="18">
        <f t="shared" si="647"/>
        <v>3.8117418821383251</v>
      </c>
      <c r="AY523" s="18">
        <f t="shared" si="647"/>
        <v>2.2385062337188062</v>
      </c>
      <c r="AZ523" s="18">
        <f t="shared" si="647"/>
        <v>6.0276925440165936</v>
      </c>
      <c r="BA523" s="18">
        <f t="shared" si="647"/>
        <v>2.3313342344181649</v>
      </c>
      <c r="BB523" s="56">
        <f t="shared" si="623"/>
        <v>2</v>
      </c>
      <c r="BD523" s="18">
        <f t="shared" si="648"/>
        <v>8.2586271084300478</v>
      </c>
      <c r="BE523" s="18">
        <f t="shared" si="648"/>
        <v>0.84598059086762123</v>
      </c>
      <c r="BF523" s="18">
        <f t="shared" si="648"/>
        <v>3.8117418821383251</v>
      </c>
      <c r="BG523" s="18">
        <f t="shared" si="648"/>
        <v>2.2385062337188062</v>
      </c>
      <c r="BH523" s="18">
        <f t="shared" si="648"/>
        <v>6.0276925440165936</v>
      </c>
      <c r="BI523" s="18">
        <f t="shared" si="648"/>
        <v>2.3577740967973426</v>
      </c>
      <c r="BJ523" s="56">
        <f t="shared" si="624"/>
        <v>2</v>
      </c>
      <c r="BL523" s="18">
        <f t="shared" si="649"/>
        <v>8.2586271084300478</v>
      </c>
      <c r="BM523" s="18">
        <f t="shared" si="649"/>
        <v>0.84598059086762123</v>
      </c>
      <c r="BN523" s="18">
        <f t="shared" si="649"/>
        <v>3.8117418821383251</v>
      </c>
      <c r="BO523" s="18">
        <f t="shared" si="649"/>
        <v>2.2385062337188062</v>
      </c>
      <c r="BP523" s="18">
        <f t="shared" si="649"/>
        <v>6.0276925440165936</v>
      </c>
      <c r="BQ523" s="18">
        <f t="shared" si="649"/>
        <v>2.3577740967973426</v>
      </c>
      <c r="BR523" s="56">
        <f t="shared" si="625"/>
        <v>2</v>
      </c>
      <c r="BT523" s="18">
        <f t="shared" si="650"/>
        <v>8.2586271084300478</v>
      </c>
      <c r="BU523" s="18">
        <f t="shared" si="650"/>
        <v>0.84598059086762123</v>
      </c>
      <c r="BV523" s="18">
        <f t="shared" si="650"/>
        <v>3.8117418821383251</v>
      </c>
      <c r="BW523" s="18">
        <f t="shared" si="650"/>
        <v>2.2385062337188062</v>
      </c>
      <c r="BX523" s="18">
        <f t="shared" si="650"/>
        <v>6.0276925440165936</v>
      </c>
      <c r="BY523" s="18">
        <f t="shared" si="650"/>
        <v>2.3577740967973426</v>
      </c>
      <c r="BZ523" s="56">
        <f t="shared" si="626"/>
        <v>2</v>
      </c>
      <c r="CB523" s="18">
        <f t="shared" si="651"/>
        <v>8.2586271084300478</v>
      </c>
      <c r="CC523" s="18">
        <f t="shared" si="651"/>
        <v>0.84598059086762123</v>
      </c>
      <c r="CD523" s="18">
        <f t="shared" si="651"/>
        <v>3.8117418821383251</v>
      </c>
      <c r="CE523" s="18">
        <f t="shared" si="651"/>
        <v>2.2385062337188062</v>
      </c>
      <c r="CF523" s="18">
        <f t="shared" si="651"/>
        <v>6.0276925440165936</v>
      </c>
      <c r="CG523" s="18">
        <f t="shared" si="651"/>
        <v>2.3577740967973426</v>
      </c>
      <c r="CH523" s="56">
        <f t="shared" si="627"/>
        <v>2</v>
      </c>
      <c r="CJ523" s="18">
        <f t="shared" si="652"/>
        <v>8.2586271084300478</v>
      </c>
      <c r="CK523" s="18">
        <f t="shared" si="652"/>
        <v>0.84598059086762123</v>
      </c>
      <c r="CL523" s="18">
        <f t="shared" si="652"/>
        <v>3.8117418821383251</v>
      </c>
      <c r="CM523" s="18">
        <f t="shared" si="652"/>
        <v>2.2385062337188062</v>
      </c>
      <c r="CN523" s="18">
        <f t="shared" si="652"/>
        <v>6.0276925440165936</v>
      </c>
      <c r="CO523" s="18">
        <f t="shared" si="652"/>
        <v>2.3577740967973426</v>
      </c>
      <c r="CP523" s="56">
        <f t="shared" si="628"/>
        <v>2</v>
      </c>
      <c r="CR523" s="18">
        <f t="shared" si="653"/>
        <v>8.2586271084300478</v>
      </c>
      <c r="CS523" s="18">
        <f t="shared" si="653"/>
        <v>0.84598059086762123</v>
      </c>
      <c r="CT523" s="18">
        <f t="shared" si="653"/>
        <v>3.8117418821383251</v>
      </c>
      <c r="CU523" s="18">
        <f t="shared" si="653"/>
        <v>2.2385062337188062</v>
      </c>
      <c r="CV523" s="18">
        <f t="shared" si="653"/>
        <v>6.0276925440165936</v>
      </c>
      <c r="CW523" s="18">
        <f t="shared" si="653"/>
        <v>2.3577740967973426</v>
      </c>
      <c r="CX523" s="56">
        <f t="shared" si="629"/>
        <v>2</v>
      </c>
      <c r="CZ523" s="18">
        <f t="shared" si="654"/>
        <v>8.2586271084300478</v>
      </c>
      <c r="DA523" s="18">
        <f t="shared" si="654"/>
        <v>0.84598059086762123</v>
      </c>
      <c r="DB523" s="18">
        <f t="shared" si="654"/>
        <v>3.8117418821383251</v>
      </c>
      <c r="DC523" s="18">
        <f t="shared" si="654"/>
        <v>2.2385062337188062</v>
      </c>
      <c r="DD523" s="18">
        <f t="shared" si="654"/>
        <v>6.0276925440165936</v>
      </c>
      <c r="DE523" s="18">
        <f t="shared" si="654"/>
        <v>2.3577740967973426</v>
      </c>
      <c r="DF523" s="56">
        <f t="shared" si="630"/>
        <v>2</v>
      </c>
      <c r="DH523" s="18">
        <f t="shared" si="655"/>
        <v>8.2586271084300478</v>
      </c>
      <c r="DI523" s="18">
        <f t="shared" si="655"/>
        <v>0.84598059086762123</v>
      </c>
      <c r="DJ523" s="18">
        <f t="shared" si="655"/>
        <v>3.8117418821383251</v>
      </c>
      <c r="DK523" s="18">
        <f t="shared" si="655"/>
        <v>2.2385062337188062</v>
      </c>
      <c r="DL523" s="18">
        <f t="shared" si="655"/>
        <v>6.0276925440165936</v>
      </c>
      <c r="DM523" s="18">
        <f t="shared" si="655"/>
        <v>2.3577740967973426</v>
      </c>
      <c r="DN523" s="56">
        <f t="shared" si="631"/>
        <v>2</v>
      </c>
    </row>
    <row r="524" spans="1:118" x14ac:dyDescent="0.25">
      <c r="A524" s="36" t="str">
        <f>KMeans_Data!A121</f>
        <v>Kolai Pallas</v>
      </c>
      <c r="B524" s="18">
        <f>KMeans_Data!H121</f>
        <v>-2.0797379818033286</v>
      </c>
      <c r="C524" s="18">
        <f>KMeans_Data!I121</f>
        <v>-0.67265054538827607</v>
      </c>
      <c r="D524" s="18">
        <f>KMeans_Data!J121</f>
        <v>-1.1456441163335547</v>
      </c>
      <c r="E524" s="56">
        <f t="shared" si="618"/>
        <v>2</v>
      </c>
      <c r="F524" s="38">
        <f t="shared" si="619"/>
        <v>0.71568316012472954</v>
      </c>
      <c r="G524" s="18">
        <f>IF(COUNTIF(Distance_Matrix!$E$12:$DQ$12,$E524)&lt;=1,0,SUMIF(Distance_Matrix!$E$12:$DQ$12,$E524,Distance_Matrix!$E$130:$DQ$130)/(COUNTIF(Distance_Matrix!$E$12:$DQ$12,$E524)-1))</f>
        <v>0.90463969683925072</v>
      </c>
      <c r="H524" s="18">
        <f>MIN(IF(1=$E524,1E+99,IF(COUNTIF(Distance_Matrix!$E$12:$DQ$12,1)=0,1E+99,SUMIF(Distance_Matrix!$E$12:$DQ$12,1,Distance_Matrix!$E$130:$DQ$130)/COUNTIF(Distance_Matrix!$E$12:$DQ$12,1))),IF(2=$E524,1E+99,IF(COUNTIF(Distance_Matrix!$E$12:$DQ$12,2)=0,1E+99,SUMIF(Distance_Matrix!$E$12:$DQ$12,2,Distance_Matrix!$E$130:$DQ$130)/COUNTIF(Distance_Matrix!$E$12:$DQ$12,2))),IF(3=$E524,1E+99,IF(COUNTIF(Distance_Matrix!$E$12:$DQ$12,3)=0,1E+99,SUMIF(Distance_Matrix!$E$12:$DQ$12,3,Distance_Matrix!$E$130:$DQ$130)/COUNTIF(Distance_Matrix!$E$12:$DQ$12,3))),IF(4=$E524,1E+99,IF(COUNTIF(Distance_Matrix!$E$12:$DQ$12,4)=0,1E+99,SUMIF(Distance_Matrix!$E$12:$DQ$12,4,Distance_Matrix!$E$130:$DQ$130)/COUNTIF(Distance_Matrix!$E$12:$DQ$12,4))),IF(5=$E524,1E+99,IF(COUNTIF(Distance_Matrix!$E$12:$DQ$12,5)=0,1E+99,SUMIF(Distance_Matrix!$E$12:$DQ$12,5,Distance_Matrix!$E$130:$DQ$130)/COUNTIF(Distance_Matrix!$E$12:$DQ$12,5))),IF(6=$E524,1E+99,IF(COUNTIF(Distance_Matrix!$E$12:$DQ$12,6)=0,1E+99,SUMIF(Distance_Matrix!$E$12:$DQ$12,6,Distance_Matrix!$E$130:$DQ$130)/COUNTIF(Distance_Matrix!$E$12:$DQ$12,6))))</f>
        <v>2.26755314998847</v>
      </c>
      <c r="I524" s="18">
        <f>IF(COUNTIF(Distance_Matrix!$E$12:$DQ$12,$E524)&lt;=1,0,(H524-G524)/MAX(G524,H524))</f>
        <v>0.60105027886828122</v>
      </c>
      <c r="X524" s="18">
        <f t="shared" si="644"/>
        <v>8.3791178007212217</v>
      </c>
      <c r="Y524" s="18">
        <f t="shared" si="644"/>
        <v>0</v>
      </c>
      <c r="Z524" s="18">
        <f t="shared" si="644"/>
        <v>4.2029955567656474</v>
      </c>
      <c r="AA524" s="18">
        <f t="shared" si="644"/>
        <v>2.7756425502726647</v>
      </c>
      <c r="AB524" s="18">
        <f t="shared" si="644"/>
        <v>6.3976329314131073</v>
      </c>
      <c r="AC524" s="18">
        <f t="shared" si="644"/>
        <v>2.3044742649072281</v>
      </c>
      <c r="AD524" s="56">
        <f t="shared" si="620"/>
        <v>2</v>
      </c>
      <c r="AF524" s="18">
        <f t="shared" si="645"/>
        <v>8.2586271084300478</v>
      </c>
      <c r="AG524" s="18">
        <f t="shared" si="645"/>
        <v>0.76101015244009307</v>
      </c>
      <c r="AH524" s="18">
        <f t="shared" si="645"/>
        <v>3.8445476045829898</v>
      </c>
      <c r="AI524" s="18">
        <f t="shared" si="645"/>
        <v>2.2464716643071019</v>
      </c>
      <c r="AJ524" s="18">
        <f t="shared" si="645"/>
        <v>6.0276925440165936</v>
      </c>
      <c r="AK524" s="18">
        <f t="shared" si="645"/>
        <v>2.2603556859048886</v>
      </c>
      <c r="AL524" s="56">
        <f t="shared" si="621"/>
        <v>2</v>
      </c>
      <c r="AN524" s="18">
        <f t="shared" si="646"/>
        <v>8.2586271084300478</v>
      </c>
      <c r="AO524" s="18">
        <f t="shared" si="646"/>
        <v>0.80524080293472411</v>
      </c>
      <c r="AP524" s="18">
        <f t="shared" si="646"/>
        <v>3.8117418821383251</v>
      </c>
      <c r="AQ524" s="18">
        <f t="shared" si="646"/>
        <v>2.2385062337188062</v>
      </c>
      <c r="AR524" s="18">
        <f t="shared" si="646"/>
        <v>6.0276925440165936</v>
      </c>
      <c r="AS524" s="18">
        <f t="shared" si="646"/>
        <v>2.3060907810127924</v>
      </c>
      <c r="AT524" s="56">
        <f t="shared" si="622"/>
        <v>2</v>
      </c>
      <c r="AV524" s="18">
        <f t="shared" si="647"/>
        <v>8.2586271084300478</v>
      </c>
      <c r="AW524" s="18">
        <f t="shared" si="647"/>
        <v>0.82670775827510345</v>
      </c>
      <c r="AX524" s="18">
        <f t="shared" si="647"/>
        <v>3.8117418821383251</v>
      </c>
      <c r="AY524" s="18">
        <f t="shared" si="647"/>
        <v>2.2385062337188062</v>
      </c>
      <c r="AZ524" s="18">
        <f t="shared" si="647"/>
        <v>6.0276925440165936</v>
      </c>
      <c r="BA524" s="18">
        <f t="shared" si="647"/>
        <v>2.3313342344181649</v>
      </c>
      <c r="BB524" s="56">
        <f t="shared" si="623"/>
        <v>2</v>
      </c>
      <c r="BD524" s="18">
        <f t="shared" si="648"/>
        <v>8.2586271084300478</v>
      </c>
      <c r="BE524" s="18">
        <f t="shared" si="648"/>
        <v>0.84598059086762123</v>
      </c>
      <c r="BF524" s="18">
        <f t="shared" si="648"/>
        <v>3.8117418821383251</v>
      </c>
      <c r="BG524" s="18">
        <f t="shared" si="648"/>
        <v>2.2385062337188062</v>
      </c>
      <c r="BH524" s="18">
        <f t="shared" si="648"/>
        <v>6.0276925440165936</v>
      </c>
      <c r="BI524" s="18">
        <f t="shared" si="648"/>
        <v>2.3577740967973426</v>
      </c>
      <c r="BJ524" s="56">
        <f t="shared" si="624"/>
        <v>2</v>
      </c>
      <c r="BL524" s="18">
        <f t="shared" si="649"/>
        <v>8.2586271084300478</v>
      </c>
      <c r="BM524" s="18">
        <f t="shared" si="649"/>
        <v>0.84598059086762123</v>
      </c>
      <c r="BN524" s="18">
        <f t="shared" si="649"/>
        <v>3.8117418821383251</v>
      </c>
      <c r="BO524" s="18">
        <f t="shared" si="649"/>
        <v>2.2385062337188062</v>
      </c>
      <c r="BP524" s="18">
        <f t="shared" si="649"/>
        <v>6.0276925440165936</v>
      </c>
      <c r="BQ524" s="18">
        <f t="shared" si="649"/>
        <v>2.3577740967973426</v>
      </c>
      <c r="BR524" s="56">
        <f t="shared" si="625"/>
        <v>2</v>
      </c>
      <c r="BT524" s="18">
        <f t="shared" si="650"/>
        <v>8.2586271084300478</v>
      </c>
      <c r="BU524" s="18">
        <f t="shared" si="650"/>
        <v>0.84598059086762123</v>
      </c>
      <c r="BV524" s="18">
        <f t="shared" si="650"/>
        <v>3.8117418821383251</v>
      </c>
      <c r="BW524" s="18">
        <f t="shared" si="650"/>
        <v>2.2385062337188062</v>
      </c>
      <c r="BX524" s="18">
        <f t="shared" si="650"/>
        <v>6.0276925440165936</v>
      </c>
      <c r="BY524" s="18">
        <f t="shared" si="650"/>
        <v>2.3577740967973426</v>
      </c>
      <c r="BZ524" s="56">
        <f t="shared" si="626"/>
        <v>2</v>
      </c>
      <c r="CB524" s="18">
        <f t="shared" si="651"/>
        <v>8.2586271084300478</v>
      </c>
      <c r="CC524" s="18">
        <f t="shared" si="651"/>
        <v>0.84598059086762123</v>
      </c>
      <c r="CD524" s="18">
        <f t="shared" si="651"/>
        <v>3.8117418821383251</v>
      </c>
      <c r="CE524" s="18">
        <f t="shared" si="651"/>
        <v>2.2385062337188062</v>
      </c>
      <c r="CF524" s="18">
        <f t="shared" si="651"/>
        <v>6.0276925440165936</v>
      </c>
      <c r="CG524" s="18">
        <f t="shared" si="651"/>
        <v>2.3577740967973426</v>
      </c>
      <c r="CH524" s="56">
        <f t="shared" si="627"/>
        <v>2</v>
      </c>
      <c r="CJ524" s="18">
        <f t="shared" si="652"/>
        <v>8.2586271084300478</v>
      </c>
      <c r="CK524" s="18">
        <f t="shared" si="652"/>
        <v>0.84598059086762123</v>
      </c>
      <c r="CL524" s="18">
        <f t="shared" si="652"/>
        <v>3.8117418821383251</v>
      </c>
      <c r="CM524" s="18">
        <f t="shared" si="652"/>
        <v>2.2385062337188062</v>
      </c>
      <c r="CN524" s="18">
        <f t="shared" si="652"/>
        <v>6.0276925440165936</v>
      </c>
      <c r="CO524" s="18">
        <f t="shared" si="652"/>
        <v>2.3577740967973426</v>
      </c>
      <c r="CP524" s="56">
        <f t="shared" si="628"/>
        <v>2</v>
      </c>
      <c r="CR524" s="18">
        <f t="shared" si="653"/>
        <v>8.2586271084300478</v>
      </c>
      <c r="CS524" s="18">
        <f t="shared" si="653"/>
        <v>0.84598059086762123</v>
      </c>
      <c r="CT524" s="18">
        <f t="shared" si="653"/>
        <v>3.8117418821383251</v>
      </c>
      <c r="CU524" s="18">
        <f t="shared" si="653"/>
        <v>2.2385062337188062</v>
      </c>
      <c r="CV524" s="18">
        <f t="shared" si="653"/>
        <v>6.0276925440165936</v>
      </c>
      <c r="CW524" s="18">
        <f t="shared" si="653"/>
        <v>2.3577740967973426</v>
      </c>
      <c r="CX524" s="56">
        <f t="shared" si="629"/>
        <v>2</v>
      </c>
      <c r="CZ524" s="18">
        <f t="shared" si="654"/>
        <v>8.2586271084300478</v>
      </c>
      <c r="DA524" s="18">
        <f t="shared" si="654"/>
        <v>0.84598059086762123</v>
      </c>
      <c r="DB524" s="18">
        <f t="shared" si="654"/>
        <v>3.8117418821383251</v>
      </c>
      <c r="DC524" s="18">
        <f t="shared" si="654"/>
        <v>2.2385062337188062</v>
      </c>
      <c r="DD524" s="18">
        <f t="shared" si="654"/>
        <v>6.0276925440165936</v>
      </c>
      <c r="DE524" s="18">
        <f t="shared" si="654"/>
        <v>2.3577740967973426</v>
      </c>
      <c r="DF524" s="56">
        <f t="shared" si="630"/>
        <v>2</v>
      </c>
      <c r="DH524" s="18">
        <f t="shared" si="655"/>
        <v>8.2586271084300478</v>
      </c>
      <c r="DI524" s="18">
        <f t="shared" si="655"/>
        <v>0.84598059086762123</v>
      </c>
      <c r="DJ524" s="18">
        <f t="shared" si="655"/>
        <v>3.8117418821383251</v>
      </c>
      <c r="DK524" s="18">
        <f t="shared" si="655"/>
        <v>2.2385062337188062</v>
      </c>
      <c r="DL524" s="18">
        <f t="shared" si="655"/>
        <v>6.0276925440165936</v>
      </c>
      <c r="DM524" s="18">
        <f t="shared" si="655"/>
        <v>2.3577740967973426</v>
      </c>
      <c r="DN524" s="56">
        <f t="shared" si="631"/>
        <v>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48235"/>
    <pageSetUpPr fitToPage="1"/>
  </sheetPr>
  <dimension ref="A1:DQ130"/>
  <sheetViews>
    <sheetView showGridLines="0" zoomScaleNormal="100" workbookViewId="0">
      <pane xSplit="4" ySplit="13" topLeftCell="E134" activePane="bottomRight" state="frozen"/>
      <selection pane="topRight" activeCell="E1" sqref="E1"/>
      <selection pane="bottomLeft" activeCell="A14" sqref="A14"/>
      <selection pane="bottomRight"/>
    </sheetView>
  </sheetViews>
  <sheetFormatPr defaultColWidth="8.7109375" defaultRowHeight="15" x14ac:dyDescent="0.25"/>
  <cols>
    <col min="1" max="1" width="26" customWidth="1"/>
    <col min="2" max="4" width="10" customWidth="1"/>
    <col min="5" max="121" width="8" customWidth="1"/>
  </cols>
  <sheetData>
    <row r="1" spans="1:121" ht="20.25" x14ac:dyDescent="0.3">
      <c r="A1" s="8" t="s">
        <v>510</v>
      </c>
    </row>
    <row r="2" spans="1:121" x14ac:dyDescent="0.25">
      <c r="A2" s="9" t="s">
        <v>511</v>
      </c>
    </row>
    <row r="4" spans="1:121" ht="90" customHeight="1" x14ac:dyDescent="0.25">
      <c r="A4" s="40" t="s">
        <v>89</v>
      </c>
      <c r="E4" s="58" t="str">
        <f>INDEX(KMeans_Data!$A$5:$A$121,1)</f>
        <v>Karachi</v>
      </c>
      <c r="F4" s="58" t="str">
        <f>INDEX(KMeans_Data!$A$5:$A$121,2)</f>
        <v>Lahore</v>
      </c>
      <c r="G4" s="58" t="str">
        <f>INDEX(KMeans_Data!$A$5:$A$121,3)</f>
        <v>Quetta</v>
      </c>
      <c r="H4" s="58" t="str">
        <f>INDEX(KMeans_Data!$A$5:$A$121,4)</f>
        <v>Peshawar</v>
      </c>
      <c r="I4" s="58" t="str">
        <f>INDEX(KMeans_Data!$A$5:$A$121,5)</f>
        <v>Islamabad</v>
      </c>
      <c r="J4" s="58" t="str">
        <f>INDEX(KMeans_Data!$A$5:$A$121,6)</f>
        <v>Swat</v>
      </c>
      <c r="K4" s="58" t="str">
        <f>INDEX(KMeans_Data!$A$5:$A$121,7)</f>
        <v>Multan</v>
      </c>
      <c r="L4" s="58" t="str">
        <f>INDEX(KMeans_Data!$A$5:$A$121,8)</f>
        <v>Sukkur</v>
      </c>
      <c r="M4" s="58" t="str">
        <f>INDEX(KMeans_Data!$A$5:$A$121,9)</f>
        <v>Hyderabad</v>
      </c>
      <c r="N4" s="58" t="str">
        <f>INDEX(KMeans_Data!$A$5:$A$121,10)</f>
        <v>Raiwind</v>
      </c>
      <c r="O4" s="58" t="str">
        <f>INDEX(KMeans_Data!$A$5:$A$121,11)</f>
        <v>Malakand</v>
      </c>
      <c r="P4" s="58" t="str">
        <f>INDEX(KMeans_Data!$A$5:$A$121,12)</f>
        <v>Mardan</v>
      </c>
      <c r="Q4" s="58" t="str">
        <f>INDEX(KMeans_Data!$A$5:$A$121,13)</f>
        <v>Gilgit</v>
      </c>
      <c r="R4" s="58" t="str">
        <f>INDEX(KMeans_Data!$A$5:$A$121,14)</f>
        <v>Larkana</v>
      </c>
      <c r="S4" s="58" t="str">
        <f>INDEX(KMeans_Data!$A$5:$A$121,15)</f>
        <v>Ghotki</v>
      </c>
      <c r="T4" s="58" t="str">
        <f>INDEX(KMeans_Data!$A$5:$A$121,16)</f>
        <v>Dir Lower</v>
      </c>
      <c r="U4" s="58" t="str">
        <f>INDEX(KMeans_Data!$A$5:$A$121,17)</f>
        <v>Khairpur</v>
      </c>
      <c r="V4" s="58" t="str">
        <f>INDEX(KMeans_Data!$A$5:$A$121,18)</f>
        <v>Abbottabad</v>
      </c>
      <c r="W4" s="58" t="str">
        <f>INDEX(KMeans_Data!$A$5:$A$121,19)</f>
        <v>Nowshera</v>
      </c>
      <c r="X4" s="58" t="str">
        <f>INDEX(KMeans_Data!$A$5:$A$121,20)</f>
        <v>Muzaffarabad</v>
      </c>
      <c r="Y4" s="58" t="str">
        <f>INDEX(KMeans_Data!$A$5:$A$121,21)</f>
        <v>Dera Ghazi Khan</v>
      </c>
      <c r="Z4" s="58" t="str">
        <f>INDEX(KMeans_Data!$A$5:$A$121,22)</f>
        <v>Charsadda</v>
      </c>
      <c r="AA4" s="58" t="str">
        <f>INDEX(KMeans_Data!$A$5:$A$121,23)</f>
        <v>Dir Upper</v>
      </c>
      <c r="AB4" s="58" t="str">
        <f>INDEX(KMeans_Data!$A$5:$A$121,24)</f>
        <v>Khyber</v>
      </c>
      <c r="AC4" s="58" t="str">
        <f>INDEX(KMeans_Data!$A$5:$A$121,25)</f>
        <v>Bajaur</v>
      </c>
      <c r="AD4" s="58" t="str">
        <f>INDEX(KMeans_Data!$A$5:$A$121,26)</f>
        <v>Shikarpur</v>
      </c>
      <c r="AE4" s="58" t="str">
        <f>INDEX(KMeans_Data!$A$5:$A$121,27)</f>
        <v>Rawalpindi</v>
      </c>
      <c r="AF4" s="58" t="str">
        <f>INDEX(KMeans_Data!$A$5:$A$121,28)</f>
        <v>Buner</v>
      </c>
      <c r="AG4" s="58" t="str">
        <f>INDEX(KMeans_Data!$A$5:$A$121,29)</f>
        <v>Sargodha</v>
      </c>
      <c r="AH4" s="58" t="str">
        <f>INDEX(KMeans_Data!$A$5:$A$121,30)</f>
        <v>Shaheed Benazirabad</v>
      </c>
      <c r="AI4" s="58" t="str">
        <f>INDEX(KMeans_Data!$A$5:$A$121,31)</f>
        <v>Gujrat</v>
      </c>
      <c r="AJ4" s="58" t="str">
        <f>INDEX(KMeans_Data!$A$5:$A$121,32)</f>
        <v>Dera Ismail Khan</v>
      </c>
      <c r="AK4" s="58" t="str">
        <f>INDEX(KMeans_Data!$A$5:$A$121,33)</f>
        <v>Karak</v>
      </c>
      <c r="AL4" s="58" t="str">
        <f>INDEX(KMeans_Data!$A$5:$A$121,34)</f>
        <v>Shangla</v>
      </c>
      <c r="AM4" s="58" t="str">
        <f>INDEX(KMeans_Data!$A$5:$A$121,35)</f>
        <v>Mansehra</v>
      </c>
      <c r="AN4" s="58" t="str">
        <f>INDEX(KMeans_Data!$A$5:$A$121,36)</f>
        <v>Swabi</v>
      </c>
      <c r="AO4" s="58" t="str">
        <f>INDEX(KMeans_Data!$A$5:$A$121,37)</f>
        <v>Haripur</v>
      </c>
      <c r="AP4" s="58" t="str">
        <f>INDEX(KMeans_Data!$A$5:$A$121,38)</f>
        <v>Battagram</v>
      </c>
      <c r="AQ4" s="58" t="str">
        <f>INDEX(KMeans_Data!$A$5:$A$121,39)</f>
        <v>Kohat</v>
      </c>
      <c r="AR4" s="58" t="str">
        <f>INDEX(KMeans_Data!$A$5:$A$121,40)</f>
        <v>Kurram</v>
      </c>
      <c r="AS4" s="58" t="str">
        <f>INDEX(KMeans_Data!$A$5:$A$121,41)</f>
        <v>Kambar Shahdadkot</v>
      </c>
      <c r="AT4" s="58" t="str">
        <f>INDEX(KMeans_Data!$A$5:$A$121,42)</f>
        <v>Nagar</v>
      </c>
      <c r="AU4" s="58" t="str">
        <f>INDEX(KMeans_Data!$A$5:$A$121,43)</f>
        <v>Rahim Yar Khan</v>
      </c>
      <c r="AV4" s="58" t="str">
        <f>INDEX(KMeans_Data!$A$5:$A$121,44)</f>
        <v>Jamshoro</v>
      </c>
      <c r="AW4" s="58" t="str">
        <f>INDEX(KMeans_Data!$A$5:$A$121,45)</f>
        <v>Gujranwala</v>
      </c>
      <c r="AX4" s="58" t="str">
        <f>INDEX(KMeans_Data!$A$5:$A$121,46)</f>
        <v>Bannu</v>
      </c>
      <c r="AY4" s="58" t="str">
        <f>INDEX(KMeans_Data!$A$5:$A$121,47)</f>
        <v>Lodhran</v>
      </c>
      <c r="AZ4" s="58" t="str">
        <f>INDEX(KMeans_Data!$A$5:$A$121,48)</f>
        <v>Jacobabad</v>
      </c>
      <c r="BA4" s="58" t="str">
        <f>INDEX(KMeans_Data!$A$5:$A$121,49)</f>
        <v>Skardu</v>
      </c>
      <c r="BB4" s="58" t="str">
        <f>INDEX(KMeans_Data!$A$5:$A$121,50)</f>
        <v>Sialkot</v>
      </c>
      <c r="BC4" s="58" t="str">
        <f>INDEX(KMeans_Data!$A$5:$A$121,51)</f>
        <v>Faisalabad</v>
      </c>
      <c r="BD4" s="58" t="str">
        <f>INDEX(KMeans_Data!$A$5:$A$121,52)</f>
        <v>Jhelum</v>
      </c>
      <c r="BE4" s="58" t="str">
        <f>INDEX(KMeans_Data!$A$5:$A$121,53)</f>
        <v>Vehari</v>
      </c>
      <c r="BF4" s="58" t="str">
        <f>INDEX(KMeans_Data!$A$5:$A$121,54)</f>
        <v>Astore</v>
      </c>
      <c r="BG4" s="58" t="str">
        <f>INDEX(KMeans_Data!$A$5:$A$121,55)</f>
        <v>Sanghar</v>
      </c>
      <c r="BH4" s="58" t="str">
        <f>INDEX(KMeans_Data!$A$5:$A$121,56)</f>
        <v>Bhakkar</v>
      </c>
      <c r="BI4" s="58" t="str">
        <f>INDEX(KMeans_Data!$A$5:$A$121,57)</f>
        <v>Muzaffargar</v>
      </c>
      <c r="BJ4" s="58" t="str">
        <f>INDEX(KMeans_Data!$A$5:$A$121,58)</f>
        <v>Badin</v>
      </c>
      <c r="BK4" s="58" t="str">
        <f>INDEX(KMeans_Data!$A$5:$A$121,59)</f>
        <v>Bahawalpur</v>
      </c>
      <c r="BL4" s="58" t="str">
        <f>INDEX(KMeans_Data!$A$5:$A$121,60)</f>
        <v>Dadu</v>
      </c>
      <c r="BM4" s="58" t="str">
        <f>INDEX(KMeans_Data!$A$5:$A$121,61)</f>
        <v>Other</v>
      </c>
      <c r="BN4" s="58" t="str">
        <f>INDEX(KMeans_Data!$A$5:$A$121,62)</f>
        <v>Thatta</v>
      </c>
      <c r="BO4" s="58" t="str">
        <f>INDEX(KMeans_Data!$A$5:$A$121,63)</f>
        <v>Hafizabad</v>
      </c>
      <c r="BP4" s="58" t="str">
        <f>INDEX(KMeans_Data!$A$5:$A$121,64)</f>
        <v>Mirpurkhas</v>
      </c>
      <c r="BQ4" s="58" t="str">
        <f>INDEX(KMeans_Data!$A$5:$A$121,65)</f>
        <v>Kashmore</v>
      </c>
      <c r="BR4" s="58" t="str">
        <f>INDEX(KMeans_Data!$A$5:$A$121,66)</f>
        <v>Naushero Feroz</v>
      </c>
      <c r="BS4" s="58" t="str">
        <f>INDEX(KMeans_Data!$A$5:$A$121,67)</f>
        <v>Tando M. Khan</v>
      </c>
      <c r="BT4" s="58" t="str">
        <f>INDEX(KMeans_Data!$A$5:$A$121,68)</f>
        <v>Chitral Lower</v>
      </c>
      <c r="BU4" s="58" t="str">
        <f>INDEX(KMeans_Data!$A$5:$A$121,69)</f>
        <v>Sujawal</v>
      </c>
      <c r="BV4" s="58" t="str">
        <f>INDEX(KMeans_Data!$A$5:$A$121,70)</f>
        <v>Laiya</v>
      </c>
      <c r="BW4" s="58" t="str">
        <f>INDEX(KMeans_Data!$A$5:$A$121,71)</f>
        <v>Shigar</v>
      </c>
      <c r="BX4" s="58" t="str">
        <f>INDEX(KMeans_Data!$A$5:$A$121,72)</f>
        <v>Narowal</v>
      </c>
      <c r="BY4" s="58" t="str">
        <f>INDEX(KMeans_Data!$A$5:$A$121,73)</f>
        <v>Mandi Bahauddin</v>
      </c>
      <c r="BZ4" s="58" t="str">
        <f>INDEX(KMeans_Data!$A$5:$A$121,74)</f>
        <v>Ghanche</v>
      </c>
      <c r="CA4" s="58" t="str">
        <f>INDEX(KMeans_Data!$A$5:$A$121,75)</f>
        <v>Hunza</v>
      </c>
      <c r="CB4" s="58" t="str">
        <f>INDEX(KMeans_Data!$A$5:$A$121,76)</f>
        <v>Nankana Sahib</v>
      </c>
      <c r="CC4" s="58" t="str">
        <f>INDEX(KMeans_Data!$A$5:$A$121,77)</f>
        <v>Khushab</v>
      </c>
      <c r="CD4" s="58" t="str">
        <f>INDEX(KMeans_Data!$A$5:$A$121,78)</f>
        <v>Sheikhupura</v>
      </c>
      <c r="CE4" s="58" t="str">
        <f>INDEX(KMeans_Data!$A$5:$A$121,79)</f>
        <v>Diamer</v>
      </c>
      <c r="CF4" s="58" t="str">
        <f>INDEX(KMeans_Data!$A$5:$A$121,80)</f>
        <v>Hangu</v>
      </c>
      <c r="CG4" s="58" t="str">
        <f>INDEX(KMeans_Data!$A$5:$A$121,81)</f>
        <v>Mohmand</v>
      </c>
      <c r="CH4" s="58" t="str">
        <f>INDEX(KMeans_Data!$A$5:$A$121,82)</f>
        <v>Bahawal Nagar</v>
      </c>
      <c r="CI4" s="58" t="str">
        <f>INDEX(KMeans_Data!$A$5:$A$121,83)</f>
        <v>Ghizer</v>
      </c>
      <c r="CJ4" s="58" t="str">
        <f>INDEX(KMeans_Data!$A$5:$A$121,84)</f>
        <v>Mianwali</v>
      </c>
      <c r="CK4" s="58" t="str">
        <f>INDEX(KMeans_Data!$A$5:$A$121,85)</f>
        <v>Kharmang</v>
      </c>
      <c r="CL4" s="58" t="str">
        <f>INDEX(KMeans_Data!$A$5:$A$121,86)</f>
        <v>Attock</v>
      </c>
      <c r="CM4" s="58" t="str">
        <f>INDEX(KMeans_Data!$A$5:$A$121,87)</f>
        <v>Chitral Upper</v>
      </c>
      <c r="CN4" s="58" t="str">
        <f>INDEX(KMeans_Data!$A$5:$A$121,88)</f>
        <v>Matiari</v>
      </c>
      <c r="CO4" s="58" t="str">
        <f>INDEX(KMeans_Data!$A$5:$A$121,89)</f>
        <v>Lakki Marwat</v>
      </c>
      <c r="CP4" s="58" t="str">
        <f>INDEX(KMeans_Data!$A$5:$A$121,90)</f>
        <v>Taftan</v>
      </c>
      <c r="CQ4" s="58" t="str">
        <f>INDEX(KMeans_Data!$A$5:$A$121,91)</f>
        <v>Orakzai</v>
      </c>
      <c r="CR4" s="58" t="str">
        <f>INDEX(KMeans_Data!$A$5:$A$121,92)</f>
        <v>North Waziristan</v>
      </c>
      <c r="CS4" s="58" t="str">
        <f>INDEX(KMeans_Data!$A$5:$A$121,93)</f>
        <v>Kasur</v>
      </c>
      <c r="CT4" s="58" t="str">
        <f>INDEX(KMeans_Data!$A$5:$A$121,94)</f>
        <v>Rajanpur</v>
      </c>
      <c r="CU4" s="58" t="str">
        <f>INDEX(KMeans_Data!$A$5:$A$121,95)</f>
        <v>Umerkot</v>
      </c>
      <c r="CV4" s="58" t="str">
        <f>INDEX(KMeans_Data!$A$5:$A$121,96)</f>
        <v>Tando Allahyar</v>
      </c>
      <c r="CW4" s="58" t="str">
        <f>INDEX(KMeans_Data!$A$5:$A$121,97)</f>
        <v>Mirpur</v>
      </c>
      <c r="CX4" s="58" t="str">
        <f>INDEX(KMeans_Data!$A$5:$A$121,98)</f>
        <v>Tank</v>
      </c>
      <c r="CY4" s="58" t="str">
        <f>INDEX(KMeans_Data!$A$5:$A$121,99)</f>
        <v>Sahiwal</v>
      </c>
      <c r="CZ4" s="58" t="str">
        <f>INDEX(KMeans_Data!$A$5:$A$121,100)</f>
        <v>Chiniot</v>
      </c>
      <c r="DA4" s="58" t="str">
        <f>INDEX(KMeans_Data!$A$5:$A$121,101)</f>
        <v>South Waziristan</v>
      </c>
      <c r="DB4" s="58" t="str">
        <f>INDEX(KMeans_Data!$A$5:$A$121,102)</f>
        <v>Toba Tek Singh</v>
      </c>
      <c r="DC4" s="58" t="str">
        <f>INDEX(KMeans_Data!$A$5:$A$121,103)</f>
        <v>Khanewal</v>
      </c>
      <c r="DD4" s="58" t="str">
        <f>INDEX(KMeans_Data!$A$5:$A$121,104)</f>
        <v>Tharparkar</v>
      </c>
      <c r="DE4" s="58" t="str">
        <f>INDEX(KMeans_Data!$A$5:$A$121,105)</f>
        <v>Chakwal</v>
      </c>
      <c r="DF4" s="58" t="str">
        <f>INDEX(KMeans_Data!$A$5:$A$121,106)</f>
        <v>Pishin</v>
      </c>
      <c r="DG4" s="58" t="str">
        <f>INDEX(KMeans_Data!$A$5:$A$121,107)</f>
        <v>Kohistan Lower</v>
      </c>
      <c r="DH4" s="58" t="str">
        <f>INDEX(KMeans_Data!$A$5:$A$121,108)</f>
        <v>Bhambore</v>
      </c>
      <c r="DI4" s="58" t="str">
        <f>INDEX(KMeans_Data!$A$5:$A$121,109)</f>
        <v>Jhang</v>
      </c>
      <c r="DJ4" s="58" t="str">
        <f>INDEX(KMeans_Data!$A$5:$A$121,110)</f>
        <v>Tor Ghar</v>
      </c>
      <c r="DK4" s="58" t="str">
        <f>INDEX(KMeans_Data!$A$5:$A$121,111)</f>
        <v>Trarkhel</v>
      </c>
      <c r="DL4" s="58" t="str">
        <f>INDEX(KMeans_Data!$A$5:$A$121,112)</f>
        <v>Kohistan Upper</v>
      </c>
      <c r="DM4" s="58" t="str">
        <f>INDEX(KMeans_Data!$A$5:$A$121,113)</f>
        <v>Okara</v>
      </c>
      <c r="DN4" s="58" t="str">
        <f>INDEX(KMeans_Data!$A$5:$A$121,114)</f>
        <v>Ziarat</v>
      </c>
      <c r="DO4" s="58" t="str">
        <f>INDEX(KMeans_Data!$A$5:$A$121,115)</f>
        <v>Pakpatan</v>
      </c>
      <c r="DP4" s="58" t="str">
        <f>INDEX(KMeans_Data!$A$5:$A$121,116)</f>
        <v>Chitral</v>
      </c>
      <c r="DQ4" s="58" t="str">
        <f>INDEX(KMeans_Data!$A$5:$A$121,117)</f>
        <v>Kolai Pallas</v>
      </c>
    </row>
    <row r="5" spans="1:121" x14ac:dyDescent="0.25">
      <c r="A5" s="40" t="s">
        <v>445</v>
      </c>
      <c r="E5" s="59">
        <f>INDEX(KMeans_Data!$H$5:$H$121,1)</f>
        <v>3.2743087782752069</v>
      </c>
      <c r="F5" s="59">
        <f>INDEX(KMeans_Data!$H$5:$H$121,2)</f>
        <v>3.2501513961754349</v>
      </c>
      <c r="G5" s="59">
        <f>INDEX(KMeans_Data!$H$5:$H$121,3)</f>
        <v>2.3645319122764876</v>
      </c>
      <c r="H5" s="59">
        <f>INDEX(KMeans_Data!$H$5:$H$121,4)</f>
        <v>2.3452338230080074</v>
      </c>
      <c r="I5" s="59">
        <f>INDEX(KMeans_Data!$H$5:$H$121,5)</f>
        <v>2.1711238504828065</v>
      </c>
      <c r="J5" s="59">
        <f>INDEX(KMeans_Data!$H$5:$H$121,6)</f>
        <v>1.4937524666444724</v>
      </c>
      <c r="K5" s="59">
        <f>INDEX(KMeans_Data!$H$5:$H$121,7)</f>
        <v>1.3394801285719993</v>
      </c>
      <c r="L5" s="59">
        <f>INDEX(KMeans_Data!$H$5:$H$121,8)</f>
        <v>1.3163443189252899</v>
      </c>
      <c r="M5" s="59">
        <f>INDEX(KMeans_Data!$H$5:$H$121,9)</f>
        <v>1.2591276453149129</v>
      </c>
      <c r="N5" s="59">
        <f>INDEX(KMeans_Data!$H$5:$H$121,10)</f>
        <v>1.2015385972262329</v>
      </c>
      <c r="O5" s="59">
        <f>INDEX(KMeans_Data!$H$5:$H$121,11)</f>
        <v>1.1410679551279186</v>
      </c>
      <c r="P5" s="59">
        <f>INDEX(KMeans_Data!$H$5:$H$121,12)</f>
        <v>1.126985701234098</v>
      </c>
      <c r="Q5" s="59">
        <f>INDEX(KMeans_Data!$H$5:$H$121,13)</f>
        <v>1.0425286360551109</v>
      </c>
      <c r="R5" s="59">
        <f>INDEX(KMeans_Data!$H$5:$H$121,14)</f>
        <v>1.0373368721320242</v>
      </c>
      <c r="S5" s="59">
        <f>INDEX(KMeans_Data!$H$5:$H$121,15)</f>
        <v>1.0078177751973447</v>
      </c>
      <c r="T5" s="59">
        <f>INDEX(KMeans_Data!$H$5:$H$121,16)</f>
        <v>0.97062552695729998</v>
      </c>
      <c r="U5" s="59">
        <f>INDEX(KMeans_Data!$H$5:$H$121,17)</f>
        <v>0.88016218188859063</v>
      </c>
      <c r="V5" s="59">
        <f>INDEX(KMeans_Data!$H$5:$H$121,18)</f>
        <v>0.85300106201847159</v>
      </c>
      <c r="W5" s="59">
        <f>INDEX(KMeans_Data!$H$5:$H$121,19)</f>
        <v>0.85113891327863989</v>
      </c>
      <c r="X5" s="59">
        <f>INDEX(KMeans_Data!$H$5:$H$121,20)</f>
        <v>0.84172690240795967</v>
      </c>
      <c r="Y5" s="59">
        <f>INDEX(KMeans_Data!$H$5:$H$121,21)</f>
        <v>0.78983637463992185</v>
      </c>
      <c r="Z5" s="59">
        <f>INDEX(KMeans_Data!$H$5:$H$121,22)</f>
        <v>0.78562201948780019</v>
      </c>
      <c r="AA5" s="59">
        <f>INDEX(KMeans_Data!$H$5:$H$121,23)</f>
        <v>0.78350197575168823</v>
      </c>
      <c r="AB5" s="59">
        <f>INDEX(KMeans_Data!$H$5:$H$121,24)</f>
        <v>0.78350197575168823</v>
      </c>
      <c r="AC5" s="59">
        <f>INDEX(KMeans_Data!$H$5:$H$121,25)</f>
        <v>0.76181258672347318</v>
      </c>
      <c r="AD5" s="59">
        <f>INDEX(KMeans_Data!$H$5:$H$121,26)</f>
        <v>0.70820457074466558</v>
      </c>
      <c r="AE5" s="59">
        <f>INDEX(KMeans_Data!$H$5:$H$121,27)</f>
        <v>0.64567305864807512</v>
      </c>
      <c r="AF5" s="59">
        <f>INDEX(KMeans_Data!$H$5:$H$121,28)</f>
        <v>0.60239578498043678</v>
      </c>
      <c r="AG5" s="59">
        <f>INDEX(KMeans_Data!$H$5:$H$121,29)</f>
        <v>0.57775354876086193</v>
      </c>
      <c r="AH5" s="59">
        <f>INDEX(KMeans_Data!$H$5:$H$121,30)</f>
        <v>0.57775354876086193</v>
      </c>
      <c r="AI5" s="59">
        <f>INDEX(KMeans_Data!$H$5:$H$121,31)</f>
        <v>0.57458958754261724</v>
      </c>
      <c r="AJ5" s="59">
        <f>INDEX(KMeans_Data!$H$5:$H$121,32)</f>
        <v>0.56820337223564554</v>
      </c>
      <c r="AK5" s="59">
        <f>INDEX(KMeans_Data!$H$5:$H$121,33)</f>
        <v>0.53160574306813768</v>
      </c>
      <c r="AL5" s="59">
        <f>INDEX(KMeans_Data!$H$5:$H$121,34)</f>
        <v>0.48474983033217361</v>
      </c>
      <c r="AM5" s="59">
        <f>INDEX(KMeans_Data!$H$5:$H$121,35)</f>
        <v>0.48474983033217361</v>
      </c>
      <c r="AN5" s="59">
        <f>INDEX(KMeans_Data!$H$5:$H$121,36)</f>
        <v>0.45366775919714841</v>
      </c>
      <c r="AO5" s="59">
        <f>INDEX(KMeans_Data!$H$5:$H$121,37)</f>
        <v>0.43325455393275542</v>
      </c>
      <c r="AP5" s="59">
        <f>INDEX(KMeans_Data!$H$5:$H$121,38)</f>
        <v>0.42907404938827359</v>
      </c>
      <c r="AQ5" s="59">
        <f>INDEX(KMeans_Data!$H$5:$H$121,39)</f>
        <v>0.40765250667401376</v>
      </c>
      <c r="AR5" s="59">
        <f>INDEX(KMeans_Data!$H$5:$H$121,40)</f>
        <v>0.38985692646238834</v>
      </c>
      <c r="AS5" s="59">
        <f>INDEX(KMeans_Data!$H$5:$H$121,41)</f>
        <v>0.31711502585735735</v>
      </c>
      <c r="AT5" s="59">
        <f>INDEX(KMeans_Data!$H$5:$H$121,42)</f>
        <v>0.27371739838699027</v>
      </c>
      <c r="AU5" s="59">
        <f>INDEX(KMeans_Data!$H$5:$H$121,43)</f>
        <v>0.26227803642067726</v>
      </c>
      <c r="AV5" s="59">
        <f>INDEX(KMeans_Data!$H$5:$H$121,44)</f>
        <v>0.25646266846194293</v>
      </c>
      <c r="AW5" s="59">
        <f>INDEX(KMeans_Data!$H$5:$H$121,45)</f>
        <v>0.23861623378571303</v>
      </c>
      <c r="AX5" s="59">
        <f>INDEX(KMeans_Data!$H$5:$H$121,46)</f>
        <v>0.23252879576454735</v>
      </c>
      <c r="AY5" s="59">
        <f>INDEX(KMeans_Data!$H$5:$H$121,47)</f>
        <v>0.20097549778195881</v>
      </c>
      <c r="AZ5" s="59">
        <f>INDEX(KMeans_Data!$H$5:$H$121,48)</f>
        <v>0.20097549778195881</v>
      </c>
      <c r="BA5" s="59">
        <f>INDEX(KMeans_Data!$H$5:$H$121,49)</f>
        <v>0.19442861878561798</v>
      </c>
      <c r="BB5" s="59">
        <f>INDEX(KMeans_Data!$H$5:$H$121,50)</f>
        <v>0.19442861878561798</v>
      </c>
      <c r="BC5" s="59">
        <f>INDEX(KMeans_Data!$H$5:$H$121,51)</f>
        <v>0.18779833781528543</v>
      </c>
      <c r="BD5" s="59">
        <f>INDEX(KMeans_Data!$H$5:$H$121,52)</f>
        <v>0.16738513255089196</v>
      </c>
      <c r="BE5" s="59">
        <f>INDEX(KMeans_Data!$H$5:$H$121,53)</f>
        <v>0.15331751895798426</v>
      </c>
      <c r="BF5" s="59">
        <f>INDEX(KMeans_Data!$H$5:$H$121,54)</f>
        <v>0.13147641151517545</v>
      </c>
      <c r="BG5" s="59">
        <f>INDEX(KMeans_Data!$H$5:$H$121,55)</f>
        <v>0.10085169543381561</v>
      </c>
      <c r="BH5" s="59">
        <f>INDEX(KMeans_Data!$H$5:$H$121,56)</f>
        <v>8.4835969706560738E-2</v>
      </c>
      <c r="BI5" s="59">
        <f>INDEX(KMeans_Data!$H$5:$H$121,57)</f>
        <v>6.8311724136625313E-2</v>
      </c>
      <c r="BJ5" s="59">
        <f>INDEX(KMeans_Data!$H$5:$H$121,58)</f>
        <v>2.4548982643863189E-2</v>
      </c>
      <c r="BK5" s="59">
        <f>INDEX(KMeans_Data!$H$5:$H$121,59)</f>
        <v>5.9587915640307559E-3</v>
      </c>
      <c r="BL5" s="59">
        <f>INDEX(KMeans_Data!$H$5:$H$121,60)</f>
        <v>-3.5913849611856918E-3</v>
      </c>
      <c r="BM5" s="59">
        <f>INDEX(KMeans_Data!$H$5:$H$121,61)</f>
        <v>-3.3340625617315857E-2</v>
      </c>
      <c r="BN5" s="59">
        <f>INDEX(KMeans_Data!$H$5:$H$121,62)</f>
        <v>-4.3647299394291184E-2</v>
      </c>
      <c r="BO5" s="59">
        <f>INDEX(KMeans_Data!$H$5:$H$121,63)</f>
        <v>-6.4893923599903938E-2</v>
      </c>
      <c r="BP5" s="59">
        <f>INDEX(KMeans_Data!$H$5:$H$121,64)</f>
        <v>-9.8484288830971004E-2</v>
      </c>
      <c r="BQ5" s="59">
        <f>INDEX(KMeans_Data!$H$5:$H$121,65)</f>
        <v>-0.11018073651136755</v>
      </c>
      <c r="BR5" s="59">
        <f>INDEX(KMeans_Data!$H$5:$H$121,66)</f>
        <v>-0.13439300986668776</v>
      </c>
      <c r="BS5" s="59">
        <f>INDEX(KMeans_Data!$H$5:$H$121,67)</f>
        <v>-0.17296398743636285</v>
      </c>
      <c r="BT5" s="59">
        <f>INDEX(KMeans_Data!$H$5:$H$121,68)</f>
        <v>-0.21462381690636909</v>
      </c>
      <c r="BU5" s="59">
        <f>INDEX(KMeans_Data!$H$5:$H$121,69)</f>
        <v>-0.21462381690636909</v>
      </c>
      <c r="BV5" s="59">
        <f>INDEX(KMeans_Data!$H$5:$H$121,70)</f>
        <v>-0.25991062981783247</v>
      </c>
      <c r="BW5" s="59">
        <f>INDEX(KMeans_Data!$H$5:$H$121,71)</f>
        <v>-0.27592635554508732</v>
      </c>
      <c r="BX5" s="59">
        <f>INDEX(KMeans_Data!$H$5:$H$121,72)</f>
        <v>-0.27592635554508732</v>
      </c>
      <c r="BY5" s="59">
        <f>INDEX(KMeans_Data!$H$5:$H$121,73)</f>
        <v>-0.30951672077615416</v>
      </c>
      <c r="BZ5" s="59">
        <f>INDEX(KMeans_Data!$H$5:$H$121,74)</f>
        <v>-0.3271614619727895</v>
      </c>
      <c r="CA5" s="59">
        <f>INDEX(KMeans_Data!$H$5:$H$121,75)</f>
        <v>-0.3271614619727895</v>
      </c>
      <c r="CB5" s="59">
        <f>INDEX(KMeans_Data!$H$5:$H$121,76)</f>
        <v>-0.34542544181187113</v>
      </c>
      <c r="CC5" s="59">
        <f>INDEX(KMeans_Data!$H$5:$H$121,77)</f>
        <v>-0.34542544181187113</v>
      </c>
      <c r="CD5" s="59">
        <f>INDEX(KMeans_Data!$H$5:$H$121,78)</f>
        <v>-0.38399641938154599</v>
      </c>
      <c r="CE5" s="59">
        <f>INDEX(KMeans_Data!$H$5:$H$121,79)</f>
        <v>-0.40440962464593949</v>
      </c>
      <c r="CF5" s="59">
        <f>INDEX(KMeans_Data!$H$5:$H$121,80)</f>
        <v>-0.40440962464593949</v>
      </c>
      <c r="CG5" s="59">
        <f>INDEX(KMeans_Data!$H$5:$H$121,81)</f>
        <v>-0.47094306176301559</v>
      </c>
      <c r="CH5" s="59">
        <f>INDEX(KMeans_Data!$H$5:$H$121,82)</f>
        <v>-0.47094306176301559</v>
      </c>
      <c r="CI5" s="59">
        <f>INDEX(KMeans_Data!$H$5:$H$121,83)</f>
        <v>-0.5205491527213375</v>
      </c>
      <c r="CJ5" s="59">
        <f>INDEX(KMeans_Data!$H$5:$H$121,84)</f>
        <v>-0.54724577455296852</v>
      </c>
      <c r="CK5" s="59">
        <f>INDEX(KMeans_Data!$H$5:$H$121,85)</f>
        <v>-0.60513538281414725</v>
      </c>
      <c r="CL5" s="59">
        <f>INDEX(KMeans_Data!$H$5:$H$121,86)</f>
        <v>-0.63668868079673557</v>
      </c>
      <c r="CM5" s="59">
        <f>INDEX(KMeans_Data!$H$5:$H$121,87)</f>
        <v>-0.63668868079673557</v>
      </c>
      <c r="CN5" s="59">
        <f>INDEX(KMeans_Data!$H$5:$H$121,88)</f>
        <v>-0.70618776706351938</v>
      </c>
      <c r="CO5" s="59">
        <f>INDEX(KMeans_Data!$H$5:$H$121,89)</f>
        <v>-0.74475874463319425</v>
      </c>
      <c r="CP5" s="59">
        <f>INDEX(KMeans_Data!$H$5:$H$121,90)</f>
        <v>-0.74475874463319425</v>
      </c>
      <c r="CQ5" s="59">
        <f>INDEX(KMeans_Data!$H$5:$H$121,91)</f>
        <v>-0.78641857410320049</v>
      </c>
      <c r="CR5" s="59">
        <f>INDEX(KMeans_Data!$H$5:$H$121,92)</f>
        <v>-0.8317053870146639</v>
      </c>
      <c r="CS5" s="59">
        <f>INDEX(KMeans_Data!$H$5:$H$121,93)</f>
        <v>-0.8317053870146639</v>
      </c>
      <c r="CT5" s="59">
        <f>INDEX(KMeans_Data!$H$5:$H$121,94)</f>
        <v>-0.88131147797298559</v>
      </c>
      <c r="CU5" s="59">
        <f>INDEX(KMeans_Data!$H$5:$H$121,95)</f>
        <v>-0.88131147797298559</v>
      </c>
      <c r="CV5" s="59">
        <f>INDEX(KMeans_Data!$H$5:$H$121,96)</f>
        <v>-0.88131147797298559</v>
      </c>
      <c r="CW5" s="59">
        <f>INDEX(KMeans_Data!$H$5:$H$121,97)</f>
        <v>-0.88131147797298559</v>
      </c>
      <c r="CX5" s="59">
        <f>INDEX(KMeans_Data!$H$5:$H$121,98)</f>
        <v>-0.9361484674096654</v>
      </c>
      <c r="CY5" s="59">
        <f>INDEX(KMeans_Data!$H$5:$H$121,99)</f>
        <v>-0.9361484674096654</v>
      </c>
      <c r="CZ5" s="59">
        <f>INDEX(KMeans_Data!$H$5:$H$121,100)</f>
        <v>-0.9361484674096654</v>
      </c>
      <c r="DA5" s="59">
        <f>INDEX(KMeans_Data!$H$5:$H$121,101)</f>
        <v>-0.9361484674096654</v>
      </c>
      <c r="DB5" s="59">
        <f>INDEX(KMeans_Data!$H$5:$H$121,102)</f>
        <v>-0.99745100604838388</v>
      </c>
      <c r="DC5" s="59">
        <f>INDEX(KMeans_Data!$H$5:$H$121,103)</f>
        <v>-0.99745100604838388</v>
      </c>
      <c r="DD5" s="59">
        <f>INDEX(KMeans_Data!$H$5:$H$121,104)</f>
        <v>-0.99745100604838388</v>
      </c>
      <c r="DE5" s="59">
        <f>INDEX(KMeans_Data!$H$5:$H$121,105)</f>
        <v>-1.1471808993548489</v>
      </c>
      <c r="DF5" s="59">
        <f>INDEX(KMeans_Data!$H$5:$H$121,106)</f>
        <v>-1.3582133313000322</v>
      </c>
      <c r="DG5" s="59">
        <f>INDEX(KMeans_Data!$H$5:$H$121,107)</f>
        <v>-1.507943224606497</v>
      </c>
      <c r="DH5" s="59">
        <f>INDEX(KMeans_Data!$H$5:$H$121,108)</f>
        <v>-1.507943224606497</v>
      </c>
      <c r="DI5" s="59">
        <f>INDEX(KMeans_Data!$H$5:$H$121,109)</f>
        <v>-1.507943224606497</v>
      </c>
      <c r="DJ5" s="59">
        <f>INDEX(KMeans_Data!$H$5:$H$121,110)</f>
        <v>-1.507943224606497</v>
      </c>
      <c r="DK5" s="59">
        <f>INDEX(KMeans_Data!$H$5:$H$121,111)</f>
        <v>-1.7189756565516803</v>
      </c>
      <c r="DL5" s="59">
        <f>INDEX(KMeans_Data!$H$5:$H$121,112)</f>
        <v>-1.7189756565516803</v>
      </c>
      <c r="DM5" s="59">
        <f>INDEX(KMeans_Data!$H$5:$H$121,113)</f>
        <v>-1.7189756565516803</v>
      </c>
      <c r="DN5" s="59">
        <f>INDEX(KMeans_Data!$H$5:$H$121,114)</f>
        <v>-1.7189756565516803</v>
      </c>
      <c r="DO5" s="59">
        <f>INDEX(KMeans_Data!$H$5:$H$121,115)</f>
        <v>-1.7189756565516803</v>
      </c>
      <c r="DP5" s="59">
        <f>INDEX(KMeans_Data!$H$5:$H$121,116)</f>
        <v>-2.0797379818033286</v>
      </c>
      <c r="DQ5" s="59">
        <f>INDEX(KMeans_Data!$H$5:$H$121,117)</f>
        <v>-2.0797379818033286</v>
      </c>
    </row>
    <row r="6" spans="1:121" x14ac:dyDescent="0.25">
      <c r="A6" s="40" t="s">
        <v>446</v>
      </c>
      <c r="E6" s="59">
        <f>INDEX(KMeans_Data!$I$5:$I$121,1)</f>
        <v>4.0388517969113016</v>
      </c>
      <c r="F6" s="59">
        <f>INDEX(KMeans_Data!$I$5:$I$121,2)</f>
        <v>4.1568410370911772</v>
      </c>
      <c r="G6" s="59">
        <f>INDEX(KMeans_Data!$I$5:$I$121,3)</f>
        <v>2.2941407285360271</v>
      </c>
      <c r="H6" s="59">
        <f>INDEX(KMeans_Data!$I$5:$I$121,4)</f>
        <v>3.5617489210507416</v>
      </c>
      <c r="I6" s="59">
        <f>INDEX(KMeans_Data!$I$5:$I$121,5)</f>
        <v>2.0657893204369486</v>
      </c>
      <c r="J6" s="59">
        <f>INDEX(KMeans_Data!$I$5:$I$121,6)</f>
        <v>2.2309059700842244</v>
      </c>
      <c r="K6" s="59">
        <f>INDEX(KMeans_Data!$I$5:$I$121,7)</f>
        <v>0.16051258962499582</v>
      </c>
      <c r="L6" s="59">
        <f>INDEX(KMeans_Data!$I$5:$I$121,8)</f>
        <v>0.68618000108374222</v>
      </c>
      <c r="M6" s="59">
        <f>INDEX(KMeans_Data!$I$5:$I$121,9)</f>
        <v>1.2118474125424887</v>
      </c>
      <c r="N6" s="59">
        <f>INDEX(KMeans_Data!$I$5:$I$121,10)</f>
        <v>-0.14698313392952958</v>
      </c>
      <c r="O6" s="59">
        <f>INDEX(KMeans_Data!$I$5:$I$121,11)</f>
        <v>1.4759954658056031</v>
      </c>
      <c r="P6" s="59">
        <f>INDEX(KMeans_Data!$I$5:$I$121,12)</f>
        <v>1.7684733170772808</v>
      </c>
      <c r="Q6" s="59">
        <f>INDEX(KMeans_Data!$I$5:$I$121,13)</f>
        <v>0.99367572463826759</v>
      </c>
      <c r="R6" s="59">
        <f>INDEX(KMeans_Data!$I$5:$I$121,14)</f>
        <v>0.37868427752921691</v>
      </c>
      <c r="S6" s="59">
        <f>INDEX(KMeans_Data!$I$5:$I$121,15)</f>
        <v>-0.14698313392952958</v>
      </c>
      <c r="T6" s="59">
        <f>INDEX(KMeans_Data!$I$5:$I$121,16)</f>
        <v>0.99367572463826759</v>
      </c>
      <c r="U6" s="59">
        <f>INDEX(KMeans_Data!$I$5:$I$121,17)</f>
        <v>0.37868427752921691</v>
      </c>
      <c r="V6" s="59">
        <f>INDEX(KMeans_Data!$I$5:$I$121,18)</f>
        <v>1.3810745208577742</v>
      </c>
      <c r="W6" s="59">
        <f>INDEX(KMeans_Data!$I$5:$I$121,19)</f>
        <v>1.3810745208577742</v>
      </c>
      <c r="X6" s="59">
        <f>INDEX(KMeans_Data!$I$5:$I$121,20)</f>
        <v>0.80308444953571578</v>
      </c>
      <c r="Y6" s="59">
        <f>INDEX(KMeans_Data!$I$5:$I$121,21)</f>
        <v>0.80308444953571578</v>
      </c>
      <c r="Z6" s="59">
        <f>INDEX(KMeans_Data!$I$5:$I$121,22)</f>
        <v>0.80308444953571578</v>
      </c>
      <c r="AA6" s="59">
        <f>INDEX(KMeans_Data!$I$5:$I$121,23)</f>
        <v>0.16051258962499582</v>
      </c>
      <c r="AB6" s="59">
        <f>INDEX(KMeans_Data!$I$5:$I$121,24)</f>
        <v>0.54791138584450239</v>
      </c>
      <c r="AC6" s="59">
        <f>INDEX(KMeans_Data!$I$5:$I$121,25)</f>
        <v>1.3810745208577742</v>
      </c>
      <c r="AD6" s="59">
        <f>INDEX(KMeans_Data!$I$5:$I$121,26)</f>
        <v>0.80308444953571578</v>
      </c>
      <c r="AE6" s="59">
        <f>INDEX(KMeans_Data!$I$5:$I$121,27)</f>
        <v>-0.14698313392952958</v>
      </c>
      <c r="AF6" s="59">
        <f>INDEX(KMeans_Data!$I$5:$I$121,28)</f>
        <v>0.68618000108374222</v>
      </c>
      <c r="AG6" s="59">
        <f>INDEX(KMeans_Data!$I$5:$I$121,29)</f>
        <v>-0.67265054538827607</v>
      </c>
      <c r="AH6" s="59">
        <f>INDEX(KMeans_Data!$I$5:$I$121,30)</f>
        <v>0.16051258962499582</v>
      </c>
      <c r="AI6" s="59">
        <f>INDEX(KMeans_Data!$I$5:$I$121,31)</f>
        <v>-0.67265054538827607</v>
      </c>
      <c r="AJ6" s="59">
        <f>INDEX(KMeans_Data!$I$5:$I$121,32)</f>
        <v>0.54791138584450239</v>
      </c>
      <c r="AK6" s="59">
        <f>INDEX(KMeans_Data!$I$5:$I$121,33)</f>
        <v>0.37868427752921691</v>
      </c>
      <c r="AL6" s="59">
        <f>INDEX(KMeans_Data!$I$5:$I$121,34)</f>
        <v>-0.14698313392952958</v>
      </c>
      <c r="AM6" s="59">
        <f>INDEX(KMeans_Data!$I$5:$I$121,35)</f>
        <v>1.3810745208577742</v>
      </c>
      <c r="AN6" s="59">
        <f>INDEX(KMeans_Data!$I$5:$I$121,36)</f>
        <v>1.1458599186993335</v>
      </c>
      <c r="AO6" s="59">
        <f>INDEX(KMeans_Data!$I$5:$I$121,37)</f>
        <v>0.37868427752921691</v>
      </c>
      <c r="AP6" s="59">
        <f>INDEX(KMeans_Data!$I$5:$I$121,38)</f>
        <v>0.37868427752921691</v>
      </c>
      <c r="AQ6" s="59">
        <f>INDEX(KMeans_Data!$I$5:$I$121,39)</f>
        <v>1.2725500225060853</v>
      </c>
      <c r="AR6" s="59">
        <f>INDEX(KMeans_Data!$I$5:$I$121,40)</f>
        <v>0.16051258962499582</v>
      </c>
      <c r="AS6" s="59">
        <f>INDEX(KMeans_Data!$I$5:$I$121,41)</f>
        <v>-0.67265054538827607</v>
      </c>
      <c r="AT6" s="59">
        <f>INDEX(KMeans_Data!$I$5:$I$121,42)</f>
        <v>-0.14698313392952958</v>
      </c>
      <c r="AU6" s="59">
        <f>INDEX(KMeans_Data!$I$5:$I$121,43)</f>
        <v>-0.14698313392952958</v>
      </c>
      <c r="AV6" s="59">
        <f>INDEX(KMeans_Data!$I$5:$I$121,44)</f>
        <v>-0.67265054538827607</v>
      </c>
      <c r="AW6" s="59">
        <f>INDEX(KMeans_Data!$I$5:$I$121,45)</f>
        <v>-0.67265054538827607</v>
      </c>
      <c r="AX6" s="59">
        <f>INDEX(KMeans_Data!$I$5:$I$121,46)</f>
        <v>0.16051258962499582</v>
      </c>
      <c r="AY6" s="59">
        <f>INDEX(KMeans_Data!$I$5:$I$121,47)</f>
        <v>-0.67265054538827607</v>
      </c>
      <c r="AZ6" s="59">
        <f>INDEX(KMeans_Data!$I$5:$I$121,48)</f>
        <v>-0.67265054538827607</v>
      </c>
      <c r="BA6" s="59">
        <f>INDEX(KMeans_Data!$I$5:$I$121,49)</f>
        <v>-0.14698313392952958</v>
      </c>
      <c r="BB6" s="59">
        <f>INDEX(KMeans_Data!$I$5:$I$121,50)</f>
        <v>-0.67265054538827607</v>
      </c>
      <c r="BC6" s="59">
        <f>INDEX(KMeans_Data!$I$5:$I$121,51)</f>
        <v>-0.67265054538827607</v>
      </c>
      <c r="BD6" s="59">
        <f>INDEX(KMeans_Data!$I$5:$I$121,52)</f>
        <v>-0.67265054538827607</v>
      </c>
      <c r="BE6" s="59">
        <f>INDEX(KMeans_Data!$I$5:$I$121,53)</f>
        <v>-0.67265054538827607</v>
      </c>
      <c r="BF6" s="59">
        <f>INDEX(KMeans_Data!$I$5:$I$121,54)</f>
        <v>1.3810745208577742</v>
      </c>
      <c r="BG6" s="59">
        <f>INDEX(KMeans_Data!$I$5:$I$121,55)</f>
        <v>-0.14698313392952958</v>
      </c>
      <c r="BH6" s="59">
        <f>INDEX(KMeans_Data!$I$5:$I$121,56)</f>
        <v>-0.67265054538827607</v>
      </c>
      <c r="BI6" s="59">
        <f>INDEX(KMeans_Data!$I$5:$I$121,57)</f>
        <v>-0.67265054538827607</v>
      </c>
      <c r="BJ6" s="59">
        <f>INDEX(KMeans_Data!$I$5:$I$121,58)</f>
        <v>0.54791138584450239</v>
      </c>
      <c r="BK6" s="59">
        <f>INDEX(KMeans_Data!$I$5:$I$121,59)</f>
        <v>-0.67265054538827607</v>
      </c>
      <c r="BL6" s="59">
        <f>INDEX(KMeans_Data!$I$5:$I$121,60)</f>
        <v>-0.67265054538827607</v>
      </c>
      <c r="BM6" s="59">
        <f>INDEX(KMeans_Data!$I$5:$I$121,61)</f>
        <v>0.54791138584450239</v>
      </c>
      <c r="BN6" s="59">
        <f>INDEX(KMeans_Data!$I$5:$I$121,62)</f>
        <v>0.16051258962499582</v>
      </c>
      <c r="BO6" s="59">
        <f>INDEX(KMeans_Data!$I$5:$I$121,63)</f>
        <v>-0.67265054538827607</v>
      </c>
      <c r="BP6" s="59">
        <f>INDEX(KMeans_Data!$I$5:$I$121,64)</f>
        <v>0.16051258962499582</v>
      </c>
      <c r="BQ6" s="59">
        <f>INDEX(KMeans_Data!$I$5:$I$121,65)</f>
        <v>-0.14698313392952958</v>
      </c>
      <c r="BR6" s="59">
        <f>INDEX(KMeans_Data!$I$5:$I$121,66)</f>
        <v>-0.14698313392952958</v>
      </c>
      <c r="BS6" s="59">
        <f>INDEX(KMeans_Data!$I$5:$I$121,67)</f>
        <v>-0.67265054538827607</v>
      </c>
      <c r="BT6" s="59">
        <f>INDEX(KMeans_Data!$I$5:$I$121,68)</f>
        <v>-0.67265054538827607</v>
      </c>
      <c r="BU6" s="59">
        <f>INDEX(KMeans_Data!$I$5:$I$121,69)</f>
        <v>-0.67265054538827607</v>
      </c>
      <c r="BV6" s="59">
        <f>INDEX(KMeans_Data!$I$5:$I$121,70)</f>
        <v>-0.67265054538827607</v>
      </c>
      <c r="BW6" s="59">
        <f>INDEX(KMeans_Data!$I$5:$I$121,71)</f>
        <v>-0.67265054538827607</v>
      </c>
      <c r="BX6" s="59">
        <f>INDEX(KMeans_Data!$I$5:$I$121,72)</f>
        <v>-0.67265054538827607</v>
      </c>
      <c r="BY6" s="59">
        <f>INDEX(KMeans_Data!$I$5:$I$121,73)</f>
        <v>-0.67265054538827607</v>
      </c>
      <c r="BZ6" s="59">
        <f>INDEX(KMeans_Data!$I$5:$I$121,74)</f>
        <v>-0.67265054538827607</v>
      </c>
      <c r="CA6" s="59">
        <f>INDEX(KMeans_Data!$I$5:$I$121,75)</f>
        <v>-0.67265054538827607</v>
      </c>
      <c r="CB6" s="59">
        <f>INDEX(KMeans_Data!$I$5:$I$121,76)</f>
        <v>-0.67265054538827607</v>
      </c>
      <c r="CC6" s="59">
        <f>INDEX(KMeans_Data!$I$5:$I$121,77)</f>
        <v>-0.67265054538827607</v>
      </c>
      <c r="CD6" s="59">
        <f>INDEX(KMeans_Data!$I$5:$I$121,78)</f>
        <v>-0.67265054538827607</v>
      </c>
      <c r="CE6" s="59">
        <f>INDEX(KMeans_Data!$I$5:$I$121,79)</f>
        <v>-0.67265054538827607</v>
      </c>
      <c r="CF6" s="59">
        <f>INDEX(KMeans_Data!$I$5:$I$121,80)</f>
        <v>-0.14698313392952958</v>
      </c>
      <c r="CG6" s="59">
        <f>INDEX(KMeans_Data!$I$5:$I$121,81)</f>
        <v>-0.14698313392952958</v>
      </c>
      <c r="CH6" s="59">
        <f>INDEX(KMeans_Data!$I$5:$I$121,82)</f>
        <v>-0.67265054538827607</v>
      </c>
      <c r="CI6" s="59">
        <f>INDEX(KMeans_Data!$I$5:$I$121,83)</f>
        <v>-0.67265054538827607</v>
      </c>
      <c r="CJ6" s="59">
        <f>INDEX(KMeans_Data!$I$5:$I$121,84)</f>
        <v>-0.67265054538827607</v>
      </c>
      <c r="CK6" s="59">
        <f>INDEX(KMeans_Data!$I$5:$I$121,85)</f>
        <v>-0.67265054538827607</v>
      </c>
      <c r="CL6" s="59">
        <f>INDEX(KMeans_Data!$I$5:$I$121,86)</f>
        <v>-0.67265054538827607</v>
      </c>
      <c r="CM6" s="59">
        <f>INDEX(KMeans_Data!$I$5:$I$121,87)</f>
        <v>-0.67265054538827607</v>
      </c>
      <c r="CN6" s="59">
        <f>INDEX(KMeans_Data!$I$5:$I$121,88)</f>
        <v>-0.14698313392952958</v>
      </c>
      <c r="CO6" s="59">
        <f>INDEX(KMeans_Data!$I$5:$I$121,89)</f>
        <v>-0.14698313392952958</v>
      </c>
      <c r="CP6" s="59">
        <f>INDEX(KMeans_Data!$I$5:$I$121,90)</f>
        <v>-0.67265054538827607</v>
      </c>
      <c r="CQ6" s="59">
        <f>INDEX(KMeans_Data!$I$5:$I$121,91)</f>
        <v>-0.67265054538827607</v>
      </c>
      <c r="CR6" s="59">
        <f>INDEX(KMeans_Data!$I$5:$I$121,92)</f>
        <v>-0.67265054538827607</v>
      </c>
      <c r="CS6" s="59">
        <f>INDEX(KMeans_Data!$I$5:$I$121,93)</f>
        <v>-0.67265054538827607</v>
      </c>
      <c r="CT6" s="59">
        <f>INDEX(KMeans_Data!$I$5:$I$121,94)</f>
        <v>-0.67265054538827607</v>
      </c>
      <c r="CU6" s="59">
        <f>INDEX(KMeans_Data!$I$5:$I$121,95)</f>
        <v>-0.14698313392952958</v>
      </c>
      <c r="CV6" s="59">
        <f>INDEX(KMeans_Data!$I$5:$I$121,96)</f>
        <v>-0.67265054538827607</v>
      </c>
      <c r="CW6" s="59">
        <f>INDEX(KMeans_Data!$I$5:$I$121,97)</f>
        <v>-0.67265054538827607</v>
      </c>
      <c r="CX6" s="59">
        <f>INDEX(KMeans_Data!$I$5:$I$121,98)</f>
        <v>-0.67265054538827607</v>
      </c>
      <c r="CY6" s="59">
        <f>INDEX(KMeans_Data!$I$5:$I$121,99)</f>
        <v>-0.67265054538827607</v>
      </c>
      <c r="CZ6" s="59">
        <f>INDEX(KMeans_Data!$I$5:$I$121,100)</f>
        <v>-0.67265054538827607</v>
      </c>
      <c r="DA6" s="59">
        <f>INDEX(KMeans_Data!$I$5:$I$121,101)</f>
        <v>-0.67265054538827607</v>
      </c>
      <c r="DB6" s="59">
        <f>INDEX(KMeans_Data!$I$5:$I$121,102)</f>
        <v>-0.67265054538827607</v>
      </c>
      <c r="DC6" s="59">
        <f>INDEX(KMeans_Data!$I$5:$I$121,103)</f>
        <v>-0.67265054538827607</v>
      </c>
      <c r="DD6" s="59">
        <f>INDEX(KMeans_Data!$I$5:$I$121,104)</f>
        <v>-0.67265054538827607</v>
      </c>
      <c r="DE6" s="59">
        <f>INDEX(KMeans_Data!$I$5:$I$121,105)</f>
        <v>-0.67265054538827607</v>
      </c>
      <c r="DF6" s="59">
        <f>INDEX(KMeans_Data!$I$5:$I$121,106)</f>
        <v>-0.67265054538827607</v>
      </c>
      <c r="DG6" s="59">
        <f>INDEX(KMeans_Data!$I$5:$I$121,107)</f>
        <v>-0.67265054538827607</v>
      </c>
      <c r="DH6" s="59">
        <f>INDEX(KMeans_Data!$I$5:$I$121,108)</f>
        <v>-0.67265054538827607</v>
      </c>
      <c r="DI6" s="59">
        <f>INDEX(KMeans_Data!$I$5:$I$121,109)</f>
        <v>-0.67265054538827607</v>
      </c>
      <c r="DJ6" s="59">
        <f>INDEX(KMeans_Data!$I$5:$I$121,110)</f>
        <v>-0.67265054538827607</v>
      </c>
      <c r="DK6" s="59">
        <f>INDEX(KMeans_Data!$I$5:$I$121,111)</f>
        <v>-0.67265054538827607</v>
      </c>
      <c r="DL6" s="59">
        <f>INDEX(KMeans_Data!$I$5:$I$121,112)</f>
        <v>-0.67265054538827607</v>
      </c>
      <c r="DM6" s="59">
        <f>INDEX(KMeans_Data!$I$5:$I$121,113)</f>
        <v>-0.67265054538827607</v>
      </c>
      <c r="DN6" s="59">
        <f>INDEX(KMeans_Data!$I$5:$I$121,114)</f>
        <v>-0.67265054538827607</v>
      </c>
      <c r="DO6" s="59">
        <f>INDEX(KMeans_Data!$I$5:$I$121,115)</f>
        <v>-0.67265054538827607</v>
      </c>
      <c r="DP6" s="59">
        <f>INDEX(KMeans_Data!$I$5:$I$121,116)</f>
        <v>-0.67265054538827607</v>
      </c>
      <c r="DQ6" s="59">
        <f>INDEX(KMeans_Data!$I$5:$I$121,117)</f>
        <v>-0.67265054538827607</v>
      </c>
    </row>
    <row r="7" spans="1:121" x14ac:dyDescent="0.25">
      <c r="A7" s="40" t="s">
        <v>447</v>
      </c>
      <c r="E7" s="59">
        <f>INDEX(KMeans_Data!$J$5:$J$121,1)</f>
        <v>3.2527128596020467</v>
      </c>
      <c r="F7" s="59">
        <f>INDEX(KMeans_Data!$J$5:$J$121,2)</f>
        <v>2.680512898820258</v>
      </c>
      <c r="G7" s="59">
        <f>INDEX(KMeans_Data!$J$5:$J$121,3)</f>
        <v>2.3723555668164944</v>
      </c>
      <c r="H7" s="59">
        <f>INDEX(KMeans_Data!$J$5:$J$121,4)</f>
        <v>1.6399224296702051</v>
      </c>
      <c r="I7" s="59">
        <f>INDEX(KMeans_Data!$J$5:$J$121,5)</f>
        <v>1.6965167635960359</v>
      </c>
      <c r="J7" s="59">
        <f>INDEX(KMeans_Data!$J$5:$J$121,6)</f>
        <v>1.4434361051069102</v>
      </c>
      <c r="K7" s="59">
        <f>INDEX(KMeans_Data!$J$5:$J$121,7)</f>
        <v>-0.82444601589876665</v>
      </c>
      <c r="L7" s="59">
        <f>INDEX(KMeans_Data!$J$5:$J$121,8)</f>
        <v>1.7238403519091188</v>
      </c>
      <c r="M7" s="59">
        <f>INDEX(KMeans_Data!$J$5:$J$121,9)</f>
        <v>1.6955104854445937</v>
      </c>
      <c r="N7" s="59">
        <f>INDEX(KMeans_Data!$J$5:$J$121,10)</f>
        <v>-0.82444601589876665</v>
      </c>
      <c r="O7" s="59">
        <f>INDEX(KMeans_Data!$J$5:$J$121,11)</f>
        <v>0.98834987138399455</v>
      </c>
      <c r="P7" s="59">
        <f>INDEX(KMeans_Data!$J$5:$J$121,12)</f>
        <v>1.1668769645807604</v>
      </c>
      <c r="Q7" s="59">
        <f>INDEX(KMeans_Data!$J$5:$J$121,13)</f>
        <v>1.0804955511041037</v>
      </c>
      <c r="R7" s="59">
        <f>INDEX(KMeans_Data!$J$5:$J$121,14)</f>
        <v>1.4704046399545831</v>
      </c>
      <c r="S7" s="59">
        <f>INDEX(KMeans_Data!$J$5:$J$121,15)</f>
        <v>1.1668769645807604</v>
      </c>
      <c r="T7" s="59">
        <f>INDEX(KMeans_Data!$J$5:$J$121,16)</f>
        <v>0.99752622880062936</v>
      </c>
      <c r="U7" s="59">
        <f>INDEX(KMeans_Data!$J$5:$J$121,17)</f>
        <v>1.5832083798719481</v>
      </c>
      <c r="V7" s="59">
        <f>INDEX(KMeans_Data!$J$5:$J$121,18)</f>
        <v>0.61832866607444492</v>
      </c>
      <c r="W7" s="59">
        <f>INDEX(KMeans_Data!$J$5:$J$121,19)</f>
        <v>0.9343491606149037</v>
      </c>
      <c r="X7" s="59">
        <f>INDEX(KMeans_Data!$J$5:$J$121,20)</f>
        <v>1.0367093535020828</v>
      </c>
      <c r="Y7" s="59">
        <f>INDEX(KMeans_Data!$J$5:$J$121,21)</f>
        <v>1.2683843951613223</v>
      </c>
      <c r="Z7" s="59">
        <f>INDEX(KMeans_Data!$J$5:$J$121,22)</f>
        <v>0.61832866607444492</v>
      </c>
      <c r="AA7" s="59">
        <f>INDEX(KMeans_Data!$J$5:$J$121,23)</f>
        <v>0.95967737195633995</v>
      </c>
      <c r="AB7" s="59">
        <f>INDEX(KMeans_Data!$J$5:$J$121,24)</f>
        <v>0.66715177094920652</v>
      </c>
      <c r="AC7" s="59">
        <f>INDEX(KMeans_Data!$J$5:$J$121,25)</f>
        <v>0.72786907626120334</v>
      </c>
      <c r="AD7" s="59">
        <f>INDEX(KMeans_Data!$J$5:$J$121,26)</f>
        <v>1.2784040483641788</v>
      </c>
      <c r="AE7" s="59">
        <f>INDEX(KMeans_Data!$J$5:$J$121,27)</f>
        <v>-1.1456441163335547</v>
      </c>
      <c r="AF7" s="59">
        <f>INDEX(KMeans_Data!$J$5:$J$121,28)</f>
        <v>0.8732151368336003</v>
      </c>
      <c r="AG7" s="59">
        <f>INDEX(KMeans_Data!$J$5:$J$121,29)</f>
        <v>-0.39984522290956798</v>
      </c>
      <c r="AH7" s="59">
        <f>INDEX(KMeans_Data!$J$5:$J$121,30)</f>
        <v>0.78154448627517237</v>
      </c>
      <c r="AI7" s="59">
        <f>INDEX(KMeans_Data!$J$5:$J$121,31)</f>
        <v>-0.39984522290956798</v>
      </c>
      <c r="AJ7" s="59">
        <f>INDEX(KMeans_Data!$J$5:$J$121,32)</f>
        <v>1.1134779913146182</v>
      </c>
      <c r="AK7" s="59">
        <f>INDEX(KMeans_Data!$J$5:$J$121,33)</f>
        <v>0.2867168485915767</v>
      </c>
      <c r="AL7" s="59">
        <f>INDEX(KMeans_Data!$J$5:$J$121,34)</f>
        <v>0.55201703639881239</v>
      </c>
      <c r="AM7" s="59">
        <f>INDEX(KMeans_Data!$J$5:$J$121,35)</f>
        <v>0.30731539115103124</v>
      </c>
      <c r="AN7" s="59">
        <f>INDEX(KMeans_Data!$J$5:$J$121,36)</f>
        <v>0.71966725318196356</v>
      </c>
      <c r="AO7" s="59">
        <f>INDEX(KMeans_Data!$J$5:$J$121,37)</f>
        <v>0.53998023220398461</v>
      </c>
      <c r="AP7" s="59">
        <f>INDEX(KMeans_Data!$J$5:$J$121,38)</f>
        <v>0.46034638584038468</v>
      </c>
      <c r="AQ7" s="59">
        <f>INDEX(KMeans_Data!$J$5:$J$121,39)</f>
        <v>0.62851349158581915</v>
      </c>
      <c r="AR7" s="59">
        <f>INDEX(KMeans_Data!$J$5:$J$121,40)</f>
        <v>-7.8647122474779993E-2</v>
      </c>
      <c r="AS7" s="59">
        <f>INDEX(KMeans_Data!$J$5:$J$121,41)</f>
        <v>1.0109587897935928</v>
      </c>
      <c r="AT7" s="59">
        <f>INDEX(KMeans_Data!$J$5:$J$121,42)</f>
        <v>0.77424684086161255</v>
      </c>
      <c r="AU7" s="59">
        <f>INDEX(KMeans_Data!$J$5:$J$121,43)</f>
        <v>-0.63655717184154814</v>
      </c>
      <c r="AV7" s="59">
        <f>INDEX(KMeans_Data!$J$5:$J$121,44)</f>
        <v>0.514925973520034</v>
      </c>
      <c r="AW7" s="59">
        <f>INDEX(KMeans_Data!$J$5:$J$121,45)</f>
        <v>-0.82444601589876665</v>
      </c>
      <c r="AX7" s="59">
        <f>INDEX(KMeans_Data!$J$5:$J$121,46)</f>
        <v>0.38161671714246476</v>
      </c>
      <c r="AY7" s="59">
        <f>INDEX(KMeans_Data!$J$5:$J$121,47)</f>
        <v>-1.1456441163335547</v>
      </c>
      <c r="AZ7" s="59">
        <f>INDEX(KMeans_Data!$J$5:$J$121,48)</f>
        <v>1.0325157420155633</v>
      </c>
      <c r="BA7" s="59">
        <f>INDEX(KMeans_Data!$J$5:$J$121,49)</f>
        <v>0.79580379308358284</v>
      </c>
      <c r="BB7" s="59">
        <f>INDEX(KMeans_Data!$J$5:$J$121,50)</f>
        <v>-1.1456441163335547</v>
      </c>
      <c r="BC7" s="59">
        <f>INDEX(KMeans_Data!$J$5:$J$121,51)</f>
        <v>-1.1456441163335547</v>
      </c>
      <c r="BD7" s="59">
        <f>INDEX(KMeans_Data!$J$5:$J$121,52)</f>
        <v>-0.50324791546397885</v>
      </c>
      <c r="BE7" s="59">
        <f>INDEX(KMeans_Data!$J$5:$J$121,53)</f>
        <v>-0.24392704812240026</v>
      </c>
      <c r="BF7" s="59">
        <f>INDEX(KMeans_Data!$J$5:$J$121,54)</f>
        <v>0.77424684086161255</v>
      </c>
      <c r="BG7" s="59">
        <f>INDEX(KMeans_Data!$J$5:$J$121,55)</f>
        <v>0.61832866607444492</v>
      </c>
      <c r="BH7" s="59">
        <f>INDEX(KMeans_Data!$J$5:$J$121,56)</f>
        <v>-1.1456441163335547</v>
      </c>
      <c r="BI7" s="59">
        <f>INDEX(KMeans_Data!$J$5:$J$121,57)</f>
        <v>-1.1456441163335547</v>
      </c>
      <c r="BJ7" s="59">
        <f>INDEX(KMeans_Data!$J$5:$J$121,58)</f>
        <v>5.8390290280275915E-3</v>
      </c>
      <c r="BK7" s="59">
        <f>INDEX(KMeans_Data!$J$5:$J$121,59)</f>
        <v>-0.39984522290956798</v>
      </c>
      <c r="BL7" s="59">
        <f>INDEX(KMeans_Data!$J$5:$J$121,60)</f>
        <v>0.36412819234159388</v>
      </c>
      <c r="BM7" s="59">
        <f>INDEX(KMeans_Data!$J$5:$J$121,61)</f>
        <v>0.50187184530158635</v>
      </c>
      <c r="BN7" s="59">
        <f>INDEX(KMeans_Data!$J$5:$J$121,62)</f>
        <v>4.2930091906806002E-2</v>
      </c>
      <c r="BO7" s="59">
        <f>INDEX(KMeans_Data!$J$5:$J$121,63)</f>
        <v>-0.82444601589876665</v>
      </c>
      <c r="BP7" s="59">
        <f>INDEX(KMeans_Data!$J$5:$J$121,64)</f>
        <v>0.26515989636960624</v>
      </c>
      <c r="BQ7" s="59">
        <f>INDEX(KMeans_Data!$J$5:$J$121,65)</f>
        <v>0.38161671714246476</v>
      </c>
      <c r="BR7" s="59">
        <f>INDEX(KMeans_Data!$J$5:$J$121,66)</f>
        <v>0.43043982201722641</v>
      </c>
      <c r="BS7" s="59">
        <f>INDEX(KMeans_Data!$J$5:$J$121,67)</f>
        <v>0.59726181533299938</v>
      </c>
      <c r="BT7" s="59">
        <f>INDEX(KMeans_Data!$J$5:$J$121,68)</f>
        <v>0.19372787308524608</v>
      </c>
      <c r="BU7" s="59">
        <f>INDEX(KMeans_Data!$J$5:$J$121,69)</f>
        <v>0.1092417215824385</v>
      </c>
      <c r="BV7" s="59">
        <f>INDEX(KMeans_Data!$J$5:$J$121,70)</f>
        <v>-1.1456441163335547</v>
      </c>
      <c r="BW7" s="59">
        <f>INDEX(KMeans_Data!$J$5:$J$121,71)</f>
        <v>0.2867168485915767</v>
      </c>
      <c r="BX7" s="59">
        <f>INDEX(KMeans_Data!$J$5:$J$121,72)</f>
        <v>-1.1456441163335547</v>
      </c>
      <c r="BY7" s="59">
        <f>INDEX(KMeans_Data!$J$5:$J$121,73)</f>
        <v>-0.1820498150291911</v>
      </c>
      <c r="BZ7" s="59">
        <f>INDEX(KMeans_Data!$J$5:$J$121,74)</f>
        <v>-0.24392704812240026</v>
      </c>
      <c r="CA7" s="59">
        <f>INDEX(KMeans_Data!$J$5:$J$121,75)</f>
        <v>-1.1456441163335547</v>
      </c>
      <c r="CB7" s="59">
        <f>INDEX(KMeans_Data!$J$5:$J$121,76)</f>
        <v>-0.24392704812240026</v>
      </c>
      <c r="CC7" s="59">
        <f>INDEX(KMeans_Data!$J$5:$J$121,77)</f>
        <v>-1.1456441163335547</v>
      </c>
      <c r="CD7" s="59">
        <f>INDEX(KMeans_Data!$J$5:$J$121,78)</f>
        <v>-1.1456441163335547</v>
      </c>
      <c r="CE7" s="59">
        <f>INDEX(KMeans_Data!$J$5:$J$121,79)</f>
        <v>4.2930091906806002E-2</v>
      </c>
      <c r="CF7" s="59">
        <f>INDEX(KMeans_Data!$J$5:$J$121,80)</f>
        <v>0.13914828540559679</v>
      </c>
      <c r="CG7" s="59">
        <f>INDEX(KMeans_Data!$J$5:$J$121,81)</f>
        <v>-0.39984522290956798</v>
      </c>
      <c r="CH7" s="59">
        <f>INDEX(KMeans_Data!$J$5:$J$121,82)</f>
        <v>-0.39984522290956798</v>
      </c>
      <c r="CI7" s="59">
        <f>INDEX(KMeans_Data!$J$5:$J$121,83)</f>
        <v>-0.50324791546397885</v>
      </c>
      <c r="CJ7" s="59">
        <f>INDEX(KMeans_Data!$J$5:$J$121,84)</f>
        <v>-0.82444601589876665</v>
      </c>
      <c r="CK7" s="59">
        <f>INDEX(KMeans_Data!$J$5:$J$121,85)</f>
        <v>-3.44812518432112E-2</v>
      </c>
      <c r="CL7" s="59">
        <f>INDEX(KMeans_Data!$J$5:$J$121,86)</f>
        <v>-1.1456441163335547</v>
      </c>
      <c r="CM7" s="59">
        <f>INDEX(KMeans_Data!$J$5:$J$121,87)</f>
        <v>-0.31535907140676028</v>
      </c>
      <c r="CN7" s="59">
        <f>INDEX(KMeans_Data!$J$5:$J$121,88)</f>
        <v>0.62851349158581915</v>
      </c>
      <c r="CO7" s="59">
        <f>INDEX(KMeans_Data!$J$5:$J$121,89)</f>
        <v>-0.1820498150291911</v>
      </c>
      <c r="CP7" s="59">
        <f>INDEX(KMeans_Data!$J$5:$J$121,90)</f>
        <v>-1.1456441163335547</v>
      </c>
      <c r="CQ7" s="59">
        <f>INDEX(KMeans_Data!$J$5:$J$121,91)</f>
        <v>-0.39984522290956798</v>
      </c>
      <c r="CR7" s="59">
        <f>INDEX(KMeans_Data!$J$5:$J$121,92)</f>
        <v>-0.31535907140676028</v>
      </c>
      <c r="CS7" s="59">
        <f>INDEX(KMeans_Data!$J$5:$J$121,93)</f>
        <v>-1.1456441163335547</v>
      </c>
      <c r="CT7" s="59">
        <f>INDEX(KMeans_Data!$J$5:$J$121,94)</f>
        <v>-1.1456441163335547</v>
      </c>
      <c r="CU7" s="59">
        <f>INDEX(KMeans_Data!$J$5:$J$121,95)</f>
        <v>-0.82444601589876665</v>
      </c>
      <c r="CV7" s="59">
        <f>INDEX(KMeans_Data!$J$5:$J$121,96)</f>
        <v>0.26515989636960624</v>
      </c>
      <c r="CW7" s="59">
        <f>INDEX(KMeans_Data!$J$5:$J$121,97)</f>
        <v>-1.1456441163335547</v>
      </c>
      <c r="CX7" s="59">
        <f>INDEX(KMeans_Data!$J$5:$J$121,98)</f>
        <v>-3.44812518432112E-2</v>
      </c>
      <c r="CY7" s="59">
        <f>INDEX(KMeans_Data!$J$5:$J$121,99)</f>
        <v>-1.1456441163335547</v>
      </c>
      <c r="CZ7" s="59">
        <f>INDEX(KMeans_Data!$J$5:$J$121,100)</f>
        <v>-1.1456441163335547</v>
      </c>
      <c r="DA7" s="59">
        <f>INDEX(KMeans_Data!$J$5:$J$121,101)</f>
        <v>-0.50324791546397885</v>
      </c>
      <c r="DB7" s="59">
        <f>INDEX(KMeans_Data!$J$5:$J$121,102)</f>
        <v>-1.1456441163335547</v>
      </c>
      <c r="DC7" s="59">
        <f>INDEX(KMeans_Data!$J$5:$J$121,103)</f>
        <v>-1.1456441163335547</v>
      </c>
      <c r="DD7" s="59">
        <f>INDEX(KMeans_Data!$J$5:$J$121,104)</f>
        <v>-0.63655717184154814</v>
      </c>
      <c r="DE7" s="59">
        <f>INDEX(KMeans_Data!$J$5:$J$121,105)</f>
        <v>-0.82444601589876665</v>
      </c>
      <c r="DF7" s="59">
        <f>INDEX(KMeans_Data!$J$5:$J$121,106)</f>
        <v>-1.1456441163335547</v>
      </c>
      <c r="DG7" s="59">
        <f>INDEX(KMeans_Data!$J$5:$J$121,107)</f>
        <v>-1.1456441163335547</v>
      </c>
      <c r="DH7" s="59">
        <f>INDEX(KMeans_Data!$J$5:$J$121,108)</f>
        <v>-1.1456441163335547</v>
      </c>
      <c r="DI7" s="59">
        <f>INDEX(KMeans_Data!$J$5:$J$121,109)</f>
        <v>-1.1456441163335547</v>
      </c>
      <c r="DJ7" s="59">
        <f>INDEX(KMeans_Data!$J$5:$J$121,110)</f>
        <v>-1.1456441163335547</v>
      </c>
      <c r="DK7" s="59">
        <f>INDEX(KMeans_Data!$J$5:$J$121,111)</f>
        <v>-1.1456441163335547</v>
      </c>
      <c r="DL7" s="59">
        <f>INDEX(KMeans_Data!$J$5:$J$121,112)</f>
        <v>-1.1456441163335547</v>
      </c>
      <c r="DM7" s="59">
        <f>INDEX(KMeans_Data!$J$5:$J$121,113)</f>
        <v>-1.1456441163335547</v>
      </c>
      <c r="DN7" s="59">
        <f>INDEX(KMeans_Data!$J$5:$J$121,114)</f>
        <v>-1.1456441163335547</v>
      </c>
      <c r="DO7" s="59">
        <f>INDEX(KMeans_Data!$J$5:$J$121,115)</f>
        <v>-1.1456441163335547</v>
      </c>
      <c r="DP7" s="59">
        <f>INDEX(KMeans_Data!$J$5:$J$121,116)</f>
        <v>-1.1456441163335547</v>
      </c>
      <c r="DQ7" s="59">
        <f>INDEX(KMeans_Data!$J$5:$J$121,117)</f>
        <v>-1.1456441163335547</v>
      </c>
    </row>
    <row r="8" spans="1:121" x14ac:dyDescent="0.25">
      <c r="A8" s="40" t="s">
        <v>512</v>
      </c>
      <c r="E8" s="60">
        <f>INDEX(Elbow_Engine!$E$15:$E$131,1)</f>
        <v>1</v>
      </c>
      <c r="F8" s="60">
        <f>INDEX(Elbow_Engine!$E$15:$E$131,2)</f>
        <v>1</v>
      </c>
      <c r="G8" s="60">
        <f>INDEX(Elbow_Engine!$E$15:$E$131,3)</f>
        <v>1</v>
      </c>
      <c r="H8" s="60">
        <f>INDEX(Elbow_Engine!$E$15:$E$131,4)</f>
        <v>1</v>
      </c>
      <c r="I8" s="60">
        <f>INDEX(Elbow_Engine!$E$15:$E$131,5)</f>
        <v>1</v>
      </c>
      <c r="J8" s="60">
        <f>INDEX(Elbow_Engine!$E$15:$E$131,6)</f>
        <v>1</v>
      </c>
      <c r="K8" s="60">
        <f>INDEX(Elbow_Engine!$E$15:$E$131,7)</f>
        <v>2</v>
      </c>
      <c r="L8" s="60">
        <f>INDEX(Elbow_Engine!$E$15:$E$131,8)</f>
        <v>1</v>
      </c>
      <c r="M8" s="60">
        <f>INDEX(Elbow_Engine!$E$15:$E$131,9)</f>
        <v>1</v>
      </c>
      <c r="N8" s="60">
        <f>INDEX(Elbow_Engine!$E$15:$E$131,10)</f>
        <v>2</v>
      </c>
      <c r="O8" s="60">
        <f>INDEX(Elbow_Engine!$E$15:$E$131,11)</f>
        <v>1</v>
      </c>
      <c r="P8" s="60">
        <f>INDEX(Elbow_Engine!$E$15:$E$131,12)</f>
        <v>1</v>
      </c>
      <c r="Q8" s="60">
        <f>INDEX(Elbow_Engine!$E$15:$E$131,13)</f>
        <v>1</v>
      </c>
      <c r="R8" s="60">
        <f>INDEX(Elbow_Engine!$E$15:$E$131,14)</f>
        <v>1</v>
      </c>
      <c r="S8" s="60">
        <f>INDEX(Elbow_Engine!$E$15:$E$131,15)</f>
        <v>1</v>
      </c>
      <c r="T8" s="60">
        <f>INDEX(Elbow_Engine!$E$15:$E$131,16)</f>
        <v>1</v>
      </c>
      <c r="U8" s="60">
        <f>INDEX(Elbow_Engine!$E$15:$E$131,17)</f>
        <v>1</v>
      </c>
      <c r="V8" s="60">
        <f>INDEX(Elbow_Engine!$E$15:$E$131,18)</f>
        <v>1</v>
      </c>
      <c r="W8" s="60">
        <f>INDEX(Elbow_Engine!$E$15:$E$131,19)</f>
        <v>1</v>
      </c>
      <c r="X8" s="60">
        <f>INDEX(Elbow_Engine!$E$15:$E$131,20)</f>
        <v>1</v>
      </c>
      <c r="Y8" s="60">
        <f>INDEX(Elbow_Engine!$E$15:$E$131,21)</f>
        <v>1</v>
      </c>
      <c r="Z8" s="60">
        <f>INDEX(Elbow_Engine!$E$15:$E$131,22)</f>
        <v>1</v>
      </c>
      <c r="AA8" s="60">
        <f>INDEX(Elbow_Engine!$E$15:$E$131,23)</f>
        <v>1</v>
      </c>
      <c r="AB8" s="60">
        <f>INDEX(Elbow_Engine!$E$15:$E$131,24)</f>
        <v>1</v>
      </c>
      <c r="AC8" s="60">
        <f>INDEX(Elbow_Engine!$E$15:$E$131,25)</f>
        <v>1</v>
      </c>
      <c r="AD8" s="60">
        <f>INDEX(Elbow_Engine!$E$15:$E$131,26)</f>
        <v>1</v>
      </c>
      <c r="AE8" s="60">
        <f>INDEX(Elbow_Engine!$E$15:$E$131,27)</f>
        <v>2</v>
      </c>
      <c r="AF8" s="60">
        <f>INDEX(Elbow_Engine!$E$15:$E$131,28)</f>
        <v>1</v>
      </c>
      <c r="AG8" s="60">
        <f>INDEX(Elbow_Engine!$E$15:$E$131,29)</f>
        <v>2</v>
      </c>
      <c r="AH8" s="60">
        <f>INDEX(Elbow_Engine!$E$15:$E$131,30)</f>
        <v>1</v>
      </c>
      <c r="AI8" s="60">
        <f>INDEX(Elbow_Engine!$E$15:$E$131,31)</f>
        <v>2</v>
      </c>
      <c r="AJ8" s="60">
        <f>INDEX(Elbow_Engine!$E$15:$E$131,32)</f>
        <v>1</v>
      </c>
      <c r="AK8" s="60">
        <f>INDEX(Elbow_Engine!$E$15:$E$131,33)</f>
        <v>1</v>
      </c>
      <c r="AL8" s="60">
        <f>INDEX(Elbow_Engine!$E$15:$E$131,34)</f>
        <v>2</v>
      </c>
      <c r="AM8" s="60">
        <f>INDEX(Elbow_Engine!$E$15:$E$131,35)</f>
        <v>1</v>
      </c>
      <c r="AN8" s="60">
        <f>INDEX(Elbow_Engine!$E$15:$E$131,36)</f>
        <v>1</v>
      </c>
      <c r="AO8" s="60">
        <f>INDEX(Elbow_Engine!$E$15:$E$131,37)</f>
        <v>1</v>
      </c>
      <c r="AP8" s="60">
        <f>INDEX(Elbow_Engine!$E$15:$E$131,38)</f>
        <v>1</v>
      </c>
      <c r="AQ8" s="60">
        <f>INDEX(Elbow_Engine!$E$15:$E$131,39)</f>
        <v>1</v>
      </c>
      <c r="AR8" s="60">
        <f>INDEX(Elbow_Engine!$E$15:$E$131,40)</f>
        <v>2</v>
      </c>
      <c r="AS8" s="60">
        <f>INDEX(Elbow_Engine!$E$15:$E$131,41)</f>
        <v>2</v>
      </c>
      <c r="AT8" s="60">
        <f>INDEX(Elbow_Engine!$E$15:$E$131,42)</f>
        <v>2</v>
      </c>
      <c r="AU8" s="60">
        <f>INDEX(Elbow_Engine!$E$15:$E$131,43)</f>
        <v>2</v>
      </c>
      <c r="AV8" s="60">
        <f>INDEX(Elbow_Engine!$E$15:$E$131,44)</f>
        <v>2</v>
      </c>
      <c r="AW8" s="60">
        <f>INDEX(Elbow_Engine!$E$15:$E$131,45)</f>
        <v>2</v>
      </c>
      <c r="AX8" s="60">
        <f>INDEX(Elbow_Engine!$E$15:$E$131,46)</f>
        <v>2</v>
      </c>
      <c r="AY8" s="60">
        <f>INDEX(Elbow_Engine!$E$15:$E$131,47)</f>
        <v>2</v>
      </c>
      <c r="AZ8" s="60">
        <f>INDEX(Elbow_Engine!$E$15:$E$131,48)</f>
        <v>2</v>
      </c>
      <c r="BA8" s="60">
        <f>INDEX(Elbow_Engine!$E$15:$E$131,49)</f>
        <v>2</v>
      </c>
      <c r="BB8" s="60">
        <f>INDEX(Elbow_Engine!$E$15:$E$131,50)</f>
        <v>2</v>
      </c>
      <c r="BC8" s="60">
        <f>INDEX(Elbow_Engine!$E$15:$E$131,51)</f>
        <v>2</v>
      </c>
      <c r="BD8" s="60">
        <f>INDEX(Elbow_Engine!$E$15:$E$131,52)</f>
        <v>2</v>
      </c>
      <c r="BE8" s="60">
        <f>INDEX(Elbow_Engine!$E$15:$E$131,53)</f>
        <v>2</v>
      </c>
      <c r="BF8" s="60">
        <f>INDEX(Elbow_Engine!$E$15:$E$131,54)</f>
        <v>1</v>
      </c>
      <c r="BG8" s="60">
        <f>INDEX(Elbow_Engine!$E$15:$E$131,55)</f>
        <v>2</v>
      </c>
      <c r="BH8" s="60">
        <f>INDEX(Elbow_Engine!$E$15:$E$131,56)</f>
        <v>2</v>
      </c>
      <c r="BI8" s="60">
        <f>INDEX(Elbow_Engine!$E$15:$E$131,57)</f>
        <v>2</v>
      </c>
      <c r="BJ8" s="60">
        <f>INDEX(Elbow_Engine!$E$15:$E$131,58)</f>
        <v>2</v>
      </c>
      <c r="BK8" s="60">
        <f>INDEX(Elbow_Engine!$E$15:$E$131,59)</f>
        <v>2</v>
      </c>
      <c r="BL8" s="60">
        <f>INDEX(Elbow_Engine!$E$15:$E$131,60)</f>
        <v>2</v>
      </c>
      <c r="BM8" s="60">
        <f>INDEX(Elbow_Engine!$E$15:$E$131,61)</f>
        <v>1</v>
      </c>
      <c r="BN8" s="60">
        <f>INDEX(Elbow_Engine!$E$15:$E$131,62)</f>
        <v>2</v>
      </c>
      <c r="BO8" s="60">
        <f>INDEX(Elbow_Engine!$E$15:$E$131,63)</f>
        <v>2</v>
      </c>
      <c r="BP8" s="60">
        <f>INDEX(Elbow_Engine!$E$15:$E$131,64)</f>
        <v>2</v>
      </c>
      <c r="BQ8" s="60">
        <f>INDEX(Elbow_Engine!$E$15:$E$131,65)</f>
        <v>2</v>
      </c>
      <c r="BR8" s="60">
        <f>INDEX(Elbow_Engine!$E$15:$E$131,66)</f>
        <v>2</v>
      </c>
      <c r="BS8" s="60">
        <f>INDEX(Elbow_Engine!$E$15:$E$131,67)</f>
        <v>2</v>
      </c>
      <c r="BT8" s="60">
        <f>INDEX(Elbow_Engine!$E$15:$E$131,68)</f>
        <v>2</v>
      </c>
      <c r="BU8" s="60">
        <f>INDEX(Elbow_Engine!$E$15:$E$131,69)</f>
        <v>2</v>
      </c>
      <c r="BV8" s="60">
        <f>INDEX(Elbow_Engine!$E$15:$E$131,70)</f>
        <v>2</v>
      </c>
      <c r="BW8" s="60">
        <f>INDEX(Elbow_Engine!$E$15:$E$131,71)</f>
        <v>2</v>
      </c>
      <c r="BX8" s="60">
        <f>INDEX(Elbow_Engine!$E$15:$E$131,72)</f>
        <v>2</v>
      </c>
      <c r="BY8" s="60">
        <f>INDEX(Elbow_Engine!$E$15:$E$131,73)</f>
        <v>2</v>
      </c>
      <c r="BZ8" s="60">
        <f>INDEX(Elbow_Engine!$E$15:$E$131,74)</f>
        <v>2</v>
      </c>
      <c r="CA8" s="60">
        <f>INDEX(Elbow_Engine!$E$15:$E$131,75)</f>
        <v>2</v>
      </c>
      <c r="CB8" s="60">
        <f>INDEX(Elbow_Engine!$E$15:$E$131,76)</f>
        <v>2</v>
      </c>
      <c r="CC8" s="60">
        <f>INDEX(Elbow_Engine!$E$15:$E$131,77)</f>
        <v>2</v>
      </c>
      <c r="CD8" s="60">
        <f>INDEX(Elbow_Engine!$E$15:$E$131,78)</f>
        <v>2</v>
      </c>
      <c r="CE8" s="60">
        <f>INDEX(Elbow_Engine!$E$15:$E$131,79)</f>
        <v>2</v>
      </c>
      <c r="CF8" s="60">
        <f>INDEX(Elbow_Engine!$E$15:$E$131,80)</f>
        <v>2</v>
      </c>
      <c r="CG8" s="60">
        <f>INDEX(Elbow_Engine!$E$15:$E$131,81)</f>
        <v>2</v>
      </c>
      <c r="CH8" s="60">
        <f>INDEX(Elbow_Engine!$E$15:$E$131,82)</f>
        <v>2</v>
      </c>
      <c r="CI8" s="60">
        <f>INDEX(Elbow_Engine!$E$15:$E$131,83)</f>
        <v>2</v>
      </c>
      <c r="CJ8" s="60">
        <f>INDEX(Elbow_Engine!$E$15:$E$131,84)</f>
        <v>2</v>
      </c>
      <c r="CK8" s="60">
        <f>INDEX(Elbow_Engine!$E$15:$E$131,85)</f>
        <v>2</v>
      </c>
      <c r="CL8" s="60">
        <f>INDEX(Elbow_Engine!$E$15:$E$131,86)</f>
        <v>2</v>
      </c>
      <c r="CM8" s="60">
        <f>INDEX(Elbow_Engine!$E$15:$E$131,87)</f>
        <v>2</v>
      </c>
      <c r="CN8" s="60">
        <f>INDEX(Elbow_Engine!$E$15:$E$131,88)</f>
        <v>2</v>
      </c>
      <c r="CO8" s="60">
        <f>INDEX(Elbow_Engine!$E$15:$E$131,89)</f>
        <v>2</v>
      </c>
      <c r="CP8" s="60">
        <f>INDEX(Elbow_Engine!$E$15:$E$131,90)</f>
        <v>2</v>
      </c>
      <c r="CQ8" s="60">
        <f>INDEX(Elbow_Engine!$E$15:$E$131,91)</f>
        <v>2</v>
      </c>
      <c r="CR8" s="60">
        <f>INDEX(Elbow_Engine!$E$15:$E$131,92)</f>
        <v>2</v>
      </c>
      <c r="CS8" s="60">
        <f>INDEX(Elbow_Engine!$E$15:$E$131,93)</f>
        <v>2</v>
      </c>
      <c r="CT8" s="60">
        <f>INDEX(Elbow_Engine!$E$15:$E$131,94)</f>
        <v>2</v>
      </c>
      <c r="CU8" s="60">
        <f>INDEX(Elbow_Engine!$E$15:$E$131,95)</f>
        <v>2</v>
      </c>
      <c r="CV8" s="60">
        <f>INDEX(Elbow_Engine!$E$15:$E$131,96)</f>
        <v>2</v>
      </c>
      <c r="CW8" s="60">
        <f>INDEX(Elbow_Engine!$E$15:$E$131,97)</f>
        <v>2</v>
      </c>
      <c r="CX8" s="60">
        <f>INDEX(Elbow_Engine!$E$15:$E$131,98)</f>
        <v>2</v>
      </c>
      <c r="CY8" s="60">
        <f>INDEX(Elbow_Engine!$E$15:$E$131,99)</f>
        <v>2</v>
      </c>
      <c r="CZ8" s="60">
        <f>INDEX(Elbow_Engine!$E$15:$E$131,100)</f>
        <v>2</v>
      </c>
      <c r="DA8" s="60">
        <f>INDEX(Elbow_Engine!$E$15:$E$131,101)</f>
        <v>2</v>
      </c>
      <c r="DB8" s="60">
        <f>INDEX(Elbow_Engine!$E$15:$E$131,102)</f>
        <v>2</v>
      </c>
      <c r="DC8" s="60">
        <f>INDEX(Elbow_Engine!$E$15:$E$131,103)</f>
        <v>2</v>
      </c>
      <c r="DD8" s="60">
        <f>INDEX(Elbow_Engine!$E$15:$E$131,104)</f>
        <v>2</v>
      </c>
      <c r="DE8" s="60">
        <f>INDEX(Elbow_Engine!$E$15:$E$131,105)</f>
        <v>2</v>
      </c>
      <c r="DF8" s="60">
        <f>INDEX(Elbow_Engine!$E$15:$E$131,106)</f>
        <v>2</v>
      </c>
      <c r="DG8" s="60">
        <f>INDEX(Elbow_Engine!$E$15:$E$131,107)</f>
        <v>2</v>
      </c>
      <c r="DH8" s="60">
        <f>INDEX(Elbow_Engine!$E$15:$E$131,108)</f>
        <v>2</v>
      </c>
      <c r="DI8" s="60">
        <f>INDEX(Elbow_Engine!$E$15:$E$131,109)</f>
        <v>2</v>
      </c>
      <c r="DJ8" s="60">
        <f>INDEX(Elbow_Engine!$E$15:$E$131,110)</f>
        <v>2</v>
      </c>
      <c r="DK8" s="60">
        <f>INDEX(Elbow_Engine!$E$15:$E$131,111)</f>
        <v>2</v>
      </c>
      <c r="DL8" s="60">
        <f>INDEX(Elbow_Engine!$E$15:$E$131,112)</f>
        <v>2</v>
      </c>
      <c r="DM8" s="60">
        <f>INDEX(Elbow_Engine!$E$15:$E$131,113)</f>
        <v>2</v>
      </c>
      <c r="DN8" s="60">
        <f>INDEX(Elbow_Engine!$E$15:$E$131,114)</f>
        <v>2</v>
      </c>
      <c r="DO8" s="60">
        <f>INDEX(Elbow_Engine!$E$15:$E$131,115)</f>
        <v>2</v>
      </c>
      <c r="DP8" s="60">
        <f>INDEX(Elbow_Engine!$E$15:$E$131,116)</f>
        <v>2</v>
      </c>
      <c r="DQ8" s="60">
        <f>INDEX(Elbow_Engine!$E$15:$E$131,117)</f>
        <v>2</v>
      </c>
    </row>
    <row r="9" spans="1:121" x14ac:dyDescent="0.25">
      <c r="A9" s="40" t="s">
        <v>513</v>
      </c>
      <c r="E9" s="60">
        <f>INDEX(KMeans_City!$E$23:$E$139,1)</f>
        <v>1</v>
      </c>
      <c r="F9" s="60">
        <f>INDEX(KMeans_City!$E$23:$E$139,2)</f>
        <v>1</v>
      </c>
      <c r="G9" s="60">
        <f>INDEX(KMeans_City!$E$23:$E$139,3)</f>
        <v>1</v>
      </c>
      <c r="H9" s="60">
        <f>INDEX(KMeans_City!$E$23:$E$139,4)</f>
        <v>1</v>
      </c>
      <c r="I9" s="60">
        <f>INDEX(KMeans_City!$E$23:$E$139,5)</f>
        <v>1</v>
      </c>
      <c r="J9" s="60">
        <f>INDEX(KMeans_City!$E$23:$E$139,6)</f>
        <v>1</v>
      </c>
      <c r="K9" s="60">
        <f>INDEX(KMeans_City!$E$23:$E$139,7)</f>
        <v>3</v>
      </c>
      <c r="L9" s="60">
        <f>INDEX(KMeans_City!$E$23:$E$139,8)</f>
        <v>3</v>
      </c>
      <c r="M9" s="60">
        <f>INDEX(KMeans_City!$E$23:$E$139,9)</f>
        <v>3</v>
      </c>
      <c r="N9" s="60">
        <f>INDEX(KMeans_City!$E$23:$E$139,10)</f>
        <v>3</v>
      </c>
      <c r="O9" s="60">
        <f>INDEX(KMeans_City!$E$23:$E$139,11)</f>
        <v>3</v>
      </c>
      <c r="P9" s="60">
        <f>INDEX(KMeans_City!$E$23:$E$139,12)</f>
        <v>3</v>
      </c>
      <c r="Q9" s="60">
        <f>INDEX(KMeans_City!$E$23:$E$139,13)</f>
        <v>3</v>
      </c>
      <c r="R9" s="60">
        <f>INDEX(KMeans_City!$E$23:$E$139,14)</f>
        <v>3</v>
      </c>
      <c r="S9" s="60">
        <f>INDEX(KMeans_City!$E$23:$E$139,15)</f>
        <v>3</v>
      </c>
      <c r="T9" s="60">
        <f>INDEX(KMeans_City!$E$23:$E$139,16)</f>
        <v>3</v>
      </c>
      <c r="U9" s="60">
        <f>INDEX(KMeans_City!$E$23:$E$139,17)</f>
        <v>3</v>
      </c>
      <c r="V9" s="60">
        <f>INDEX(KMeans_City!$E$23:$E$139,18)</f>
        <v>3</v>
      </c>
      <c r="W9" s="60">
        <f>INDEX(KMeans_City!$E$23:$E$139,19)</f>
        <v>3</v>
      </c>
      <c r="X9" s="60">
        <f>INDEX(KMeans_City!$E$23:$E$139,20)</f>
        <v>3</v>
      </c>
      <c r="Y9" s="60">
        <f>INDEX(KMeans_City!$E$23:$E$139,21)</f>
        <v>3</v>
      </c>
      <c r="Z9" s="60">
        <f>INDEX(KMeans_City!$E$23:$E$139,22)</f>
        <v>3</v>
      </c>
      <c r="AA9" s="60">
        <f>INDEX(KMeans_City!$E$23:$E$139,23)</f>
        <v>3</v>
      </c>
      <c r="AB9" s="60">
        <f>INDEX(KMeans_City!$E$23:$E$139,24)</f>
        <v>3</v>
      </c>
      <c r="AC9" s="60">
        <f>INDEX(KMeans_City!$E$23:$E$139,25)</f>
        <v>3</v>
      </c>
      <c r="AD9" s="60">
        <f>INDEX(KMeans_City!$E$23:$E$139,26)</f>
        <v>3</v>
      </c>
      <c r="AE9" s="60">
        <f>INDEX(KMeans_City!$E$23:$E$139,27)</f>
        <v>2</v>
      </c>
      <c r="AF9" s="60">
        <f>INDEX(KMeans_City!$E$23:$E$139,28)</f>
        <v>3</v>
      </c>
      <c r="AG9" s="60">
        <f>INDEX(KMeans_City!$E$23:$E$139,29)</f>
        <v>2</v>
      </c>
      <c r="AH9" s="60">
        <f>INDEX(KMeans_City!$E$23:$E$139,30)</f>
        <v>3</v>
      </c>
      <c r="AI9" s="60">
        <f>INDEX(KMeans_City!$E$23:$E$139,31)</f>
        <v>2</v>
      </c>
      <c r="AJ9" s="60">
        <f>INDEX(KMeans_City!$E$23:$E$139,32)</f>
        <v>3</v>
      </c>
      <c r="AK9" s="60">
        <f>INDEX(KMeans_City!$E$23:$E$139,33)</f>
        <v>3</v>
      </c>
      <c r="AL9" s="60">
        <f>INDEX(KMeans_City!$E$23:$E$139,34)</f>
        <v>3</v>
      </c>
      <c r="AM9" s="60">
        <f>INDEX(KMeans_City!$E$23:$E$139,35)</f>
        <v>3</v>
      </c>
      <c r="AN9" s="60">
        <f>INDEX(KMeans_City!$E$23:$E$139,36)</f>
        <v>3</v>
      </c>
      <c r="AO9" s="60">
        <f>INDEX(KMeans_City!$E$23:$E$139,37)</f>
        <v>3</v>
      </c>
      <c r="AP9" s="60">
        <f>INDEX(KMeans_City!$E$23:$E$139,38)</f>
        <v>3</v>
      </c>
      <c r="AQ9" s="60">
        <f>INDEX(KMeans_City!$E$23:$E$139,39)</f>
        <v>3</v>
      </c>
      <c r="AR9" s="60">
        <f>INDEX(KMeans_City!$E$23:$E$139,40)</f>
        <v>3</v>
      </c>
      <c r="AS9" s="60">
        <f>INDEX(KMeans_City!$E$23:$E$139,41)</f>
        <v>3</v>
      </c>
      <c r="AT9" s="60">
        <f>INDEX(KMeans_City!$E$23:$E$139,42)</f>
        <v>3</v>
      </c>
      <c r="AU9" s="60">
        <f>INDEX(KMeans_City!$E$23:$E$139,43)</f>
        <v>2</v>
      </c>
      <c r="AV9" s="60">
        <f>INDEX(KMeans_City!$E$23:$E$139,44)</f>
        <v>3</v>
      </c>
      <c r="AW9" s="60">
        <f>INDEX(KMeans_City!$E$23:$E$139,45)</f>
        <v>2</v>
      </c>
      <c r="AX9" s="60">
        <f>INDEX(KMeans_City!$E$23:$E$139,46)</f>
        <v>3</v>
      </c>
      <c r="AY9" s="60">
        <f>INDEX(KMeans_City!$E$23:$E$139,47)</f>
        <v>2</v>
      </c>
      <c r="AZ9" s="60">
        <f>INDEX(KMeans_City!$E$23:$E$139,48)</f>
        <v>3</v>
      </c>
      <c r="BA9" s="60">
        <f>INDEX(KMeans_City!$E$23:$E$139,49)</f>
        <v>3</v>
      </c>
      <c r="BB9" s="60">
        <f>INDEX(KMeans_City!$E$23:$E$139,50)</f>
        <v>2</v>
      </c>
      <c r="BC9" s="60">
        <f>INDEX(KMeans_City!$E$23:$E$139,51)</f>
        <v>2</v>
      </c>
      <c r="BD9" s="60">
        <f>INDEX(KMeans_City!$E$23:$E$139,52)</f>
        <v>2</v>
      </c>
      <c r="BE9" s="60">
        <f>INDEX(KMeans_City!$E$23:$E$139,53)</f>
        <v>2</v>
      </c>
      <c r="BF9" s="60">
        <f>INDEX(KMeans_City!$E$23:$E$139,54)</f>
        <v>3</v>
      </c>
      <c r="BG9" s="60">
        <f>INDEX(KMeans_City!$E$23:$E$139,55)</f>
        <v>3</v>
      </c>
      <c r="BH9" s="60">
        <f>INDEX(KMeans_City!$E$23:$E$139,56)</f>
        <v>2</v>
      </c>
      <c r="BI9" s="60">
        <f>INDEX(KMeans_City!$E$23:$E$139,57)</f>
        <v>2</v>
      </c>
      <c r="BJ9" s="60">
        <f>INDEX(KMeans_City!$E$23:$E$139,58)</f>
        <v>3</v>
      </c>
      <c r="BK9" s="60">
        <f>INDEX(KMeans_City!$E$23:$E$139,59)</f>
        <v>2</v>
      </c>
      <c r="BL9" s="60">
        <f>INDEX(KMeans_City!$E$23:$E$139,60)</f>
        <v>3</v>
      </c>
      <c r="BM9" s="60">
        <f>INDEX(KMeans_City!$E$23:$E$139,61)</f>
        <v>3</v>
      </c>
      <c r="BN9" s="60">
        <f>INDEX(KMeans_City!$E$23:$E$139,62)</f>
        <v>3</v>
      </c>
      <c r="BO9" s="60">
        <f>INDEX(KMeans_City!$E$23:$E$139,63)</f>
        <v>2</v>
      </c>
      <c r="BP9" s="60">
        <f>INDEX(KMeans_City!$E$23:$E$139,64)</f>
        <v>3</v>
      </c>
      <c r="BQ9" s="60">
        <f>INDEX(KMeans_City!$E$23:$E$139,65)</f>
        <v>3</v>
      </c>
      <c r="BR9" s="60">
        <f>INDEX(KMeans_City!$E$23:$E$139,66)</f>
        <v>3</v>
      </c>
      <c r="BS9" s="60">
        <f>INDEX(KMeans_City!$E$23:$E$139,67)</f>
        <v>3</v>
      </c>
      <c r="BT9" s="60">
        <f>INDEX(KMeans_City!$E$23:$E$139,68)</f>
        <v>2</v>
      </c>
      <c r="BU9" s="60">
        <f>INDEX(KMeans_City!$E$23:$E$139,69)</f>
        <v>2</v>
      </c>
      <c r="BV9" s="60">
        <f>INDEX(KMeans_City!$E$23:$E$139,70)</f>
        <v>2</v>
      </c>
      <c r="BW9" s="60">
        <f>INDEX(KMeans_City!$E$23:$E$139,71)</f>
        <v>2</v>
      </c>
      <c r="BX9" s="60">
        <f>INDEX(KMeans_City!$E$23:$E$139,72)</f>
        <v>2</v>
      </c>
      <c r="BY9" s="60">
        <f>INDEX(KMeans_City!$E$23:$E$139,73)</f>
        <v>2</v>
      </c>
      <c r="BZ9" s="60">
        <f>INDEX(KMeans_City!$E$23:$E$139,74)</f>
        <v>2</v>
      </c>
      <c r="CA9" s="60">
        <f>INDEX(KMeans_City!$E$23:$E$139,75)</f>
        <v>2</v>
      </c>
      <c r="CB9" s="60">
        <f>INDEX(KMeans_City!$E$23:$E$139,76)</f>
        <v>2</v>
      </c>
      <c r="CC9" s="60">
        <f>INDEX(KMeans_City!$E$23:$E$139,77)</f>
        <v>2</v>
      </c>
      <c r="CD9" s="60">
        <f>INDEX(KMeans_City!$E$23:$E$139,78)</f>
        <v>2</v>
      </c>
      <c r="CE9" s="60">
        <f>INDEX(KMeans_City!$E$23:$E$139,79)</f>
        <v>2</v>
      </c>
      <c r="CF9" s="60">
        <f>INDEX(KMeans_City!$E$23:$E$139,80)</f>
        <v>2</v>
      </c>
      <c r="CG9" s="60">
        <f>INDEX(KMeans_City!$E$23:$E$139,81)</f>
        <v>2</v>
      </c>
      <c r="CH9" s="60">
        <f>INDEX(KMeans_City!$E$23:$E$139,82)</f>
        <v>2</v>
      </c>
      <c r="CI9" s="60">
        <f>INDEX(KMeans_City!$E$23:$E$139,83)</f>
        <v>2</v>
      </c>
      <c r="CJ9" s="60">
        <f>INDEX(KMeans_City!$E$23:$E$139,84)</f>
        <v>2</v>
      </c>
      <c r="CK9" s="60">
        <f>INDEX(KMeans_City!$E$23:$E$139,85)</f>
        <v>2</v>
      </c>
      <c r="CL9" s="60">
        <f>INDEX(KMeans_City!$E$23:$E$139,86)</f>
        <v>2</v>
      </c>
      <c r="CM9" s="60">
        <f>INDEX(KMeans_City!$E$23:$E$139,87)</f>
        <v>2</v>
      </c>
      <c r="CN9" s="60">
        <f>INDEX(KMeans_City!$E$23:$E$139,88)</f>
        <v>3</v>
      </c>
      <c r="CO9" s="60">
        <f>INDEX(KMeans_City!$E$23:$E$139,89)</f>
        <v>2</v>
      </c>
      <c r="CP9" s="60">
        <f>INDEX(KMeans_City!$E$23:$E$139,90)</f>
        <v>2</v>
      </c>
      <c r="CQ9" s="60">
        <f>INDEX(KMeans_City!$E$23:$E$139,91)</f>
        <v>2</v>
      </c>
      <c r="CR9" s="60">
        <f>INDEX(KMeans_City!$E$23:$E$139,92)</f>
        <v>2</v>
      </c>
      <c r="CS9" s="60">
        <f>INDEX(KMeans_City!$E$23:$E$139,93)</f>
        <v>2</v>
      </c>
      <c r="CT9" s="60">
        <f>INDEX(KMeans_City!$E$23:$E$139,94)</f>
        <v>2</v>
      </c>
      <c r="CU9" s="60">
        <f>INDEX(KMeans_City!$E$23:$E$139,95)</f>
        <v>2</v>
      </c>
      <c r="CV9" s="60">
        <f>INDEX(KMeans_City!$E$23:$E$139,96)</f>
        <v>2</v>
      </c>
      <c r="CW9" s="60">
        <f>INDEX(KMeans_City!$E$23:$E$139,97)</f>
        <v>2</v>
      </c>
      <c r="CX9" s="60">
        <f>INDEX(KMeans_City!$E$23:$E$139,98)</f>
        <v>2</v>
      </c>
      <c r="CY9" s="60">
        <f>INDEX(KMeans_City!$E$23:$E$139,99)</f>
        <v>2</v>
      </c>
      <c r="CZ9" s="60">
        <f>INDEX(KMeans_City!$E$23:$E$139,100)</f>
        <v>2</v>
      </c>
      <c r="DA9" s="60">
        <f>INDEX(KMeans_City!$E$23:$E$139,101)</f>
        <v>2</v>
      </c>
      <c r="DB9" s="60">
        <f>INDEX(KMeans_City!$E$23:$E$139,102)</f>
        <v>2</v>
      </c>
      <c r="DC9" s="60">
        <f>INDEX(KMeans_City!$E$23:$E$139,103)</f>
        <v>2</v>
      </c>
      <c r="DD9" s="60">
        <f>INDEX(KMeans_City!$E$23:$E$139,104)</f>
        <v>2</v>
      </c>
      <c r="DE9" s="60">
        <f>INDEX(KMeans_City!$E$23:$E$139,105)</f>
        <v>2</v>
      </c>
      <c r="DF9" s="60">
        <f>INDEX(KMeans_City!$E$23:$E$139,106)</f>
        <v>2</v>
      </c>
      <c r="DG9" s="60">
        <f>INDEX(KMeans_City!$E$23:$E$139,107)</f>
        <v>2</v>
      </c>
      <c r="DH9" s="60">
        <f>INDEX(KMeans_City!$E$23:$E$139,108)</f>
        <v>2</v>
      </c>
      <c r="DI9" s="60">
        <f>INDEX(KMeans_City!$E$23:$E$139,109)</f>
        <v>2</v>
      </c>
      <c r="DJ9" s="60">
        <f>INDEX(KMeans_City!$E$23:$E$139,110)</f>
        <v>2</v>
      </c>
      <c r="DK9" s="60">
        <f>INDEX(KMeans_City!$E$23:$E$139,111)</f>
        <v>2</v>
      </c>
      <c r="DL9" s="60">
        <f>INDEX(KMeans_City!$E$23:$E$139,112)</f>
        <v>2</v>
      </c>
      <c r="DM9" s="60">
        <f>INDEX(KMeans_City!$E$23:$E$139,113)</f>
        <v>2</v>
      </c>
      <c r="DN9" s="60">
        <f>INDEX(KMeans_City!$E$23:$E$139,114)</f>
        <v>2</v>
      </c>
      <c r="DO9" s="60">
        <f>INDEX(KMeans_City!$E$23:$E$139,115)</f>
        <v>2</v>
      </c>
      <c r="DP9" s="60">
        <f>INDEX(KMeans_City!$E$23:$E$139,116)</f>
        <v>2</v>
      </c>
      <c r="DQ9" s="60">
        <f>INDEX(KMeans_City!$E$23:$E$139,117)</f>
        <v>2</v>
      </c>
    </row>
    <row r="10" spans="1:121" x14ac:dyDescent="0.25">
      <c r="A10" s="40" t="s">
        <v>514</v>
      </c>
      <c r="E10" s="60">
        <f>INDEX(Elbow_Engine!$E$146:$E$262,1)</f>
        <v>1</v>
      </c>
      <c r="F10" s="60">
        <f>INDEX(Elbow_Engine!$E$146:$E$262,2)</f>
        <v>1</v>
      </c>
      <c r="G10" s="60">
        <f>INDEX(Elbow_Engine!$E$146:$E$262,3)</f>
        <v>1</v>
      </c>
      <c r="H10" s="60">
        <f>INDEX(Elbow_Engine!$E$146:$E$262,4)</f>
        <v>1</v>
      </c>
      <c r="I10" s="60">
        <f>INDEX(Elbow_Engine!$E$146:$E$262,5)</f>
        <v>1</v>
      </c>
      <c r="J10" s="60">
        <f>INDEX(Elbow_Engine!$E$146:$E$262,6)</f>
        <v>1</v>
      </c>
      <c r="K10" s="60">
        <f>INDEX(Elbow_Engine!$E$146:$E$262,7)</f>
        <v>4</v>
      </c>
      <c r="L10" s="60">
        <f>INDEX(Elbow_Engine!$E$146:$E$262,8)</f>
        <v>3</v>
      </c>
      <c r="M10" s="60">
        <f>INDEX(Elbow_Engine!$E$146:$E$262,9)</f>
        <v>3</v>
      </c>
      <c r="N10" s="60">
        <f>INDEX(Elbow_Engine!$E$146:$E$262,10)</f>
        <v>4</v>
      </c>
      <c r="O10" s="60">
        <f>INDEX(Elbow_Engine!$E$146:$E$262,11)</f>
        <v>3</v>
      </c>
      <c r="P10" s="60">
        <f>INDEX(Elbow_Engine!$E$146:$E$262,12)</f>
        <v>3</v>
      </c>
      <c r="Q10" s="60">
        <f>INDEX(Elbow_Engine!$E$146:$E$262,13)</f>
        <v>3</v>
      </c>
      <c r="R10" s="60">
        <f>INDEX(Elbow_Engine!$E$146:$E$262,14)</f>
        <v>3</v>
      </c>
      <c r="S10" s="60">
        <f>INDEX(Elbow_Engine!$E$146:$E$262,15)</f>
        <v>3</v>
      </c>
      <c r="T10" s="60">
        <f>INDEX(Elbow_Engine!$E$146:$E$262,16)</f>
        <v>3</v>
      </c>
      <c r="U10" s="60">
        <f>INDEX(Elbow_Engine!$E$146:$E$262,17)</f>
        <v>3</v>
      </c>
      <c r="V10" s="60">
        <f>INDEX(Elbow_Engine!$E$146:$E$262,18)</f>
        <v>3</v>
      </c>
      <c r="W10" s="60">
        <f>INDEX(Elbow_Engine!$E$146:$E$262,19)</f>
        <v>3</v>
      </c>
      <c r="X10" s="60">
        <f>INDEX(Elbow_Engine!$E$146:$E$262,20)</f>
        <v>3</v>
      </c>
      <c r="Y10" s="60">
        <f>INDEX(Elbow_Engine!$E$146:$E$262,21)</f>
        <v>3</v>
      </c>
      <c r="Z10" s="60">
        <f>INDEX(Elbow_Engine!$E$146:$E$262,22)</f>
        <v>3</v>
      </c>
      <c r="AA10" s="60">
        <f>INDEX(Elbow_Engine!$E$146:$E$262,23)</f>
        <v>3</v>
      </c>
      <c r="AB10" s="60">
        <f>INDEX(Elbow_Engine!$E$146:$E$262,24)</f>
        <v>3</v>
      </c>
      <c r="AC10" s="60">
        <f>INDEX(Elbow_Engine!$E$146:$E$262,25)</f>
        <v>3</v>
      </c>
      <c r="AD10" s="60">
        <f>INDEX(Elbow_Engine!$E$146:$E$262,26)</f>
        <v>3</v>
      </c>
      <c r="AE10" s="60">
        <f>INDEX(Elbow_Engine!$E$146:$E$262,27)</f>
        <v>4</v>
      </c>
      <c r="AF10" s="60">
        <f>INDEX(Elbow_Engine!$E$146:$E$262,28)</f>
        <v>3</v>
      </c>
      <c r="AG10" s="60">
        <f>INDEX(Elbow_Engine!$E$146:$E$262,29)</f>
        <v>4</v>
      </c>
      <c r="AH10" s="60">
        <f>INDEX(Elbow_Engine!$E$146:$E$262,30)</f>
        <v>3</v>
      </c>
      <c r="AI10" s="60">
        <f>INDEX(Elbow_Engine!$E$146:$E$262,31)</f>
        <v>4</v>
      </c>
      <c r="AJ10" s="60">
        <f>INDEX(Elbow_Engine!$E$146:$E$262,32)</f>
        <v>3</v>
      </c>
      <c r="AK10" s="60">
        <f>INDEX(Elbow_Engine!$E$146:$E$262,33)</f>
        <v>3</v>
      </c>
      <c r="AL10" s="60">
        <f>INDEX(Elbow_Engine!$E$146:$E$262,34)</f>
        <v>3</v>
      </c>
      <c r="AM10" s="60">
        <f>INDEX(Elbow_Engine!$E$146:$E$262,35)</f>
        <v>3</v>
      </c>
      <c r="AN10" s="60">
        <f>INDEX(Elbow_Engine!$E$146:$E$262,36)</f>
        <v>3</v>
      </c>
      <c r="AO10" s="60">
        <f>INDEX(Elbow_Engine!$E$146:$E$262,37)</f>
        <v>3</v>
      </c>
      <c r="AP10" s="60">
        <f>INDEX(Elbow_Engine!$E$146:$E$262,38)</f>
        <v>3</v>
      </c>
      <c r="AQ10" s="60">
        <f>INDEX(Elbow_Engine!$E$146:$E$262,39)</f>
        <v>3</v>
      </c>
      <c r="AR10" s="60">
        <f>INDEX(Elbow_Engine!$E$146:$E$262,40)</f>
        <v>4</v>
      </c>
      <c r="AS10" s="60">
        <f>INDEX(Elbow_Engine!$E$146:$E$262,41)</f>
        <v>3</v>
      </c>
      <c r="AT10" s="60">
        <f>INDEX(Elbow_Engine!$E$146:$E$262,42)</f>
        <v>3</v>
      </c>
      <c r="AU10" s="60">
        <f>INDEX(Elbow_Engine!$E$146:$E$262,43)</f>
        <v>4</v>
      </c>
      <c r="AV10" s="60">
        <f>INDEX(Elbow_Engine!$E$146:$E$262,44)</f>
        <v>4</v>
      </c>
      <c r="AW10" s="60">
        <f>INDEX(Elbow_Engine!$E$146:$E$262,45)</f>
        <v>4</v>
      </c>
      <c r="AX10" s="60">
        <f>INDEX(Elbow_Engine!$E$146:$E$262,46)</f>
        <v>3</v>
      </c>
      <c r="AY10" s="60">
        <f>INDEX(Elbow_Engine!$E$146:$E$262,47)</f>
        <v>4</v>
      </c>
      <c r="AZ10" s="60">
        <f>INDEX(Elbow_Engine!$E$146:$E$262,48)</f>
        <v>3</v>
      </c>
      <c r="BA10" s="60">
        <f>INDEX(Elbow_Engine!$E$146:$E$262,49)</f>
        <v>3</v>
      </c>
      <c r="BB10" s="60">
        <f>INDEX(Elbow_Engine!$E$146:$E$262,50)</f>
        <v>4</v>
      </c>
      <c r="BC10" s="60">
        <f>INDEX(Elbow_Engine!$E$146:$E$262,51)</f>
        <v>4</v>
      </c>
      <c r="BD10" s="60">
        <f>INDEX(Elbow_Engine!$E$146:$E$262,52)</f>
        <v>4</v>
      </c>
      <c r="BE10" s="60">
        <f>INDEX(Elbow_Engine!$E$146:$E$262,53)</f>
        <v>4</v>
      </c>
      <c r="BF10" s="60">
        <f>INDEX(Elbow_Engine!$E$146:$E$262,54)</f>
        <v>3</v>
      </c>
      <c r="BG10" s="60">
        <f>INDEX(Elbow_Engine!$E$146:$E$262,55)</f>
        <v>3</v>
      </c>
      <c r="BH10" s="60">
        <f>INDEX(Elbow_Engine!$E$146:$E$262,56)</f>
        <v>4</v>
      </c>
      <c r="BI10" s="60">
        <f>INDEX(Elbow_Engine!$E$146:$E$262,57)</f>
        <v>4</v>
      </c>
      <c r="BJ10" s="60">
        <f>INDEX(Elbow_Engine!$E$146:$E$262,58)</f>
        <v>3</v>
      </c>
      <c r="BK10" s="60">
        <f>INDEX(Elbow_Engine!$E$146:$E$262,59)</f>
        <v>4</v>
      </c>
      <c r="BL10" s="60">
        <f>INDEX(Elbow_Engine!$E$146:$E$262,60)</f>
        <v>4</v>
      </c>
      <c r="BM10" s="60">
        <f>INDEX(Elbow_Engine!$E$146:$E$262,61)</f>
        <v>3</v>
      </c>
      <c r="BN10" s="60">
        <f>INDEX(Elbow_Engine!$E$146:$E$262,62)</f>
        <v>4</v>
      </c>
      <c r="BO10" s="60">
        <f>INDEX(Elbow_Engine!$E$146:$E$262,63)</f>
        <v>4</v>
      </c>
      <c r="BP10" s="60">
        <f>INDEX(Elbow_Engine!$E$146:$E$262,64)</f>
        <v>4</v>
      </c>
      <c r="BQ10" s="60">
        <f>INDEX(Elbow_Engine!$E$146:$E$262,65)</f>
        <v>4</v>
      </c>
      <c r="BR10" s="60">
        <f>INDEX(Elbow_Engine!$E$146:$E$262,66)</f>
        <v>4</v>
      </c>
      <c r="BS10" s="60">
        <f>INDEX(Elbow_Engine!$E$146:$E$262,67)</f>
        <v>4</v>
      </c>
      <c r="BT10" s="60">
        <f>INDEX(Elbow_Engine!$E$146:$E$262,68)</f>
        <v>4</v>
      </c>
      <c r="BU10" s="60">
        <f>INDEX(Elbow_Engine!$E$146:$E$262,69)</f>
        <v>4</v>
      </c>
      <c r="BV10" s="60">
        <f>INDEX(Elbow_Engine!$E$146:$E$262,70)</f>
        <v>4</v>
      </c>
      <c r="BW10" s="60">
        <f>INDEX(Elbow_Engine!$E$146:$E$262,71)</f>
        <v>4</v>
      </c>
      <c r="BX10" s="60">
        <f>INDEX(Elbow_Engine!$E$146:$E$262,72)</f>
        <v>4</v>
      </c>
      <c r="BY10" s="60">
        <f>INDEX(Elbow_Engine!$E$146:$E$262,73)</f>
        <v>4</v>
      </c>
      <c r="BZ10" s="60">
        <f>INDEX(Elbow_Engine!$E$146:$E$262,74)</f>
        <v>4</v>
      </c>
      <c r="CA10" s="60">
        <f>INDEX(Elbow_Engine!$E$146:$E$262,75)</f>
        <v>4</v>
      </c>
      <c r="CB10" s="60">
        <f>INDEX(Elbow_Engine!$E$146:$E$262,76)</f>
        <v>4</v>
      </c>
      <c r="CC10" s="60">
        <f>INDEX(Elbow_Engine!$E$146:$E$262,77)</f>
        <v>4</v>
      </c>
      <c r="CD10" s="60">
        <f>INDEX(Elbow_Engine!$E$146:$E$262,78)</f>
        <v>4</v>
      </c>
      <c r="CE10" s="60">
        <f>INDEX(Elbow_Engine!$E$146:$E$262,79)</f>
        <v>4</v>
      </c>
      <c r="CF10" s="60">
        <f>INDEX(Elbow_Engine!$E$146:$E$262,80)</f>
        <v>4</v>
      </c>
      <c r="CG10" s="60">
        <f>INDEX(Elbow_Engine!$E$146:$E$262,81)</f>
        <v>4</v>
      </c>
      <c r="CH10" s="60">
        <f>INDEX(Elbow_Engine!$E$146:$E$262,82)</f>
        <v>4</v>
      </c>
      <c r="CI10" s="60">
        <f>INDEX(Elbow_Engine!$E$146:$E$262,83)</f>
        <v>4</v>
      </c>
      <c r="CJ10" s="60">
        <f>INDEX(Elbow_Engine!$E$146:$E$262,84)</f>
        <v>4</v>
      </c>
      <c r="CK10" s="60">
        <f>INDEX(Elbow_Engine!$E$146:$E$262,85)</f>
        <v>4</v>
      </c>
      <c r="CL10" s="60">
        <f>INDEX(Elbow_Engine!$E$146:$E$262,86)</f>
        <v>2</v>
      </c>
      <c r="CM10" s="60">
        <f>INDEX(Elbow_Engine!$E$146:$E$262,87)</f>
        <v>4</v>
      </c>
      <c r="CN10" s="60">
        <f>INDEX(Elbow_Engine!$E$146:$E$262,88)</f>
        <v>4</v>
      </c>
      <c r="CO10" s="60">
        <f>INDEX(Elbow_Engine!$E$146:$E$262,89)</f>
        <v>4</v>
      </c>
      <c r="CP10" s="60">
        <f>INDEX(Elbow_Engine!$E$146:$E$262,90)</f>
        <v>2</v>
      </c>
      <c r="CQ10" s="60">
        <f>INDEX(Elbow_Engine!$E$146:$E$262,91)</f>
        <v>4</v>
      </c>
      <c r="CR10" s="60">
        <f>INDEX(Elbow_Engine!$E$146:$E$262,92)</f>
        <v>4</v>
      </c>
      <c r="CS10" s="60">
        <f>INDEX(Elbow_Engine!$E$146:$E$262,93)</f>
        <v>2</v>
      </c>
      <c r="CT10" s="60">
        <f>INDEX(Elbow_Engine!$E$146:$E$262,94)</f>
        <v>2</v>
      </c>
      <c r="CU10" s="60">
        <f>INDEX(Elbow_Engine!$E$146:$E$262,95)</f>
        <v>2</v>
      </c>
      <c r="CV10" s="60">
        <f>INDEX(Elbow_Engine!$E$146:$E$262,96)</f>
        <v>4</v>
      </c>
      <c r="CW10" s="60">
        <f>INDEX(Elbow_Engine!$E$146:$E$262,97)</f>
        <v>2</v>
      </c>
      <c r="CX10" s="60">
        <f>INDEX(Elbow_Engine!$E$146:$E$262,98)</f>
        <v>4</v>
      </c>
      <c r="CY10" s="60">
        <f>INDEX(Elbow_Engine!$E$146:$E$262,99)</f>
        <v>2</v>
      </c>
      <c r="CZ10" s="60">
        <f>INDEX(Elbow_Engine!$E$146:$E$262,100)</f>
        <v>2</v>
      </c>
      <c r="DA10" s="60">
        <f>INDEX(Elbow_Engine!$E$146:$E$262,101)</f>
        <v>2</v>
      </c>
      <c r="DB10" s="60">
        <f>INDEX(Elbow_Engine!$E$146:$E$262,102)</f>
        <v>2</v>
      </c>
      <c r="DC10" s="60">
        <f>INDEX(Elbow_Engine!$E$146:$E$262,103)</f>
        <v>2</v>
      </c>
      <c r="DD10" s="60">
        <f>INDEX(Elbow_Engine!$E$146:$E$262,104)</f>
        <v>2</v>
      </c>
      <c r="DE10" s="60">
        <f>INDEX(Elbow_Engine!$E$146:$E$262,105)</f>
        <v>2</v>
      </c>
      <c r="DF10" s="60">
        <f>INDEX(Elbow_Engine!$E$146:$E$262,106)</f>
        <v>2</v>
      </c>
      <c r="DG10" s="60">
        <f>INDEX(Elbow_Engine!$E$146:$E$262,107)</f>
        <v>2</v>
      </c>
      <c r="DH10" s="60">
        <f>INDEX(Elbow_Engine!$E$146:$E$262,108)</f>
        <v>2</v>
      </c>
      <c r="DI10" s="60">
        <f>INDEX(Elbow_Engine!$E$146:$E$262,109)</f>
        <v>2</v>
      </c>
      <c r="DJ10" s="60">
        <f>INDEX(Elbow_Engine!$E$146:$E$262,110)</f>
        <v>2</v>
      </c>
      <c r="DK10" s="60">
        <f>INDEX(Elbow_Engine!$E$146:$E$262,111)</f>
        <v>2</v>
      </c>
      <c r="DL10" s="60">
        <f>INDEX(Elbow_Engine!$E$146:$E$262,112)</f>
        <v>2</v>
      </c>
      <c r="DM10" s="60">
        <f>INDEX(Elbow_Engine!$E$146:$E$262,113)</f>
        <v>2</v>
      </c>
      <c r="DN10" s="60">
        <f>INDEX(Elbow_Engine!$E$146:$E$262,114)</f>
        <v>2</v>
      </c>
      <c r="DO10" s="60">
        <f>INDEX(Elbow_Engine!$E$146:$E$262,115)</f>
        <v>2</v>
      </c>
      <c r="DP10" s="60">
        <f>INDEX(Elbow_Engine!$E$146:$E$262,116)</f>
        <v>2</v>
      </c>
      <c r="DQ10" s="60">
        <f>INDEX(Elbow_Engine!$E$146:$E$262,117)</f>
        <v>2</v>
      </c>
    </row>
    <row r="11" spans="1:121" x14ac:dyDescent="0.25">
      <c r="A11" s="40" t="s">
        <v>515</v>
      </c>
      <c r="E11" s="60">
        <f>INDEX(Elbow_Engine!$E$277:$E$393,1)</f>
        <v>1</v>
      </c>
      <c r="F11" s="60">
        <f>INDEX(Elbow_Engine!$E$277:$E$393,2)</f>
        <v>1</v>
      </c>
      <c r="G11" s="60">
        <f>INDEX(Elbow_Engine!$E$277:$E$393,3)</f>
        <v>5</v>
      </c>
      <c r="H11" s="60">
        <f>INDEX(Elbow_Engine!$E$277:$E$393,4)</f>
        <v>5</v>
      </c>
      <c r="I11" s="60">
        <f>INDEX(Elbow_Engine!$E$277:$E$393,5)</f>
        <v>5</v>
      </c>
      <c r="J11" s="60">
        <f>INDEX(Elbow_Engine!$E$277:$E$393,6)</f>
        <v>5</v>
      </c>
      <c r="K11" s="60">
        <f>INDEX(Elbow_Engine!$E$277:$E$393,7)</f>
        <v>4</v>
      </c>
      <c r="L11" s="60">
        <f>INDEX(Elbow_Engine!$E$277:$E$393,8)</f>
        <v>3</v>
      </c>
      <c r="M11" s="60">
        <f>INDEX(Elbow_Engine!$E$277:$E$393,9)</f>
        <v>3</v>
      </c>
      <c r="N11" s="60">
        <f>INDEX(Elbow_Engine!$E$277:$E$393,10)</f>
        <v>4</v>
      </c>
      <c r="O11" s="60">
        <f>INDEX(Elbow_Engine!$E$277:$E$393,11)</f>
        <v>3</v>
      </c>
      <c r="P11" s="60">
        <f>INDEX(Elbow_Engine!$E$277:$E$393,12)</f>
        <v>5</v>
      </c>
      <c r="Q11" s="60">
        <f>INDEX(Elbow_Engine!$E$277:$E$393,13)</f>
        <v>3</v>
      </c>
      <c r="R11" s="60">
        <f>INDEX(Elbow_Engine!$E$277:$E$393,14)</f>
        <v>3</v>
      </c>
      <c r="S11" s="60">
        <f>INDEX(Elbow_Engine!$E$277:$E$393,15)</f>
        <v>3</v>
      </c>
      <c r="T11" s="60">
        <f>INDEX(Elbow_Engine!$E$277:$E$393,16)</f>
        <v>3</v>
      </c>
      <c r="U11" s="60">
        <f>INDEX(Elbow_Engine!$E$277:$E$393,17)</f>
        <v>3</v>
      </c>
      <c r="V11" s="60">
        <f>INDEX(Elbow_Engine!$E$277:$E$393,18)</f>
        <v>3</v>
      </c>
      <c r="W11" s="60">
        <f>INDEX(Elbow_Engine!$E$277:$E$393,19)</f>
        <v>3</v>
      </c>
      <c r="X11" s="60">
        <f>INDEX(Elbow_Engine!$E$277:$E$393,20)</f>
        <v>3</v>
      </c>
      <c r="Y11" s="60">
        <f>INDEX(Elbow_Engine!$E$277:$E$393,21)</f>
        <v>3</v>
      </c>
      <c r="Z11" s="60">
        <f>INDEX(Elbow_Engine!$E$277:$E$393,22)</f>
        <v>3</v>
      </c>
      <c r="AA11" s="60">
        <f>INDEX(Elbow_Engine!$E$277:$E$393,23)</f>
        <v>3</v>
      </c>
      <c r="AB11" s="60">
        <f>INDEX(Elbow_Engine!$E$277:$E$393,24)</f>
        <v>3</v>
      </c>
      <c r="AC11" s="60">
        <f>INDEX(Elbow_Engine!$E$277:$E$393,25)</f>
        <v>3</v>
      </c>
      <c r="AD11" s="60">
        <f>INDEX(Elbow_Engine!$E$277:$E$393,26)</f>
        <v>3</v>
      </c>
      <c r="AE11" s="60">
        <f>INDEX(Elbow_Engine!$E$277:$E$393,27)</f>
        <v>4</v>
      </c>
      <c r="AF11" s="60">
        <f>INDEX(Elbow_Engine!$E$277:$E$393,28)</f>
        <v>3</v>
      </c>
      <c r="AG11" s="60">
        <f>INDEX(Elbow_Engine!$E$277:$E$393,29)</f>
        <v>4</v>
      </c>
      <c r="AH11" s="60">
        <f>INDEX(Elbow_Engine!$E$277:$E$393,30)</f>
        <v>3</v>
      </c>
      <c r="AI11" s="60">
        <f>INDEX(Elbow_Engine!$E$277:$E$393,31)</f>
        <v>4</v>
      </c>
      <c r="AJ11" s="60">
        <f>INDEX(Elbow_Engine!$E$277:$E$393,32)</f>
        <v>3</v>
      </c>
      <c r="AK11" s="60">
        <f>INDEX(Elbow_Engine!$E$277:$E$393,33)</f>
        <v>3</v>
      </c>
      <c r="AL11" s="60">
        <f>INDEX(Elbow_Engine!$E$277:$E$393,34)</f>
        <v>3</v>
      </c>
      <c r="AM11" s="60">
        <f>INDEX(Elbow_Engine!$E$277:$E$393,35)</f>
        <v>3</v>
      </c>
      <c r="AN11" s="60">
        <f>INDEX(Elbow_Engine!$E$277:$E$393,36)</f>
        <v>3</v>
      </c>
      <c r="AO11" s="60">
        <f>INDEX(Elbow_Engine!$E$277:$E$393,37)</f>
        <v>3</v>
      </c>
      <c r="AP11" s="60">
        <f>INDEX(Elbow_Engine!$E$277:$E$393,38)</f>
        <v>3</v>
      </c>
      <c r="AQ11" s="60">
        <f>INDEX(Elbow_Engine!$E$277:$E$393,39)</f>
        <v>3</v>
      </c>
      <c r="AR11" s="60">
        <f>INDEX(Elbow_Engine!$E$277:$E$393,40)</f>
        <v>4</v>
      </c>
      <c r="AS11" s="60">
        <f>INDEX(Elbow_Engine!$E$277:$E$393,41)</f>
        <v>3</v>
      </c>
      <c r="AT11" s="60">
        <f>INDEX(Elbow_Engine!$E$277:$E$393,42)</f>
        <v>3</v>
      </c>
      <c r="AU11" s="60">
        <f>INDEX(Elbow_Engine!$E$277:$E$393,43)</f>
        <v>4</v>
      </c>
      <c r="AV11" s="60">
        <f>INDEX(Elbow_Engine!$E$277:$E$393,44)</f>
        <v>4</v>
      </c>
      <c r="AW11" s="60">
        <f>INDEX(Elbow_Engine!$E$277:$E$393,45)</f>
        <v>4</v>
      </c>
      <c r="AX11" s="60">
        <f>INDEX(Elbow_Engine!$E$277:$E$393,46)</f>
        <v>3</v>
      </c>
      <c r="AY11" s="60">
        <f>INDEX(Elbow_Engine!$E$277:$E$393,47)</f>
        <v>4</v>
      </c>
      <c r="AZ11" s="60">
        <f>INDEX(Elbow_Engine!$E$277:$E$393,48)</f>
        <v>3</v>
      </c>
      <c r="BA11" s="60">
        <f>INDEX(Elbow_Engine!$E$277:$E$393,49)</f>
        <v>3</v>
      </c>
      <c r="BB11" s="60">
        <f>INDEX(Elbow_Engine!$E$277:$E$393,50)</f>
        <v>4</v>
      </c>
      <c r="BC11" s="60">
        <f>INDEX(Elbow_Engine!$E$277:$E$393,51)</f>
        <v>4</v>
      </c>
      <c r="BD11" s="60">
        <f>INDEX(Elbow_Engine!$E$277:$E$393,52)</f>
        <v>4</v>
      </c>
      <c r="BE11" s="60">
        <f>INDEX(Elbow_Engine!$E$277:$E$393,53)</f>
        <v>4</v>
      </c>
      <c r="BF11" s="60">
        <f>INDEX(Elbow_Engine!$E$277:$E$393,54)</f>
        <v>3</v>
      </c>
      <c r="BG11" s="60">
        <f>INDEX(Elbow_Engine!$E$277:$E$393,55)</f>
        <v>3</v>
      </c>
      <c r="BH11" s="60">
        <f>INDEX(Elbow_Engine!$E$277:$E$393,56)</f>
        <v>4</v>
      </c>
      <c r="BI11" s="60">
        <f>INDEX(Elbow_Engine!$E$277:$E$393,57)</f>
        <v>4</v>
      </c>
      <c r="BJ11" s="60">
        <f>INDEX(Elbow_Engine!$E$277:$E$393,58)</f>
        <v>3</v>
      </c>
      <c r="BK11" s="60">
        <f>INDEX(Elbow_Engine!$E$277:$E$393,59)</f>
        <v>4</v>
      </c>
      <c r="BL11" s="60">
        <f>INDEX(Elbow_Engine!$E$277:$E$393,60)</f>
        <v>4</v>
      </c>
      <c r="BM11" s="60">
        <f>INDEX(Elbow_Engine!$E$277:$E$393,61)</f>
        <v>3</v>
      </c>
      <c r="BN11" s="60">
        <f>INDEX(Elbow_Engine!$E$277:$E$393,62)</f>
        <v>4</v>
      </c>
      <c r="BO11" s="60">
        <f>INDEX(Elbow_Engine!$E$277:$E$393,63)</f>
        <v>4</v>
      </c>
      <c r="BP11" s="60">
        <f>INDEX(Elbow_Engine!$E$277:$E$393,64)</f>
        <v>4</v>
      </c>
      <c r="BQ11" s="60">
        <f>INDEX(Elbow_Engine!$E$277:$E$393,65)</f>
        <v>4</v>
      </c>
      <c r="BR11" s="60">
        <f>INDEX(Elbow_Engine!$E$277:$E$393,66)</f>
        <v>4</v>
      </c>
      <c r="BS11" s="60">
        <f>INDEX(Elbow_Engine!$E$277:$E$393,67)</f>
        <v>4</v>
      </c>
      <c r="BT11" s="60">
        <f>INDEX(Elbow_Engine!$E$277:$E$393,68)</f>
        <v>4</v>
      </c>
      <c r="BU11" s="60">
        <f>INDEX(Elbow_Engine!$E$277:$E$393,69)</f>
        <v>4</v>
      </c>
      <c r="BV11" s="60">
        <f>INDEX(Elbow_Engine!$E$277:$E$393,70)</f>
        <v>4</v>
      </c>
      <c r="BW11" s="60">
        <f>INDEX(Elbow_Engine!$E$277:$E$393,71)</f>
        <v>4</v>
      </c>
      <c r="BX11" s="60">
        <f>INDEX(Elbow_Engine!$E$277:$E$393,72)</f>
        <v>4</v>
      </c>
      <c r="BY11" s="60">
        <f>INDEX(Elbow_Engine!$E$277:$E$393,73)</f>
        <v>4</v>
      </c>
      <c r="BZ11" s="60">
        <f>INDEX(Elbow_Engine!$E$277:$E$393,74)</f>
        <v>4</v>
      </c>
      <c r="CA11" s="60">
        <f>INDEX(Elbow_Engine!$E$277:$E$393,75)</f>
        <v>4</v>
      </c>
      <c r="CB11" s="60">
        <f>INDEX(Elbow_Engine!$E$277:$E$393,76)</f>
        <v>4</v>
      </c>
      <c r="CC11" s="60">
        <f>INDEX(Elbow_Engine!$E$277:$E$393,77)</f>
        <v>4</v>
      </c>
      <c r="CD11" s="60">
        <f>INDEX(Elbow_Engine!$E$277:$E$393,78)</f>
        <v>4</v>
      </c>
      <c r="CE11" s="60">
        <f>INDEX(Elbow_Engine!$E$277:$E$393,79)</f>
        <v>4</v>
      </c>
      <c r="CF11" s="60">
        <f>INDEX(Elbow_Engine!$E$277:$E$393,80)</f>
        <v>4</v>
      </c>
      <c r="CG11" s="60">
        <f>INDEX(Elbow_Engine!$E$277:$E$393,81)</f>
        <v>4</v>
      </c>
      <c r="CH11" s="60">
        <f>INDEX(Elbow_Engine!$E$277:$E$393,82)</f>
        <v>4</v>
      </c>
      <c r="CI11" s="60">
        <f>INDEX(Elbow_Engine!$E$277:$E$393,83)</f>
        <v>4</v>
      </c>
      <c r="CJ11" s="60">
        <f>INDEX(Elbow_Engine!$E$277:$E$393,84)</f>
        <v>4</v>
      </c>
      <c r="CK11" s="60">
        <f>INDEX(Elbow_Engine!$E$277:$E$393,85)</f>
        <v>4</v>
      </c>
      <c r="CL11" s="60">
        <f>INDEX(Elbow_Engine!$E$277:$E$393,86)</f>
        <v>2</v>
      </c>
      <c r="CM11" s="60">
        <f>INDEX(Elbow_Engine!$E$277:$E$393,87)</f>
        <v>4</v>
      </c>
      <c r="CN11" s="60">
        <f>INDEX(Elbow_Engine!$E$277:$E$393,88)</f>
        <v>4</v>
      </c>
      <c r="CO11" s="60">
        <f>INDEX(Elbow_Engine!$E$277:$E$393,89)</f>
        <v>4</v>
      </c>
      <c r="CP11" s="60">
        <f>INDEX(Elbow_Engine!$E$277:$E$393,90)</f>
        <v>2</v>
      </c>
      <c r="CQ11" s="60">
        <f>INDEX(Elbow_Engine!$E$277:$E$393,91)</f>
        <v>4</v>
      </c>
      <c r="CR11" s="60">
        <f>INDEX(Elbow_Engine!$E$277:$E$393,92)</f>
        <v>4</v>
      </c>
      <c r="CS11" s="60">
        <f>INDEX(Elbow_Engine!$E$277:$E$393,93)</f>
        <v>2</v>
      </c>
      <c r="CT11" s="60">
        <f>INDEX(Elbow_Engine!$E$277:$E$393,94)</f>
        <v>2</v>
      </c>
      <c r="CU11" s="60">
        <f>INDEX(Elbow_Engine!$E$277:$E$393,95)</f>
        <v>2</v>
      </c>
      <c r="CV11" s="60">
        <f>INDEX(Elbow_Engine!$E$277:$E$393,96)</f>
        <v>4</v>
      </c>
      <c r="CW11" s="60">
        <f>INDEX(Elbow_Engine!$E$277:$E$393,97)</f>
        <v>2</v>
      </c>
      <c r="CX11" s="60">
        <f>INDEX(Elbow_Engine!$E$277:$E$393,98)</f>
        <v>4</v>
      </c>
      <c r="CY11" s="60">
        <f>INDEX(Elbow_Engine!$E$277:$E$393,99)</f>
        <v>2</v>
      </c>
      <c r="CZ11" s="60">
        <f>INDEX(Elbow_Engine!$E$277:$E$393,100)</f>
        <v>2</v>
      </c>
      <c r="DA11" s="60">
        <f>INDEX(Elbow_Engine!$E$277:$E$393,101)</f>
        <v>2</v>
      </c>
      <c r="DB11" s="60">
        <f>INDEX(Elbow_Engine!$E$277:$E$393,102)</f>
        <v>2</v>
      </c>
      <c r="DC11" s="60">
        <f>INDEX(Elbow_Engine!$E$277:$E$393,103)</f>
        <v>2</v>
      </c>
      <c r="DD11" s="60">
        <f>INDEX(Elbow_Engine!$E$277:$E$393,104)</f>
        <v>2</v>
      </c>
      <c r="DE11" s="60">
        <f>INDEX(Elbow_Engine!$E$277:$E$393,105)</f>
        <v>2</v>
      </c>
      <c r="DF11" s="60">
        <f>INDEX(Elbow_Engine!$E$277:$E$393,106)</f>
        <v>2</v>
      </c>
      <c r="DG11" s="60">
        <f>INDEX(Elbow_Engine!$E$277:$E$393,107)</f>
        <v>2</v>
      </c>
      <c r="DH11" s="60">
        <f>INDEX(Elbow_Engine!$E$277:$E$393,108)</f>
        <v>2</v>
      </c>
      <c r="DI11" s="60">
        <f>INDEX(Elbow_Engine!$E$277:$E$393,109)</f>
        <v>2</v>
      </c>
      <c r="DJ11" s="60">
        <f>INDEX(Elbow_Engine!$E$277:$E$393,110)</f>
        <v>2</v>
      </c>
      <c r="DK11" s="60">
        <f>INDEX(Elbow_Engine!$E$277:$E$393,111)</f>
        <v>2</v>
      </c>
      <c r="DL11" s="60">
        <f>INDEX(Elbow_Engine!$E$277:$E$393,112)</f>
        <v>2</v>
      </c>
      <c r="DM11" s="60">
        <f>INDEX(Elbow_Engine!$E$277:$E$393,113)</f>
        <v>2</v>
      </c>
      <c r="DN11" s="60">
        <f>INDEX(Elbow_Engine!$E$277:$E$393,114)</f>
        <v>2</v>
      </c>
      <c r="DO11" s="60">
        <f>INDEX(Elbow_Engine!$E$277:$E$393,115)</f>
        <v>2</v>
      </c>
      <c r="DP11" s="60">
        <f>INDEX(Elbow_Engine!$E$277:$E$393,116)</f>
        <v>2</v>
      </c>
      <c r="DQ11" s="60">
        <f>INDEX(Elbow_Engine!$E$277:$E$393,117)</f>
        <v>2</v>
      </c>
    </row>
    <row r="12" spans="1:121" x14ac:dyDescent="0.25">
      <c r="A12" s="40" t="s">
        <v>516</v>
      </c>
      <c r="E12" s="60">
        <f>INDEX(Elbow_Engine!$E$408:$E$524,1)</f>
        <v>1</v>
      </c>
      <c r="F12" s="60">
        <f>INDEX(Elbow_Engine!$E$408:$E$524,2)</f>
        <v>1</v>
      </c>
      <c r="G12" s="60">
        <f>INDEX(Elbow_Engine!$E$408:$E$524,3)</f>
        <v>5</v>
      </c>
      <c r="H12" s="60">
        <f>INDEX(Elbow_Engine!$E$408:$E$524,4)</f>
        <v>5</v>
      </c>
      <c r="I12" s="60">
        <f>INDEX(Elbow_Engine!$E$408:$E$524,5)</f>
        <v>5</v>
      </c>
      <c r="J12" s="60">
        <f>INDEX(Elbow_Engine!$E$408:$E$524,6)</f>
        <v>5</v>
      </c>
      <c r="K12" s="60">
        <f>INDEX(Elbow_Engine!$E$408:$E$524,7)</f>
        <v>4</v>
      </c>
      <c r="L12" s="60">
        <f>INDEX(Elbow_Engine!$E$408:$E$524,8)</f>
        <v>3</v>
      </c>
      <c r="M12" s="60">
        <f>INDEX(Elbow_Engine!$E$408:$E$524,9)</f>
        <v>3</v>
      </c>
      <c r="N12" s="60">
        <f>INDEX(Elbow_Engine!$E$408:$E$524,10)</f>
        <v>4</v>
      </c>
      <c r="O12" s="60">
        <f>INDEX(Elbow_Engine!$E$408:$E$524,11)</f>
        <v>3</v>
      </c>
      <c r="P12" s="60">
        <f>INDEX(Elbow_Engine!$E$408:$E$524,12)</f>
        <v>3</v>
      </c>
      <c r="Q12" s="60">
        <f>INDEX(Elbow_Engine!$E$408:$E$524,13)</f>
        <v>3</v>
      </c>
      <c r="R12" s="60">
        <f>INDEX(Elbow_Engine!$E$408:$E$524,14)</f>
        <v>3</v>
      </c>
      <c r="S12" s="60">
        <f>INDEX(Elbow_Engine!$E$408:$E$524,15)</f>
        <v>3</v>
      </c>
      <c r="T12" s="60">
        <f>INDEX(Elbow_Engine!$E$408:$E$524,16)</f>
        <v>3</v>
      </c>
      <c r="U12" s="60">
        <f>INDEX(Elbow_Engine!$E$408:$E$524,17)</f>
        <v>3</v>
      </c>
      <c r="V12" s="60">
        <f>INDEX(Elbow_Engine!$E$408:$E$524,18)</f>
        <v>3</v>
      </c>
      <c r="W12" s="60">
        <f>INDEX(Elbow_Engine!$E$408:$E$524,19)</f>
        <v>3</v>
      </c>
      <c r="X12" s="60">
        <f>INDEX(Elbow_Engine!$E$408:$E$524,20)</f>
        <v>3</v>
      </c>
      <c r="Y12" s="60">
        <f>INDEX(Elbow_Engine!$E$408:$E$524,21)</f>
        <v>3</v>
      </c>
      <c r="Z12" s="60">
        <f>INDEX(Elbow_Engine!$E$408:$E$524,22)</f>
        <v>3</v>
      </c>
      <c r="AA12" s="60">
        <f>INDEX(Elbow_Engine!$E$408:$E$524,23)</f>
        <v>3</v>
      </c>
      <c r="AB12" s="60">
        <f>INDEX(Elbow_Engine!$E$408:$E$524,24)</f>
        <v>3</v>
      </c>
      <c r="AC12" s="60">
        <f>INDEX(Elbow_Engine!$E$408:$E$524,25)</f>
        <v>3</v>
      </c>
      <c r="AD12" s="60">
        <f>INDEX(Elbow_Engine!$E$408:$E$524,26)</f>
        <v>3</v>
      </c>
      <c r="AE12" s="60">
        <f>INDEX(Elbow_Engine!$E$408:$E$524,27)</f>
        <v>4</v>
      </c>
      <c r="AF12" s="60">
        <f>INDEX(Elbow_Engine!$E$408:$E$524,28)</f>
        <v>3</v>
      </c>
      <c r="AG12" s="60">
        <f>INDEX(Elbow_Engine!$E$408:$E$524,29)</f>
        <v>4</v>
      </c>
      <c r="AH12" s="60">
        <f>INDEX(Elbow_Engine!$E$408:$E$524,30)</f>
        <v>3</v>
      </c>
      <c r="AI12" s="60">
        <f>INDEX(Elbow_Engine!$E$408:$E$524,31)</f>
        <v>4</v>
      </c>
      <c r="AJ12" s="60">
        <f>INDEX(Elbow_Engine!$E$408:$E$524,32)</f>
        <v>3</v>
      </c>
      <c r="AK12" s="60">
        <f>INDEX(Elbow_Engine!$E$408:$E$524,33)</f>
        <v>3</v>
      </c>
      <c r="AL12" s="60">
        <f>INDEX(Elbow_Engine!$E$408:$E$524,34)</f>
        <v>6</v>
      </c>
      <c r="AM12" s="60">
        <f>INDEX(Elbow_Engine!$E$408:$E$524,35)</f>
        <v>3</v>
      </c>
      <c r="AN12" s="60">
        <f>INDEX(Elbow_Engine!$E$408:$E$524,36)</f>
        <v>3</v>
      </c>
      <c r="AO12" s="60">
        <f>INDEX(Elbow_Engine!$E$408:$E$524,37)</f>
        <v>3</v>
      </c>
      <c r="AP12" s="60">
        <f>INDEX(Elbow_Engine!$E$408:$E$524,38)</f>
        <v>3</v>
      </c>
      <c r="AQ12" s="60">
        <f>INDEX(Elbow_Engine!$E$408:$E$524,39)</f>
        <v>3</v>
      </c>
      <c r="AR12" s="60">
        <f>INDEX(Elbow_Engine!$E$408:$E$524,40)</f>
        <v>6</v>
      </c>
      <c r="AS12" s="60">
        <f>INDEX(Elbow_Engine!$E$408:$E$524,41)</f>
        <v>6</v>
      </c>
      <c r="AT12" s="60">
        <f>INDEX(Elbow_Engine!$E$408:$E$524,42)</f>
        <v>6</v>
      </c>
      <c r="AU12" s="60">
        <f>INDEX(Elbow_Engine!$E$408:$E$524,43)</f>
        <v>4</v>
      </c>
      <c r="AV12" s="60">
        <f>INDEX(Elbow_Engine!$E$408:$E$524,44)</f>
        <v>6</v>
      </c>
      <c r="AW12" s="60">
        <f>INDEX(Elbow_Engine!$E$408:$E$524,45)</f>
        <v>4</v>
      </c>
      <c r="AX12" s="60">
        <f>INDEX(Elbow_Engine!$E$408:$E$524,46)</f>
        <v>6</v>
      </c>
      <c r="AY12" s="60">
        <f>INDEX(Elbow_Engine!$E$408:$E$524,47)</f>
        <v>4</v>
      </c>
      <c r="AZ12" s="60">
        <f>INDEX(Elbow_Engine!$E$408:$E$524,48)</f>
        <v>6</v>
      </c>
      <c r="BA12" s="60">
        <f>INDEX(Elbow_Engine!$E$408:$E$524,49)</f>
        <v>6</v>
      </c>
      <c r="BB12" s="60">
        <f>INDEX(Elbow_Engine!$E$408:$E$524,50)</f>
        <v>4</v>
      </c>
      <c r="BC12" s="60">
        <f>INDEX(Elbow_Engine!$E$408:$E$524,51)</f>
        <v>4</v>
      </c>
      <c r="BD12" s="60">
        <f>INDEX(Elbow_Engine!$E$408:$E$524,52)</f>
        <v>4</v>
      </c>
      <c r="BE12" s="60">
        <f>INDEX(Elbow_Engine!$E$408:$E$524,53)</f>
        <v>4</v>
      </c>
      <c r="BF12" s="60">
        <f>INDEX(Elbow_Engine!$E$408:$E$524,54)</f>
        <v>3</v>
      </c>
      <c r="BG12" s="60">
        <f>INDEX(Elbow_Engine!$E$408:$E$524,55)</f>
        <v>6</v>
      </c>
      <c r="BH12" s="60">
        <f>INDEX(Elbow_Engine!$E$408:$E$524,56)</f>
        <v>4</v>
      </c>
      <c r="BI12" s="60">
        <f>INDEX(Elbow_Engine!$E$408:$E$524,57)</f>
        <v>4</v>
      </c>
      <c r="BJ12" s="60">
        <f>INDEX(Elbow_Engine!$E$408:$E$524,58)</f>
        <v>6</v>
      </c>
      <c r="BK12" s="60">
        <f>INDEX(Elbow_Engine!$E$408:$E$524,59)</f>
        <v>4</v>
      </c>
      <c r="BL12" s="60">
        <f>INDEX(Elbow_Engine!$E$408:$E$524,60)</f>
        <v>6</v>
      </c>
      <c r="BM12" s="60">
        <f>INDEX(Elbow_Engine!$E$408:$E$524,61)</f>
        <v>3</v>
      </c>
      <c r="BN12" s="60">
        <f>INDEX(Elbow_Engine!$E$408:$E$524,62)</f>
        <v>6</v>
      </c>
      <c r="BO12" s="60">
        <f>INDEX(Elbow_Engine!$E$408:$E$524,63)</f>
        <v>4</v>
      </c>
      <c r="BP12" s="60">
        <f>INDEX(Elbow_Engine!$E$408:$E$524,64)</f>
        <v>6</v>
      </c>
      <c r="BQ12" s="60">
        <f>INDEX(Elbow_Engine!$E$408:$E$524,65)</f>
        <v>6</v>
      </c>
      <c r="BR12" s="60">
        <f>INDEX(Elbow_Engine!$E$408:$E$524,66)</f>
        <v>6</v>
      </c>
      <c r="BS12" s="60">
        <f>INDEX(Elbow_Engine!$E$408:$E$524,67)</f>
        <v>6</v>
      </c>
      <c r="BT12" s="60">
        <f>INDEX(Elbow_Engine!$E$408:$E$524,68)</f>
        <v>6</v>
      </c>
      <c r="BU12" s="60">
        <f>INDEX(Elbow_Engine!$E$408:$E$524,69)</f>
        <v>6</v>
      </c>
      <c r="BV12" s="60">
        <f>INDEX(Elbow_Engine!$E$408:$E$524,70)</f>
        <v>4</v>
      </c>
      <c r="BW12" s="60">
        <f>INDEX(Elbow_Engine!$E$408:$E$524,71)</f>
        <v>6</v>
      </c>
      <c r="BX12" s="60">
        <f>INDEX(Elbow_Engine!$E$408:$E$524,72)</f>
        <v>4</v>
      </c>
      <c r="BY12" s="60">
        <f>INDEX(Elbow_Engine!$E$408:$E$524,73)</f>
        <v>6</v>
      </c>
      <c r="BZ12" s="60">
        <f>INDEX(Elbow_Engine!$E$408:$E$524,74)</f>
        <v>6</v>
      </c>
      <c r="CA12" s="60">
        <f>INDEX(Elbow_Engine!$E$408:$E$524,75)</f>
        <v>4</v>
      </c>
      <c r="CB12" s="60">
        <f>INDEX(Elbow_Engine!$E$408:$E$524,76)</f>
        <v>6</v>
      </c>
      <c r="CC12" s="60">
        <f>INDEX(Elbow_Engine!$E$408:$E$524,77)</f>
        <v>4</v>
      </c>
      <c r="CD12" s="60">
        <f>INDEX(Elbow_Engine!$E$408:$E$524,78)</f>
        <v>4</v>
      </c>
      <c r="CE12" s="60">
        <f>INDEX(Elbow_Engine!$E$408:$E$524,79)</f>
        <v>6</v>
      </c>
      <c r="CF12" s="60">
        <f>INDEX(Elbow_Engine!$E$408:$E$524,80)</f>
        <v>6</v>
      </c>
      <c r="CG12" s="60">
        <f>INDEX(Elbow_Engine!$E$408:$E$524,81)</f>
        <v>6</v>
      </c>
      <c r="CH12" s="60">
        <f>INDEX(Elbow_Engine!$E$408:$E$524,82)</f>
        <v>6</v>
      </c>
      <c r="CI12" s="60">
        <f>INDEX(Elbow_Engine!$E$408:$E$524,83)</f>
        <v>4</v>
      </c>
      <c r="CJ12" s="60">
        <f>INDEX(Elbow_Engine!$E$408:$E$524,84)</f>
        <v>4</v>
      </c>
      <c r="CK12" s="60">
        <f>INDEX(Elbow_Engine!$E$408:$E$524,85)</f>
        <v>6</v>
      </c>
      <c r="CL12" s="60">
        <f>INDEX(Elbow_Engine!$E$408:$E$524,86)</f>
        <v>2</v>
      </c>
      <c r="CM12" s="60">
        <f>INDEX(Elbow_Engine!$E$408:$E$524,87)</f>
        <v>6</v>
      </c>
      <c r="CN12" s="60">
        <f>INDEX(Elbow_Engine!$E$408:$E$524,88)</f>
        <v>6</v>
      </c>
      <c r="CO12" s="60">
        <f>INDEX(Elbow_Engine!$E$408:$E$524,89)</f>
        <v>6</v>
      </c>
      <c r="CP12" s="60">
        <f>INDEX(Elbow_Engine!$E$408:$E$524,90)</f>
        <v>2</v>
      </c>
      <c r="CQ12" s="60">
        <f>INDEX(Elbow_Engine!$E$408:$E$524,91)</f>
        <v>2</v>
      </c>
      <c r="CR12" s="60">
        <f>INDEX(Elbow_Engine!$E$408:$E$524,92)</f>
        <v>2</v>
      </c>
      <c r="CS12" s="60">
        <f>INDEX(Elbow_Engine!$E$408:$E$524,93)</f>
        <v>2</v>
      </c>
      <c r="CT12" s="60">
        <f>INDEX(Elbow_Engine!$E$408:$E$524,94)</f>
        <v>2</v>
      </c>
      <c r="CU12" s="60">
        <f>INDEX(Elbow_Engine!$E$408:$E$524,95)</f>
        <v>2</v>
      </c>
      <c r="CV12" s="60">
        <f>INDEX(Elbow_Engine!$E$408:$E$524,96)</f>
        <v>6</v>
      </c>
      <c r="CW12" s="60">
        <f>INDEX(Elbow_Engine!$E$408:$E$524,97)</f>
        <v>2</v>
      </c>
      <c r="CX12" s="60">
        <f>INDEX(Elbow_Engine!$E$408:$E$524,98)</f>
        <v>6</v>
      </c>
      <c r="CY12" s="60">
        <f>INDEX(Elbow_Engine!$E$408:$E$524,99)</f>
        <v>2</v>
      </c>
      <c r="CZ12" s="60">
        <f>INDEX(Elbow_Engine!$E$408:$E$524,100)</f>
        <v>2</v>
      </c>
      <c r="DA12" s="60">
        <f>INDEX(Elbow_Engine!$E$408:$E$524,101)</f>
        <v>2</v>
      </c>
      <c r="DB12" s="60">
        <f>INDEX(Elbow_Engine!$E$408:$E$524,102)</f>
        <v>2</v>
      </c>
      <c r="DC12" s="60">
        <f>INDEX(Elbow_Engine!$E$408:$E$524,103)</f>
        <v>2</v>
      </c>
      <c r="DD12" s="60">
        <f>INDEX(Elbow_Engine!$E$408:$E$524,104)</f>
        <v>2</v>
      </c>
      <c r="DE12" s="60">
        <f>INDEX(Elbow_Engine!$E$408:$E$524,105)</f>
        <v>2</v>
      </c>
      <c r="DF12" s="60">
        <f>INDEX(Elbow_Engine!$E$408:$E$524,106)</f>
        <v>2</v>
      </c>
      <c r="DG12" s="60">
        <f>INDEX(Elbow_Engine!$E$408:$E$524,107)</f>
        <v>2</v>
      </c>
      <c r="DH12" s="60">
        <f>INDEX(Elbow_Engine!$E$408:$E$524,108)</f>
        <v>2</v>
      </c>
      <c r="DI12" s="60">
        <f>INDEX(Elbow_Engine!$E$408:$E$524,109)</f>
        <v>2</v>
      </c>
      <c r="DJ12" s="60">
        <f>INDEX(Elbow_Engine!$E$408:$E$524,110)</f>
        <v>2</v>
      </c>
      <c r="DK12" s="60">
        <f>INDEX(Elbow_Engine!$E$408:$E$524,111)</f>
        <v>2</v>
      </c>
      <c r="DL12" s="60">
        <f>INDEX(Elbow_Engine!$E$408:$E$524,112)</f>
        <v>2</v>
      </c>
      <c r="DM12" s="60">
        <f>INDEX(Elbow_Engine!$E$408:$E$524,113)</f>
        <v>2</v>
      </c>
      <c r="DN12" s="60">
        <f>INDEX(Elbow_Engine!$E$408:$E$524,114)</f>
        <v>2</v>
      </c>
      <c r="DO12" s="60">
        <f>INDEX(Elbow_Engine!$E$408:$E$524,115)</f>
        <v>2</v>
      </c>
      <c r="DP12" s="60">
        <f>INDEX(Elbow_Engine!$E$408:$E$524,116)</f>
        <v>2</v>
      </c>
      <c r="DQ12" s="60">
        <f>INDEX(Elbow_Engine!$E$408:$E$524,117)</f>
        <v>2</v>
      </c>
    </row>
    <row r="13" spans="1:121" ht="31.5" customHeight="1" x14ac:dyDescent="0.25">
      <c r="A13" s="11" t="s">
        <v>89</v>
      </c>
      <c r="B13" s="11" t="s">
        <v>445</v>
      </c>
      <c r="C13" s="11" t="s">
        <v>446</v>
      </c>
      <c r="D13" s="11" t="s">
        <v>447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</row>
    <row r="14" spans="1:121" x14ac:dyDescent="0.25">
      <c r="A14" s="48" t="str">
        <f>KMeans_Data!A5</f>
        <v>Karachi</v>
      </c>
      <c r="B14" s="59">
        <f>KMeans_Data!H5</f>
        <v>3.2743087782752069</v>
      </c>
      <c r="C14" s="59">
        <f>KMeans_Data!I5</f>
        <v>4.0388517969113016</v>
      </c>
      <c r="D14" s="59">
        <f>KMeans_Data!J5</f>
        <v>3.2527128596020467</v>
      </c>
      <c r="E14" s="61">
        <f t="shared" ref="E14:N23" si="0">SQRT(($B14-E$5)^2+($C14-E$6)^2+($D14-E$7)^2)</f>
        <v>0</v>
      </c>
      <c r="F14" s="61">
        <f t="shared" si="0"/>
        <v>0.58473740689887399</v>
      </c>
      <c r="G14" s="61">
        <f t="shared" si="0"/>
        <v>2.1556297504391493</v>
      </c>
      <c r="H14" s="61">
        <f t="shared" si="0"/>
        <v>1.9214318612792127</v>
      </c>
      <c r="I14" s="61">
        <f t="shared" si="0"/>
        <v>2.7444013573462209</v>
      </c>
      <c r="J14" s="61">
        <f t="shared" si="0"/>
        <v>3.1164934246659244</v>
      </c>
      <c r="K14" s="61">
        <f t="shared" si="0"/>
        <v>5.9504874931858787</v>
      </c>
      <c r="L14" s="61">
        <f t="shared" si="0"/>
        <v>4.1727070517104679</v>
      </c>
      <c r="M14" s="61">
        <f t="shared" si="0"/>
        <v>3.8049688595258218</v>
      </c>
      <c r="N14" s="61">
        <f t="shared" si="0"/>
        <v>6.2000657083427848</v>
      </c>
      <c r="O14" s="61">
        <f t="shared" ref="O14:X23" si="1">SQRT(($B14-O$5)^2+($C14-O$6)^2+($D14-O$7)^2)</f>
        <v>4.0306685209580886</v>
      </c>
      <c r="P14" s="61">
        <f t="shared" si="1"/>
        <v>3.757169974840902</v>
      </c>
      <c r="Q14" s="61">
        <f t="shared" si="1"/>
        <v>4.3557396558667527</v>
      </c>
      <c r="R14" s="61">
        <f t="shared" si="1"/>
        <v>4.6451579272007946</v>
      </c>
      <c r="S14" s="61">
        <f t="shared" si="1"/>
        <v>5.1970094204493611</v>
      </c>
      <c r="T14" s="61">
        <f t="shared" si="1"/>
        <v>4.4346274447006611</v>
      </c>
      <c r="U14" s="61">
        <f t="shared" si="1"/>
        <v>4.6814537702265193</v>
      </c>
      <c r="V14" s="61">
        <f t="shared" si="1"/>
        <v>4.4571842215707198</v>
      </c>
      <c r="W14" s="61">
        <f t="shared" si="1"/>
        <v>4.2790585979296116</v>
      </c>
      <c r="X14" s="61">
        <f t="shared" si="1"/>
        <v>4.6150099077019524</v>
      </c>
      <c r="Y14" s="61">
        <f t="shared" ref="Y14:AH23" si="2">SQRT(($B14-Y$5)^2+($C14-Y$6)^2+($D14-Y$7)^2)</f>
        <v>4.5365573847970895</v>
      </c>
      <c r="Z14" s="61">
        <f t="shared" si="2"/>
        <v>4.8583672348654217</v>
      </c>
      <c r="AA14" s="61">
        <f t="shared" si="2"/>
        <v>5.1481691193932422</v>
      </c>
      <c r="AB14" s="61">
        <f t="shared" si="2"/>
        <v>5.0075852088878463</v>
      </c>
      <c r="AC14" s="61">
        <f t="shared" si="2"/>
        <v>4.4442382127810589</v>
      </c>
      <c r="AD14" s="61">
        <f t="shared" si="2"/>
        <v>4.5774421255084663</v>
      </c>
      <c r="AE14" s="61">
        <f t="shared" si="2"/>
        <v>6.6163799696290333</v>
      </c>
      <c r="AF14" s="61">
        <f t="shared" si="2"/>
        <v>4.903216967148734</v>
      </c>
      <c r="AG14" s="61">
        <f t="shared" si="2"/>
        <v>6.5429996922998921</v>
      </c>
      <c r="AH14" s="61">
        <f t="shared" si="2"/>
        <v>5.3310034929576178</v>
      </c>
      <c r="AI14" s="61">
        <f t="shared" ref="AI14:AR23" si="3">SQRT(($B14-AI$5)^2+($C14-AI$6)^2+($D14-AI$7)^2)</f>
        <v>6.5443042851341469</v>
      </c>
      <c r="AJ14" s="61">
        <f t="shared" si="3"/>
        <v>4.9077486940462336</v>
      </c>
      <c r="AK14" s="61">
        <f t="shared" si="3"/>
        <v>5.4512731124576481</v>
      </c>
      <c r="AL14" s="61">
        <f t="shared" si="3"/>
        <v>5.7093441936674045</v>
      </c>
      <c r="AM14" s="61">
        <f t="shared" si="3"/>
        <v>4.8498232359863591</v>
      </c>
      <c r="AN14" s="61">
        <f t="shared" si="3"/>
        <v>4.7688298155952484</v>
      </c>
      <c r="AO14" s="61">
        <f t="shared" si="3"/>
        <v>5.3691092076194247</v>
      </c>
      <c r="AP14" s="61">
        <f t="shared" si="3"/>
        <v>5.4119772224383986</v>
      </c>
      <c r="AQ14" s="61">
        <f t="shared" si="3"/>
        <v>4.7703842622670001</v>
      </c>
      <c r="AR14" s="61">
        <f t="shared" si="3"/>
        <v>5.8702245972691269</v>
      </c>
      <c r="AS14" s="61">
        <f t="shared" ref="AS14:BB23" si="4">SQRT(($B14-AS$5)^2+($C14-AS$6)^2+($D14-AS$7)^2)</f>
        <v>5.997391976545833</v>
      </c>
      <c r="AT14" s="61">
        <f t="shared" si="4"/>
        <v>5.7155539104585298</v>
      </c>
      <c r="AU14" s="61">
        <f t="shared" si="4"/>
        <v>6.4590993672190296</v>
      </c>
      <c r="AV14" s="61">
        <f t="shared" si="4"/>
        <v>6.2290550244489014</v>
      </c>
      <c r="AW14" s="61">
        <f t="shared" si="4"/>
        <v>6.9308663269636464</v>
      </c>
      <c r="AX14" s="61">
        <f t="shared" si="4"/>
        <v>5.7041330215925905</v>
      </c>
      <c r="AY14" s="61">
        <f t="shared" si="4"/>
        <v>7.1406705471015224</v>
      </c>
      <c r="AZ14" s="61">
        <f t="shared" si="4"/>
        <v>6.0475538042601258</v>
      </c>
      <c r="BA14" s="61">
        <f t="shared" si="4"/>
        <v>5.748328281005314</v>
      </c>
      <c r="BB14" s="61">
        <f t="shared" si="4"/>
        <v>7.1434907577509605</v>
      </c>
      <c r="BC14" s="61">
        <f t="shared" ref="BC14:BL23" si="5">SQRT(($B14-BC$5)^2+($C14-BC$6)^2+($D14-BC$7)^2)</f>
        <v>7.1463518740909944</v>
      </c>
      <c r="BD14" s="61">
        <f t="shared" si="5"/>
        <v>6.7792676747337426</v>
      </c>
      <c r="BE14" s="61">
        <f t="shared" si="5"/>
        <v>6.645700219429111</v>
      </c>
      <c r="BF14" s="61">
        <f t="shared" si="5"/>
        <v>4.8045779357516958</v>
      </c>
      <c r="BG14" s="61">
        <f t="shared" si="5"/>
        <v>5.8763954941776619</v>
      </c>
      <c r="BH14" s="61">
        <f t="shared" si="5"/>
        <v>7.1914209448379909</v>
      </c>
      <c r="BI14" s="61">
        <f t="shared" si="5"/>
        <v>7.1987648607522274</v>
      </c>
      <c r="BJ14" s="61">
        <f t="shared" si="5"/>
        <v>5.7697307870114276</v>
      </c>
      <c r="BK14" s="61">
        <f t="shared" si="5"/>
        <v>6.798642989836301</v>
      </c>
      <c r="BL14" s="61">
        <f t="shared" si="5"/>
        <v>6.425480929982732</v>
      </c>
      <c r="BM14" s="61">
        <f t="shared" ref="BM14:BV23" si="6">SQRT(($B14-BM$5)^2+($C14-BM$6)^2+($D14-BM$7)^2)</f>
        <v>5.5402469095381823</v>
      </c>
      <c r="BN14" s="61">
        <f t="shared" si="6"/>
        <v>6.0293492978854237</v>
      </c>
      <c r="BO14" s="61">
        <f t="shared" si="6"/>
        <v>7.0690702006543615</v>
      </c>
      <c r="BP14" s="61">
        <f t="shared" si="6"/>
        <v>5.9449744144455829</v>
      </c>
      <c r="BQ14" s="61">
        <f t="shared" si="6"/>
        <v>6.1007521178289013</v>
      </c>
      <c r="BR14" s="61">
        <f t="shared" si="6"/>
        <v>6.091443757222688</v>
      </c>
      <c r="BS14" s="61">
        <f t="shared" si="6"/>
        <v>6.4135297684832393</v>
      </c>
      <c r="BT14" s="61">
        <f t="shared" si="6"/>
        <v>6.6127372640193443</v>
      </c>
      <c r="BU14" s="61">
        <f t="shared" si="6"/>
        <v>6.6522414095383775</v>
      </c>
      <c r="BV14" s="61">
        <f t="shared" si="6"/>
        <v>7.3508166372041472</v>
      </c>
      <c r="BW14" s="61">
        <f t="shared" ref="BW14:CF23" si="7">SQRT(($B14-BW$5)^2+($C14-BW$6)^2+($D14-BW$7)^2)</f>
        <v>6.6029959991080132</v>
      </c>
      <c r="BX14" s="61">
        <f t="shared" si="7"/>
        <v>7.3585302822416772</v>
      </c>
      <c r="BY14" s="61">
        <f t="shared" si="7"/>
        <v>6.8439501868573736</v>
      </c>
      <c r="BZ14" s="61">
        <f t="shared" si="7"/>
        <v>6.8844268357778047</v>
      </c>
      <c r="CA14" s="61">
        <f t="shared" si="7"/>
        <v>7.3833858290521244</v>
      </c>
      <c r="CB14" s="61">
        <f t="shared" si="7"/>
        <v>6.8939988968562389</v>
      </c>
      <c r="CC14" s="61">
        <f t="shared" si="7"/>
        <v>7.39231183279799</v>
      </c>
      <c r="CD14" s="61">
        <f t="shared" si="7"/>
        <v>7.4112748787545444</v>
      </c>
      <c r="CE14" s="61">
        <f t="shared" si="7"/>
        <v>6.784830788256877</v>
      </c>
      <c r="CF14" s="61">
        <f t="shared" si="7"/>
        <v>6.3834526327003553</v>
      </c>
      <c r="CG14" s="61">
        <f t="shared" ref="CG14:CP23" si="8">SQRT(($B14-CG$5)^2+($C14-CG$6)^2+($D14-CG$7)^2)</f>
        <v>6.6999482057459137</v>
      </c>
      <c r="CH14" s="61">
        <f t="shared" si="8"/>
        <v>7.0403370809162977</v>
      </c>
      <c r="CI14" s="61">
        <f t="shared" si="8"/>
        <v>7.1208456226614238</v>
      </c>
      <c r="CJ14" s="61">
        <f t="shared" si="8"/>
        <v>7.3092925798473285</v>
      </c>
      <c r="CK14" s="61">
        <f t="shared" si="8"/>
        <v>6.9320982715787478</v>
      </c>
      <c r="CL14" s="61">
        <f t="shared" si="8"/>
        <v>7.5392108031360259</v>
      </c>
      <c r="CM14" s="61">
        <f t="shared" si="8"/>
        <v>7.0869805101477814</v>
      </c>
      <c r="CN14" s="61">
        <f t="shared" si="8"/>
        <v>6.3444455343865602</v>
      </c>
      <c r="CO14" s="61">
        <f t="shared" si="8"/>
        <v>6.7432716431257811</v>
      </c>
      <c r="CP14" s="61">
        <f t="shared" si="8"/>
        <v>7.595834527091335</v>
      </c>
      <c r="CQ14" s="61">
        <f t="shared" ref="CQ14:CZ23" si="9">SQRT(($B14-CQ$5)^2+($C14-CQ$6)^2+($D14-CQ$7)^2)</f>
        <v>7.2131090036106817</v>
      </c>
      <c r="CR14" s="61">
        <f t="shared" si="9"/>
        <v>7.1964396719425361</v>
      </c>
      <c r="CS14" s="61">
        <f t="shared" si="9"/>
        <v>7.6421954132838588</v>
      </c>
      <c r="CT14" s="61">
        <f t="shared" si="9"/>
        <v>7.6689619977801469</v>
      </c>
      <c r="CU14" s="61">
        <f t="shared" si="9"/>
        <v>7.1703290216323134</v>
      </c>
      <c r="CV14" s="61">
        <f t="shared" si="9"/>
        <v>6.9565010417417197</v>
      </c>
      <c r="CW14" s="61">
        <f t="shared" si="9"/>
        <v>7.6689619977801469</v>
      </c>
      <c r="CX14" s="61">
        <f t="shared" si="9"/>
        <v>7.1226294067257934</v>
      </c>
      <c r="CY14" s="61">
        <f t="shared" si="9"/>
        <v>7.6988147546876338</v>
      </c>
      <c r="CZ14" s="61">
        <f t="shared" si="9"/>
        <v>7.6988147546876338</v>
      </c>
      <c r="DA14" s="61">
        <f t="shared" ref="DA14:DJ23" si="10">SQRT(($B14-DA$5)^2+($C14-DA$6)^2+($D14-DA$7)^2)</f>
        <v>7.3507445801816038</v>
      </c>
      <c r="DB14" s="61">
        <f t="shared" si="10"/>
        <v>7.7325112391913207</v>
      </c>
      <c r="DC14" s="61">
        <f t="shared" si="10"/>
        <v>7.7325112391913207</v>
      </c>
      <c r="DD14" s="61">
        <f t="shared" si="10"/>
        <v>7.454703706650184</v>
      </c>
      <c r="DE14" s="61">
        <f t="shared" si="10"/>
        <v>7.6400948807562985</v>
      </c>
      <c r="DF14" s="61">
        <f t="shared" si="10"/>
        <v>7.9375096538498271</v>
      </c>
      <c r="DG14" s="61">
        <f t="shared" si="10"/>
        <v>8.0258166331110399</v>
      </c>
      <c r="DH14" s="61">
        <f t="shared" si="10"/>
        <v>8.0258166331110399</v>
      </c>
      <c r="DI14" s="61">
        <f t="shared" si="10"/>
        <v>8.0258166331110399</v>
      </c>
      <c r="DJ14" s="61">
        <f t="shared" si="10"/>
        <v>8.0258166331110399</v>
      </c>
      <c r="DK14" s="61">
        <f t="shared" ref="DK14:DQ23" si="11">SQRT(($B14-DK$5)^2+($C14-DK$6)^2+($D14-DK$7)^2)</f>
        <v>8.153323730623006</v>
      </c>
      <c r="DL14" s="61">
        <f t="shared" si="11"/>
        <v>8.153323730623006</v>
      </c>
      <c r="DM14" s="61">
        <f t="shared" si="11"/>
        <v>8.153323730623006</v>
      </c>
      <c r="DN14" s="61">
        <f t="shared" si="11"/>
        <v>8.153323730623006</v>
      </c>
      <c r="DO14" s="61">
        <f t="shared" si="11"/>
        <v>8.153323730623006</v>
      </c>
      <c r="DP14" s="61">
        <f t="shared" si="11"/>
        <v>8.3791178007212217</v>
      </c>
      <c r="DQ14" s="61">
        <f t="shared" si="11"/>
        <v>8.3791178007212217</v>
      </c>
    </row>
    <row r="15" spans="1:121" x14ac:dyDescent="0.25">
      <c r="A15" s="48" t="str">
        <f>KMeans_Data!A6</f>
        <v>Lahore</v>
      </c>
      <c r="B15" s="59">
        <f>KMeans_Data!H6</f>
        <v>3.2501513961754349</v>
      </c>
      <c r="C15" s="59">
        <f>KMeans_Data!I6</f>
        <v>4.1568410370911772</v>
      </c>
      <c r="D15" s="59">
        <f>KMeans_Data!J6</f>
        <v>2.680512898820258</v>
      </c>
      <c r="E15" s="61">
        <f t="shared" si="0"/>
        <v>0.58473740689887399</v>
      </c>
      <c r="F15" s="61">
        <f t="shared" si="0"/>
        <v>0</v>
      </c>
      <c r="G15" s="61">
        <f t="shared" si="0"/>
        <v>2.0854100918094183</v>
      </c>
      <c r="H15" s="61">
        <f t="shared" si="0"/>
        <v>1.5019450606752023</v>
      </c>
      <c r="I15" s="61">
        <f t="shared" si="0"/>
        <v>2.5504991903982757</v>
      </c>
      <c r="J15" s="61">
        <f t="shared" si="0"/>
        <v>2.8852247876948312</v>
      </c>
      <c r="K15" s="61">
        <f t="shared" si="0"/>
        <v>5.6485434181513678</v>
      </c>
      <c r="L15" s="61">
        <f t="shared" si="0"/>
        <v>4.0866025254355725</v>
      </c>
      <c r="M15" s="61">
        <f t="shared" si="0"/>
        <v>3.6888199711396874</v>
      </c>
      <c r="N15" s="61">
        <f t="shared" si="0"/>
        <v>5.9164561934445965</v>
      </c>
      <c r="O15" s="61">
        <f t="shared" si="1"/>
        <v>3.8077003098726885</v>
      </c>
      <c r="P15" s="61">
        <f t="shared" si="1"/>
        <v>3.5359901973282084</v>
      </c>
      <c r="Q15" s="61">
        <f t="shared" si="1"/>
        <v>4.1760350283371936</v>
      </c>
      <c r="R15" s="61">
        <f t="shared" si="1"/>
        <v>4.5426180354302428</v>
      </c>
      <c r="S15" s="61">
        <f t="shared" si="1"/>
        <v>5.0835082673535474</v>
      </c>
      <c r="T15" s="61">
        <f t="shared" si="1"/>
        <v>4.2466807171959333</v>
      </c>
      <c r="U15" s="61">
        <f t="shared" si="1"/>
        <v>4.5929723037445029</v>
      </c>
      <c r="V15" s="61">
        <f t="shared" si="1"/>
        <v>4.2075899618400081</v>
      </c>
      <c r="W15" s="61">
        <f t="shared" si="1"/>
        <v>4.0631549867511163</v>
      </c>
      <c r="X15" s="61">
        <f t="shared" si="1"/>
        <v>4.4441289232369678</v>
      </c>
      <c r="Y15" s="61">
        <f t="shared" si="2"/>
        <v>4.3926006151949402</v>
      </c>
      <c r="Z15" s="61">
        <f t="shared" si="2"/>
        <v>4.6448026983838</v>
      </c>
      <c r="AA15" s="61">
        <f t="shared" si="2"/>
        <v>5.0016272685818253</v>
      </c>
      <c r="AB15" s="61">
        <f t="shared" si="2"/>
        <v>4.812728500772347</v>
      </c>
      <c r="AC15" s="61">
        <f t="shared" si="2"/>
        <v>4.2082689649124569</v>
      </c>
      <c r="AD15" s="61">
        <f t="shared" si="2"/>
        <v>4.4356607332410452</v>
      </c>
      <c r="AE15" s="61">
        <f t="shared" si="2"/>
        <v>6.3202600745793749</v>
      </c>
      <c r="AF15" s="61">
        <f t="shared" si="2"/>
        <v>4.7246611522898423</v>
      </c>
      <c r="AG15" s="61">
        <f t="shared" si="2"/>
        <v>6.3209418094309999</v>
      </c>
      <c r="AH15" s="61">
        <f t="shared" si="2"/>
        <v>5.1689875552894788</v>
      </c>
      <c r="AI15" s="61">
        <f t="shared" si="3"/>
        <v>6.3222801341890342</v>
      </c>
      <c r="AJ15" s="61">
        <f t="shared" si="3"/>
        <v>4.7615981384513324</v>
      </c>
      <c r="AK15" s="61">
        <f t="shared" si="3"/>
        <v>5.2340441818867705</v>
      </c>
      <c r="AL15" s="61">
        <f t="shared" si="3"/>
        <v>5.5408341386271118</v>
      </c>
      <c r="AM15" s="61">
        <f t="shared" si="3"/>
        <v>4.5808724041844169</v>
      </c>
      <c r="AN15" s="61">
        <f t="shared" si="3"/>
        <v>4.5531575497909316</v>
      </c>
      <c r="AO15" s="61">
        <f t="shared" si="3"/>
        <v>5.1760270880774852</v>
      </c>
      <c r="AP15" s="61">
        <f t="shared" si="3"/>
        <v>5.2117257450614796</v>
      </c>
      <c r="AQ15" s="61">
        <f t="shared" si="3"/>
        <v>4.5397837130114027</v>
      </c>
      <c r="AR15" s="61">
        <f t="shared" si="3"/>
        <v>5.6360349126501452</v>
      </c>
      <c r="AS15" s="61">
        <f t="shared" si="4"/>
        <v>5.8918674643797244</v>
      </c>
      <c r="AT15" s="61">
        <f t="shared" si="4"/>
        <v>5.5691931302459041</v>
      </c>
      <c r="AU15" s="61">
        <f t="shared" si="4"/>
        <v>6.2010679372729482</v>
      </c>
      <c r="AV15" s="61">
        <f t="shared" si="4"/>
        <v>6.08078349184626</v>
      </c>
      <c r="AW15" s="61">
        <f t="shared" si="4"/>
        <v>6.684165615349305</v>
      </c>
      <c r="AX15" s="61">
        <f t="shared" si="4"/>
        <v>5.5101371010775004</v>
      </c>
      <c r="AY15" s="61">
        <f t="shared" si="4"/>
        <v>6.8746592722253723</v>
      </c>
      <c r="AZ15" s="61">
        <f t="shared" si="4"/>
        <v>5.9445232974074473</v>
      </c>
      <c r="BA15" s="61">
        <f t="shared" si="4"/>
        <v>5.6046830954629137</v>
      </c>
      <c r="BB15" s="61">
        <f t="shared" si="4"/>
        <v>6.8775655679978485</v>
      </c>
      <c r="BC15" s="61">
        <f t="shared" si="5"/>
        <v>6.8805139854445745</v>
      </c>
      <c r="BD15" s="61">
        <f t="shared" si="5"/>
        <v>6.5546754079781362</v>
      </c>
      <c r="BE15" s="61">
        <f t="shared" si="5"/>
        <v>6.4394656619626085</v>
      </c>
      <c r="BF15" s="61">
        <f t="shared" si="5"/>
        <v>4.5896474479325082</v>
      </c>
      <c r="BG15" s="61">
        <f t="shared" si="5"/>
        <v>5.717831311777112</v>
      </c>
      <c r="BH15" s="61">
        <f t="shared" si="5"/>
        <v>6.9269537459761095</v>
      </c>
      <c r="BI15" s="61">
        <f t="shared" si="5"/>
        <v>6.9345201815562314</v>
      </c>
      <c r="BJ15" s="61">
        <f t="shared" si="5"/>
        <v>5.530168574969256</v>
      </c>
      <c r="BK15" s="61">
        <f t="shared" si="5"/>
        <v>6.5831133029260647</v>
      </c>
      <c r="BL15" s="61">
        <f t="shared" si="5"/>
        <v>6.2670941543467187</v>
      </c>
      <c r="BM15" s="61">
        <f t="shared" si="6"/>
        <v>5.343423053146835</v>
      </c>
      <c r="BN15" s="61">
        <f t="shared" si="6"/>
        <v>5.8117634131380234</v>
      </c>
      <c r="BO15" s="61">
        <f t="shared" si="6"/>
        <v>6.8262911900440226</v>
      </c>
      <c r="BP15" s="61">
        <f t="shared" si="6"/>
        <v>5.7461232267828333</v>
      </c>
      <c r="BQ15" s="61">
        <f t="shared" si="6"/>
        <v>5.9244964504303868</v>
      </c>
      <c r="BR15" s="61">
        <f t="shared" si="6"/>
        <v>5.9195331051094691</v>
      </c>
      <c r="BS15" s="61">
        <f t="shared" si="6"/>
        <v>6.275479499736293</v>
      </c>
      <c r="BT15" s="61">
        <f t="shared" si="6"/>
        <v>6.4430393438691524</v>
      </c>
      <c r="BU15" s="61">
        <f t="shared" si="6"/>
        <v>6.4761170225158775</v>
      </c>
      <c r="BV15" s="61">
        <f t="shared" si="6"/>
        <v>7.0911213412386749</v>
      </c>
      <c r="BW15" s="61">
        <f t="shared" si="7"/>
        <v>6.4410769896430198</v>
      </c>
      <c r="BX15" s="61">
        <f t="shared" si="7"/>
        <v>7.0990626677772806</v>
      </c>
      <c r="BY15" s="61">
        <f t="shared" si="7"/>
        <v>6.6475176824738629</v>
      </c>
      <c r="BZ15" s="61">
        <f t="shared" si="7"/>
        <v>6.6838241474163942</v>
      </c>
      <c r="CA15" s="61">
        <f t="shared" si="7"/>
        <v>7.1246497271741891</v>
      </c>
      <c r="CB15" s="61">
        <f t="shared" si="7"/>
        <v>6.6936171646117213</v>
      </c>
      <c r="CC15" s="61">
        <f t="shared" si="7"/>
        <v>7.1338376241488302</v>
      </c>
      <c r="CD15" s="61">
        <f t="shared" si="7"/>
        <v>7.1533556318114231</v>
      </c>
      <c r="CE15" s="61">
        <f t="shared" si="7"/>
        <v>6.6058041345071912</v>
      </c>
      <c r="CF15" s="61">
        <f t="shared" si="7"/>
        <v>6.1917083949654224</v>
      </c>
      <c r="CG15" s="61">
        <f t="shared" si="8"/>
        <v>6.4697799512865375</v>
      </c>
      <c r="CH15" s="61">
        <f t="shared" si="8"/>
        <v>6.830749524631031</v>
      </c>
      <c r="CI15" s="61">
        <f t="shared" si="8"/>
        <v>6.904962309619231</v>
      </c>
      <c r="CJ15" s="61">
        <f t="shared" si="8"/>
        <v>7.0731146754003884</v>
      </c>
      <c r="CK15" s="61">
        <f t="shared" si="8"/>
        <v>6.7496976474230763</v>
      </c>
      <c r="CL15" s="61">
        <f t="shared" si="8"/>
        <v>7.2849840242657811</v>
      </c>
      <c r="CM15" s="61">
        <f t="shared" si="8"/>
        <v>6.8852569735042453</v>
      </c>
      <c r="CN15" s="61">
        <f t="shared" si="8"/>
        <v>6.1956616787015468</v>
      </c>
      <c r="CO15" s="61">
        <f t="shared" si="8"/>
        <v>6.5327233845402342</v>
      </c>
      <c r="CP15" s="61">
        <f t="shared" si="8"/>
        <v>7.3432127494024195</v>
      </c>
      <c r="CQ15" s="61">
        <f t="shared" si="9"/>
        <v>7.0076024593509914</v>
      </c>
      <c r="CR15" s="61">
        <f t="shared" si="9"/>
        <v>6.9971989114006776</v>
      </c>
      <c r="CS15" s="61">
        <f t="shared" si="9"/>
        <v>7.3908741870177739</v>
      </c>
      <c r="CT15" s="61">
        <f t="shared" si="9"/>
        <v>7.4183860731507734</v>
      </c>
      <c r="CU15" s="61">
        <f t="shared" si="9"/>
        <v>6.9192936756143801</v>
      </c>
      <c r="CV15" s="61">
        <f t="shared" si="9"/>
        <v>6.7990370312386146</v>
      </c>
      <c r="CW15" s="61">
        <f t="shared" si="9"/>
        <v>7.4183860731507734</v>
      </c>
      <c r="CX15" s="61">
        <f t="shared" si="9"/>
        <v>6.9440830014645831</v>
      </c>
      <c r="CY15" s="61">
        <f t="shared" si="9"/>
        <v>7.4490652432169808</v>
      </c>
      <c r="CZ15" s="61">
        <f t="shared" si="9"/>
        <v>7.4490652432169808</v>
      </c>
      <c r="DA15" s="61">
        <f t="shared" si="10"/>
        <v>7.140408140692263</v>
      </c>
      <c r="DB15" s="61">
        <f t="shared" si="10"/>
        <v>7.4836884366753393</v>
      </c>
      <c r="DC15" s="61">
        <f t="shared" si="10"/>
        <v>7.4836884366753393</v>
      </c>
      <c r="DD15" s="61">
        <f t="shared" si="10"/>
        <v>7.2366476331446297</v>
      </c>
      <c r="DE15" s="61">
        <f t="shared" si="10"/>
        <v>7.4125068132462371</v>
      </c>
      <c r="DF15" s="61">
        <f t="shared" si="10"/>
        <v>7.6941855911649712</v>
      </c>
      <c r="DG15" s="61">
        <f t="shared" si="10"/>
        <v>7.7847884280926083</v>
      </c>
      <c r="DH15" s="61">
        <f t="shared" si="10"/>
        <v>7.7847884280926083</v>
      </c>
      <c r="DI15" s="61">
        <f t="shared" si="10"/>
        <v>7.7847884280926083</v>
      </c>
      <c r="DJ15" s="61">
        <f t="shared" si="10"/>
        <v>7.7847884280926083</v>
      </c>
      <c r="DK15" s="61">
        <f t="shared" si="11"/>
        <v>7.9155347334210528</v>
      </c>
      <c r="DL15" s="61">
        <f t="shared" si="11"/>
        <v>7.9155347334210528</v>
      </c>
      <c r="DM15" s="61">
        <f t="shared" si="11"/>
        <v>7.9155347334210528</v>
      </c>
      <c r="DN15" s="61">
        <f t="shared" si="11"/>
        <v>7.9155347334210528</v>
      </c>
      <c r="DO15" s="61">
        <f t="shared" si="11"/>
        <v>7.9155347334210528</v>
      </c>
      <c r="DP15" s="61">
        <f t="shared" si="11"/>
        <v>8.1468513691696547</v>
      </c>
      <c r="DQ15" s="61">
        <f t="shared" si="11"/>
        <v>8.1468513691696547</v>
      </c>
    </row>
    <row r="16" spans="1:121" x14ac:dyDescent="0.25">
      <c r="A16" s="48" t="str">
        <f>KMeans_Data!A7</f>
        <v>Quetta</v>
      </c>
      <c r="B16" s="59">
        <f>KMeans_Data!H7</f>
        <v>2.3645319122764876</v>
      </c>
      <c r="C16" s="59">
        <f>KMeans_Data!I7</f>
        <v>2.2941407285360271</v>
      </c>
      <c r="D16" s="59">
        <f>KMeans_Data!J7</f>
        <v>2.3723555668164944</v>
      </c>
      <c r="E16" s="61">
        <f t="shared" si="0"/>
        <v>2.1556297504391493</v>
      </c>
      <c r="F16" s="61">
        <f t="shared" si="0"/>
        <v>2.0854100918094183</v>
      </c>
      <c r="G16" s="61">
        <f t="shared" si="0"/>
        <v>0</v>
      </c>
      <c r="H16" s="61">
        <f t="shared" si="0"/>
        <v>1.4641247372986328</v>
      </c>
      <c r="I16" s="61">
        <f t="shared" si="0"/>
        <v>0.73912727718985038</v>
      </c>
      <c r="J16" s="61">
        <f t="shared" si="0"/>
        <v>1.2748124740347033</v>
      </c>
      <c r="K16" s="61">
        <f t="shared" si="0"/>
        <v>3.9777682880830931</v>
      </c>
      <c r="L16" s="61">
        <f t="shared" si="0"/>
        <v>2.0260323086887375</v>
      </c>
      <c r="M16" s="61">
        <f t="shared" si="0"/>
        <v>1.6886079116948614</v>
      </c>
      <c r="N16" s="61">
        <f t="shared" si="0"/>
        <v>4.1870251398816727</v>
      </c>
      <c r="O16" s="61">
        <f t="shared" si="1"/>
        <v>2.0203211354533384</v>
      </c>
      <c r="P16" s="61">
        <f t="shared" si="1"/>
        <v>1.8058309755852935</v>
      </c>
      <c r="Q16" s="61">
        <f t="shared" si="1"/>
        <v>2.2600451740837553</v>
      </c>
      <c r="R16" s="61">
        <f t="shared" si="1"/>
        <v>2.4987868185891187</v>
      </c>
      <c r="S16" s="61">
        <f t="shared" si="1"/>
        <v>3.0418641689098118</v>
      </c>
      <c r="T16" s="61">
        <f t="shared" si="1"/>
        <v>2.3503914452842838</v>
      </c>
      <c r="U16" s="61">
        <f t="shared" si="1"/>
        <v>2.548544720984494</v>
      </c>
      <c r="V16" s="61">
        <f t="shared" si="1"/>
        <v>2.4889808716445425</v>
      </c>
      <c r="W16" s="61">
        <f t="shared" si="1"/>
        <v>2.2785764620254594</v>
      </c>
      <c r="X16" s="61">
        <f t="shared" si="1"/>
        <v>2.5151808548031029</v>
      </c>
      <c r="Y16" s="61">
        <f t="shared" si="2"/>
        <v>2.433447597801206</v>
      </c>
      <c r="Z16" s="61">
        <f t="shared" si="2"/>
        <v>2.7915615066157859</v>
      </c>
      <c r="AA16" s="61">
        <f t="shared" si="2"/>
        <v>3.0079368972061076</v>
      </c>
      <c r="AB16" s="61">
        <f t="shared" si="2"/>
        <v>2.9080392987208228</v>
      </c>
      <c r="AC16" s="61">
        <f t="shared" si="2"/>
        <v>2.4711808824373649</v>
      </c>
      <c r="AD16" s="61">
        <f t="shared" si="2"/>
        <v>2.4826193856844538</v>
      </c>
      <c r="AE16" s="61">
        <f t="shared" si="2"/>
        <v>4.6140961456431953</v>
      </c>
      <c r="AF16" s="61">
        <f t="shared" si="2"/>
        <v>2.8174604630695534</v>
      </c>
      <c r="AG16" s="61">
        <f t="shared" si="2"/>
        <v>4.4361610207384006</v>
      </c>
      <c r="AH16" s="61">
        <f t="shared" si="2"/>
        <v>3.2055617057629036</v>
      </c>
      <c r="AI16" s="61">
        <f t="shared" si="3"/>
        <v>4.4374363327787467</v>
      </c>
      <c r="AJ16" s="61">
        <f t="shared" si="3"/>
        <v>2.8037271427768466</v>
      </c>
      <c r="AK16" s="61">
        <f t="shared" si="3"/>
        <v>3.373200352844651</v>
      </c>
      <c r="AL16" s="61">
        <f t="shared" si="3"/>
        <v>3.5785889331999092</v>
      </c>
      <c r="AM16" s="61">
        <f t="shared" si="3"/>
        <v>2.9379689416866364</v>
      </c>
      <c r="AN16" s="61">
        <f t="shared" si="3"/>
        <v>2.7751268965196854</v>
      </c>
      <c r="AO16" s="61">
        <f t="shared" si="3"/>
        <v>3.2796958727069581</v>
      </c>
      <c r="AP16" s="61">
        <f t="shared" si="3"/>
        <v>3.3272736080545511</v>
      </c>
      <c r="AQ16" s="61">
        <f t="shared" si="3"/>
        <v>2.8131849853969211</v>
      </c>
      <c r="AR16" s="61">
        <f t="shared" si="3"/>
        <v>3.8025155512720685</v>
      </c>
      <c r="AS16" s="61">
        <f t="shared" si="4"/>
        <v>3.8532022467443805</v>
      </c>
      <c r="AT16" s="61">
        <f t="shared" si="4"/>
        <v>3.5895044983065381</v>
      </c>
      <c r="AU16" s="61">
        <f t="shared" si="4"/>
        <v>4.4081870354271695</v>
      </c>
      <c r="AV16" s="61">
        <f t="shared" si="4"/>
        <v>4.0860556890237891</v>
      </c>
      <c r="AW16" s="61">
        <f t="shared" si="4"/>
        <v>4.8518973911591621</v>
      </c>
      <c r="AX16" s="61">
        <f t="shared" si="4"/>
        <v>3.6139794536730636</v>
      </c>
      <c r="AY16" s="61">
        <f t="shared" si="4"/>
        <v>5.0851891402756753</v>
      </c>
      <c r="AZ16" s="61">
        <f t="shared" si="4"/>
        <v>3.9087079166722605</v>
      </c>
      <c r="BA16" s="61">
        <f t="shared" si="4"/>
        <v>3.62683739800657</v>
      </c>
      <c r="BB16" s="61">
        <f t="shared" si="4"/>
        <v>5.0879780402530388</v>
      </c>
      <c r="BC16" s="61">
        <f t="shared" si="5"/>
        <v>5.0908094923954756</v>
      </c>
      <c r="BD16" s="61">
        <f t="shared" si="5"/>
        <v>4.6795726110399798</v>
      </c>
      <c r="BE16" s="61">
        <f t="shared" si="5"/>
        <v>4.5316944157217627</v>
      </c>
      <c r="BF16" s="61">
        <f t="shared" si="5"/>
        <v>2.8938172487317573</v>
      </c>
      <c r="BG16" s="61">
        <f t="shared" si="5"/>
        <v>3.762970130701333</v>
      </c>
      <c r="BH16" s="61">
        <f t="shared" si="5"/>
        <v>5.1356777375772937</v>
      </c>
      <c r="BI16" s="61">
        <f t="shared" si="5"/>
        <v>5.143034064256069</v>
      </c>
      <c r="BJ16" s="61">
        <f t="shared" si="5"/>
        <v>3.7583556978917345</v>
      </c>
      <c r="BK16" s="61">
        <f t="shared" si="5"/>
        <v>4.695723037758774</v>
      </c>
      <c r="BL16" s="61">
        <f t="shared" si="5"/>
        <v>4.2945122658508694</v>
      </c>
      <c r="BM16" s="61">
        <f t="shared" si="6"/>
        <v>3.5068246288792948</v>
      </c>
      <c r="BN16" s="61">
        <f t="shared" si="6"/>
        <v>3.9721428969555554</v>
      </c>
      <c r="BO16" s="61">
        <f t="shared" si="6"/>
        <v>4.9923442103192253</v>
      </c>
      <c r="BP16" s="61">
        <f t="shared" si="6"/>
        <v>3.8806045193527359</v>
      </c>
      <c r="BQ16" s="61">
        <f t="shared" si="6"/>
        <v>4.0057870105100246</v>
      </c>
      <c r="BR16" s="61">
        <f t="shared" si="6"/>
        <v>3.9968422833915187</v>
      </c>
      <c r="BS16" s="61">
        <f t="shared" si="6"/>
        <v>4.2885538040986111</v>
      </c>
      <c r="BT16" s="61">
        <f t="shared" si="6"/>
        <v>4.4944758722572846</v>
      </c>
      <c r="BU16" s="61">
        <f t="shared" si="6"/>
        <v>4.5360311964205255</v>
      </c>
      <c r="BV16" s="61">
        <f t="shared" si="6"/>
        <v>5.2977231798605464</v>
      </c>
      <c r="BW16" s="61">
        <f t="shared" si="7"/>
        <v>4.4859513138351801</v>
      </c>
      <c r="BX16" s="61">
        <f t="shared" si="7"/>
        <v>5.3056754610308143</v>
      </c>
      <c r="BY16" s="61">
        <f t="shared" si="7"/>
        <v>4.7410308383057682</v>
      </c>
      <c r="BZ16" s="61">
        <f t="shared" si="7"/>
        <v>4.7845583291712881</v>
      </c>
      <c r="CA16" s="61">
        <f t="shared" si="7"/>
        <v>5.3313586874880867</v>
      </c>
      <c r="CB16" s="61">
        <f t="shared" si="7"/>
        <v>4.7948570411684299</v>
      </c>
      <c r="CC16" s="61">
        <f t="shared" si="7"/>
        <v>5.3406030646973583</v>
      </c>
      <c r="CD16" s="61">
        <f t="shared" si="7"/>
        <v>5.3602779987239586</v>
      </c>
      <c r="CE16" s="61">
        <f t="shared" si="7"/>
        <v>4.6792211682165608</v>
      </c>
      <c r="CF16" s="61">
        <f t="shared" si="7"/>
        <v>4.3143177570201923</v>
      </c>
      <c r="CG16" s="61">
        <f t="shared" si="8"/>
        <v>4.6566190802835576</v>
      </c>
      <c r="CH16" s="61">
        <f t="shared" si="8"/>
        <v>4.9524606015591397</v>
      </c>
      <c r="CI16" s="61">
        <f t="shared" si="8"/>
        <v>5.0393093377908409</v>
      </c>
      <c r="CJ16" s="61">
        <f t="shared" si="8"/>
        <v>5.2440289968498544</v>
      </c>
      <c r="CK16" s="61">
        <f t="shared" si="8"/>
        <v>4.8387640754866625</v>
      </c>
      <c r="CL16" s="61">
        <f t="shared" si="8"/>
        <v>5.494132987284166</v>
      </c>
      <c r="CM16" s="61">
        <f t="shared" si="8"/>
        <v>5.0032974614587671</v>
      </c>
      <c r="CN16" s="61">
        <f t="shared" si="8"/>
        <v>4.2929465690047417</v>
      </c>
      <c r="CO16" s="61">
        <f t="shared" si="8"/>
        <v>4.7065657284103448</v>
      </c>
      <c r="CP16" s="61">
        <f t="shared" si="8"/>
        <v>5.5539049886384522</v>
      </c>
      <c r="CQ16" s="61">
        <f t="shared" si="9"/>
        <v>5.1395949888301109</v>
      </c>
      <c r="CR16" s="61">
        <f t="shared" si="9"/>
        <v>5.1226549086321391</v>
      </c>
      <c r="CS16" s="61">
        <f t="shared" si="9"/>
        <v>5.6030442713811599</v>
      </c>
      <c r="CT16" s="61">
        <f t="shared" si="9"/>
        <v>5.6314892832805281</v>
      </c>
      <c r="CU16" s="61">
        <f t="shared" si="9"/>
        <v>5.168570922912421</v>
      </c>
      <c r="CV16" s="61">
        <f t="shared" si="9"/>
        <v>4.8762304468318245</v>
      </c>
      <c r="CW16" s="61">
        <f t="shared" si="9"/>
        <v>5.6314892832805281</v>
      </c>
      <c r="CX16" s="61">
        <f t="shared" si="9"/>
        <v>5.0486834822094453</v>
      </c>
      <c r="CY16" s="61">
        <f t="shared" si="9"/>
        <v>5.6632731880532097</v>
      </c>
      <c r="CZ16" s="61">
        <f t="shared" si="9"/>
        <v>5.6632731880532097</v>
      </c>
      <c r="DA16" s="61">
        <f t="shared" si="10"/>
        <v>5.2882357000404303</v>
      </c>
      <c r="DB16" s="61">
        <f t="shared" si="10"/>
        <v>5.6992193655609942</v>
      </c>
      <c r="DC16" s="61">
        <f t="shared" si="10"/>
        <v>5.6992193655609942</v>
      </c>
      <c r="DD16" s="61">
        <f t="shared" si="10"/>
        <v>5.39984587511535</v>
      </c>
      <c r="DE16" s="61">
        <f t="shared" si="10"/>
        <v>5.5994211927358934</v>
      </c>
      <c r="DF16" s="61">
        <f t="shared" si="10"/>
        <v>5.9192063980105338</v>
      </c>
      <c r="DG16" s="61">
        <f t="shared" si="10"/>
        <v>6.0145021339637186</v>
      </c>
      <c r="DH16" s="61">
        <f t="shared" si="10"/>
        <v>6.0145021339637186</v>
      </c>
      <c r="DI16" s="61">
        <f t="shared" si="10"/>
        <v>6.0145021339637186</v>
      </c>
      <c r="DJ16" s="61">
        <f t="shared" si="10"/>
        <v>6.0145021339637186</v>
      </c>
      <c r="DK16" s="61">
        <f t="shared" si="11"/>
        <v>6.1524959405394304</v>
      </c>
      <c r="DL16" s="61">
        <f t="shared" si="11"/>
        <v>6.1524959405394304</v>
      </c>
      <c r="DM16" s="61">
        <f t="shared" si="11"/>
        <v>6.1524959405394304</v>
      </c>
      <c r="DN16" s="61">
        <f t="shared" si="11"/>
        <v>6.1524959405394304</v>
      </c>
      <c r="DO16" s="61">
        <f t="shared" si="11"/>
        <v>6.1524959405394304</v>
      </c>
      <c r="DP16" s="61">
        <f t="shared" si="11"/>
        <v>6.3976329314131073</v>
      </c>
      <c r="DQ16" s="61">
        <f t="shared" si="11"/>
        <v>6.3976329314131073</v>
      </c>
    </row>
    <row r="17" spans="1:121" x14ac:dyDescent="0.25">
      <c r="A17" s="48" t="str">
        <f>KMeans_Data!A8</f>
        <v>Peshawar</v>
      </c>
      <c r="B17" s="59">
        <f>KMeans_Data!H8</f>
        <v>2.3452338230080074</v>
      </c>
      <c r="C17" s="59">
        <f>KMeans_Data!I8</f>
        <v>3.5617489210507416</v>
      </c>
      <c r="D17" s="59">
        <f>KMeans_Data!J8</f>
        <v>1.6399224296702051</v>
      </c>
      <c r="E17" s="61">
        <f t="shared" si="0"/>
        <v>1.9214318612792127</v>
      </c>
      <c r="F17" s="61">
        <f t="shared" si="0"/>
        <v>1.5019450606752023</v>
      </c>
      <c r="G17" s="61">
        <f t="shared" si="0"/>
        <v>1.4641247372986328</v>
      </c>
      <c r="H17" s="61">
        <f t="shared" si="0"/>
        <v>0</v>
      </c>
      <c r="I17" s="61">
        <f t="shared" si="0"/>
        <v>1.5071205419055949</v>
      </c>
      <c r="J17" s="61">
        <f t="shared" si="0"/>
        <v>1.592096208183521</v>
      </c>
      <c r="K17" s="61">
        <f t="shared" si="0"/>
        <v>4.3189189517283344</v>
      </c>
      <c r="L17" s="61">
        <f t="shared" si="0"/>
        <v>3.0552499804049833</v>
      </c>
      <c r="M17" s="61">
        <f t="shared" si="0"/>
        <v>2.5893539273064321</v>
      </c>
      <c r="N17" s="61">
        <f t="shared" si="0"/>
        <v>4.5973736046388751</v>
      </c>
      <c r="O17" s="61">
        <f t="shared" si="1"/>
        <v>2.4949809041646147</v>
      </c>
      <c r="P17" s="61">
        <f t="shared" si="1"/>
        <v>2.2189497267972809</v>
      </c>
      <c r="Q17" s="61">
        <f t="shared" si="1"/>
        <v>2.9334278887861509</v>
      </c>
      <c r="R17" s="61">
        <f t="shared" si="1"/>
        <v>3.4454653154512496</v>
      </c>
      <c r="S17" s="61">
        <f t="shared" si="1"/>
        <v>3.9707867170903763</v>
      </c>
      <c r="T17" s="61">
        <f t="shared" si="1"/>
        <v>2.9828209447761482</v>
      </c>
      <c r="U17" s="61">
        <f t="shared" si="1"/>
        <v>3.5045045187435084</v>
      </c>
      <c r="V17" s="61">
        <f t="shared" si="1"/>
        <v>2.8329760448060908</v>
      </c>
      <c r="W17" s="61">
        <f t="shared" si="1"/>
        <v>2.7359630986074266</v>
      </c>
      <c r="X17" s="61">
        <f t="shared" si="1"/>
        <v>3.1991606308454914</v>
      </c>
      <c r="Y17" s="61">
        <f t="shared" si="2"/>
        <v>3.1886566763883422</v>
      </c>
      <c r="Z17" s="61">
        <f t="shared" si="2"/>
        <v>3.3296054513855808</v>
      </c>
      <c r="AA17" s="61">
        <f t="shared" si="2"/>
        <v>3.8039648110214221</v>
      </c>
      <c r="AB17" s="61">
        <f t="shared" si="2"/>
        <v>3.531077145266178</v>
      </c>
      <c r="AC17" s="61">
        <f t="shared" si="2"/>
        <v>2.8450667778873671</v>
      </c>
      <c r="AD17" s="61">
        <f t="shared" si="2"/>
        <v>3.2281248394675321</v>
      </c>
      <c r="AE17" s="61">
        <f t="shared" si="2"/>
        <v>4.939896884511378</v>
      </c>
      <c r="AF17" s="61">
        <f t="shared" si="2"/>
        <v>3.4487999526160982</v>
      </c>
      <c r="AG17" s="61">
        <f t="shared" si="2"/>
        <v>5.0214318115197587</v>
      </c>
      <c r="AH17" s="61">
        <f t="shared" si="2"/>
        <v>3.9280030289919989</v>
      </c>
      <c r="AI17" s="61">
        <f t="shared" si="3"/>
        <v>5.0225463588180697</v>
      </c>
      <c r="AJ17" s="61">
        <f t="shared" si="3"/>
        <v>3.5381065074790743</v>
      </c>
      <c r="AK17" s="61">
        <f t="shared" si="3"/>
        <v>3.9054209352956488</v>
      </c>
      <c r="AL17" s="61">
        <f t="shared" si="3"/>
        <v>4.2894792559645492</v>
      </c>
      <c r="AM17" s="61">
        <f t="shared" si="3"/>
        <v>3.1611047192035278</v>
      </c>
      <c r="AN17" s="61">
        <f t="shared" si="3"/>
        <v>3.2033437897448338</v>
      </c>
      <c r="AO17" s="61">
        <f t="shared" si="3"/>
        <v>3.8726525906640741</v>
      </c>
      <c r="AP17" s="61">
        <f t="shared" si="3"/>
        <v>3.898072401335364</v>
      </c>
      <c r="AQ17" s="61">
        <f t="shared" si="3"/>
        <v>3.1650593982643711</v>
      </c>
      <c r="AR17" s="61">
        <f t="shared" si="3"/>
        <v>4.2831517245265385</v>
      </c>
      <c r="AS17" s="61">
        <f t="shared" si="4"/>
        <v>4.7369821571356665</v>
      </c>
      <c r="AT17" s="61">
        <f t="shared" si="4"/>
        <v>4.335350963667409</v>
      </c>
      <c r="AU17" s="61">
        <f t="shared" si="4"/>
        <v>4.8244955840600516</v>
      </c>
      <c r="AV17" s="61">
        <f t="shared" si="4"/>
        <v>4.8537326671123102</v>
      </c>
      <c r="AW17" s="61">
        <f t="shared" si="4"/>
        <v>5.333018689646214</v>
      </c>
      <c r="AX17" s="61">
        <f t="shared" si="4"/>
        <v>4.197054250367775</v>
      </c>
      <c r="AY17" s="61">
        <f t="shared" si="4"/>
        <v>5.5033956416830128</v>
      </c>
      <c r="AZ17" s="61">
        <f t="shared" si="4"/>
        <v>4.7850731959801669</v>
      </c>
      <c r="BA17" s="61">
        <f t="shared" si="4"/>
        <v>4.3695758094786683</v>
      </c>
      <c r="BB17" s="61">
        <f t="shared" si="4"/>
        <v>5.5059497682147871</v>
      </c>
      <c r="BC17" s="61">
        <f t="shared" si="5"/>
        <v>5.5085431555324238</v>
      </c>
      <c r="BD17" s="61">
        <f t="shared" si="5"/>
        <v>5.2217183846093604</v>
      </c>
      <c r="BE17" s="61">
        <f t="shared" si="5"/>
        <v>5.1267460226072084</v>
      </c>
      <c r="BF17" s="61">
        <f t="shared" si="5"/>
        <v>3.2257490512523606</v>
      </c>
      <c r="BG17" s="61">
        <f t="shared" si="5"/>
        <v>4.4537173695723435</v>
      </c>
      <c r="BH17" s="61">
        <f t="shared" si="5"/>
        <v>5.549677313033988</v>
      </c>
      <c r="BI17" s="61">
        <f t="shared" si="5"/>
        <v>5.5564281753589881</v>
      </c>
      <c r="BJ17" s="61">
        <f t="shared" si="5"/>
        <v>4.1399303589756524</v>
      </c>
      <c r="BK17" s="61">
        <f t="shared" si="5"/>
        <v>5.2500474846068821</v>
      </c>
      <c r="BL17" s="61">
        <f t="shared" si="5"/>
        <v>5.0074713813432279</v>
      </c>
      <c r="BM17" s="61">
        <f t="shared" si="6"/>
        <v>4.0044965012911469</v>
      </c>
      <c r="BN17" s="61">
        <f t="shared" si="6"/>
        <v>4.452588699403476</v>
      </c>
      <c r="BO17" s="61">
        <f t="shared" si="6"/>
        <v>5.4600335559284243</v>
      </c>
      <c r="BP17" s="61">
        <f t="shared" si="6"/>
        <v>4.4079631141046782</v>
      </c>
      <c r="BQ17" s="61">
        <f t="shared" si="6"/>
        <v>4.6224546921433269</v>
      </c>
      <c r="BR17" s="61">
        <f t="shared" si="6"/>
        <v>4.6223469000244268</v>
      </c>
      <c r="BS17" s="61">
        <f t="shared" si="6"/>
        <v>5.0357323410399699</v>
      </c>
      <c r="BT17" s="61">
        <f t="shared" si="6"/>
        <v>5.1550449729854932</v>
      </c>
      <c r="BU17" s="61">
        <f t="shared" si="6"/>
        <v>5.1793815661832747</v>
      </c>
      <c r="BV17" s="61">
        <f t="shared" si="6"/>
        <v>5.6987978946163382</v>
      </c>
      <c r="BW17" s="61">
        <f t="shared" si="7"/>
        <v>5.160599274083765</v>
      </c>
      <c r="BX17" s="61">
        <f t="shared" si="7"/>
        <v>5.7061370913453224</v>
      </c>
      <c r="BY17" s="61">
        <f t="shared" si="7"/>
        <v>5.3195321365282027</v>
      </c>
      <c r="BZ17" s="61">
        <f t="shared" si="7"/>
        <v>5.3498340400003164</v>
      </c>
      <c r="CA17" s="61">
        <f t="shared" si="7"/>
        <v>5.7298530856193821</v>
      </c>
      <c r="CB17" s="61">
        <f t="shared" si="7"/>
        <v>5.3589807776964049</v>
      </c>
      <c r="CC17" s="61">
        <f t="shared" si="7"/>
        <v>5.7383941223094297</v>
      </c>
      <c r="CD17" s="61">
        <f t="shared" si="7"/>
        <v>5.756580368549379</v>
      </c>
      <c r="CE17" s="61">
        <f t="shared" si="7"/>
        <v>5.295381238162209</v>
      </c>
      <c r="CF17" s="61">
        <f t="shared" si="7"/>
        <v>4.8546426827272917</v>
      </c>
      <c r="CG17" s="61">
        <f t="shared" si="8"/>
        <v>5.0839155951360571</v>
      </c>
      <c r="CH17" s="61">
        <f t="shared" si="8"/>
        <v>5.4792009603781153</v>
      </c>
      <c r="CI17" s="61">
        <f t="shared" si="8"/>
        <v>5.5440084806592562</v>
      </c>
      <c r="CJ17" s="61">
        <f t="shared" si="8"/>
        <v>5.6894366064841231</v>
      </c>
      <c r="CK17" s="61">
        <f t="shared" si="8"/>
        <v>5.4257206876790454</v>
      </c>
      <c r="CL17" s="61">
        <f t="shared" si="8"/>
        <v>5.8805936470981823</v>
      </c>
      <c r="CM17" s="61">
        <f t="shared" si="8"/>
        <v>5.5358040435450722</v>
      </c>
      <c r="CN17" s="61">
        <f t="shared" si="8"/>
        <v>4.9080357798237184</v>
      </c>
      <c r="CO17" s="61">
        <f t="shared" si="8"/>
        <v>5.1596831670337089</v>
      </c>
      <c r="CP17" s="61">
        <f t="shared" si="8"/>
        <v>5.9361244841792384</v>
      </c>
      <c r="CQ17" s="61">
        <f t="shared" si="9"/>
        <v>5.6478347757545295</v>
      </c>
      <c r="CR17" s="61">
        <f t="shared" si="9"/>
        <v>5.6432443978630156</v>
      </c>
      <c r="CS17" s="61">
        <f t="shared" si="9"/>
        <v>5.9818444118661125</v>
      </c>
      <c r="CT17" s="61">
        <f t="shared" si="9"/>
        <v>6.0083370746718998</v>
      </c>
      <c r="CU17" s="61">
        <f t="shared" si="9"/>
        <v>5.49894534164841</v>
      </c>
      <c r="CV17" s="61">
        <f t="shared" si="9"/>
        <v>5.498245669632146</v>
      </c>
      <c r="CW17" s="61">
        <f t="shared" si="9"/>
        <v>6.0083370746718998</v>
      </c>
      <c r="CX17" s="61">
        <f t="shared" si="9"/>
        <v>5.6125962144012691</v>
      </c>
      <c r="CY17" s="61">
        <f t="shared" si="9"/>
        <v>6.0379623681719892</v>
      </c>
      <c r="CZ17" s="61">
        <f t="shared" si="9"/>
        <v>6.0379623681719892</v>
      </c>
      <c r="DA17" s="61">
        <f t="shared" si="10"/>
        <v>5.7698169559794836</v>
      </c>
      <c r="DB17" s="61">
        <f t="shared" si="10"/>
        <v>6.0714958362826961</v>
      </c>
      <c r="DC17" s="61">
        <f t="shared" si="10"/>
        <v>6.0714958362826961</v>
      </c>
      <c r="DD17" s="61">
        <f t="shared" si="10"/>
        <v>5.8554282579399697</v>
      </c>
      <c r="DE17" s="61">
        <f t="shared" si="10"/>
        <v>6.0166611396913403</v>
      </c>
      <c r="DF17" s="61">
        <f t="shared" si="10"/>
        <v>6.2773434387762057</v>
      </c>
      <c r="DG17" s="61">
        <f t="shared" si="10"/>
        <v>6.3668275603991029</v>
      </c>
      <c r="DH17" s="61">
        <f t="shared" si="10"/>
        <v>6.3668275603991029</v>
      </c>
      <c r="DI17" s="61">
        <f t="shared" si="10"/>
        <v>6.3668275603991029</v>
      </c>
      <c r="DJ17" s="61">
        <f t="shared" si="10"/>
        <v>6.3668275603991029</v>
      </c>
      <c r="DK17" s="61">
        <f t="shared" si="11"/>
        <v>6.4967159794266198</v>
      </c>
      <c r="DL17" s="61">
        <f t="shared" si="11"/>
        <v>6.4967159794266198</v>
      </c>
      <c r="DM17" s="61">
        <f t="shared" si="11"/>
        <v>6.4967159794266198</v>
      </c>
      <c r="DN17" s="61">
        <f t="shared" si="11"/>
        <v>6.4967159794266198</v>
      </c>
      <c r="DO17" s="61">
        <f t="shared" si="11"/>
        <v>6.4967159794266198</v>
      </c>
      <c r="DP17" s="61">
        <f t="shared" si="11"/>
        <v>6.7282906668016098</v>
      </c>
      <c r="DQ17" s="61">
        <f t="shared" si="11"/>
        <v>6.7282906668016098</v>
      </c>
    </row>
    <row r="18" spans="1:121" x14ac:dyDescent="0.25">
      <c r="A18" s="48" t="str">
        <f>KMeans_Data!A9</f>
        <v>Islamabad</v>
      </c>
      <c r="B18" s="59">
        <f>KMeans_Data!H9</f>
        <v>2.1711238504828065</v>
      </c>
      <c r="C18" s="59">
        <f>KMeans_Data!I9</f>
        <v>2.0657893204369486</v>
      </c>
      <c r="D18" s="59">
        <f>KMeans_Data!J9</f>
        <v>1.6965167635960359</v>
      </c>
      <c r="E18" s="61">
        <f t="shared" si="0"/>
        <v>2.7444013573462209</v>
      </c>
      <c r="F18" s="61">
        <f t="shared" si="0"/>
        <v>2.5504991903982757</v>
      </c>
      <c r="G18" s="61">
        <f t="shared" si="0"/>
        <v>0.73912727718985038</v>
      </c>
      <c r="H18" s="61">
        <f t="shared" si="0"/>
        <v>1.5071205419055949</v>
      </c>
      <c r="I18" s="61">
        <f t="shared" si="0"/>
        <v>0</v>
      </c>
      <c r="J18" s="61">
        <f t="shared" si="0"/>
        <v>0.74171781651453572</v>
      </c>
      <c r="K18" s="61">
        <f t="shared" si="0"/>
        <v>3.2675623998273244</v>
      </c>
      <c r="L18" s="61">
        <f t="shared" si="0"/>
        <v>1.6231809819284502</v>
      </c>
      <c r="M18" s="61">
        <f t="shared" si="0"/>
        <v>1.2493817962875828</v>
      </c>
      <c r="N18" s="61">
        <f t="shared" si="0"/>
        <v>3.4916630469926249</v>
      </c>
      <c r="O18" s="61">
        <f t="shared" si="1"/>
        <v>1.3821621778002471</v>
      </c>
      <c r="P18" s="61">
        <f t="shared" si="1"/>
        <v>1.2079485077068584</v>
      </c>
      <c r="Q18" s="61">
        <f t="shared" si="1"/>
        <v>1.6741077786586813</v>
      </c>
      <c r="R18" s="61">
        <f t="shared" si="1"/>
        <v>2.0452195555832495</v>
      </c>
      <c r="S18" s="61">
        <f t="shared" si="1"/>
        <v>2.5554180237878996</v>
      </c>
      <c r="T18" s="61">
        <f t="shared" si="1"/>
        <v>1.7547682339321902</v>
      </c>
      <c r="U18" s="61">
        <f t="shared" si="1"/>
        <v>2.127379666492661</v>
      </c>
      <c r="V18" s="61">
        <f t="shared" si="1"/>
        <v>1.8354213728375757</v>
      </c>
      <c r="W18" s="61">
        <f t="shared" si="1"/>
        <v>1.670956027620907</v>
      </c>
      <c r="X18" s="61">
        <f t="shared" si="1"/>
        <v>1.9486060799872575</v>
      </c>
      <c r="Y18" s="61">
        <f t="shared" si="2"/>
        <v>1.9198114508512609</v>
      </c>
      <c r="Z18" s="61">
        <f t="shared" si="2"/>
        <v>2.1625282630119407</v>
      </c>
      <c r="AA18" s="61">
        <f t="shared" si="2"/>
        <v>2.4695153729583752</v>
      </c>
      <c r="AB18" s="61">
        <f t="shared" si="2"/>
        <v>2.2997913339348295</v>
      </c>
      <c r="AC18" s="61">
        <f t="shared" si="2"/>
        <v>1.8420833143755462</v>
      </c>
      <c r="AD18" s="61">
        <f t="shared" si="2"/>
        <v>1.9772138611353642</v>
      </c>
      <c r="AE18" s="61">
        <f t="shared" si="2"/>
        <v>3.9116800125412099</v>
      </c>
      <c r="AF18" s="61">
        <f t="shared" si="2"/>
        <v>2.2454521117518178</v>
      </c>
      <c r="AG18" s="61">
        <f t="shared" si="2"/>
        <v>3.7990282172703158</v>
      </c>
      <c r="AH18" s="61">
        <f t="shared" si="2"/>
        <v>2.6469005662564453</v>
      </c>
      <c r="AI18" s="61">
        <f t="shared" si="3"/>
        <v>3.8003563161825453</v>
      </c>
      <c r="AJ18" s="61">
        <f t="shared" si="3"/>
        <v>2.2832524376183554</v>
      </c>
      <c r="AK18" s="61">
        <f t="shared" si="3"/>
        <v>2.7426043919405982</v>
      </c>
      <c r="AL18" s="61">
        <f t="shared" si="3"/>
        <v>3.0083382283574056</v>
      </c>
      <c r="AM18" s="61">
        <f t="shared" si="3"/>
        <v>2.2896663830796053</v>
      </c>
      <c r="AN18" s="61">
        <f t="shared" si="3"/>
        <v>2.1794862916916338</v>
      </c>
      <c r="AO18" s="61">
        <f t="shared" si="3"/>
        <v>2.6840435663640831</v>
      </c>
      <c r="AP18" s="61">
        <f t="shared" si="3"/>
        <v>2.7219805543278133</v>
      </c>
      <c r="AQ18" s="61">
        <f t="shared" si="3"/>
        <v>2.2090022076134663</v>
      </c>
      <c r="AR18" s="61">
        <f t="shared" si="3"/>
        <v>3.1550274322092169</v>
      </c>
      <c r="AS18" s="61">
        <f t="shared" si="4"/>
        <v>3.3773349487390236</v>
      </c>
      <c r="AT18" s="61">
        <f t="shared" si="4"/>
        <v>3.0573019133933177</v>
      </c>
      <c r="AU18" s="61">
        <f t="shared" si="4"/>
        <v>3.739423520395059</v>
      </c>
      <c r="AV18" s="61">
        <f t="shared" si="4"/>
        <v>3.54416945642711</v>
      </c>
      <c r="AW18" s="61">
        <f t="shared" si="4"/>
        <v>4.193911291733686</v>
      </c>
      <c r="AX18" s="61">
        <f t="shared" si="4"/>
        <v>3.0194688836474497</v>
      </c>
      <c r="AY18" s="61">
        <f t="shared" si="4"/>
        <v>4.4111694478667314</v>
      </c>
      <c r="AZ18" s="61">
        <f t="shared" si="4"/>
        <v>3.4382313457722198</v>
      </c>
      <c r="BA18" s="61">
        <f t="shared" si="4"/>
        <v>3.1008014817248166</v>
      </c>
      <c r="BB18" s="61">
        <f t="shared" si="4"/>
        <v>4.4140973488537174</v>
      </c>
      <c r="BC18" s="61">
        <f t="shared" si="5"/>
        <v>4.4170704607625293</v>
      </c>
      <c r="BD18" s="61">
        <f t="shared" si="5"/>
        <v>4.0438825887654444</v>
      </c>
      <c r="BE18" s="61">
        <f t="shared" si="5"/>
        <v>3.9161099929290688</v>
      </c>
      <c r="BF18" s="61">
        <f t="shared" si="5"/>
        <v>2.3408498120192429</v>
      </c>
      <c r="BG18" s="61">
        <f t="shared" si="5"/>
        <v>3.2163454889690364</v>
      </c>
      <c r="BH18" s="61">
        <f t="shared" si="5"/>
        <v>4.4642500476134686</v>
      </c>
      <c r="BI18" s="61">
        <f t="shared" si="5"/>
        <v>4.4719962214710742</v>
      </c>
      <c r="BJ18" s="61">
        <f t="shared" si="5"/>
        <v>3.1257204433097372</v>
      </c>
      <c r="BK18" s="61">
        <f t="shared" si="5"/>
        <v>4.0720665772515732</v>
      </c>
      <c r="BL18" s="61">
        <f t="shared" si="5"/>
        <v>3.7421515948478818</v>
      </c>
      <c r="BM18" s="61">
        <f t="shared" si="6"/>
        <v>2.9310055495540719</v>
      </c>
      <c r="BN18" s="61">
        <f t="shared" si="6"/>
        <v>3.3570283805904393</v>
      </c>
      <c r="BO18" s="61">
        <f t="shared" si="6"/>
        <v>4.3421287084047648</v>
      </c>
      <c r="BP18" s="61">
        <f t="shared" si="6"/>
        <v>3.2908939527686227</v>
      </c>
      <c r="BQ18" s="61">
        <f t="shared" si="6"/>
        <v>3.4394294127961564</v>
      </c>
      <c r="BR18" s="61">
        <f t="shared" si="6"/>
        <v>3.4372548276431862</v>
      </c>
      <c r="BS18" s="61">
        <f t="shared" si="6"/>
        <v>3.7685756104796688</v>
      </c>
      <c r="BT18" s="61">
        <f t="shared" si="6"/>
        <v>3.9305494883840879</v>
      </c>
      <c r="BU18" s="61">
        <f t="shared" si="6"/>
        <v>3.9636204271086597</v>
      </c>
      <c r="BV18" s="61">
        <f t="shared" si="6"/>
        <v>4.6353921096875519</v>
      </c>
      <c r="BW18" s="61">
        <f t="shared" si="7"/>
        <v>3.9337823287401923</v>
      </c>
      <c r="BX18" s="61">
        <f t="shared" si="7"/>
        <v>4.6438115893050798</v>
      </c>
      <c r="BY18" s="61">
        <f t="shared" si="7"/>
        <v>4.1450745388767798</v>
      </c>
      <c r="BZ18" s="61">
        <f t="shared" si="7"/>
        <v>4.1839938560672634</v>
      </c>
      <c r="CA18" s="61">
        <f t="shared" si="7"/>
        <v>4.6710128311292802</v>
      </c>
      <c r="CB18" s="61">
        <f t="shared" si="7"/>
        <v>4.194924960678807</v>
      </c>
      <c r="CC18" s="61">
        <f t="shared" si="7"/>
        <v>4.6808067367380017</v>
      </c>
      <c r="CD18" s="61">
        <f t="shared" si="7"/>
        <v>4.7016561932594243</v>
      </c>
      <c r="CE18" s="61">
        <f t="shared" si="7"/>
        <v>4.1069178785359091</v>
      </c>
      <c r="CF18" s="61">
        <f t="shared" si="7"/>
        <v>3.7356567284980842</v>
      </c>
      <c r="CG18" s="61">
        <f t="shared" si="8"/>
        <v>4.0338087562566649</v>
      </c>
      <c r="CH18" s="61">
        <f t="shared" si="8"/>
        <v>4.3444567032013071</v>
      </c>
      <c r="CI18" s="61">
        <f t="shared" si="8"/>
        <v>4.4252820360016489</v>
      </c>
      <c r="CJ18" s="61">
        <f t="shared" si="8"/>
        <v>4.6091039967282335</v>
      </c>
      <c r="CK18" s="61">
        <f t="shared" si="8"/>
        <v>4.2665000127343342</v>
      </c>
      <c r="CL18" s="61">
        <f t="shared" si="8"/>
        <v>4.8436290709501542</v>
      </c>
      <c r="CM18" s="61">
        <f t="shared" si="8"/>
        <v>4.4080050459385252</v>
      </c>
      <c r="CN18" s="61">
        <f t="shared" si="8"/>
        <v>3.7836378088150342</v>
      </c>
      <c r="CO18" s="61">
        <f t="shared" si="8"/>
        <v>4.1143341665002326</v>
      </c>
      <c r="CP18" s="61">
        <f t="shared" si="8"/>
        <v>4.9070666058902681</v>
      </c>
      <c r="CQ18" s="61">
        <f t="shared" si="9"/>
        <v>4.543219526991038</v>
      </c>
      <c r="CR18" s="61">
        <f t="shared" si="9"/>
        <v>4.5347194735483596</v>
      </c>
      <c r="CS18" s="61">
        <f t="shared" si="9"/>
        <v>4.9592252213135728</v>
      </c>
      <c r="CT18" s="61">
        <f t="shared" si="9"/>
        <v>4.9894180823567025</v>
      </c>
      <c r="CU18" s="61">
        <f t="shared" si="9"/>
        <v>4.5353033751675564</v>
      </c>
      <c r="CV18" s="61">
        <f t="shared" si="9"/>
        <v>4.3434084328442051</v>
      </c>
      <c r="CW18" s="61">
        <f t="shared" si="9"/>
        <v>4.9894180823567025</v>
      </c>
      <c r="CX18" s="61">
        <f t="shared" si="9"/>
        <v>4.4889362086953675</v>
      </c>
      <c r="CY18" s="61">
        <f t="shared" si="9"/>
        <v>5.0231536532027237</v>
      </c>
      <c r="CZ18" s="61">
        <f t="shared" si="9"/>
        <v>5.0231536532027237</v>
      </c>
      <c r="DA18" s="61">
        <f t="shared" si="10"/>
        <v>4.6896864286988036</v>
      </c>
      <c r="DB18" s="61">
        <f t="shared" si="10"/>
        <v>5.0613039809504299</v>
      </c>
      <c r="DC18" s="61">
        <f t="shared" si="10"/>
        <v>5.0613039809504299</v>
      </c>
      <c r="DD18" s="61">
        <f t="shared" si="10"/>
        <v>4.7939705368724095</v>
      </c>
      <c r="DE18" s="61">
        <f t="shared" si="10"/>
        <v>4.9865271128445876</v>
      </c>
      <c r="DF18" s="61">
        <f t="shared" si="10"/>
        <v>5.2946342941564764</v>
      </c>
      <c r="DG18" s="61">
        <f t="shared" si="10"/>
        <v>5.3955969001723227</v>
      </c>
      <c r="DH18" s="61">
        <f t="shared" si="10"/>
        <v>5.3955969001723227</v>
      </c>
      <c r="DI18" s="61">
        <f t="shared" si="10"/>
        <v>5.3955969001723227</v>
      </c>
      <c r="DJ18" s="61">
        <f t="shared" si="10"/>
        <v>5.3955969001723227</v>
      </c>
      <c r="DK18" s="61">
        <f t="shared" si="11"/>
        <v>5.541642855757936</v>
      </c>
      <c r="DL18" s="61">
        <f t="shared" si="11"/>
        <v>5.541642855757936</v>
      </c>
      <c r="DM18" s="61">
        <f t="shared" si="11"/>
        <v>5.541642855757936</v>
      </c>
      <c r="DN18" s="61">
        <f t="shared" si="11"/>
        <v>5.541642855757936</v>
      </c>
      <c r="DO18" s="61">
        <f t="shared" si="11"/>
        <v>5.541642855757936</v>
      </c>
      <c r="DP18" s="61">
        <f t="shared" si="11"/>
        <v>5.8005825296542461</v>
      </c>
      <c r="DQ18" s="61">
        <f t="shared" si="11"/>
        <v>5.8005825296542461</v>
      </c>
    </row>
    <row r="19" spans="1:121" x14ac:dyDescent="0.25">
      <c r="A19" s="48" t="str">
        <f>KMeans_Data!A10</f>
        <v>Swat</v>
      </c>
      <c r="B19" s="59">
        <f>KMeans_Data!H10</f>
        <v>1.4937524666444724</v>
      </c>
      <c r="C19" s="59">
        <f>KMeans_Data!I10</f>
        <v>2.2309059700842244</v>
      </c>
      <c r="D19" s="59">
        <f>KMeans_Data!J10</f>
        <v>1.4434361051069102</v>
      </c>
      <c r="E19" s="61">
        <f t="shared" si="0"/>
        <v>3.1164934246659244</v>
      </c>
      <c r="F19" s="61">
        <f t="shared" si="0"/>
        <v>2.8852247876948312</v>
      </c>
      <c r="G19" s="61">
        <f t="shared" si="0"/>
        <v>1.2748124740347033</v>
      </c>
      <c r="H19" s="61">
        <f t="shared" si="0"/>
        <v>1.592096208183521</v>
      </c>
      <c r="I19" s="61">
        <f t="shared" si="0"/>
        <v>0.74171781651453572</v>
      </c>
      <c r="J19" s="61">
        <f t="shared" si="0"/>
        <v>0</v>
      </c>
      <c r="K19" s="61">
        <f t="shared" si="0"/>
        <v>3.0746736442947804</v>
      </c>
      <c r="L19" s="61">
        <f t="shared" si="0"/>
        <v>1.5799615539013421</v>
      </c>
      <c r="M19" s="61">
        <f t="shared" si="0"/>
        <v>1.0756721822681843</v>
      </c>
      <c r="N19" s="61">
        <f t="shared" si="0"/>
        <v>3.2989445056328126</v>
      </c>
      <c r="O19" s="61">
        <f t="shared" si="1"/>
        <v>0.94941019283446748</v>
      </c>
      <c r="P19" s="61">
        <f t="shared" si="1"/>
        <v>0.65180271323859307</v>
      </c>
      <c r="Q19" s="61">
        <f t="shared" si="1"/>
        <v>1.3660408014689251</v>
      </c>
      <c r="R19" s="61">
        <f t="shared" si="1"/>
        <v>1.9078175214514932</v>
      </c>
      <c r="S19" s="61">
        <f t="shared" si="1"/>
        <v>2.4427390514640961</v>
      </c>
      <c r="T19" s="61">
        <f t="shared" si="1"/>
        <v>1.4153572316062866</v>
      </c>
      <c r="U19" s="61">
        <f t="shared" si="1"/>
        <v>1.9562092231433563</v>
      </c>
      <c r="V19" s="61">
        <f t="shared" si="1"/>
        <v>1.3466915536124948</v>
      </c>
      <c r="W19" s="61">
        <f t="shared" si="1"/>
        <v>1.1808197102504674</v>
      </c>
      <c r="X19" s="61">
        <f t="shared" si="1"/>
        <v>1.6214926091198851</v>
      </c>
      <c r="Y19" s="61">
        <f t="shared" si="2"/>
        <v>1.6015040618990912</v>
      </c>
      <c r="Z19" s="61">
        <f t="shared" si="2"/>
        <v>1.7946936537132117</v>
      </c>
      <c r="AA19" s="61">
        <f t="shared" si="2"/>
        <v>2.2416527433039843</v>
      </c>
      <c r="AB19" s="61">
        <f t="shared" si="2"/>
        <v>1.9848284303315349</v>
      </c>
      <c r="AC19" s="61">
        <f t="shared" si="2"/>
        <v>1.3304080775026015</v>
      </c>
      <c r="AD19" s="61">
        <f t="shared" si="2"/>
        <v>1.6379851559299323</v>
      </c>
      <c r="AE19" s="61">
        <f t="shared" si="2"/>
        <v>3.6162040410227214</v>
      </c>
      <c r="AF19" s="61">
        <f t="shared" si="2"/>
        <v>1.8723907193505716</v>
      </c>
      <c r="AG19" s="61">
        <f t="shared" si="2"/>
        <v>3.5591263689732826</v>
      </c>
      <c r="AH19" s="61">
        <f t="shared" si="2"/>
        <v>2.3587461250615838</v>
      </c>
      <c r="AI19" s="61">
        <f t="shared" si="3"/>
        <v>3.5599419786108606</v>
      </c>
      <c r="AJ19" s="61">
        <f t="shared" si="3"/>
        <v>1.9488417723351996</v>
      </c>
      <c r="AK19" s="61">
        <f t="shared" si="3"/>
        <v>2.3863048745819126</v>
      </c>
      <c r="AL19" s="61">
        <f t="shared" si="3"/>
        <v>2.7325941643663292</v>
      </c>
      <c r="AM19" s="61">
        <f t="shared" si="3"/>
        <v>1.7409968664127784</v>
      </c>
      <c r="AN19" s="61">
        <f t="shared" si="3"/>
        <v>1.6682153587916893</v>
      </c>
      <c r="AO19" s="61">
        <f t="shared" si="3"/>
        <v>2.3176741650887926</v>
      </c>
      <c r="AP19" s="61">
        <f t="shared" si="3"/>
        <v>2.3517505664228162</v>
      </c>
      <c r="AQ19" s="61">
        <f t="shared" si="3"/>
        <v>1.6619741608503635</v>
      </c>
      <c r="AR19" s="61">
        <f t="shared" si="3"/>
        <v>2.7967573125262017</v>
      </c>
      <c r="AS19" s="61">
        <f t="shared" si="4"/>
        <v>3.1626180189623714</v>
      </c>
      <c r="AT19" s="61">
        <f t="shared" si="4"/>
        <v>2.7551145947394886</v>
      </c>
      <c r="AU19" s="61">
        <f t="shared" si="4"/>
        <v>3.3907606661976515</v>
      </c>
      <c r="AV19" s="61">
        <f t="shared" si="4"/>
        <v>3.2899327573202539</v>
      </c>
      <c r="AW19" s="61">
        <f t="shared" si="4"/>
        <v>3.8922097472200665</v>
      </c>
      <c r="AX19" s="61">
        <f t="shared" si="4"/>
        <v>2.6466345252970642</v>
      </c>
      <c r="AY19" s="61">
        <f t="shared" si="4"/>
        <v>4.0994205837921003</v>
      </c>
      <c r="AZ19" s="61">
        <f t="shared" si="4"/>
        <v>3.2048039369932257</v>
      </c>
      <c r="BA19" s="61">
        <f t="shared" si="4"/>
        <v>2.7860413967094519</v>
      </c>
      <c r="BB19" s="61">
        <f t="shared" si="4"/>
        <v>4.1014898870059104</v>
      </c>
      <c r="BC19" s="61">
        <f t="shared" si="5"/>
        <v>4.1035951333194429</v>
      </c>
      <c r="BD19" s="61">
        <f t="shared" si="5"/>
        <v>3.7389128659864967</v>
      </c>
      <c r="BE19" s="61">
        <f t="shared" si="5"/>
        <v>3.6158817318045742</v>
      </c>
      <c r="BF19" s="61">
        <f t="shared" si="5"/>
        <v>1.739489526802082</v>
      </c>
      <c r="BG19" s="61">
        <f t="shared" si="5"/>
        <v>2.8766875804253216</v>
      </c>
      <c r="BH19" s="61">
        <f t="shared" si="5"/>
        <v>4.1375140515701947</v>
      </c>
      <c r="BI19" s="61">
        <f t="shared" si="5"/>
        <v>4.1431700595073746</v>
      </c>
      <c r="BJ19" s="61">
        <f t="shared" si="5"/>
        <v>2.656636030985486</v>
      </c>
      <c r="BK19" s="61">
        <f t="shared" si="5"/>
        <v>3.7472465240982431</v>
      </c>
      <c r="BL19" s="61">
        <f t="shared" si="5"/>
        <v>3.4405791109988879</v>
      </c>
      <c r="BM19" s="61">
        <f t="shared" si="6"/>
        <v>2.4598836026033126</v>
      </c>
      <c r="BN19" s="61">
        <f t="shared" si="6"/>
        <v>2.9345432154723992</v>
      </c>
      <c r="BO19" s="61">
        <f t="shared" si="6"/>
        <v>4.0004135190179833</v>
      </c>
      <c r="BP19" s="61">
        <f t="shared" si="6"/>
        <v>2.8653239711091509</v>
      </c>
      <c r="BQ19" s="61">
        <f t="shared" si="6"/>
        <v>3.0584994235458467</v>
      </c>
      <c r="BR19" s="61">
        <f t="shared" si="6"/>
        <v>3.0547300622517537</v>
      </c>
      <c r="BS19" s="61">
        <f t="shared" si="6"/>
        <v>3.4532007044944524</v>
      </c>
      <c r="BT19" s="61">
        <f t="shared" si="6"/>
        <v>3.5931825210980457</v>
      </c>
      <c r="BU19" s="61">
        <f t="shared" si="6"/>
        <v>3.6234327119142198</v>
      </c>
      <c r="BV19" s="61">
        <f t="shared" si="6"/>
        <v>4.2672369382881445</v>
      </c>
      <c r="BW19" s="61">
        <f t="shared" si="7"/>
        <v>3.5917131024961364</v>
      </c>
      <c r="BX19" s="61">
        <f t="shared" si="7"/>
        <v>4.2738436992130682</v>
      </c>
      <c r="BY19" s="61">
        <f t="shared" si="7"/>
        <v>3.7847885908468077</v>
      </c>
      <c r="BZ19" s="61">
        <f t="shared" si="7"/>
        <v>3.8201521415843005</v>
      </c>
      <c r="CA19" s="61">
        <f t="shared" si="7"/>
        <v>4.2953119056745308</v>
      </c>
      <c r="CB19" s="61">
        <f t="shared" si="7"/>
        <v>3.8288915143122844</v>
      </c>
      <c r="CC19" s="61">
        <f t="shared" si="7"/>
        <v>4.3030863587140411</v>
      </c>
      <c r="CD19" s="61">
        <f t="shared" si="7"/>
        <v>4.3197126884283596</v>
      </c>
      <c r="CE19" s="61">
        <f t="shared" si="7"/>
        <v>3.7409994461860654</v>
      </c>
      <c r="CF19" s="61">
        <f t="shared" si="7"/>
        <v>3.310368957143679</v>
      </c>
      <c r="CG19" s="61">
        <f t="shared" si="8"/>
        <v>3.593337051341817</v>
      </c>
      <c r="CH19" s="61">
        <f t="shared" si="8"/>
        <v>3.9608528137386494</v>
      </c>
      <c r="CI19" s="61">
        <f t="shared" si="8"/>
        <v>4.0345545142268895</v>
      </c>
      <c r="CJ19" s="61">
        <f t="shared" si="8"/>
        <v>4.2118408770858213</v>
      </c>
      <c r="CK19" s="61">
        <f t="shared" si="8"/>
        <v>3.875591613821336</v>
      </c>
      <c r="CL19" s="61">
        <f t="shared" si="8"/>
        <v>4.4353981009947265</v>
      </c>
      <c r="CM19" s="61">
        <f t="shared" si="8"/>
        <v>4.0078398663346286</v>
      </c>
      <c r="CN19" s="61">
        <f t="shared" si="8"/>
        <v>3.3403880745959076</v>
      </c>
      <c r="CO19" s="61">
        <f t="shared" si="8"/>
        <v>3.6479437373078891</v>
      </c>
      <c r="CP19" s="61">
        <f t="shared" si="8"/>
        <v>4.4883080636931352</v>
      </c>
      <c r="CQ19" s="61">
        <f t="shared" si="9"/>
        <v>4.1264399265979055</v>
      </c>
      <c r="CR19" s="61">
        <f t="shared" si="9"/>
        <v>4.1148213983860247</v>
      </c>
      <c r="CS19" s="61">
        <f t="shared" si="9"/>
        <v>4.5322986508770553</v>
      </c>
      <c r="CT19" s="61">
        <f t="shared" si="9"/>
        <v>4.5579497115061347</v>
      </c>
      <c r="CU19" s="61">
        <f t="shared" si="9"/>
        <v>4.0544512140099034</v>
      </c>
      <c r="CV19" s="61">
        <f t="shared" si="9"/>
        <v>3.9319084429372211</v>
      </c>
      <c r="CW19" s="61">
        <f t="shared" si="9"/>
        <v>4.5579497115061347</v>
      </c>
      <c r="CX19" s="61">
        <f t="shared" si="9"/>
        <v>4.0643940140978474</v>
      </c>
      <c r="CY19" s="61">
        <f t="shared" si="9"/>
        <v>4.5867630613444801</v>
      </c>
      <c r="CZ19" s="61">
        <f t="shared" si="9"/>
        <v>4.5867630613444801</v>
      </c>
      <c r="DA19" s="61">
        <f t="shared" si="10"/>
        <v>4.2573040370410498</v>
      </c>
      <c r="DB19" s="61">
        <f t="shared" si="10"/>
        <v>4.6195315318713819</v>
      </c>
      <c r="DC19" s="61">
        <f t="shared" si="10"/>
        <v>4.6195315318713819</v>
      </c>
      <c r="DD19" s="61">
        <f t="shared" si="10"/>
        <v>4.3546649943538176</v>
      </c>
      <c r="DE19" s="61">
        <f t="shared" si="10"/>
        <v>4.5330407892460576</v>
      </c>
      <c r="DF19" s="61">
        <f t="shared" si="10"/>
        <v>4.8236589581190596</v>
      </c>
      <c r="DG19" s="61">
        <f t="shared" si="10"/>
        <v>4.9136701002887495</v>
      </c>
      <c r="DH19" s="61">
        <f t="shared" si="10"/>
        <v>4.9136701002887495</v>
      </c>
      <c r="DI19" s="61">
        <f t="shared" si="10"/>
        <v>4.9136701002887495</v>
      </c>
      <c r="DJ19" s="61">
        <f t="shared" si="10"/>
        <v>4.9136701002887495</v>
      </c>
      <c r="DK19" s="61">
        <f t="shared" si="11"/>
        <v>5.0453541823317503</v>
      </c>
      <c r="DL19" s="61">
        <f t="shared" si="11"/>
        <v>5.0453541823317503</v>
      </c>
      <c r="DM19" s="61">
        <f t="shared" si="11"/>
        <v>5.0453541823317503</v>
      </c>
      <c r="DN19" s="61">
        <f t="shared" si="11"/>
        <v>5.0453541823317503</v>
      </c>
      <c r="DO19" s="61">
        <f t="shared" si="11"/>
        <v>5.0453541823317503</v>
      </c>
      <c r="DP19" s="61">
        <f t="shared" si="11"/>
        <v>5.2824057792586023</v>
      </c>
      <c r="DQ19" s="61">
        <f t="shared" si="11"/>
        <v>5.2824057792586023</v>
      </c>
    </row>
    <row r="20" spans="1:121" x14ac:dyDescent="0.25">
      <c r="A20" s="48" t="str">
        <f>KMeans_Data!A11</f>
        <v>Multan</v>
      </c>
      <c r="B20" s="59">
        <f>KMeans_Data!H11</f>
        <v>1.3394801285719993</v>
      </c>
      <c r="C20" s="59">
        <f>KMeans_Data!I11</f>
        <v>0.16051258962499582</v>
      </c>
      <c r="D20" s="59">
        <f>KMeans_Data!J11</f>
        <v>-0.82444601589876665</v>
      </c>
      <c r="E20" s="61">
        <f t="shared" si="0"/>
        <v>5.9504874931858787</v>
      </c>
      <c r="F20" s="61">
        <f t="shared" si="0"/>
        <v>5.6485434181513678</v>
      </c>
      <c r="G20" s="61">
        <f t="shared" si="0"/>
        <v>3.9777682880830931</v>
      </c>
      <c r="H20" s="61">
        <f t="shared" si="0"/>
        <v>4.3189189517283344</v>
      </c>
      <c r="I20" s="61">
        <f t="shared" si="0"/>
        <v>3.2675623998273244</v>
      </c>
      <c r="J20" s="61">
        <f t="shared" si="0"/>
        <v>3.0746736442947804</v>
      </c>
      <c r="K20" s="61">
        <f t="shared" si="0"/>
        <v>0</v>
      </c>
      <c r="L20" s="61">
        <f t="shared" si="0"/>
        <v>2.602042448830006</v>
      </c>
      <c r="M20" s="61">
        <f t="shared" si="0"/>
        <v>2.7316555786019592</v>
      </c>
      <c r="N20" s="61">
        <f t="shared" si="0"/>
        <v>0.33701852482368999</v>
      </c>
      <c r="O20" s="61">
        <f t="shared" si="1"/>
        <v>2.2485754417062598</v>
      </c>
      <c r="P20" s="61">
        <f t="shared" si="1"/>
        <v>2.5682793452551866</v>
      </c>
      <c r="Q20" s="61">
        <f t="shared" si="1"/>
        <v>2.1002722138209853</v>
      </c>
      <c r="R20" s="61">
        <f t="shared" si="1"/>
        <v>2.3249148297272479</v>
      </c>
      <c r="S20" s="61">
        <f t="shared" si="1"/>
        <v>2.042038380941015</v>
      </c>
      <c r="T20" s="61">
        <f t="shared" si="1"/>
        <v>2.0371051487668566</v>
      </c>
      <c r="U20" s="61">
        <f t="shared" si="1"/>
        <v>2.4607664560096891</v>
      </c>
      <c r="V20" s="61">
        <f t="shared" si="1"/>
        <v>1.9514179698650884</v>
      </c>
      <c r="W20" s="61">
        <f t="shared" si="1"/>
        <v>2.195816259038228</v>
      </c>
      <c r="X20" s="61">
        <f t="shared" si="1"/>
        <v>2.0309003368839753</v>
      </c>
      <c r="Y20" s="61">
        <f t="shared" si="2"/>
        <v>2.2571987021180941</v>
      </c>
      <c r="Z20" s="61">
        <f t="shared" si="2"/>
        <v>1.6736953674699433</v>
      </c>
      <c r="AA20" s="61">
        <f t="shared" si="2"/>
        <v>1.8687450252790154</v>
      </c>
      <c r="AB20" s="61">
        <f t="shared" si="2"/>
        <v>1.6383081185953938</v>
      </c>
      <c r="AC20" s="61">
        <f t="shared" si="2"/>
        <v>2.0574628458923927</v>
      </c>
      <c r="AD20" s="61">
        <f t="shared" si="2"/>
        <v>2.2876594628200251</v>
      </c>
      <c r="AE20" s="61">
        <f t="shared" si="2"/>
        <v>0.82406922646320091</v>
      </c>
      <c r="AF20" s="61">
        <f t="shared" si="2"/>
        <v>1.923973218767385</v>
      </c>
      <c r="AG20" s="61">
        <f t="shared" si="2"/>
        <v>1.2060986797700148</v>
      </c>
      <c r="AH20" s="61">
        <f t="shared" si="2"/>
        <v>1.7774793600668544</v>
      </c>
      <c r="AI20" s="61">
        <f t="shared" si="3"/>
        <v>1.2080994092823738</v>
      </c>
      <c r="AJ20" s="61">
        <f t="shared" si="3"/>
        <v>2.1214370412319647</v>
      </c>
      <c r="AK20" s="61">
        <f t="shared" si="3"/>
        <v>1.391022221094474</v>
      </c>
      <c r="AL20" s="61">
        <f t="shared" si="3"/>
        <v>1.6491719246560772</v>
      </c>
      <c r="AM20" s="61">
        <f t="shared" si="3"/>
        <v>1.8711545081021956</v>
      </c>
      <c r="AN20" s="61">
        <f t="shared" si="3"/>
        <v>2.0346642721595614</v>
      </c>
      <c r="AO20" s="61">
        <f t="shared" si="3"/>
        <v>1.6524232702443264</v>
      </c>
      <c r="AP20" s="61">
        <f t="shared" si="3"/>
        <v>1.5896948229092016</v>
      </c>
      <c r="AQ20" s="61">
        <f t="shared" si="3"/>
        <v>2.0532952294910416</v>
      </c>
      <c r="AR20" s="61">
        <f t="shared" si="3"/>
        <v>1.2074767970513363</v>
      </c>
      <c r="AS20" s="61">
        <f t="shared" si="4"/>
        <v>2.2601110622162954</v>
      </c>
      <c r="AT20" s="61">
        <f t="shared" si="4"/>
        <v>1.9458218488115473</v>
      </c>
      <c r="AU20" s="61">
        <f t="shared" si="4"/>
        <v>1.1358785960923217</v>
      </c>
      <c r="AV20" s="61">
        <f t="shared" si="4"/>
        <v>1.9133752780069195</v>
      </c>
      <c r="AW20" s="61">
        <f t="shared" si="4"/>
        <v>1.3806020876375551</v>
      </c>
      <c r="AX20" s="61">
        <f t="shared" si="4"/>
        <v>1.637048737586966</v>
      </c>
      <c r="AY20" s="61">
        <f t="shared" si="4"/>
        <v>1.4469007649449999</v>
      </c>
      <c r="AZ20" s="61">
        <f t="shared" si="4"/>
        <v>2.3320936032311801</v>
      </c>
      <c r="BA20" s="61">
        <f t="shared" si="4"/>
        <v>2.0077116385516454</v>
      </c>
      <c r="BB20" s="61">
        <f t="shared" si="4"/>
        <v>1.4520578464138856</v>
      </c>
      <c r="BC20" s="61">
        <f t="shared" si="5"/>
        <v>1.4572920010857984</v>
      </c>
      <c r="BD20" s="61">
        <f t="shared" si="5"/>
        <v>1.4734774205822698</v>
      </c>
      <c r="BE20" s="61">
        <f t="shared" si="5"/>
        <v>1.5614559929564493</v>
      </c>
      <c r="BF20" s="61">
        <f t="shared" si="5"/>
        <v>2.3462445010387252</v>
      </c>
      <c r="BG20" s="61">
        <f t="shared" si="5"/>
        <v>1.9262276081308707</v>
      </c>
      <c r="BH20" s="61">
        <f t="shared" si="5"/>
        <v>1.5399548677293187</v>
      </c>
      <c r="BI20" s="61">
        <f t="shared" si="5"/>
        <v>1.5534471802101395</v>
      </c>
      <c r="BJ20" s="61">
        <f t="shared" si="5"/>
        <v>1.6026524893667038</v>
      </c>
      <c r="BK20" s="61">
        <f t="shared" si="5"/>
        <v>1.6287190669994995</v>
      </c>
      <c r="BL20" s="61">
        <f t="shared" si="5"/>
        <v>1.9775516550784871</v>
      </c>
      <c r="BM20" s="61">
        <f t="shared" si="6"/>
        <v>1.9477766092096704</v>
      </c>
      <c r="BN20" s="61">
        <f t="shared" si="6"/>
        <v>1.6326000105306229</v>
      </c>
      <c r="BO20" s="61">
        <f t="shared" si="6"/>
        <v>1.63291986574935</v>
      </c>
      <c r="BP20" s="61">
        <f t="shared" si="6"/>
        <v>1.8041570634973154</v>
      </c>
      <c r="BQ20" s="61">
        <f t="shared" si="6"/>
        <v>1.9106694009664418</v>
      </c>
      <c r="BR20" s="61">
        <f t="shared" si="6"/>
        <v>1.9599984985753305</v>
      </c>
      <c r="BS20" s="61">
        <f t="shared" si="6"/>
        <v>2.2367166049768556</v>
      </c>
      <c r="BT20" s="61">
        <f t="shared" si="6"/>
        <v>2.036192022159355</v>
      </c>
      <c r="BU20" s="61">
        <f t="shared" si="6"/>
        <v>1.9952876168661366</v>
      </c>
      <c r="BV20" s="61">
        <f t="shared" si="6"/>
        <v>1.8317695890288332</v>
      </c>
      <c r="BW20" s="61">
        <f t="shared" si="7"/>
        <v>2.1303478189946015</v>
      </c>
      <c r="BX20" s="61">
        <f t="shared" si="7"/>
        <v>1.8457700664480359</v>
      </c>
      <c r="BY20" s="61">
        <f t="shared" si="7"/>
        <v>1.9560225708301384</v>
      </c>
      <c r="BZ20" s="61">
        <f t="shared" si="7"/>
        <v>1.9516293892096792</v>
      </c>
      <c r="CA20" s="61">
        <f t="shared" si="7"/>
        <v>1.8907731806331831</v>
      </c>
      <c r="CB20" s="61">
        <f t="shared" si="7"/>
        <v>1.9672493137891489</v>
      </c>
      <c r="CC20" s="61">
        <f t="shared" si="7"/>
        <v>1.9068916619406189</v>
      </c>
      <c r="CD20" s="61">
        <f t="shared" si="7"/>
        <v>1.9410565268981552</v>
      </c>
      <c r="CE20" s="61">
        <f t="shared" si="7"/>
        <v>2.1184082687989139</v>
      </c>
      <c r="CF20" s="61">
        <f t="shared" si="7"/>
        <v>2.0159908404774782</v>
      </c>
      <c r="CG20" s="61">
        <f t="shared" si="8"/>
        <v>1.8848001436529527</v>
      </c>
      <c r="CH20" s="61">
        <f t="shared" si="8"/>
        <v>2.037665029158378</v>
      </c>
      <c r="CI20" s="61">
        <f t="shared" si="8"/>
        <v>2.0632590619058639</v>
      </c>
      <c r="CJ20" s="61">
        <f t="shared" si="8"/>
        <v>2.0624973801360014</v>
      </c>
      <c r="CK20" s="61">
        <f t="shared" si="8"/>
        <v>2.2582592023764891</v>
      </c>
      <c r="CL20" s="61">
        <f t="shared" si="8"/>
        <v>2.1685414896630184</v>
      </c>
      <c r="CM20" s="61">
        <f t="shared" si="8"/>
        <v>2.204217205658098</v>
      </c>
      <c r="CN20" s="61">
        <f t="shared" si="8"/>
        <v>2.5279244628010589</v>
      </c>
      <c r="CO20" s="61">
        <f t="shared" si="8"/>
        <v>2.202561731138458</v>
      </c>
      <c r="CP20" s="61">
        <f t="shared" si="8"/>
        <v>2.2674612918080244</v>
      </c>
      <c r="CQ20" s="61">
        <f t="shared" si="9"/>
        <v>2.3224753899639703</v>
      </c>
      <c r="CR20" s="61">
        <f t="shared" si="9"/>
        <v>2.3806253106464852</v>
      </c>
      <c r="CS20" s="61">
        <f t="shared" si="9"/>
        <v>2.3476319073401144</v>
      </c>
      <c r="CT20" s="61">
        <f t="shared" si="9"/>
        <v>2.3935840049951693</v>
      </c>
      <c r="CU20" s="61">
        <f t="shared" si="9"/>
        <v>2.2419788089330766</v>
      </c>
      <c r="CV20" s="61">
        <f t="shared" si="9"/>
        <v>2.6102331722081829</v>
      </c>
      <c r="CW20" s="61">
        <f t="shared" si="9"/>
        <v>2.3935840049951693</v>
      </c>
      <c r="CX20" s="61">
        <f t="shared" si="9"/>
        <v>2.5488606562234772</v>
      </c>
      <c r="CY20" s="61">
        <f t="shared" si="9"/>
        <v>2.444547920601587</v>
      </c>
      <c r="CZ20" s="61">
        <f t="shared" si="9"/>
        <v>2.444547920601587</v>
      </c>
      <c r="DA20" s="61">
        <f t="shared" si="10"/>
        <v>2.444547920601587</v>
      </c>
      <c r="DB20" s="61">
        <f t="shared" si="10"/>
        <v>2.5017146434448057</v>
      </c>
      <c r="DC20" s="61">
        <f t="shared" si="10"/>
        <v>2.5017146434448057</v>
      </c>
      <c r="DD20" s="61">
        <f t="shared" si="10"/>
        <v>2.4881137745739066</v>
      </c>
      <c r="DE20" s="61">
        <f t="shared" si="10"/>
        <v>2.6225262395932956</v>
      </c>
      <c r="DF20" s="61">
        <f t="shared" si="10"/>
        <v>2.8416331629371849</v>
      </c>
      <c r="DG20" s="61">
        <f t="shared" si="10"/>
        <v>2.9841495910048361</v>
      </c>
      <c r="DH20" s="61">
        <f t="shared" si="10"/>
        <v>2.9841495910048361</v>
      </c>
      <c r="DI20" s="61">
        <f t="shared" si="10"/>
        <v>2.9841495910048361</v>
      </c>
      <c r="DJ20" s="61">
        <f t="shared" si="10"/>
        <v>2.9841495910048361</v>
      </c>
      <c r="DK20" s="61">
        <f t="shared" si="11"/>
        <v>3.186138857429877</v>
      </c>
      <c r="DL20" s="61">
        <f t="shared" si="11"/>
        <v>3.186138857429877</v>
      </c>
      <c r="DM20" s="61">
        <f t="shared" si="11"/>
        <v>3.186138857429877</v>
      </c>
      <c r="DN20" s="61">
        <f t="shared" si="11"/>
        <v>3.186138857429877</v>
      </c>
      <c r="DO20" s="61">
        <f t="shared" si="11"/>
        <v>3.186138857429877</v>
      </c>
      <c r="DP20" s="61">
        <f t="shared" si="11"/>
        <v>3.5338904221249825</v>
      </c>
      <c r="DQ20" s="61">
        <f t="shared" si="11"/>
        <v>3.5338904221249825</v>
      </c>
    </row>
    <row r="21" spans="1:121" x14ac:dyDescent="0.25">
      <c r="A21" s="48" t="str">
        <f>KMeans_Data!A12</f>
        <v>Sukkur</v>
      </c>
      <c r="B21" s="59">
        <f>KMeans_Data!H12</f>
        <v>1.3163443189252899</v>
      </c>
      <c r="C21" s="59">
        <f>KMeans_Data!I12</f>
        <v>0.68618000108374222</v>
      </c>
      <c r="D21" s="59">
        <f>KMeans_Data!J12</f>
        <v>1.7238403519091188</v>
      </c>
      <c r="E21" s="61">
        <f t="shared" si="0"/>
        <v>4.1727070517104679</v>
      </c>
      <c r="F21" s="61">
        <f t="shared" si="0"/>
        <v>4.0866025254355725</v>
      </c>
      <c r="G21" s="61">
        <f t="shared" si="0"/>
        <v>2.0260323086887375</v>
      </c>
      <c r="H21" s="61">
        <f t="shared" si="0"/>
        <v>3.0552499804049833</v>
      </c>
      <c r="I21" s="61">
        <f t="shared" si="0"/>
        <v>1.6231809819284502</v>
      </c>
      <c r="J21" s="61">
        <f t="shared" si="0"/>
        <v>1.5799615539013421</v>
      </c>
      <c r="K21" s="61">
        <f t="shared" si="0"/>
        <v>2.602042448830006</v>
      </c>
      <c r="L21" s="61">
        <f t="shared" si="0"/>
        <v>0</v>
      </c>
      <c r="M21" s="61">
        <f t="shared" si="0"/>
        <v>0.52953050577154981</v>
      </c>
      <c r="N21" s="61">
        <f t="shared" si="0"/>
        <v>2.6834873906235317</v>
      </c>
      <c r="O21" s="61">
        <f t="shared" si="1"/>
        <v>1.0933784884306603</v>
      </c>
      <c r="P21" s="61">
        <f t="shared" si="1"/>
        <v>1.2318375391107739</v>
      </c>
      <c r="Q21" s="61">
        <f t="shared" si="1"/>
        <v>0.76382012340133332</v>
      </c>
      <c r="R21" s="61">
        <f t="shared" si="1"/>
        <v>0.48644468900823695</v>
      </c>
      <c r="S21" s="61">
        <f t="shared" si="1"/>
        <v>1.0485979460947528</v>
      </c>
      <c r="T21" s="61">
        <f t="shared" si="1"/>
        <v>0.86116624907794737</v>
      </c>
      <c r="U21" s="61">
        <f t="shared" si="1"/>
        <v>0.55189294997606786</v>
      </c>
      <c r="V21" s="61">
        <f t="shared" si="1"/>
        <v>1.3855401310860769</v>
      </c>
      <c r="W21" s="61">
        <f t="shared" si="1"/>
        <v>1.1500394794032098</v>
      </c>
      <c r="X21" s="61">
        <f t="shared" si="1"/>
        <v>0.84325402525057369</v>
      </c>
      <c r="Y21" s="61">
        <f t="shared" si="2"/>
        <v>0.70591599641920222</v>
      </c>
      <c r="Z21" s="61">
        <f t="shared" si="2"/>
        <v>1.2318639927788697</v>
      </c>
      <c r="AA21" s="61">
        <f t="shared" si="2"/>
        <v>1.0696692246104795</v>
      </c>
      <c r="AB21" s="61">
        <f t="shared" si="2"/>
        <v>1.1914822406439738</v>
      </c>
      <c r="AC21" s="61">
        <f t="shared" si="2"/>
        <v>1.3350440507887618</v>
      </c>
      <c r="AD21" s="61">
        <f t="shared" si="2"/>
        <v>0.76283294626073495</v>
      </c>
      <c r="AE21" s="61">
        <f t="shared" si="2"/>
        <v>3.0623360139594267</v>
      </c>
      <c r="AF21" s="61">
        <f t="shared" si="2"/>
        <v>1.1105340002198389</v>
      </c>
      <c r="AG21" s="61">
        <f t="shared" si="2"/>
        <v>2.6271614340368394</v>
      </c>
      <c r="AH21" s="61">
        <f t="shared" si="2"/>
        <v>1.3075794628368289</v>
      </c>
      <c r="AI21" s="61">
        <f t="shared" si="3"/>
        <v>2.6280526928216261</v>
      </c>
      <c r="AJ21" s="61">
        <f t="shared" si="3"/>
        <v>0.9753846919571505</v>
      </c>
      <c r="AK21" s="61">
        <f t="shared" si="3"/>
        <v>1.6660408807200133</v>
      </c>
      <c r="AL21" s="61">
        <f t="shared" si="3"/>
        <v>1.6609876838126034</v>
      </c>
      <c r="AM21" s="61">
        <f t="shared" si="3"/>
        <v>1.7835276144543237</v>
      </c>
      <c r="AN21" s="61">
        <f t="shared" si="3"/>
        <v>1.4013850597072723</v>
      </c>
      <c r="AO21" s="61">
        <f t="shared" si="3"/>
        <v>1.5086172264915794</v>
      </c>
      <c r="AP21" s="61">
        <f t="shared" si="3"/>
        <v>1.5742360539324178</v>
      </c>
      <c r="AQ21" s="61">
        <f t="shared" si="3"/>
        <v>1.539250318376139</v>
      </c>
      <c r="AR21" s="61">
        <f t="shared" si="3"/>
        <v>2.0937206621641988</v>
      </c>
      <c r="AS21" s="61">
        <f t="shared" si="4"/>
        <v>1.8311416536561982</v>
      </c>
      <c r="AT21" s="61">
        <f t="shared" si="4"/>
        <v>1.6379742187225816</v>
      </c>
      <c r="AU21" s="61">
        <f t="shared" si="4"/>
        <v>2.716006812875571</v>
      </c>
      <c r="AV21" s="61">
        <f t="shared" si="4"/>
        <v>2.1050519094051388</v>
      </c>
      <c r="AW21" s="61">
        <f t="shared" si="4"/>
        <v>3.0824797958591015</v>
      </c>
      <c r="AX21" s="61">
        <f t="shared" si="4"/>
        <v>1.8034817995866055</v>
      </c>
      <c r="AY21" s="61">
        <f t="shared" si="4"/>
        <v>3.3651759500344176</v>
      </c>
      <c r="AZ21" s="61">
        <f t="shared" si="4"/>
        <v>1.8890203221375319</v>
      </c>
      <c r="BA21" s="61">
        <f t="shared" si="4"/>
        <v>1.6775301792461965</v>
      </c>
      <c r="BB21" s="61">
        <f t="shared" si="4"/>
        <v>3.367351541750768</v>
      </c>
      <c r="BC21" s="61">
        <f t="shared" si="5"/>
        <v>3.3695663814489434</v>
      </c>
      <c r="BD21" s="61">
        <f t="shared" si="5"/>
        <v>2.8506928660679085</v>
      </c>
      <c r="BE21" s="61">
        <f t="shared" si="5"/>
        <v>2.65916534500855</v>
      </c>
      <c r="BF21" s="61">
        <f t="shared" si="5"/>
        <v>1.6698856810709937</v>
      </c>
      <c r="BG21" s="61">
        <f t="shared" si="5"/>
        <v>1.8422104154586556</v>
      </c>
      <c r="BH21" s="61">
        <f t="shared" si="5"/>
        <v>3.4054330681584131</v>
      </c>
      <c r="BI21" s="61">
        <f t="shared" si="5"/>
        <v>3.4114435251321851</v>
      </c>
      <c r="BJ21" s="61">
        <f t="shared" si="5"/>
        <v>2.1539224559439925</v>
      </c>
      <c r="BK21" s="61">
        <f t="shared" si="5"/>
        <v>2.8414030170034423</v>
      </c>
      <c r="BL21" s="61">
        <f t="shared" si="5"/>
        <v>2.3318378745735115</v>
      </c>
      <c r="BM21" s="61">
        <f t="shared" si="6"/>
        <v>1.8259174928308772</v>
      </c>
      <c r="BN21" s="61">
        <f t="shared" si="6"/>
        <v>2.2251657761951789</v>
      </c>
      <c r="BO21" s="61">
        <f t="shared" si="6"/>
        <v>3.2012502165552501</v>
      </c>
      <c r="BP21" s="61">
        <f t="shared" si="6"/>
        <v>2.0990033082794839</v>
      </c>
      <c r="BQ21" s="61">
        <f t="shared" si="6"/>
        <v>2.1285438283154781</v>
      </c>
      <c r="BR21" s="61">
        <f t="shared" si="6"/>
        <v>2.1146357930906809</v>
      </c>
      <c r="BS21" s="61">
        <f t="shared" si="6"/>
        <v>2.3094672295785559</v>
      </c>
      <c r="BT21" s="61">
        <f t="shared" si="6"/>
        <v>2.5556854432441103</v>
      </c>
      <c r="BU21" s="61">
        <f t="shared" si="6"/>
        <v>2.6071464523517087</v>
      </c>
      <c r="BV21" s="61">
        <f t="shared" si="6"/>
        <v>3.544706085269774</v>
      </c>
      <c r="BW21" s="61">
        <f t="shared" si="7"/>
        <v>2.539108173865674</v>
      </c>
      <c r="BX21" s="61">
        <f t="shared" si="7"/>
        <v>3.5518569042530039</v>
      </c>
      <c r="BY21" s="61">
        <f t="shared" si="7"/>
        <v>2.849958228268731</v>
      </c>
      <c r="BZ21" s="61">
        <f t="shared" si="7"/>
        <v>2.9016616354250635</v>
      </c>
      <c r="CA21" s="61">
        <f t="shared" si="7"/>
        <v>3.5751185741674063</v>
      </c>
      <c r="CB21" s="61">
        <f t="shared" si="7"/>
        <v>2.9120452833623123</v>
      </c>
      <c r="CC21" s="61">
        <f t="shared" si="7"/>
        <v>3.5835513537846539</v>
      </c>
      <c r="CD21" s="61">
        <f t="shared" si="7"/>
        <v>3.6015996715150362</v>
      </c>
      <c r="CE21" s="61">
        <f t="shared" si="7"/>
        <v>2.7627656235233609</v>
      </c>
      <c r="CF21" s="61">
        <f t="shared" si="7"/>
        <v>2.483224494382311</v>
      </c>
      <c r="CG21" s="61">
        <f t="shared" si="8"/>
        <v>2.8980333696156402</v>
      </c>
      <c r="CH21" s="61">
        <f t="shared" si="8"/>
        <v>3.0904460933473801</v>
      </c>
      <c r="CI21" s="61">
        <f t="shared" si="8"/>
        <v>3.1906927509358134</v>
      </c>
      <c r="CJ21" s="61">
        <f t="shared" si="8"/>
        <v>3.4370266078241603</v>
      </c>
      <c r="CK21" s="61">
        <f t="shared" si="8"/>
        <v>2.9377201296999491</v>
      </c>
      <c r="CL21" s="61">
        <f t="shared" si="8"/>
        <v>3.7275594516405226</v>
      </c>
      <c r="CM21" s="61">
        <f t="shared" si="8"/>
        <v>3.1335431447612896</v>
      </c>
      <c r="CN21" s="61">
        <f t="shared" si="8"/>
        <v>2.4463314941653116</v>
      </c>
      <c r="CO21" s="61">
        <f t="shared" si="8"/>
        <v>2.9282629623357685</v>
      </c>
      <c r="CP21" s="61">
        <f t="shared" si="8"/>
        <v>3.7853014947453723</v>
      </c>
      <c r="CQ21" s="61">
        <f t="shared" si="9"/>
        <v>3.2829975112716685</v>
      </c>
      <c r="CR21" s="61">
        <f t="shared" si="9"/>
        <v>3.2586611178927427</v>
      </c>
      <c r="CS21" s="61">
        <f t="shared" si="9"/>
        <v>3.8333378544944487</v>
      </c>
      <c r="CT21" s="61">
        <f t="shared" si="9"/>
        <v>3.8613537223559273</v>
      </c>
      <c r="CU21" s="61">
        <f t="shared" si="9"/>
        <v>3.4666432212648077</v>
      </c>
      <c r="CV21" s="61">
        <f t="shared" si="9"/>
        <v>2.9671299477843904</v>
      </c>
      <c r="CW21" s="61">
        <f t="shared" si="9"/>
        <v>3.8613537223559273</v>
      </c>
      <c r="CX21" s="61">
        <f t="shared" si="9"/>
        <v>3.1641490275804998</v>
      </c>
      <c r="CY21" s="61">
        <f t="shared" si="9"/>
        <v>3.892824850927973</v>
      </c>
      <c r="CZ21" s="61">
        <f t="shared" si="9"/>
        <v>3.892824850927973</v>
      </c>
      <c r="DA21" s="61">
        <f t="shared" si="10"/>
        <v>3.4467472139957351</v>
      </c>
      <c r="DB21" s="61">
        <f t="shared" si="10"/>
        <v>3.9286143070275314</v>
      </c>
      <c r="DC21" s="61">
        <f t="shared" si="10"/>
        <v>3.9286143070275314</v>
      </c>
      <c r="DD21" s="61">
        <f t="shared" si="10"/>
        <v>3.5737299464318437</v>
      </c>
      <c r="DE21" s="61">
        <f t="shared" si="10"/>
        <v>3.7959373503106124</v>
      </c>
      <c r="DF21" s="61">
        <f t="shared" si="10"/>
        <v>4.15133956595822</v>
      </c>
      <c r="DG21" s="61">
        <f t="shared" si="10"/>
        <v>4.2493483848774032</v>
      </c>
      <c r="DH21" s="61">
        <f t="shared" si="10"/>
        <v>4.2493483848774032</v>
      </c>
      <c r="DI21" s="61">
        <f t="shared" si="10"/>
        <v>4.2493483848774032</v>
      </c>
      <c r="DJ21" s="61">
        <f t="shared" si="10"/>
        <v>4.2493483848774032</v>
      </c>
      <c r="DK21" s="61">
        <f t="shared" si="11"/>
        <v>4.3924399735273445</v>
      </c>
      <c r="DL21" s="61">
        <f t="shared" si="11"/>
        <v>4.3924399735273445</v>
      </c>
      <c r="DM21" s="61">
        <f t="shared" si="11"/>
        <v>4.3924399735273445</v>
      </c>
      <c r="DN21" s="61">
        <f t="shared" si="11"/>
        <v>4.3924399735273445</v>
      </c>
      <c r="DO21" s="61">
        <f t="shared" si="11"/>
        <v>4.3924399735273445</v>
      </c>
      <c r="DP21" s="61">
        <f t="shared" si="11"/>
        <v>4.6490575992165946</v>
      </c>
      <c r="DQ21" s="61">
        <f t="shared" si="11"/>
        <v>4.6490575992165946</v>
      </c>
    </row>
    <row r="22" spans="1:121" x14ac:dyDescent="0.25">
      <c r="A22" s="48" t="str">
        <f>KMeans_Data!A13</f>
        <v>Hyderabad</v>
      </c>
      <c r="B22" s="59">
        <f>KMeans_Data!H13</f>
        <v>1.2591276453149129</v>
      </c>
      <c r="C22" s="59">
        <f>KMeans_Data!I13</f>
        <v>1.2118474125424887</v>
      </c>
      <c r="D22" s="59">
        <f>KMeans_Data!J13</f>
        <v>1.6955104854445937</v>
      </c>
      <c r="E22" s="61">
        <f t="shared" si="0"/>
        <v>3.8049688595258218</v>
      </c>
      <c r="F22" s="61">
        <f t="shared" si="0"/>
        <v>3.6888199711396874</v>
      </c>
      <c r="G22" s="61">
        <f t="shared" si="0"/>
        <v>1.6886079116948614</v>
      </c>
      <c r="H22" s="61">
        <f t="shared" si="0"/>
        <v>2.5893539273064321</v>
      </c>
      <c r="I22" s="61">
        <f t="shared" si="0"/>
        <v>1.2493817962875828</v>
      </c>
      <c r="J22" s="61">
        <f t="shared" si="0"/>
        <v>1.0756721822681843</v>
      </c>
      <c r="K22" s="61">
        <f t="shared" si="0"/>
        <v>2.7316555786019592</v>
      </c>
      <c r="L22" s="61">
        <f t="shared" si="0"/>
        <v>0.52953050577154981</v>
      </c>
      <c r="M22" s="61">
        <f t="shared" si="0"/>
        <v>0</v>
      </c>
      <c r="N22" s="61">
        <f t="shared" si="0"/>
        <v>2.8635498461084752</v>
      </c>
      <c r="O22" s="61">
        <f t="shared" si="1"/>
        <v>0.76406048096227686</v>
      </c>
      <c r="P22" s="61">
        <f t="shared" si="1"/>
        <v>0.77893985028725132</v>
      </c>
      <c r="Q22" s="61">
        <f t="shared" si="1"/>
        <v>0.68757354928555969</v>
      </c>
      <c r="R22" s="61">
        <f t="shared" si="1"/>
        <v>0.8910805790095413</v>
      </c>
      <c r="S22" s="61">
        <f t="shared" si="1"/>
        <v>1.4795372601678018</v>
      </c>
      <c r="T22" s="61">
        <f t="shared" si="1"/>
        <v>0.78613890644251572</v>
      </c>
      <c r="U22" s="61">
        <f t="shared" si="1"/>
        <v>0.92216451619606377</v>
      </c>
      <c r="V22" s="61">
        <f t="shared" si="1"/>
        <v>1.1635709208425495</v>
      </c>
      <c r="W22" s="61">
        <f t="shared" si="1"/>
        <v>0.88003362553587006</v>
      </c>
      <c r="X22" s="61">
        <f t="shared" si="1"/>
        <v>0.88052795046726751</v>
      </c>
      <c r="Y22" s="61">
        <f t="shared" si="2"/>
        <v>0.75482325988174048</v>
      </c>
      <c r="Z22" s="61">
        <f t="shared" si="2"/>
        <v>1.2456385549578923</v>
      </c>
      <c r="AA22" s="61">
        <f t="shared" si="2"/>
        <v>1.3685667898689635</v>
      </c>
      <c r="AB22" s="61">
        <f t="shared" si="2"/>
        <v>1.3132221711399714</v>
      </c>
      <c r="AC22" s="61">
        <f t="shared" si="2"/>
        <v>1.1010404072771254</v>
      </c>
      <c r="AD22" s="61">
        <f t="shared" si="2"/>
        <v>0.80285812811101864</v>
      </c>
      <c r="AE22" s="61">
        <f t="shared" si="2"/>
        <v>3.2085676641039029</v>
      </c>
      <c r="AF22" s="61">
        <f t="shared" si="2"/>
        <v>1.1763471444243814</v>
      </c>
      <c r="AG22" s="61">
        <f t="shared" si="2"/>
        <v>2.8993307430219892</v>
      </c>
      <c r="AH22" s="61">
        <f t="shared" si="2"/>
        <v>1.5507770365115561</v>
      </c>
      <c r="AI22" s="61">
        <f t="shared" si="3"/>
        <v>2.9000759387499251</v>
      </c>
      <c r="AJ22" s="61">
        <f t="shared" si="3"/>
        <v>1.121137468333292</v>
      </c>
      <c r="AK22" s="61">
        <f t="shared" si="3"/>
        <v>1.7911304919048918</v>
      </c>
      <c r="AL22" s="61">
        <f t="shared" si="3"/>
        <v>1.9374361208497952</v>
      </c>
      <c r="AM22" s="61">
        <f t="shared" si="3"/>
        <v>1.5985569850170833</v>
      </c>
      <c r="AN22" s="61">
        <f t="shared" si="3"/>
        <v>1.2670398539277761</v>
      </c>
      <c r="AO22" s="61">
        <f t="shared" si="3"/>
        <v>1.6466564118748546</v>
      </c>
      <c r="AP22" s="61">
        <f t="shared" si="3"/>
        <v>1.7055146245655486</v>
      </c>
      <c r="AQ22" s="61">
        <f t="shared" si="3"/>
        <v>1.3664469632896816</v>
      </c>
      <c r="AR22" s="61">
        <f t="shared" si="3"/>
        <v>2.2379838494215134</v>
      </c>
      <c r="AS22" s="61">
        <f t="shared" si="4"/>
        <v>2.2152497269340015</v>
      </c>
      <c r="AT22" s="61">
        <f t="shared" si="4"/>
        <v>1.9147272682046159</v>
      </c>
      <c r="AU22" s="61">
        <f t="shared" si="4"/>
        <v>2.87726765437943</v>
      </c>
      <c r="AV22" s="61">
        <f t="shared" si="4"/>
        <v>2.4393542996147444</v>
      </c>
      <c r="AW22" s="61">
        <f t="shared" si="4"/>
        <v>3.3080140361203445</v>
      </c>
      <c r="AX22" s="61">
        <f t="shared" si="4"/>
        <v>1.9711740009852654</v>
      </c>
      <c r="AY22" s="61">
        <f t="shared" si="4"/>
        <v>3.5697588142588814</v>
      </c>
      <c r="AZ22" s="61">
        <f t="shared" si="4"/>
        <v>2.2606593176744592</v>
      </c>
      <c r="BA22" s="61">
        <f t="shared" si="4"/>
        <v>1.9466578033637711</v>
      </c>
      <c r="BB22" s="61">
        <f t="shared" si="4"/>
        <v>3.5717049208666163</v>
      </c>
      <c r="BC22" s="61">
        <f t="shared" si="5"/>
        <v>3.5736869630338366</v>
      </c>
      <c r="BD22" s="61">
        <f t="shared" si="5"/>
        <v>3.0947976950339653</v>
      </c>
      <c r="BE22" s="61">
        <f t="shared" si="5"/>
        <v>2.9215691906246501</v>
      </c>
      <c r="BF22" s="61">
        <f t="shared" si="5"/>
        <v>1.4659337713925351</v>
      </c>
      <c r="BG22" s="61">
        <f t="shared" si="5"/>
        <v>2.0852684004894875</v>
      </c>
      <c r="BH22" s="61">
        <f t="shared" si="5"/>
        <v>3.6058914243295574</v>
      </c>
      <c r="BI22" s="61">
        <f t="shared" si="5"/>
        <v>3.6113064925013032</v>
      </c>
      <c r="BJ22" s="61">
        <f t="shared" si="5"/>
        <v>2.1954464585817224</v>
      </c>
      <c r="BK22" s="61">
        <f t="shared" si="5"/>
        <v>3.0841984816138037</v>
      </c>
      <c r="BL22" s="61">
        <f t="shared" si="5"/>
        <v>2.6302795884192305</v>
      </c>
      <c r="BM22" s="61">
        <f t="shared" si="6"/>
        <v>1.8804410339482871</v>
      </c>
      <c r="BN22" s="61">
        <f t="shared" si="6"/>
        <v>2.3523497664136888</v>
      </c>
      <c r="BO22" s="61">
        <f t="shared" si="6"/>
        <v>3.4138755743376974</v>
      </c>
      <c r="BP22" s="61">
        <f t="shared" si="6"/>
        <v>2.2347970559497004</v>
      </c>
      <c r="BQ22" s="61">
        <f t="shared" si="6"/>
        <v>2.3340400024310464</v>
      </c>
      <c r="BR22" s="61">
        <f t="shared" si="6"/>
        <v>2.3213625425399975</v>
      </c>
      <c r="BS22" s="61">
        <f t="shared" si="6"/>
        <v>2.6092851778683226</v>
      </c>
      <c r="BT22" s="61">
        <f t="shared" si="6"/>
        <v>2.8246463390359962</v>
      </c>
      <c r="BU22" s="61">
        <f t="shared" si="6"/>
        <v>2.8704571965192862</v>
      </c>
      <c r="BV22" s="61">
        <f t="shared" si="6"/>
        <v>3.7324213730457387</v>
      </c>
      <c r="BW22" s="61">
        <f t="shared" si="7"/>
        <v>2.809345626696556</v>
      </c>
      <c r="BX22" s="61">
        <f t="shared" si="7"/>
        <v>3.7389681477924714</v>
      </c>
      <c r="BY22" s="61">
        <f t="shared" si="7"/>
        <v>3.0882374232933705</v>
      </c>
      <c r="BZ22" s="61">
        <f t="shared" si="7"/>
        <v>3.1351337502494632</v>
      </c>
      <c r="CA22" s="61">
        <f t="shared" si="7"/>
        <v>3.7602932274691012</v>
      </c>
      <c r="CB22" s="61">
        <f t="shared" si="7"/>
        <v>3.1444142712851533</v>
      </c>
      <c r="CC22" s="61">
        <f t="shared" si="7"/>
        <v>3.7680343196497645</v>
      </c>
      <c r="CD22" s="61">
        <f t="shared" si="7"/>
        <v>3.7846200227545941</v>
      </c>
      <c r="CE22" s="61">
        <f t="shared" si="7"/>
        <v>3.0082737174498497</v>
      </c>
      <c r="CF22" s="61">
        <f t="shared" si="7"/>
        <v>2.6525534867905072</v>
      </c>
      <c r="CG22" s="61">
        <f t="shared" si="8"/>
        <v>3.0381047793068197</v>
      </c>
      <c r="CH22" s="61">
        <f t="shared" si="8"/>
        <v>3.3068100564542129</v>
      </c>
      <c r="CI22" s="61">
        <f t="shared" si="8"/>
        <v>3.3989881677463676</v>
      </c>
      <c r="CJ22" s="61">
        <f t="shared" si="8"/>
        <v>3.6282913684147635</v>
      </c>
      <c r="CK22" s="61">
        <f t="shared" si="8"/>
        <v>3.1653879071257971</v>
      </c>
      <c r="CL22" s="61">
        <f t="shared" si="8"/>
        <v>3.9009757198682795</v>
      </c>
      <c r="CM22" s="61">
        <f t="shared" si="8"/>
        <v>3.3450035082893788</v>
      </c>
      <c r="CN22" s="61">
        <f t="shared" si="8"/>
        <v>2.6167475440059769</v>
      </c>
      <c r="CO22" s="61">
        <f t="shared" si="8"/>
        <v>3.0638560344376349</v>
      </c>
      <c r="CP22" s="61">
        <f t="shared" si="8"/>
        <v>3.9546242158351315</v>
      </c>
      <c r="CQ22" s="61">
        <f t="shared" si="9"/>
        <v>3.4822560838848897</v>
      </c>
      <c r="CR22" s="61">
        <f t="shared" si="9"/>
        <v>3.4592646179784046</v>
      </c>
      <c r="CS22" s="61">
        <f t="shared" si="9"/>
        <v>3.9993843018308288</v>
      </c>
      <c r="CT22" s="61">
        <f t="shared" si="9"/>
        <v>4.0255399221907915</v>
      </c>
      <c r="CU22" s="61">
        <f t="shared" si="9"/>
        <v>3.5746441589603828</v>
      </c>
      <c r="CV22" s="61">
        <f t="shared" si="9"/>
        <v>3.1904098485326071</v>
      </c>
      <c r="CW22" s="61">
        <f t="shared" si="9"/>
        <v>4.0255399221907915</v>
      </c>
      <c r="CX22" s="61">
        <f t="shared" si="9"/>
        <v>3.3709703611317074</v>
      </c>
      <c r="CY22" s="61">
        <f t="shared" si="9"/>
        <v>4.0549635307545628</v>
      </c>
      <c r="CZ22" s="61">
        <f t="shared" si="9"/>
        <v>4.0549635307545628</v>
      </c>
      <c r="DA22" s="61">
        <f t="shared" si="10"/>
        <v>3.6338833594531321</v>
      </c>
      <c r="DB22" s="61">
        <f t="shared" si="10"/>
        <v>4.0884763952405265</v>
      </c>
      <c r="DC22" s="61">
        <f t="shared" si="10"/>
        <v>4.0884763952405265</v>
      </c>
      <c r="DD22" s="61">
        <f t="shared" si="10"/>
        <v>3.7526016736917187</v>
      </c>
      <c r="DE22" s="61">
        <f t="shared" si="10"/>
        <v>3.9612919779105655</v>
      </c>
      <c r="DF22" s="61">
        <f t="shared" si="10"/>
        <v>4.2981351552176728</v>
      </c>
      <c r="DG22" s="61">
        <f t="shared" si="10"/>
        <v>4.3909194052974829</v>
      </c>
      <c r="DH22" s="61">
        <f t="shared" si="10"/>
        <v>4.3909194052974829</v>
      </c>
      <c r="DI22" s="61">
        <f t="shared" si="10"/>
        <v>4.3909194052974829</v>
      </c>
      <c r="DJ22" s="61">
        <f t="shared" si="10"/>
        <v>4.3909194052974829</v>
      </c>
      <c r="DK22" s="61">
        <f t="shared" si="11"/>
        <v>4.5268743412247572</v>
      </c>
      <c r="DL22" s="61">
        <f t="shared" si="11"/>
        <v>4.5268743412247572</v>
      </c>
      <c r="DM22" s="61">
        <f t="shared" si="11"/>
        <v>4.5268743412247572</v>
      </c>
      <c r="DN22" s="61">
        <f t="shared" si="11"/>
        <v>4.5268743412247572</v>
      </c>
      <c r="DO22" s="61">
        <f t="shared" si="11"/>
        <v>4.5268743412247572</v>
      </c>
      <c r="DP22" s="61">
        <f t="shared" si="11"/>
        <v>4.7719509323338665</v>
      </c>
      <c r="DQ22" s="61">
        <f t="shared" si="11"/>
        <v>4.7719509323338665</v>
      </c>
    </row>
    <row r="23" spans="1:121" x14ac:dyDescent="0.25">
      <c r="A23" s="48" t="str">
        <f>KMeans_Data!A14</f>
        <v>Raiwind</v>
      </c>
      <c r="B23" s="59">
        <f>KMeans_Data!H14</f>
        <v>1.2015385972262329</v>
      </c>
      <c r="C23" s="59">
        <f>KMeans_Data!I14</f>
        <v>-0.14698313392952958</v>
      </c>
      <c r="D23" s="59">
        <f>KMeans_Data!J14</f>
        <v>-0.82444601589876665</v>
      </c>
      <c r="E23" s="61">
        <f t="shared" si="0"/>
        <v>6.2000657083427848</v>
      </c>
      <c r="F23" s="61">
        <f t="shared" si="0"/>
        <v>5.9164561934445965</v>
      </c>
      <c r="G23" s="61">
        <f t="shared" si="0"/>
        <v>4.1870251398816727</v>
      </c>
      <c r="H23" s="61">
        <f t="shared" si="0"/>
        <v>4.5973736046388751</v>
      </c>
      <c r="I23" s="61">
        <f t="shared" si="0"/>
        <v>3.4916630469926249</v>
      </c>
      <c r="J23" s="61">
        <f t="shared" si="0"/>
        <v>3.2989445056328126</v>
      </c>
      <c r="K23" s="61">
        <f t="shared" si="0"/>
        <v>0.33701852482368999</v>
      </c>
      <c r="L23" s="61">
        <f t="shared" si="0"/>
        <v>2.6834873906235317</v>
      </c>
      <c r="M23" s="61">
        <f t="shared" si="0"/>
        <v>2.8635498461084752</v>
      </c>
      <c r="N23" s="61">
        <f t="shared" si="0"/>
        <v>0</v>
      </c>
      <c r="O23" s="61">
        <f t="shared" si="1"/>
        <v>2.4339156030362448</v>
      </c>
      <c r="P23" s="61">
        <f t="shared" si="1"/>
        <v>2.7640366789516899</v>
      </c>
      <c r="Q23" s="61">
        <f t="shared" si="1"/>
        <v>2.226025420581756</v>
      </c>
      <c r="R23" s="61">
        <f t="shared" si="1"/>
        <v>2.3600059251332826</v>
      </c>
      <c r="S23" s="61">
        <f t="shared" si="1"/>
        <v>2.000723611464966</v>
      </c>
      <c r="T23" s="61">
        <f t="shared" si="1"/>
        <v>2.1619450358658914</v>
      </c>
      <c r="U23" s="61">
        <f t="shared" si="1"/>
        <v>2.4852381610781404</v>
      </c>
      <c r="V23" s="61">
        <f t="shared" si="1"/>
        <v>2.1302669768706641</v>
      </c>
      <c r="W23" s="61">
        <f t="shared" si="1"/>
        <v>2.3560773772931145</v>
      </c>
      <c r="X23" s="61">
        <f t="shared" si="1"/>
        <v>2.1203754804112176</v>
      </c>
      <c r="Y23" s="61">
        <f t="shared" si="2"/>
        <v>2.3349660088943351</v>
      </c>
      <c r="Z23" s="61">
        <f t="shared" si="2"/>
        <v>1.7768550294641492</v>
      </c>
      <c r="AA23" s="61">
        <f t="shared" si="2"/>
        <v>1.8580647189992483</v>
      </c>
      <c r="AB23" s="61">
        <f t="shared" si="2"/>
        <v>1.6977917917800183</v>
      </c>
      <c r="AC23" s="61">
        <f t="shared" si="2"/>
        <v>2.2221614041321041</v>
      </c>
      <c r="AD23" s="61">
        <f t="shared" si="2"/>
        <v>2.3596578708801581</v>
      </c>
      <c r="AE23" s="61">
        <f t="shared" si="2"/>
        <v>0.64199276997619037</v>
      </c>
      <c r="AF23" s="61">
        <f t="shared" si="2"/>
        <v>1.9837304021735245</v>
      </c>
      <c r="AG23" s="61">
        <f t="shared" si="2"/>
        <v>0.91963027764734917</v>
      </c>
      <c r="AH23" s="61">
        <f t="shared" si="2"/>
        <v>1.7501048253650886</v>
      </c>
      <c r="AI23" s="61">
        <f t="shared" si="3"/>
        <v>0.92177932371043225</v>
      </c>
      <c r="AJ23" s="61">
        <f t="shared" si="3"/>
        <v>2.1539594607512567</v>
      </c>
      <c r="AK23" s="61">
        <f t="shared" si="3"/>
        <v>1.3999354156433559</v>
      </c>
      <c r="AL23" s="61">
        <f t="shared" si="3"/>
        <v>1.5519138734755462</v>
      </c>
      <c r="AM23" s="61">
        <f t="shared" si="3"/>
        <v>2.0321491616480616</v>
      </c>
      <c r="AN23" s="61">
        <f t="shared" si="3"/>
        <v>2.1482643545095241</v>
      </c>
      <c r="AO23" s="61">
        <f t="shared" si="3"/>
        <v>1.6517401687798428</v>
      </c>
      <c r="AP23" s="61">
        <f t="shared" si="3"/>
        <v>1.5886217991400278</v>
      </c>
      <c r="AQ23" s="61">
        <f t="shared" si="3"/>
        <v>2.1809220154288407</v>
      </c>
      <c r="AR23" s="61">
        <f t="shared" si="3"/>
        <v>1.1443761375049508</v>
      </c>
      <c r="AS23" s="61">
        <f t="shared" si="4"/>
        <v>2.1041012527493117</v>
      </c>
      <c r="AT23" s="61">
        <f t="shared" si="4"/>
        <v>1.8484239306155263</v>
      </c>
      <c r="AU23" s="61">
        <f t="shared" si="4"/>
        <v>0.95786878997382763</v>
      </c>
      <c r="AV23" s="61">
        <f t="shared" si="4"/>
        <v>1.7214563789533268</v>
      </c>
      <c r="AW23" s="61">
        <f t="shared" si="4"/>
        <v>1.0970623070198045</v>
      </c>
      <c r="AX23" s="61">
        <f t="shared" si="4"/>
        <v>1.5773778657519006</v>
      </c>
      <c r="AY23" s="61">
        <f t="shared" si="4"/>
        <v>1.1749982821954199</v>
      </c>
      <c r="AZ23" s="61">
        <f t="shared" si="4"/>
        <v>2.1738812556797003</v>
      </c>
      <c r="BA23" s="61">
        <f t="shared" si="4"/>
        <v>1.9077421084051156</v>
      </c>
      <c r="BB23" s="61">
        <f t="shared" si="4"/>
        <v>1.1805782294567824</v>
      </c>
      <c r="BC23" s="61">
        <f t="shared" si="5"/>
        <v>1.1862393353548981</v>
      </c>
      <c r="BD23" s="61">
        <f t="shared" si="5"/>
        <v>1.2037307986807793</v>
      </c>
      <c r="BE23" s="61">
        <f t="shared" si="5"/>
        <v>1.3084708358781738</v>
      </c>
      <c r="BF23" s="61">
        <f t="shared" si="5"/>
        <v>2.4567889872554098</v>
      </c>
      <c r="BG23" s="61">
        <f t="shared" si="5"/>
        <v>1.8146929323497936</v>
      </c>
      <c r="BH23" s="61">
        <f t="shared" si="5"/>
        <v>1.2753506206145802</v>
      </c>
      <c r="BI23" s="61">
        <f t="shared" si="5"/>
        <v>1.2898440188972871</v>
      </c>
      <c r="BJ23" s="61">
        <f t="shared" si="5"/>
        <v>1.5992361308686802</v>
      </c>
      <c r="BK23" s="61">
        <f t="shared" si="5"/>
        <v>1.3733255741389456</v>
      </c>
      <c r="BL23" s="61">
        <f t="shared" si="5"/>
        <v>1.7723919289849486</v>
      </c>
      <c r="BM23" s="61">
        <f t="shared" si="6"/>
        <v>1.9408565525462587</v>
      </c>
      <c r="BN23" s="61">
        <f t="shared" si="6"/>
        <v>1.5483484264011522</v>
      </c>
      <c r="BO23" s="61">
        <f t="shared" si="6"/>
        <v>1.3711956670277889</v>
      </c>
      <c r="BP23" s="61">
        <f t="shared" si="6"/>
        <v>1.7239066588208933</v>
      </c>
      <c r="BQ23" s="61">
        <f t="shared" si="6"/>
        <v>1.7819076649848891</v>
      </c>
      <c r="BR23" s="61">
        <f t="shared" si="6"/>
        <v>1.8328807176223982</v>
      </c>
      <c r="BS23" s="61">
        <f t="shared" si="6"/>
        <v>2.0461761263634242</v>
      </c>
      <c r="BT23" s="61">
        <f t="shared" si="6"/>
        <v>1.8216806193404063</v>
      </c>
      <c r="BU23" s="61">
        <f t="shared" si="6"/>
        <v>1.7758420542926643</v>
      </c>
      <c r="BV23" s="61">
        <f t="shared" si="6"/>
        <v>1.5859786538350229</v>
      </c>
      <c r="BW23" s="61">
        <f t="shared" si="7"/>
        <v>1.9219552090409608</v>
      </c>
      <c r="BX23" s="61">
        <f t="shared" si="7"/>
        <v>1.6007489290517156</v>
      </c>
      <c r="BY23" s="61">
        <f t="shared" si="7"/>
        <v>1.7240322736029909</v>
      </c>
      <c r="BZ23" s="61">
        <f t="shared" si="7"/>
        <v>1.7176298700281651</v>
      </c>
      <c r="CA23" s="61">
        <f t="shared" si="7"/>
        <v>1.6481560357526073</v>
      </c>
      <c r="CB23" s="61">
        <f t="shared" si="7"/>
        <v>1.7339049101651918</v>
      </c>
      <c r="CC23" s="61">
        <f t="shared" si="7"/>
        <v>1.6651102621957923</v>
      </c>
      <c r="CD23" s="61">
        <f t="shared" si="7"/>
        <v>1.7010043315882781</v>
      </c>
      <c r="CE23" s="61">
        <f t="shared" si="7"/>
        <v>1.89940444118573</v>
      </c>
      <c r="CF23" s="61">
        <f t="shared" si="7"/>
        <v>1.8728544174176049</v>
      </c>
      <c r="CG23" s="61">
        <f t="shared" si="8"/>
        <v>1.725537809803797</v>
      </c>
      <c r="CH23" s="61">
        <f t="shared" si="8"/>
        <v>1.8038311895884891</v>
      </c>
      <c r="CI23" s="61">
        <f t="shared" si="8"/>
        <v>1.8289561683408766</v>
      </c>
      <c r="CJ23" s="61">
        <f t="shared" si="8"/>
        <v>1.8260813252560564</v>
      </c>
      <c r="CK23" s="61">
        <f t="shared" si="8"/>
        <v>2.0406963091244217</v>
      </c>
      <c r="CL23" s="61">
        <f t="shared" si="8"/>
        <v>1.938704199423003</v>
      </c>
      <c r="CM23" s="61">
        <f t="shared" si="8"/>
        <v>1.9785285618837243</v>
      </c>
      <c r="CN23" s="61">
        <f t="shared" si="8"/>
        <v>2.3980223542319297</v>
      </c>
      <c r="CO23" s="61">
        <f t="shared" si="8"/>
        <v>2.0495722045882494</v>
      </c>
      <c r="CP23" s="61">
        <f t="shared" si="8"/>
        <v>2.0414621696523616</v>
      </c>
      <c r="CQ23" s="61">
        <f t="shared" si="9"/>
        <v>2.0996632529805628</v>
      </c>
      <c r="CR23" s="61">
        <f t="shared" si="9"/>
        <v>2.1609203696512611</v>
      </c>
      <c r="CS23" s="61">
        <f t="shared" si="9"/>
        <v>2.1245177209532642</v>
      </c>
      <c r="CT23" s="61">
        <f t="shared" si="9"/>
        <v>2.1720402581329026</v>
      </c>
      <c r="CU23" s="61">
        <f t="shared" si="9"/>
        <v>2.0828500751992185</v>
      </c>
      <c r="CV23" s="61">
        <f t="shared" si="9"/>
        <v>2.4086991732628884</v>
      </c>
      <c r="CW23" s="61">
        <f t="shared" si="9"/>
        <v>2.1720402581329026</v>
      </c>
      <c r="CX23" s="61">
        <f t="shared" si="9"/>
        <v>2.3388194761953582</v>
      </c>
      <c r="CY23" s="61">
        <f t="shared" si="9"/>
        <v>2.2246798496647329</v>
      </c>
      <c r="CZ23" s="61">
        <f t="shared" si="9"/>
        <v>2.2246798496647329</v>
      </c>
      <c r="DA23" s="61">
        <f t="shared" si="10"/>
        <v>2.2246798496647329</v>
      </c>
      <c r="DB23" s="61">
        <f t="shared" si="10"/>
        <v>2.2836483359971416</v>
      </c>
      <c r="DC23" s="61">
        <f t="shared" si="10"/>
        <v>2.2836483359971416</v>
      </c>
      <c r="DD23" s="61">
        <f t="shared" si="10"/>
        <v>2.2687405582174343</v>
      </c>
      <c r="DE23" s="61">
        <f t="shared" si="10"/>
        <v>2.4068256067047797</v>
      </c>
      <c r="DF23" s="61">
        <f t="shared" si="10"/>
        <v>2.632835806271745</v>
      </c>
      <c r="DG23" s="61">
        <f t="shared" si="10"/>
        <v>2.7786302722806906</v>
      </c>
      <c r="DH23" s="61">
        <f t="shared" si="10"/>
        <v>2.7786302722806906</v>
      </c>
      <c r="DI23" s="61">
        <f t="shared" si="10"/>
        <v>2.7786302722806906</v>
      </c>
      <c r="DJ23" s="61">
        <f t="shared" si="10"/>
        <v>2.7786302722806906</v>
      </c>
      <c r="DK23" s="61">
        <f t="shared" si="11"/>
        <v>2.9847777059125553</v>
      </c>
      <c r="DL23" s="61">
        <f t="shared" si="11"/>
        <v>2.9847777059125553</v>
      </c>
      <c r="DM23" s="61">
        <f t="shared" si="11"/>
        <v>2.9847777059125553</v>
      </c>
      <c r="DN23" s="61">
        <f t="shared" si="11"/>
        <v>2.9847777059125553</v>
      </c>
      <c r="DO23" s="61">
        <f t="shared" si="11"/>
        <v>2.9847777059125553</v>
      </c>
      <c r="DP23" s="61">
        <f t="shared" si="11"/>
        <v>3.3386030664456947</v>
      </c>
      <c r="DQ23" s="61">
        <f t="shared" si="11"/>
        <v>3.3386030664456947</v>
      </c>
    </row>
    <row r="24" spans="1:121" x14ac:dyDescent="0.25">
      <c r="A24" s="48" t="str">
        <f>KMeans_Data!A15</f>
        <v>Malakand</v>
      </c>
      <c r="B24" s="59">
        <f>KMeans_Data!H15</f>
        <v>1.1410679551279186</v>
      </c>
      <c r="C24" s="59">
        <f>KMeans_Data!I15</f>
        <v>1.4759954658056031</v>
      </c>
      <c r="D24" s="59">
        <f>KMeans_Data!J15</f>
        <v>0.98834987138399455</v>
      </c>
      <c r="E24" s="61">
        <f t="shared" ref="E24:N33" si="12">SQRT(($B24-E$5)^2+($C24-E$6)^2+($D24-E$7)^2)</f>
        <v>4.0306685209580886</v>
      </c>
      <c r="F24" s="61">
        <f t="shared" si="12"/>
        <v>3.8077003098726885</v>
      </c>
      <c r="G24" s="61">
        <f t="shared" si="12"/>
        <v>2.0203211354533384</v>
      </c>
      <c r="H24" s="61">
        <f t="shared" si="12"/>
        <v>2.4949809041646147</v>
      </c>
      <c r="I24" s="61">
        <f t="shared" si="12"/>
        <v>1.3821621778002471</v>
      </c>
      <c r="J24" s="61">
        <f t="shared" si="12"/>
        <v>0.94941019283446748</v>
      </c>
      <c r="K24" s="61">
        <f t="shared" si="12"/>
        <v>2.2485754417062598</v>
      </c>
      <c r="L24" s="61">
        <f t="shared" si="12"/>
        <v>1.0933784884306603</v>
      </c>
      <c r="M24" s="61">
        <f t="shared" si="12"/>
        <v>0.76406048096227686</v>
      </c>
      <c r="N24" s="61">
        <f t="shared" si="12"/>
        <v>2.4339156030362448</v>
      </c>
      <c r="O24" s="61">
        <f t="shared" ref="O24:X33" si="13">SQRT(($B24-O$5)^2+($C24-O$6)^2+($D24-O$7)^2)</f>
        <v>0</v>
      </c>
      <c r="P24" s="61">
        <f t="shared" si="13"/>
        <v>0.34294828526253684</v>
      </c>
      <c r="Q24" s="61">
        <f t="shared" si="13"/>
        <v>0.50083246341879539</v>
      </c>
      <c r="R24" s="61">
        <f t="shared" si="13"/>
        <v>1.2030082216667015</v>
      </c>
      <c r="S24" s="61">
        <f t="shared" si="13"/>
        <v>1.6381962851426044</v>
      </c>
      <c r="T24" s="61">
        <f t="shared" si="13"/>
        <v>0.5116318594222411</v>
      </c>
      <c r="U24" s="61">
        <f t="shared" si="13"/>
        <v>1.2751550147125874</v>
      </c>
      <c r="V24" s="61">
        <f t="shared" si="13"/>
        <v>0.47844353175087467</v>
      </c>
      <c r="W24" s="61">
        <f t="shared" si="13"/>
        <v>0.30981431836020196</v>
      </c>
      <c r="X24" s="61">
        <f t="shared" si="13"/>
        <v>0.73807380469137063</v>
      </c>
      <c r="Y24" s="61">
        <f t="shared" ref="Y24:AH33" si="14">SQRT(($B24-Y$5)^2+($C24-Y$6)^2+($D24-Y$7)^2)</f>
        <v>0.80906871986047235</v>
      </c>
      <c r="Z24" s="61">
        <f t="shared" si="14"/>
        <v>0.84620726855728656</v>
      </c>
      <c r="AA24" s="61">
        <f t="shared" si="14"/>
        <v>1.3635141141019096</v>
      </c>
      <c r="AB24" s="61">
        <f t="shared" si="14"/>
        <v>1.0451610922759429</v>
      </c>
      <c r="AC24" s="61">
        <f t="shared" si="14"/>
        <v>0.46978172046300598</v>
      </c>
      <c r="AD24" s="61">
        <f t="shared" si="14"/>
        <v>0.85106484532070081</v>
      </c>
      <c r="AE24" s="61">
        <f t="shared" si="14"/>
        <v>2.7264273286246112</v>
      </c>
      <c r="AF24" s="61">
        <f t="shared" si="14"/>
        <v>0.96292896015500351</v>
      </c>
      <c r="AG24" s="61">
        <f t="shared" si="14"/>
        <v>2.6193679431612407</v>
      </c>
      <c r="AH24" s="61">
        <f t="shared" si="14"/>
        <v>1.445886159161599</v>
      </c>
      <c r="AI24" s="61">
        <f t="shared" ref="AI24:AR33" si="15">SQRT(($B24-AI$5)^2+($C24-AI$6)^2+($D24-AI$7)^2)</f>
        <v>2.6200501984088373</v>
      </c>
      <c r="AJ24" s="61">
        <f t="shared" si="15"/>
        <v>1.097802776552762</v>
      </c>
      <c r="AK24" s="61">
        <f t="shared" si="15"/>
        <v>1.4379933694277458</v>
      </c>
      <c r="AL24" s="61">
        <f t="shared" si="15"/>
        <v>1.8042171041811519</v>
      </c>
      <c r="AM24" s="61">
        <f t="shared" si="15"/>
        <v>0.95056374325521931</v>
      </c>
      <c r="AN24" s="61">
        <f t="shared" si="15"/>
        <v>0.80851645509087544</v>
      </c>
      <c r="AO24" s="61">
        <f t="shared" si="15"/>
        <v>1.3806255785572032</v>
      </c>
      <c r="AP24" s="61">
        <f t="shared" si="15"/>
        <v>1.4106079705124064</v>
      </c>
      <c r="AQ24" s="61">
        <f t="shared" si="15"/>
        <v>0.84188508043344989</v>
      </c>
      <c r="AR24" s="61">
        <f t="shared" si="15"/>
        <v>1.8529154843156741</v>
      </c>
      <c r="AS24" s="61">
        <f t="shared" ref="AS24:BB33" si="16">SQRT(($B24-AS$5)^2+($C24-AS$6)^2+($D24-AS$7)^2)</f>
        <v>2.3013233745531192</v>
      </c>
      <c r="AT24" s="61">
        <f t="shared" si="16"/>
        <v>1.8526188574976448</v>
      </c>
      <c r="AU24" s="61">
        <f t="shared" si="16"/>
        <v>2.4589945415847647</v>
      </c>
      <c r="AV24" s="61">
        <f t="shared" si="16"/>
        <v>2.3713574976551861</v>
      </c>
      <c r="AW24" s="61">
        <f t="shared" si="16"/>
        <v>2.9525121032304287</v>
      </c>
      <c r="AX24" s="61">
        <f t="shared" si="16"/>
        <v>1.7099893923872689</v>
      </c>
      <c r="AY24" s="61">
        <f t="shared" si="16"/>
        <v>3.1708648424984593</v>
      </c>
      <c r="AZ24" s="61">
        <f t="shared" si="16"/>
        <v>2.3457203869828085</v>
      </c>
      <c r="BA24" s="61">
        <f t="shared" si="16"/>
        <v>1.8887190263714908</v>
      </c>
      <c r="BB24" s="61">
        <f t="shared" si="16"/>
        <v>3.1728120105270348</v>
      </c>
      <c r="BC24" s="61">
        <f t="shared" ref="BC24:BL33" si="17">SQRT(($B24-BC$5)^2+($C24-BC$6)^2+($D24-BC$7)^2)</f>
        <v>3.1747965264447089</v>
      </c>
      <c r="BD24" s="61">
        <f t="shared" si="17"/>
        <v>2.7909858254979913</v>
      </c>
      <c r="BE24" s="61">
        <f t="shared" si="17"/>
        <v>2.6666152725733481</v>
      </c>
      <c r="BF24" s="61">
        <f t="shared" si="17"/>
        <v>1.0364001053661747</v>
      </c>
      <c r="BG24" s="61">
        <f t="shared" si="17"/>
        <v>1.962912401129743</v>
      </c>
      <c r="BH24" s="61">
        <f t="shared" si="17"/>
        <v>3.2072162427970392</v>
      </c>
      <c r="BI24" s="61">
        <f t="shared" si="17"/>
        <v>3.2126960566111231</v>
      </c>
      <c r="BJ24" s="61">
        <f t="shared" si="17"/>
        <v>1.7530779305955355</v>
      </c>
      <c r="BK24" s="61">
        <f t="shared" si="17"/>
        <v>2.7986136057781876</v>
      </c>
      <c r="BL24" s="61">
        <f t="shared" si="17"/>
        <v>2.5132802054007235</v>
      </c>
      <c r="BM24" s="61">
        <f t="shared" ref="BM24:BV33" si="18">SQRT(($B24-BM$5)^2+($C24-BM$6)^2+($D24-BM$7)^2)</f>
        <v>1.573923900278001</v>
      </c>
      <c r="BN24" s="61">
        <f t="shared" si="18"/>
        <v>2.0069539086009729</v>
      </c>
      <c r="BO24" s="61">
        <f t="shared" si="18"/>
        <v>3.0589626776594381</v>
      </c>
      <c r="BP24" s="61">
        <f t="shared" si="18"/>
        <v>1.9467893319486917</v>
      </c>
      <c r="BQ24" s="61">
        <f t="shared" si="18"/>
        <v>2.1372430708703005</v>
      </c>
      <c r="BR24" s="61">
        <f t="shared" si="18"/>
        <v>2.1382525182044367</v>
      </c>
      <c r="BS24" s="61">
        <f t="shared" si="18"/>
        <v>2.5487858864730817</v>
      </c>
      <c r="BT24" s="61">
        <f t="shared" si="18"/>
        <v>2.6619549174171091</v>
      </c>
      <c r="BU24" s="61">
        <f t="shared" si="18"/>
        <v>2.6883844593413992</v>
      </c>
      <c r="BV24" s="61">
        <f t="shared" si="18"/>
        <v>3.3366676514916214</v>
      </c>
      <c r="BW24" s="61">
        <f t="shared" ref="BW24:CF33" si="19">SQRT(($B24-BW$5)^2+($C24-BW$6)^2+($D24-BW$7)^2)</f>
        <v>2.6677408900738202</v>
      </c>
      <c r="BX24" s="61">
        <f t="shared" si="19"/>
        <v>3.3434238285795717</v>
      </c>
      <c r="BY24" s="61">
        <f t="shared" si="19"/>
        <v>2.8444175167058674</v>
      </c>
      <c r="BZ24" s="61">
        <f t="shared" si="19"/>
        <v>2.8793894681003853</v>
      </c>
      <c r="CA24" s="61">
        <f t="shared" si="19"/>
        <v>3.3654580137440284</v>
      </c>
      <c r="CB24" s="61">
        <f t="shared" si="19"/>
        <v>2.8887451786049132</v>
      </c>
      <c r="CC24" s="61">
        <f t="shared" si="19"/>
        <v>3.3734659684335941</v>
      </c>
      <c r="CD24" s="61">
        <f t="shared" si="19"/>
        <v>3.3906387845702408</v>
      </c>
      <c r="CE24" s="61">
        <f t="shared" si="19"/>
        <v>2.8105158228392391</v>
      </c>
      <c r="CF24" s="61">
        <f t="shared" si="19"/>
        <v>2.3966025574571392</v>
      </c>
      <c r="CG24" s="61">
        <f t="shared" ref="CG24:CP33" si="20">SQRT(($B24-CG$5)^2+($C24-CG$6)^2+($D24-CG$7)^2)</f>
        <v>2.6757661844033884</v>
      </c>
      <c r="CH24" s="61">
        <f t="shared" si="20"/>
        <v>3.0236310654274314</v>
      </c>
      <c r="CI24" s="61">
        <f t="shared" si="20"/>
        <v>3.0987925151978901</v>
      </c>
      <c r="CJ24" s="61">
        <f t="shared" si="20"/>
        <v>3.2792242772030167</v>
      </c>
      <c r="CK24" s="61">
        <f t="shared" si="20"/>
        <v>2.9516248551436219</v>
      </c>
      <c r="CL24" s="61">
        <f t="shared" si="20"/>
        <v>3.5115564465929006</v>
      </c>
      <c r="CM24" s="61">
        <f t="shared" si="20"/>
        <v>3.0784339111805044</v>
      </c>
      <c r="CN24" s="61">
        <f t="shared" si="20"/>
        <v>2.4851348974640146</v>
      </c>
      <c r="CO24" s="61">
        <f t="shared" si="20"/>
        <v>2.749588569711146</v>
      </c>
      <c r="CP24" s="61">
        <f t="shared" si="20"/>
        <v>3.5674854397132307</v>
      </c>
      <c r="CQ24" s="61">
        <f t="shared" ref="CQ24:CZ33" si="21">SQRT(($B24-CQ$5)^2+($C24-CQ$6)^2+($D24-CQ$7)^2)</f>
        <v>3.2029626319405455</v>
      </c>
      <c r="CR24" s="61">
        <f t="shared" si="21"/>
        <v>3.1950229026409764</v>
      </c>
      <c r="CS24" s="61">
        <f t="shared" si="21"/>
        <v>3.6142004206328169</v>
      </c>
      <c r="CT24" s="61">
        <f t="shared" si="21"/>
        <v>3.641514601434896</v>
      </c>
      <c r="CU24" s="61">
        <f t="shared" si="21"/>
        <v>3.1639069258714043</v>
      </c>
      <c r="CV24" s="61">
        <f t="shared" si="21"/>
        <v>3.0380424606661132</v>
      </c>
      <c r="CW24" s="61">
        <f t="shared" si="21"/>
        <v>3.641514601434896</v>
      </c>
      <c r="CX24" s="61">
        <f t="shared" si="21"/>
        <v>3.1587483682815622</v>
      </c>
      <c r="CY24" s="61">
        <f t="shared" si="21"/>
        <v>3.6722524541613222</v>
      </c>
      <c r="CZ24" s="61">
        <f t="shared" si="21"/>
        <v>3.6722524541613222</v>
      </c>
      <c r="DA24" s="61">
        <f t="shared" ref="DA24:DJ33" si="22">SQRT(($B24-DA$5)^2+($C24-DA$6)^2+($D24-DA$7)^2)</f>
        <v>3.3401155227340533</v>
      </c>
      <c r="DB24" s="61">
        <f t="shared" si="22"/>
        <v>3.7072730366597746</v>
      </c>
      <c r="DC24" s="61">
        <f t="shared" si="22"/>
        <v>3.7072730366597746</v>
      </c>
      <c r="DD24" s="61">
        <f t="shared" si="22"/>
        <v>3.4395153623517825</v>
      </c>
      <c r="DE24" s="61">
        <f t="shared" si="22"/>
        <v>3.6247746730535346</v>
      </c>
      <c r="DF24" s="61">
        <f t="shared" si="22"/>
        <v>3.9264509381530499</v>
      </c>
      <c r="DG24" s="61">
        <f t="shared" si="22"/>
        <v>4.0234152471988187</v>
      </c>
      <c r="DH24" s="61">
        <f t="shared" si="22"/>
        <v>4.0234152471988187</v>
      </c>
      <c r="DI24" s="61">
        <f t="shared" si="22"/>
        <v>4.0234152471988187</v>
      </c>
      <c r="DJ24" s="61">
        <f t="shared" si="22"/>
        <v>4.0234152471988187</v>
      </c>
      <c r="DK24" s="61">
        <f t="shared" ref="DK24:DQ33" si="23">SQRT(($B24-DK$5)^2+($C24-DK$6)^2+($D24-DK$7)^2)</f>
        <v>4.1653882750283069</v>
      </c>
      <c r="DL24" s="61">
        <f t="shared" si="23"/>
        <v>4.1653882750283069</v>
      </c>
      <c r="DM24" s="61">
        <f t="shared" si="23"/>
        <v>4.1653882750283069</v>
      </c>
      <c r="DN24" s="61">
        <f t="shared" si="23"/>
        <v>4.1653882750283069</v>
      </c>
      <c r="DO24" s="61">
        <f t="shared" si="23"/>
        <v>4.1653882750283069</v>
      </c>
      <c r="DP24" s="61">
        <f t="shared" si="23"/>
        <v>4.4208823671757642</v>
      </c>
      <c r="DQ24" s="61">
        <f t="shared" si="23"/>
        <v>4.4208823671757642</v>
      </c>
    </row>
    <row r="25" spans="1:121" x14ac:dyDescent="0.25">
      <c r="A25" s="48" t="str">
        <f>KMeans_Data!A16</f>
        <v>Mardan</v>
      </c>
      <c r="B25" s="59">
        <f>KMeans_Data!H16</f>
        <v>1.126985701234098</v>
      </c>
      <c r="C25" s="59">
        <f>KMeans_Data!I16</f>
        <v>1.7684733170772808</v>
      </c>
      <c r="D25" s="59">
        <f>KMeans_Data!J16</f>
        <v>1.1668769645807604</v>
      </c>
      <c r="E25" s="61">
        <f t="shared" si="12"/>
        <v>3.757169974840902</v>
      </c>
      <c r="F25" s="61">
        <f t="shared" si="12"/>
        <v>3.5359901973282084</v>
      </c>
      <c r="G25" s="61">
        <f t="shared" si="12"/>
        <v>1.8058309755852935</v>
      </c>
      <c r="H25" s="61">
        <f t="shared" si="12"/>
        <v>2.2189497267972809</v>
      </c>
      <c r="I25" s="61">
        <f t="shared" si="12"/>
        <v>1.2079485077068584</v>
      </c>
      <c r="J25" s="61">
        <f t="shared" si="12"/>
        <v>0.65180271323859307</v>
      </c>
      <c r="K25" s="61">
        <f t="shared" si="12"/>
        <v>2.5682793452551866</v>
      </c>
      <c r="L25" s="61">
        <f t="shared" si="12"/>
        <v>1.2318375391107739</v>
      </c>
      <c r="M25" s="61">
        <f t="shared" si="12"/>
        <v>0.77893985028725132</v>
      </c>
      <c r="N25" s="61">
        <f t="shared" si="12"/>
        <v>2.7640366789516899</v>
      </c>
      <c r="O25" s="61">
        <f t="shared" si="13"/>
        <v>0.34294828526253684</v>
      </c>
      <c r="P25" s="61">
        <f t="shared" si="13"/>
        <v>0</v>
      </c>
      <c r="Q25" s="61">
        <f t="shared" si="13"/>
        <v>0.78415945680847599</v>
      </c>
      <c r="R25" s="61">
        <f t="shared" si="13"/>
        <v>1.4253699648600497</v>
      </c>
      <c r="S25" s="61">
        <f t="shared" si="13"/>
        <v>1.9191598188529027</v>
      </c>
      <c r="T25" s="61">
        <f t="shared" si="13"/>
        <v>0.80835603854887716</v>
      </c>
      <c r="U25" s="61">
        <f t="shared" si="13"/>
        <v>1.4716546033320437</v>
      </c>
      <c r="V25" s="61">
        <f t="shared" si="13"/>
        <v>0.72529348930802739</v>
      </c>
      <c r="W25" s="61">
        <f t="shared" si="13"/>
        <v>0.52937553528176029</v>
      </c>
      <c r="X25" s="61">
        <f t="shared" si="13"/>
        <v>1.0150329328917593</v>
      </c>
      <c r="Y25" s="61">
        <f t="shared" si="14"/>
        <v>1.0275938363279333</v>
      </c>
      <c r="Z25" s="61">
        <f t="shared" si="14"/>
        <v>1.1616411083388651</v>
      </c>
      <c r="AA25" s="61">
        <f t="shared" si="14"/>
        <v>1.6572418175643173</v>
      </c>
      <c r="AB25" s="61">
        <f t="shared" si="14"/>
        <v>1.3628931604480445</v>
      </c>
      <c r="AC25" s="61">
        <f t="shared" si="14"/>
        <v>0.69004141678634723</v>
      </c>
      <c r="AD25" s="61">
        <f t="shared" si="14"/>
        <v>1.0582020559630501</v>
      </c>
      <c r="AE25" s="61">
        <f t="shared" si="14"/>
        <v>3.0411164110059743</v>
      </c>
      <c r="AF25" s="61">
        <f t="shared" si="14"/>
        <v>1.2380592357214235</v>
      </c>
      <c r="AG25" s="61">
        <f t="shared" si="14"/>
        <v>2.9521788702555987</v>
      </c>
      <c r="AH25" s="61">
        <f t="shared" si="14"/>
        <v>1.7423187932110449</v>
      </c>
      <c r="AI25" s="61">
        <f t="shared" si="15"/>
        <v>2.9527691394849498</v>
      </c>
      <c r="AJ25" s="61">
        <f t="shared" si="15"/>
        <v>1.3434509926013314</v>
      </c>
      <c r="AK25" s="61">
        <f t="shared" si="15"/>
        <v>1.7494778360447223</v>
      </c>
      <c r="AL25" s="61">
        <f t="shared" si="15"/>
        <v>2.1117511834637788</v>
      </c>
      <c r="AM25" s="61">
        <f t="shared" si="15"/>
        <v>1.1407851856079076</v>
      </c>
      <c r="AN25" s="61">
        <f t="shared" si="15"/>
        <v>1.0202945755408115</v>
      </c>
      <c r="AO25" s="61">
        <f t="shared" si="15"/>
        <v>1.675045071706623</v>
      </c>
      <c r="AP25" s="61">
        <f t="shared" si="15"/>
        <v>1.7081509613981158</v>
      </c>
      <c r="AQ25" s="61">
        <f t="shared" si="15"/>
        <v>1.0262628259610398</v>
      </c>
      <c r="AR25" s="61">
        <f t="shared" si="15"/>
        <v>2.1633831798969085</v>
      </c>
      <c r="AS25" s="61">
        <f t="shared" si="16"/>
        <v>2.5766813345780459</v>
      </c>
      <c r="AT25" s="61">
        <f t="shared" si="16"/>
        <v>2.1333538446303049</v>
      </c>
      <c r="AU25" s="61">
        <f t="shared" si="16"/>
        <v>2.7693081167872893</v>
      </c>
      <c r="AV25" s="61">
        <f t="shared" si="16"/>
        <v>2.6724401129362381</v>
      </c>
      <c r="AW25" s="61">
        <f t="shared" si="16"/>
        <v>3.2731717393346709</v>
      </c>
      <c r="AX25" s="61">
        <f t="shared" si="16"/>
        <v>2.0005560509463112</v>
      </c>
      <c r="AY25" s="61">
        <f t="shared" si="16"/>
        <v>3.4877405807297857</v>
      </c>
      <c r="AZ25" s="61">
        <f t="shared" si="16"/>
        <v>2.614313207503157</v>
      </c>
      <c r="BA25" s="61">
        <f t="shared" si="16"/>
        <v>2.1624826996610631</v>
      </c>
      <c r="BB25" s="61">
        <f t="shared" si="16"/>
        <v>3.4894845140216186</v>
      </c>
      <c r="BC25" s="61">
        <f t="shared" si="17"/>
        <v>3.4912622882243394</v>
      </c>
      <c r="BD25" s="61">
        <f t="shared" si="17"/>
        <v>3.1095395283321849</v>
      </c>
      <c r="BE25" s="61">
        <f t="shared" si="17"/>
        <v>2.9828649656554975</v>
      </c>
      <c r="BF25" s="61">
        <f t="shared" si="17"/>
        <v>1.138101483735396</v>
      </c>
      <c r="BG25" s="61">
        <f t="shared" si="17"/>
        <v>2.2411670284379772</v>
      </c>
      <c r="BH25" s="61">
        <f t="shared" si="17"/>
        <v>3.5203573006862228</v>
      </c>
      <c r="BI25" s="61">
        <f t="shared" si="17"/>
        <v>3.525284392975303</v>
      </c>
      <c r="BJ25" s="61">
        <f t="shared" si="17"/>
        <v>2.0132429645383705</v>
      </c>
      <c r="BK25" s="61">
        <f t="shared" si="17"/>
        <v>3.1097275534807967</v>
      </c>
      <c r="BL25" s="61">
        <f t="shared" si="17"/>
        <v>2.8074358142369111</v>
      </c>
      <c r="BM25" s="61">
        <f t="shared" si="18"/>
        <v>1.8106243181363419</v>
      </c>
      <c r="BN25" s="61">
        <f t="shared" si="18"/>
        <v>2.2845515743319669</v>
      </c>
      <c r="BO25" s="61">
        <f t="shared" si="18"/>
        <v>3.3682384067311903</v>
      </c>
      <c r="BP25" s="61">
        <f t="shared" si="18"/>
        <v>2.2136865335187546</v>
      </c>
      <c r="BQ25" s="61">
        <f t="shared" si="18"/>
        <v>2.4116773968742717</v>
      </c>
      <c r="BR25" s="61">
        <f t="shared" si="18"/>
        <v>2.4088149230418323</v>
      </c>
      <c r="BS25" s="61">
        <f t="shared" si="18"/>
        <v>2.8237238397594298</v>
      </c>
      <c r="BT25" s="61">
        <f t="shared" si="18"/>
        <v>2.950596713436521</v>
      </c>
      <c r="BU25" s="61">
        <f t="shared" si="18"/>
        <v>2.9795291772855612</v>
      </c>
      <c r="BV25" s="61">
        <f t="shared" si="18"/>
        <v>3.6373508072025684</v>
      </c>
      <c r="BW25" s="61">
        <f t="shared" si="19"/>
        <v>2.9499033510834312</v>
      </c>
      <c r="BX25" s="61">
        <f t="shared" si="19"/>
        <v>3.6434875738265218</v>
      </c>
      <c r="BY25" s="61">
        <f t="shared" si="19"/>
        <v>3.1372325984996641</v>
      </c>
      <c r="BZ25" s="61">
        <f t="shared" si="19"/>
        <v>3.1723804384753</v>
      </c>
      <c r="CA25" s="61">
        <f t="shared" si="19"/>
        <v>3.6635206337394237</v>
      </c>
      <c r="CB25" s="61">
        <f t="shared" si="19"/>
        <v>3.180793650698523</v>
      </c>
      <c r="CC25" s="61">
        <f t="shared" si="19"/>
        <v>3.6708083627094741</v>
      </c>
      <c r="CD25" s="61">
        <f t="shared" si="19"/>
        <v>3.686449027233663</v>
      </c>
      <c r="CE25" s="61">
        <f t="shared" si="19"/>
        <v>3.0931398171792277</v>
      </c>
      <c r="CF25" s="61">
        <f t="shared" si="19"/>
        <v>2.6590169796054255</v>
      </c>
      <c r="CG25" s="61">
        <f t="shared" si="20"/>
        <v>2.945669390833189</v>
      </c>
      <c r="CH25" s="61">
        <f t="shared" si="20"/>
        <v>3.3116582638138743</v>
      </c>
      <c r="CI25" s="61">
        <f t="shared" si="20"/>
        <v>3.3856718567872424</v>
      </c>
      <c r="CJ25" s="61">
        <f t="shared" si="20"/>
        <v>3.5675627477313929</v>
      </c>
      <c r="CK25" s="61">
        <f t="shared" si="20"/>
        <v>3.2253047493023996</v>
      </c>
      <c r="CL25" s="61">
        <f t="shared" si="20"/>
        <v>3.7970234114900734</v>
      </c>
      <c r="CM25" s="61">
        <f t="shared" si="20"/>
        <v>3.356584082681469</v>
      </c>
      <c r="CN25" s="61">
        <f t="shared" si="20"/>
        <v>2.7054266964065201</v>
      </c>
      <c r="CO25" s="61">
        <f t="shared" si="20"/>
        <v>2.9986670610602197</v>
      </c>
      <c r="CP25" s="61">
        <f t="shared" si="20"/>
        <v>3.848410935984738</v>
      </c>
      <c r="CQ25" s="61">
        <f t="shared" si="21"/>
        <v>3.4748841772859556</v>
      </c>
      <c r="CR25" s="61">
        <f t="shared" si="21"/>
        <v>3.4630304875157938</v>
      </c>
      <c r="CS25" s="61">
        <f t="shared" si="21"/>
        <v>3.8914406382157485</v>
      </c>
      <c r="CT25" s="61">
        <f t="shared" si="21"/>
        <v>3.9166435913397839</v>
      </c>
      <c r="CU25" s="61">
        <f t="shared" si="21"/>
        <v>3.4157866134026289</v>
      </c>
      <c r="CV25" s="61">
        <f t="shared" si="21"/>
        <v>3.2871624454859556</v>
      </c>
      <c r="CW25" s="61">
        <f t="shared" si="21"/>
        <v>3.9166435913397839</v>
      </c>
      <c r="CX25" s="61">
        <f t="shared" si="21"/>
        <v>3.4145087309733944</v>
      </c>
      <c r="CY25" s="61">
        <f t="shared" si="21"/>
        <v>3.945042719590913</v>
      </c>
      <c r="CZ25" s="61">
        <f t="shared" si="21"/>
        <v>3.945042719590913</v>
      </c>
      <c r="DA25" s="61">
        <f t="shared" si="22"/>
        <v>3.6062342442870525</v>
      </c>
      <c r="DB25" s="61">
        <f t="shared" si="22"/>
        <v>3.9774452585574456</v>
      </c>
      <c r="DC25" s="61">
        <f t="shared" si="22"/>
        <v>3.9774452585574456</v>
      </c>
      <c r="DD25" s="61">
        <f t="shared" si="22"/>
        <v>3.7046851039678486</v>
      </c>
      <c r="DE25" s="61">
        <f t="shared" si="22"/>
        <v>3.8853940149898456</v>
      </c>
      <c r="DF25" s="61">
        <f t="shared" si="22"/>
        <v>4.1812741709771251</v>
      </c>
      <c r="DG25" s="61">
        <f t="shared" si="22"/>
        <v>4.2719655787240773</v>
      </c>
      <c r="DH25" s="61">
        <f t="shared" si="22"/>
        <v>4.2719655787240773</v>
      </c>
      <c r="DI25" s="61">
        <f t="shared" si="22"/>
        <v>4.2719655787240773</v>
      </c>
      <c r="DJ25" s="61">
        <f t="shared" si="22"/>
        <v>4.2719655787240773</v>
      </c>
      <c r="DK25" s="61">
        <f t="shared" si="23"/>
        <v>4.405262252304821</v>
      </c>
      <c r="DL25" s="61">
        <f t="shared" si="23"/>
        <v>4.405262252304821</v>
      </c>
      <c r="DM25" s="61">
        <f t="shared" si="23"/>
        <v>4.405262252304821</v>
      </c>
      <c r="DN25" s="61">
        <f t="shared" si="23"/>
        <v>4.405262252304821</v>
      </c>
      <c r="DO25" s="61">
        <f t="shared" si="23"/>
        <v>4.405262252304821</v>
      </c>
      <c r="DP25" s="61">
        <f t="shared" si="23"/>
        <v>4.6464950490584824</v>
      </c>
      <c r="DQ25" s="61">
        <f t="shared" si="23"/>
        <v>4.6464950490584824</v>
      </c>
    </row>
    <row r="26" spans="1:121" x14ac:dyDescent="0.25">
      <c r="A26" s="48" t="str">
        <f>KMeans_Data!A17</f>
        <v>Gilgit</v>
      </c>
      <c r="B26" s="59">
        <f>KMeans_Data!H17</f>
        <v>1.0425286360551109</v>
      </c>
      <c r="C26" s="59">
        <f>KMeans_Data!I17</f>
        <v>0.99367572463826759</v>
      </c>
      <c r="D26" s="59">
        <f>KMeans_Data!J17</f>
        <v>1.0804955511041037</v>
      </c>
      <c r="E26" s="61">
        <f t="shared" si="12"/>
        <v>4.3557396558667527</v>
      </c>
      <c r="F26" s="61">
        <f t="shared" si="12"/>
        <v>4.1760350283371936</v>
      </c>
      <c r="G26" s="61">
        <f t="shared" si="12"/>
        <v>2.2600451740837553</v>
      </c>
      <c r="H26" s="61">
        <f t="shared" si="12"/>
        <v>2.9334278887861509</v>
      </c>
      <c r="I26" s="61">
        <f t="shared" si="12"/>
        <v>1.6741077786586813</v>
      </c>
      <c r="J26" s="61">
        <f t="shared" si="12"/>
        <v>1.3660408014689251</v>
      </c>
      <c r="K26" s="61">
        <f t="shared" si="12"/>
        <v>2.1002722138209853</v>
      </c>
      <c r="L26" s="61">
        <f t="shared" si="12"/>
        <v>0.76382012340133332</v>
      </c>
      <c r="M26" s="61">
        <f t="shared" si="12"/>
        <v>0.68757354928555969</v>
      </c>
      <c r="N26" s="61">
        <f t="shared" si="12"/>
        <v>2.226025420581756</v>
      </c>
      <c r="O26" s="61">
        <f t="shared" si="13"/>
        <v>0.50083246341879539</v>
      </c>
      <c r="P26" s="61">
        <f t="shared" si="13"/>
        <v>0.78415945680847599</v>
      </c>
      <c r="Q26" s="61">
        <f t="shared" si="13"/>
        <v>0</v>
      </c>
      <c r="R26" s="61">
        <f t="shared" si="13"/>
        <v>0.72819676736314098</v>
      </c>
      <c r="S26" s="61">
        <f t="shared" si="13"/>
        <v>1.1444514948589575</v>
      </c>
      <c r="T26" s="61">
        <f t="shared" si="13"/>
        <v>0.10979055306095103</v>
      </c>
      <c r="U26" s="61">
        <f t="shared" si="13"/>
        <v>0.81073888130745342</v>
      </c>
      <c r="V26" s="61">
        <f t="shared" si="13"/>
        <v>0.63213666105562527</v>
      </c>
      <c r="W26" s="61">
        <f t="shared" si="13"/>
        <v>0.4561432020208116</v>
      </c>
      <c r="X26" s="61">
        <f t="shared" si="13"/>
        <v>0.28029199325232479</v>
      </c>
      <c r="Y26" s="61">
        <f t="shared" si="14"/>
        <v>0.36807693604122582</v>
      </c>
      <c r="Z26" s="61">
        <f t="shared" si="14"/>
        <v>0.56207141307782027</v>
      </c>
      <c r="AA26" s="61">
        <f t="shared" si="14"/>
        <v>0.8808249841516016</v>
      </c>
      <c r="AB26" s="61">
        <f t="shared" si="14"/>
        <v>0.66079780347768058</v>
      </c>
      <c r="AC26" s="61">
        <f t="shared" si="14"/>
        <v>0.59432714764245442</v>
      </c>
      <c r="AD26" s="61">
        <f t="shared" si="14"/>
        <v>0.4327417105834156</v>
      </c>
      <c r="AE26" s="61">
        <f t="shared" si="14"/>
        <v>2.5326458101929115</v>
      </c>
      <c r="AF26" s="61">
        <f t="shared" si="14"/>
        <v>0.57553081302358944</v>
      </c>
      <c r="AG26" s="61">
        <f t="shared" si="14"/>
        <v>2.2768548322537709</v>
      </c>
      <c r="AH26" s="61">
        <f t="shared" si="14"/>
        <v>0.99977418974330001</v>
      </c>
      <c r="AI26" s="61">
        <f t="shared" si="15"/>
        <v>2.2775027987931757</v>
      </c>
      <c r="AJ26" s="61">
        <f t="shared" si="15"/>
        <v>0.6517500617567199</v>
      </c>
      <c r="AK26" s="61">
        <f t="shared" si="15"/>
        <v>1.1266504831392623</v>
      </c>
      <c r="AL26" s="61">
        <f t="shared" si="15"/>
        <v>1.3753215508556562</v>
      </c>
      <c r="AM26" s="61">
        <f t="shared" si="15"/>
        <v>1.0290785116652119</v>
      </c>
      <c r="AN26" s="61">
        <f t="shared" si="15"/>
        <v>0.70718754358185165</v>
      </c>
      <c r="AO26" s="61">
        <f t="shared" si="15"/>
        <v>1.0205813035368718</v>
      </c>
      <c r="AP26" s="61">
        <f t="shared" si="15"/>
        <v>1.0672984573666131</v>
      </c>
      <c r="AQ26" s="61">
        <f t="shared" si="15"/>
        <v>0.82772359867022161</v>
      </c>
      <c r="AR26" s="61">
        <f t="shared" si="15"/>
        <v>1.5696346414880862</v>
      </c>
      <c r="AS26" s="61">
        <f t="shared" si="16"/>
        <v>1.8187092965106511</v>
      </c>
      <c r="AT26" s="61">
        <f t="shared" si="16"/>
        <v>1.4092415063853203</v>
      </c>
      <c r="AU26" s="61">
        <f t="shared" si="16"/>
        <v>2.2041242440557109</v>
      </c>
      <c r="AV26" s="61">
        <f t="shared" si="16"/>
        <v>1.9272809578982977</v>
      </c>
      <c r="AW26" s="61">
        <f t="shared" si="16"/>
        <v>2.6555076280060801</v>
      </c>
      <c r="AX26" s="61">
        <f t="shared" si="16"/>
        <v>1.3559838403813895</v>
      </c>
      <c r="AY26" s="61">
        <f t="shared" si="16"/>
        <v>2.9052629384717337</v>
      </c>
      <c r="AZ26" s="61">
        <f t="shared" si="16"/>
        <v>1.8673930986265685</v>
      </c>
      <c r="BA26" s="61">
        <f t="shared" si="16"/>
        <v>1.4496294933556364</v>
      </c>
      <c r="BB26" s="61">
        <f t="shared" si="16"/>
        <v>2.9071660937092219</v>
      </c>
      <c r="BC26" s="61">
        <f t="shared" si="17"/>
        <v>2.9091072410361849</v>
      </c>
      <c r="BD26" s="61">
        <f t="shared" si="17"/>
        <v>2.4598298229355828</v>
      </c>
      <c r="BE26" s="61">
        <f t="shared" si="17"/>
        <v>2.3068235455473363</v>
      </c>
      <c r="BF26" s="61">
        <f t="shared" si="17"/>
        <v>1.036282903302316</v>
      </c>
      <c r="BG26" s="61">
        <f t="shared" si="17"/>
        <v>1.5496632930237104</v>
      </c>
      <c r="BH26" s="61">
        <f t="shared" si="17"/>
        <v>2.9410060014045905</v>
      </c>
      <c r="BI26" s="61">
        <f t="shared" si="17"/>
        <v>2.9464282866867832</v>
      </c>
      <c r="BJ26" s="61">
        <f t="shared" si="17"/>
        <v>1.5459220746661761</v>
      </c>
      <c r="BK26" s="61">
        <f t="shared" si="17"/>
        <v>2.458155627273471</v>
      </c>
      <c r="BL26" s="61">
        <f t="shared" si="17"/>
        <v>2.0938463480523315</v>
      </c>
      <c r="BM26" s="61">
        <f t="shared" si="18"/>
        <v>1.3003868297043206</v>
      </c>
      <c r="BN26" s="61">
        <f t="shared" si="18"/>
        <v>1.7176964383772315</v>
      </c>
      <c r="BO26" s="61">
        <f t="shared" si="18"/>
        <v>2.7625767568537873</v>
      </c>
      <c r="BP26" s="61">
        <f t="shared" si="18"/>
        <v>1.6312092245274872</v>
      </c>
      <c r="BQ26" s="61">
        <f t="shared" si="18"/>
        <v>1.765863288533791</v>
      </c>
      <c r="BR26" s="61">
        <f t="shared" si="18"/>
        <v>1.7631845176234779</v>
      </c>
      <c r="BS26" s="61">
        <f t="shared" si="18"/>
        <v>2.1183909930251441</v>
      </c>
      <c r="BT26" s="61">
        <f t="shared" si="18"/>
        <v>2.267913676255469</v>
      </c>
      <c r="BU26" s="61">
        <f t="shared" si="18"/>
        <v>2.3022618290559698</v>
      </c>
      <c r="BV26" s="61">
        <f t="shared" si="18"/>
        <v>3.0706170549919887</v>
      </c>
      <c r="BW26" s="61">
        <f t="shared" si="19"/>
        <v>2.2682705816587498</v>
      </c>
      <c r="BX26" s="61">
        <f t="shared" si="19"/>
        <v>3.0774444953557651</v>
      </c>
      <c r="BY26" s="61">
        <f t="shared" si="19"/>
        <v>2.4897169892689033</v>
      </c>
      <c r="BZ26" s="61">
        <f t="shared" si="19"/>
        <v>2.5311636502127124</v>
      </c>
      <c r="CA26" s="61">
        <f t="shared" si="19"/>
        <v>3.0997406378204775</v>
      </c>
      <c r="CB26" s="61">
        <f t="shared" si="19"/>
        <v>2.5410932650711677</v>
      </c>
      <c r="CC26" s="61">
        <f t="shared" si="19"/>
        <v>3.1078541760172094</v>
      </c>
      <c r="CD26" s="61">
        <f t="shared" si="19"/>
        <v>3.1252703548506933</v>
      </c>
      <c r="CE26" s="61">
        <f t="shared" si="19"/>
        <v>2.4386093681810652</v>
      </c>
      <c r="CF26" s="61">
        <f t="shared" si="19"/>
        <v>2.0690257699090715</v>
      </c>
      <c r="CG26" s="61">
        <f t="shared" si="20"/>
        <v>2.4048093518890576</v>
      </c>
      <c r="CH26" s="61">
        <f t="shared" si="20"/>
        <v>2.6941879343290909</v>
      </c>
      <c r="CI26" s="61">
        <f t="shared" si="20"/>
        <v>2.7799458231850371</v>
      </c>
      <c r="CJ26" s="61">
        <f t="shared" si="20"/>
        <v>2.9887837473628283</v>
      </c>
      <c r="CK26" s="61">
        <f t="shared" si="20"/>
        <v>2.5951133363241738</v>
      </c>
      <c r="CL26" s="61">
        <f t="shared" si="20"/>
        <v>3.2484014306016946</v>
      </c>
      <c r="CM26" s="61">
        <f t="shared" si="20"/>
        <v>2.7467843312827882</v>
      </c>
      <c r="CN26" s="61">
        <f t="shared" si="20"/>
        <v>2.1362114764909723</v>
      </c>
      <c r="CO26" s="61">
        <f t="shared" si="20"/>
        <v>2.4676952028849732</v>
      </c>
      <c r="CP26" s="61">
        <f t="shared" si="20"/>
        <v>3.3055615617149963</v>
      </c>
      <c r="CQ26" s="61">
        <f t="shared" si="21"/>
        <v>2.8832446900902879</v>
      </c>
      <c r="CR26" s="61">
        <f t="shared" si="21"/>
        <v>2.8701579292083972</v>
      </c>
      <c r="CS26" s="61">
        <f t="shared" si="21"/>
        <v>3.3533705775461704</v>
      </c>
      <c r="CT26" s="61">
        <f t="shared" si="21"/>
        <v>3.3813461581836992</v>
      </c>
      <c r="CU26" s="61">
        <f t="shared" si="21"/>
        <v>2.937867558224533</v>
      </c>
      <c r="CV26" s="61">
        <f t="shared" si="21"/>
        <v>2.6725598688159531</v>
      </c>
      <c r="CW26" s="61">
        <f t="shared" si="21"/>
        <v>3.3813461581836992</v>
      </c>
      <c r="CX26" s="61">
        <f t="shared" si="21"/>
        <v>2.816909581272879</v>
      </c>
      <c r="CY26" s="61">
        <f t="shared" si="21"/>
        <v>3.4128439953938385</v>
      </c>
      <c r="CZ26" s="61">
        <f t="shared" si="21"/>
        <v>3.4128439953938385</v>
      </c>
      <c r="DA26" s="61">
        <f t="shared" si="22"/>
        <v>3.033158368079949</v>
      </c>
      <c r="DB26" s="61">
        <f t="shared" si="22"/>
        <v>3.4487473084174671</v>
      </c>
      <c r="DC26" s="61">
        <f t="shared" si="22"/>
        <v>3.4487473084174671</v>
      </c>
      <c r="DD26" s="61">
        <f t="shared" si="22"/>
        <v>3.1442694273475285</v>
      </c>
      <c r="DE26" s="61">
        <f t="shared" si="22"/>
        <v>3.3466809619892399</v>
      </c>
      <c r="DF26" s="61">
        <f t="shared" si="22"/>
        <v>3.6736770477193916</v>
      </c>
      <c r="DG26" s="61">
        <f t="shared" si="22"/>
        <v>3.7732277653418573</v>
      </c>
      <c r="DH26" s="61">
        <f t="shared" si="22"/>
        <v>3.7732277653418573</v>
      </c>
      <c r="DI26" s="61">
        <f t="shared" si="22"/>
        <v>3.7732277653418573</v>
      </c>
      <c r="DJ26" s="61">
        <f t="shared" si="22"/>
        <v>3.7732277653418573</v>
      </c>
      <c r="DK26" s="61">
        <f t="shared" si="23"/>
        <v>3.9189599404951507</v>
      </c>
      <c r="DL26" s="61">
        <f t="shared" si="23"/>
        <v>3.9189599404951507</v>
      </c>
      <c r="DM26" s="61">
        <f t="shared" si="23"/>
        <v>3.9189599404951507</v>
      </c>
      <c r="DN26" s="61">
        <f t="shared" si="23"/>
        <v>3.9189599404951507</v>
      </c>
      <c r="DO26" s="61">
        <f t="shared" si="23"/>
        <v>3.9189599404951507</v>
      </c>
      <c r="DP26" s="61">
        <f t="shared" si="23"/>
        <v>4.1810154137617337</v>
      </c>
      <c r="DQ26" s="61">
        <f t="shared" si="23"/>
        <v>4.1810154137617337</v>
      </c>
    </row>
    <row r="27" spans="1:121" x14ac:dyDescent="0.25">
      <c r="A27" s="48" t="str">
        <f>KMeans_Data!A18</f>
        <v>Larkana</v>
      </c>
      <c r="B27" s="59">
        <f>KMeans_Data!H18</f>
        <v>1.0373368721320242</v>
      </c>
      <c r="C27" s="59">
        <f>KMeans_Data!I18</f>
        <v>0.37868427752921691</v>
      </c>
      <c r="D27" s="59">
        <f>KMeans_Data!J18</f>
        <v>1.4704046399545831</v>
      </c>
      <c r="E27" s="61">
        <f t="shared" si="12"/>
        <v>4.6451579272007946</v>
      </c>
      <c r="F27" s="61">
        <f t="shared" si="12"/>
        <v>4.5426180354302428</v>
      </c>
      <c r="G27" s="61">
        <f t="shared" si="12"/>
        <v>2.4987868185891187</v>
      </c>
      <c r="H27" s="61">
        <f t="shared" si="12"/>
        <v>3.4454653154512496</v>
      </c>
      <c r="I27" s="61">
        <f t="shared" si="12"/>
        <v>2.0452195555832495</v>
      </c>
      <c r="J27" s="61">
        <f t="shared" si="12"/>
        <v>1.9078175214514932</v>
      </c>
      <c r="K27" s="61">
        <f t="shared" si="12"/>
        <v>2.3249148297272479</v>
      </c>
      <c r="L27" s="61">
        <f t="shared" si="12"/>
        <v>0.48644468900823695</v>
      </c>
      <c r="M27" s="61">
        <f t="shared" si="12"/>
        <v>0.8910805790095413</v>
      </c>
      <c r="N27" s="61">
        <f t="shared" si="12"/>
        <v>2.3600059251332826</v>
      </c>
      <c r="O27" s="61">
        <f t="shared" si="13"/>
        <v>1.2030082216667015</v>
      </c>
      <c r="P27" s="61">
        <f t="shared" si="13"/>
        <v>1.4253699648600497</v>
      </c>
      <c r="Q27" s="61">
        <f t="shared" si="13"/>
        <v>0.72819676736314098</v>
      </c>
      <c r="R27" s="61">
        <f t="shared" si="13"/>
        <v>0</v>
      </c>
      <c r="S27" s="61">
        <f t="shared" si="13"/>
        <v>0.60772251420480949</v>
      </c>
      <c r="T27" s="61">
        <f t="shared" si="13"/>
        <v>0.77863911751709047</v>
      </c>
      <c r="U27" s="61">
        <f t="shared" si="13"/>
        <v>0.19346464016058282</v>
      </c>
      <c r="V27" s="61">
        <f t="shared" si="13"/>
        <v>1.3284575100748572</v>
      </c>
      <c r="W27" s="61">
        <f t="shared" si="13"/>
        <v>1.1518729776896166</v>
      </c>
      <c r="X27" s="61">
        <f t="shared" si="13"/>
        <v>0.63755028644469414</v>
      </c>
      <c r="Y27" s="61">
        <f t="shared" si="14"/>
        <v>0.53121011056296075</v>
      </c>
      <c r="Z27" s="61">
        <f t="shared" si="14"/>
        <v>0.98463665293581015</v>
      </c>
      <c r="AA27" s="61">
        <f t="shared" si="14"/>
        <v>0.61063359087127045</v>
      </c>
      <c r="AB27" s="61">
        <f t="shared" si="14"/>
        <v>0.85923520666610143</v>
      </c>
      <c r="AC27" s="61">
        <f t="shared" si="14"/>
        <v>1.2775206045773282</v>
      </c>
      <c r="AD27" s="61">
        <f t="shared" si="14"/>
        <v>0.57035761149190434</v>
      </c>
      <c r="AE27" s="61">
        <f t="shared" si="14"/>
        <v>2.6969311940684069</v>
      </c>
      <c r="AF27" s="61">
        <f t="shared" si="14"/>
        <v>0.80022663785630888</v>
      </c>
      <c r="AG27" s="61">
        <f t="shared" si="14"/>
        <v>2.1941641439380088</v>
      </c>
      <c r="AH27" s="61">
        <f t="shared" si="14"/>
        <v>0.85635508280799066</v>
      </c>
      <c r="AI27" s="61">
        <f t="shared" si="15"/>
        <v>2.1948290386308456</v>
      </c>
      <c r="AJ27" s="61">
        <f t="shared" si="15"/>
        <v>0.61328679051740209</v>
      </c>
      <c r="AK27" s="61">
        <f t="shared" si="15"/>
        <v>1.2871988045077052</v>
      </c>
      <c r="AL27" s="61">
        <f t="shared" si="15"/>
        <v>1.193781578262858</v>
      </c>
      <c r="AM27" s="61">
        <f t="shared" si="15"/>
        <v>1.6318441222640736</v>
      </c>
      <c r="AN27" s="61">
        <f t="shared" si="15"/>
        <v>1.2218161570781203</v>
      </c>
      <c r="AO27" s="61">
        <f t="shared" si="15"/>
        <v>1.1093263837568521</v>
      </c>
      <c r="AP27" s="61">
        <f t="shared" si="15"/>
        <v>1.1790679955950032</v>
      </c>
      <c r="AQ27" s="61">
        <f t="shared" si="15"/>
        <v>1.3799561862055567</v>
      </c>
      <c r="AR27" s="61">
        <f t="shared" si="15"/>
        <v>1.6930417975150076</v>
      </c>
      <c r="AS27" s="61">
        <f t="shared" si="16"/>
        <v>1.3546641306834701</v>
      </c>
      <c r="AT27" s="61">
        <f t="shared" si="16"/>
        <v>1.1593431801629535</v>
      </c>
      <c r="AU27" s="61">
        <f t="shared" si="16"/>
        <v>2.3057169172843408</v>
      </c>
      <c r="AV27" s="61">
        <f t="shared" si="16"/>
        <v>1.6211134796330222</v>
      </c>
      <c r="AW27" s="61">
        <f t="shared" si="16"/>
        <v>2.6475647490986587</v>
      </c>
      <c r="AX27" s="61">
        <f t="shared" si="16"/>
        <v>1.3714131638754321</v>
      </c>
      <c r="AY27" s="61">
        <f t="shared" si="16"/>
        <v>2.9408359957094516</v>
      </c>
      <c r="AZ27" s="61">
        <f t="shared" si="16"/>
        <v>1.4129939650691847</v>
      </c>
      <c r="BA27" s="61">
        <f t="shared" si="16"/>
        <v>1.2007942594917329</v>
      </c>
      <c r="BB27" s="61">
        <f t="shared" si="16"/>
        <v>2.9427045941981942</v>
      </c>
      <c r="BC27" s="61">
        <f t="shared" si="17"/>
        <v>2.9446106239101808</v>
      </c>
      <c r="BD27" s="61">
        <f t="shared" si="17"/>
        <v>2.3994635543365552</v>
      </c>
      <c r="BE27" s="61">
        <f t="shared" si="17"/>
        <v>2.1967540288821787</v>
      </c>
      <c r="BF27" s="61">
        <f t="shared" si="17"/>
        <v>1.5198700784169752</v>
      </c>
      <c r="BG27" s="61">
        <f t="shared" si="17"/>
        <v>1.3708990403778827</v>
      </c>
      <c r="BH27" s="61">
        <f t="shared" si="17"/>
        <v>2.975949255998326</v>
      </c>
      <c r="BI27" s="61">
        <f t="shared" si="17"/>
        <v>2.9812792124527978</v>
      </c>
      <c r="BJ27" s="61">
        <f t="shared" si="17"/>
        <v>1.7886669762678886</v>
      </c>
      <c r="BK27" s="61">
        <f t="shared" si="17"/>
        <v>2.3805209943410395</v>
      </c>
      <c r="BL27" s="61">
        <f t="shared" si="17"/>
        <v>1.8473451558485976</v>
      </c>
      <c r="BM27" s="61">
        <f t="shared" si="18"/>
        <v>1.4536312781079959</v>
      </c>
      <c r="BN27" s="61">
        <f t="shared" si="18"/>
        <v>1.8038318241503604</v>
      </c>
      <c r="BO27" s="61">
        <f t="shared" si="18"/>
        <v>2.7543705577879942</v>
      </c>
      <c r="BP27" s="61">
        <f t="shared" si="18"/>
        <v>1.67042015284584</v>
      </c>
      <c r="BQ27" s="61">
        <f t="shared" si="18"/>
        <v>1.6669079250150307</v>
      </c>
      <c r="BR27" s="61">
        <f t="shared" si="18"/>
        <v>1.6525144375726144</v>
      </c>
      <c r="BS27" s="61">
        <f t="shared" si="18"/>
        <v>1.8255167686819782</v>
      </c>
      <c r="BT27" s="61">
        <f t="shared" si="18"/>
        <v>2.0742743415084681</v>
      </c>
      <c r="BU27" s="61">
        <f t="shared" si="18"/>
        <v>2.1273163768296945</v>
      </c>
      <c r="BV27" s="61">
        <f t="shared" si="18"/>
        <v>3.1035249453598421</v>
      </c>
      <c r="BW27" s="61">
        <f t="shared" si="19"/>
        <v>2.0569594071030406</v>
      </c>
      <c r="BX27" s="61">
        <f t="shared" si="19"/>
        <v>3.1102534157725112</v>
      </c>
      <c r="BY27" s="61">
        <f t="shared" si="19"/>
        <v>2.3769571381083732</v>
      </c>
      <c r="BZ27" s="61">
        <f t="shared" si="19"/>
        <v>2.4302456152411116</v>
      </c>
      <c r="CA27" s="61">
        <f t="shared" si="19"/>
        <v>3.1322311072030558</v>
      </c>
      <c r="CB27" s="61">
        <f t="shared" si="19"/>
        <v>2.4405470008765069</v>
      </c>
      <c r="CC27" s="61">
        <f t="shared" si="19"/>
        <v>3.1402305045998049</v>
      </c>
      <c r="CD27" s="61">
        <f t="shared" si="19"/>
        <v>3.1574046827609017</v>
      </c>
      <c r="CE27" s="61">
        <f t="shared" si="19"/>
        <v>2.2850867502514411</v>
      </c>
      <c r="CF27" s="61">
        <f t="shared" si="19"/>
        <v>2.0315517886503232</v>
      </c>
      <c r="CG27" s="61">
        <f t="shared" si="20"/>
        <v>2.459485542954774</v>
      </c>
      <c r="CH27" s="61">
        <f t="shared" si="20"/>
        <v>2.6226032521928966</v>
      </c>
      <c r="CI27" s="61">
        <f t="shared" si="20"/>
        <v>2.7253656976307941</v>
      </c>
      <c r="CJ27" s="61">
        <f t="shared" si="20"/>
        <v>2.980360147150797</v>
      </c>
      <c r="CK27" s="61">
        <f t="shared" si="20"/>
        <v>2.4632705018895025</v>
      </c>
      <c r="CL27" s="61">
        <f t="shared" si="20"/>
        <v>3.278929330896613</v>
      </c>
      <c r="CM27" s="61">
        <f t="shared" si="20"/>
        <v>2.6639479151350605</v>
      </c>
      <c r="CN27" s="61">
        <f t="shared" si="20"/>
        <v>2.0062365515196272</v>
      </c>
      <c r="CO27" s="61">
        <f t="shared" si="20"/>
        <v>2.4865230223264101</v>
      </c>
      <c r="CP27" s="61">
        <f t="shared" si="20"/>
        <v>3.3353981460163755</v>
      </c>
      <c r="CQ27" s="61">
        <f t="shared" si="21"/>
        <v>2.8158876730251468</v>
      </c>
      <c r="CR27" s="61">
        <f t="shared" si="21"/>
        <v>2.7906228532659427</v>
      </c>
      <c r="CS27" s="61">
        <f t="shared" si="21"/>
        <v>3.38265206186386</v>
      </c>
      <c r="CT27" s="61">
        <f t="shared" si="21"/>
        <v>3.4103119353684268</v>
      </c>
      <c r="CU27" s="61">
        <f t="shared" si="21"/>
        <v>3.0370836754197215</v>
      </c>
      <c r="CV27" s="61">
        <f t="shared" si="21"/>
        <v>2.4978253127828713</v>
      </c>
      <c r="CW27" s="61">
        <f t="shared" si="21"/>
        <v>3.4103119353684268</v>
      </c>
      <c r="CX27" s="61">
        <f t="shared" si="21"/>
        <v>2.6952979135147523</v>
      </c>
      <c r="CY27" s="61">
        <f t="shared" si="21"/>
        <v>3.4414619554110497</v>
      </c>
      <c r="CZ27" s="61">
        <f t="shared" si="21"/>
        <v>3.4414619554110497</v>
      </c>
      <c r="DA27" s="61">
        <f t="shared" si="22"/>
        <v>2.9824911910641334</v>
      </c>
      <c r="DB27" s="61">
        <f t="shared" si="22"/>
        <v>3.4769782447328597</v>
      </c>
      <c r="DC27" s="61">
        <f t="shared" si="22"/>
        <v>3.4769782447328597</v>
      </c>
      <c r="DD27" s="61">
        <f t="shared" si="22"/>
        <v>3.1120659850710299</v>
      </c>
      <c r="DE27" s="61">
        <f t="shared" si="22"/>
        <v>3.3382274243213987</v>
      </c>
      <c r="DF27" s="61">
        <f t="shared" si="22"/>
        <v>3.6996860383442045</v>
      </c>
      <c r="DG27" s="61">
        <f t="shared" si="22"/>
        <v>3.7983505335880898</v>
      </c>
      <c r="DH27" s="61">
        <f t="shared" si="22"/>
        <v>3.7983505335880898</v>
      </c>
      <c r="DI27" s="61">
        <f t="shared" si="22"/>
        <v>3.7983505335880898</v>
      </c>
      <c r="DJ27" s="61">
        <f t="shared" si="22"/>
        <v>3.7983505335880898</v>
      </c>
      <c r="DK27" s="61">
        <f t="shared" si="23"/>
        <v>3.9428764577316429</v>
      </c>
      <c r="DL27" s="61">
        <f t="shared" si="23"/>
        <v>3.9428764577316429</v>
      </c>
      <c r="DM27" s="61">
        <f t="shared" si="23"/>
        <v>3.9428764577316429</v>
      </c>
      <c r="DN27" s="61">
        <f t="shared" si="23"/>
        <v>3.9428764577316429</v>
      </c>
      <c r="DO27" s="61">
        <f t="shared" si="23"/>
        <v>3.9428764577316429</v>
      </c>
      <c r="DP27" s="61">
        <f t="shared" si="23"/>
        <v>4.2029955567656474</v>
      </c>
      <c r="DQ27" s="61">
        <f t="shared" si="23"/>
        <v>4.2029955567656474</v>
      </c>
    </row>
    <row r="28" spans="1:121" x14ac:dyDescent="0.25">
      <c r="A28" s="48" t="str">
        <f>KMeans_Data!A19</f>
        <v>Ghotki</v>
      </c>
      <c r="B28" s="59">
        <f>KMeans_Data!H19</f>
        <v>1.0078177751973447</v>
      </c>
      <c r="C28" s="59">
        <f>KMeans_Data!I19</f>
        <v>-0.14698313392952958</v>
      </c>
      <c r="D28" s="59">
        <f>KMeans_Data!J19</f>
        <v>1.1668769645807604</v>
      </c>
      <c r="E28" s="61">
        <f t="shared" si="12"/>
        <v>5.1970094204493611</v>
      </c>
      <c r="F28" s="61">
        <f t="shared" si="12"/>
        <v>5.0835082673535474</v>
      </c>
      <c r="G28" s="61">
        <f t="shared" si="12"/>
        <v>3.0418641689098118</v>
      </c>
      <c r="H28" s="61">
        <f t="shared" si="12"/>
        <v>3.9707867170903763</v>
      </c>
      <c r="I28" s="61">
        <f t="shared" si="12"/>
        <v>2.5554180237878996</v>
      </c>
      <c r="J28" s="61">
        <f t="shared" si="12"/>
        <v>2.4427390514640961</v>
      </c>
      <c r="K28" s="61">
        <f t="shared" si="12"/>
        <v>2.042038380941015</v>
      </c>
      <c r="L28" s="61">
        <f t="shared" si="12"/>
        <v>1.0485979460947528</v>
      </c>
      <c r="M28" s="61">
        <f t="shared" si="12"/>
        <v>1.4795372601678018</v>
      </c>
      <c r="N28" s="61">
        <f t="shared" si="12"/>
        <v>2.000723611464966</v>
      </c>
      <c r="O28" s="61">
        <f t="shared" si="13"/>
        <v>1.6381962851426044</v>
      </c>
      <c r="P28" s="61">
        <f t="shared" si="13"/>
        <v>1.9191598188529027</v>
      </c>
      <c r="Q28" s="61">
        <f t="shared" si="13"/>
        <v>1.1444514948589575</v>
      </c>
      <c r="R28" s="61">
        <f t="shared" si="13"/>
        <v>0.60772251420480949</v>
      </c>
      <c r="S28" s="61">
        <f t="shared" si="13"/>
        <v>0</v>
      </c>
      <c r="T28" s="61">
        <f t="shared" si="13"/>
        <v>1.1537614860392986</v>
      </c>
      <c r="U28" s="61">
        <f t="shared" si="13"/>
        <v>0.68260825173089767</v>
      </c>
      <c r="V28" s="61">
        <f t="shared" si="13"/>
        <v>1.6308996433955578</v>
      </c>
      <c r="W28" s="61">
        <f t="shared" si="13"/>
        <v>1.5535693231212435</v>
      </c>
      <c r="X28" s="61">
        <f t="shared" si="13"/>
        <v>0.97322052904229284</v>
      </c>
      <c r="Y28" s="61">
        <f t="shared" si="14"/>
        <v>0.98002452142971108</v>
      </c>
      <c r="Z28" s="61">
        <f t="shared" si="14"/>
        <v>1.1193322128845395</v>
      </c>
      <c r="AA28" s="61">
        <f t="shared" si="14"/>
        <v>0.43336228385611836</v>
      </c>
      <c r="AB28" s="61">
        <f t="shared" si="14"/>
        <v>0.88482836790138031</v>
      </c>
      <c r="AC28" s="61">
        <f t="shared" si="14"/>
        <v>1.6087904385335388</v>
      </c>
      <c r="AD28" s="61">
        <f t="shared" si="14"/>
        <v>1.0024144730854236</v>
      </c>
      <c r="AE28" s="61">
        <f t="shared" si="14"/>
        <v>2.3407055657210845</v>
      </c>
      <c r="AF28" s="61">
        <f t="shared" si="14"/>
        <v>0.97199026166540614</v>
      </c>
      <c r="AG28" s="61">
        <f t="shared" si="14"/>
        <v>1.7076006204919898</v>
      </c>
      <c r="AH28" s="61">
        <f t="shared" si="14"/>
        <v>0.65420942954214434</v>
      </c>
      <c r="AI28" s="61">
        <f t="shared" si="15"/>
        <v>1.7084002174030588</v>
      </c>
      <c r="AJ28" s="61">
        <f t="shared" si="15"/>
        <v>0.82400889998180959</v>
      </c>
      <c r="AK28" s="61">
        <f t="shared" si="15"/>
        <v>1.1303919483048617</v>
      </c>
      <c r="AL28" s="61">
        <f t="shared" si="15"/>
        <v>0.80725015096275088</v>
      </c>
      <c r="AM28" s="61">
        <f t="shared" si="15"/>
        <v>1.8295918588080076</v>
      </c>
      <c r="AN28" s="61">
        <f t="shared" si="15"/>
        <v>1.4759816817742455</v>
      </c>
      <c r="AO28" s="61">
        <f t="shared" si="15"/>
        <v>0.99972427987138501</v>
      </c>
      <c r="AP28" s="61">
        <f t="shared" si="15"/>
        <v>1.0537817546002182</v>
      </c>
      <c r="AQ28" s="61">
        <f t="shared" si="15"/>
        <v>1.6325158378456599</v>
      </c>
      <c r="AR28" s="61">
        <f t="shared" si="15"/>
        <v>1.4239942001318284</v>
      </c>
      <c r="AS28" s="61">
        <f t="shared" si="16"/>
        <v>0.88187697137668708</v>
      </c>
      <c r="AT28" s="61">
        <f t="shared" si="16"/>
        <v>0.83250331968396241</v>
      </c>
      <c r="AU28" s="61">
        <f t="shared" si="16"/>
        <v>1.9514620638148361</v>
      </c>
      <c r="AV28" s="61">
        <f t="shared" si="16"/>
        <v>1.1251225793806512</v>
      </c>
      <c r="AW28" s="61">
        <f t="shared" si="16"/>
        <v>2.1984914035232515</v>
      </c>
      <c r="AX28" s="61">
        <f t="shared" si="16"/>
        <v>1.145539295633774</v>
      </c>
      <c r="AY28" s="61">
        <f t="shared" si="16"/>
        <v>2.505009867798468</v>
      </c>
      <c r="AZ28" s="61">
        <f t="shared" si="16"/>
        <v>0.97230325836325371</v>
      </c>
      <c r="BA28" s="61">
        <f t="shared" si="16"/>
        <v>0.89403423780812452</v>
      </c>
      <c r="BB28" s="61">
        <f t="shared" si="16"/>
        <v>2.507126222772007</v>
      </c>
      <c r="BC28" s="61">
        <f t="shared" si="17"/>
        <v>2.5092851282441457</v>
      </c>
      <c r="BD28" s="61">
        <f t="shared" si="17"/>
        <v>1.9421561135088738</v>
      </c>
      <c r="BE28" s="61">
        <f t="shared" si="17"/>
        <v>1.7311455391278376</v>
      </c>
      <c r="BF28" s="61">
        <f t="shared" si="17"/>
        <v>1.8047417533004859</v>
      </c>
      <c r="BG28" s="61">
        <f t="shared" si="17"/>
        <v>1.0599493882425699</v>
      </c>
      <c r="BH28" s="61">
        <f t="shared" si="17"/>
        <v>2.5447937815095898</v>
      </c>
      <c r="BI28" s="61">
        <f t="shared" si="17"/>
        <v>2.5508335102712127</v>
      </c>
      <c r="BJ28" s="61">
        <f t="shared" si="17"/>
        <v>1.6726341500202953</v>
      </c>
      <c r="BK28" s="61">
        <f t="shared" si="17"/>
        <v>1.9325284120371931</v>
      </c>
      <c r="BL28" s="61">
        <f t="shared" si="17"/>
        <v>1.3941593553298748</v>
      </c>
      <c r="BM28" s="61">
        <f t="shared" si="18"/>
        <v>1.4174346608808577</v>
      </c>
      <c r="BN28" s="61">
        <f t="shared" si="18"/>
        <v>1.5695187146650651</v>
      </c>
      <c r="BO28" s="61">
        <f t="shared" si="18"/>
        <v>2.3221549967200907</v>
      </c>
      <c r="BP28" s="61">
        <f t="shared" si="18"/>
        <v>1.4599834067484985</v>
      </c>
      <c r="BQ28" s="61">
        <f t="shared" si="18"/>
        <v>1.3662189899096517</v>
      </c>
      <c r="BR28" s="61">
        <f t="shared" si="18"/>
        <v>1.3590383153037797</v>
      </c>
      <c r="BS28" s="61">
        <f t="shared" si="18"/>
        <v>1.412456447714638</v>
      </c>
      <c r="BT28" s="61">
        <f t="shared" si="18"/>
        <v>1.6485474903239354</v>
      </c>
      <c r="BU28" s="61">
        <f t="shared" si="18"/>
        <v>1.6997888047657335</v>
      </c>
      <c r="BV28" s="61">
        <f t="shared" si="18"/>
        <v>2.6890919073220938</v>
      </c>
      <c r="BW28" s="61">
        <f t="shared" si="19"/>
        <v>1.6428654998092433</v>
      </c>
      <c r="BX28" s="61">
        <f t="shared" si="19"/>
        <v>2.6966792486980156</v>
      </c>
      <c r="BY28" s="61">
        <f t="shared" si="19"/>
        <v>1.957370649238505</v>
      </c>
      <c r="BZ28" s="61">
        <f t="shared" si="19"/>
        <v>2.0121788572103707</v>
      </c>
      <c r="CA28" s="61">
        <f t="shared" si="19"/>
        <v>2.7214425477709803</v>
      </c>
      <c r="CB28" s="61">
        <f t="shared" si="19"/>
        <v>2.0243422126978756</v>
      </c>
      <c r="CC28" s="61">
        <f t="shared" si="19"/>
        <v>2.7304481649583283</v>
      </c>
      <c r="CD28" s="61">
        <f t="shared" si="19"/>
        <v>2.7497684865046614</v>
      </c>
      <c r="CE28" s="61">
        <f t="shared" si="19"/>
        <v>1.8798853765406613</v>
      </c>
      <c r="CF28" s="61">
        <f t="shared" si="19"/>
        <v>1.7466002596092931</v>
      </c>
      <c r="CG28" s="61">
        <f t="shared" si="20"/>
        <v>2.1543797310832149</v>
      </c>
      <c r="CH28" s="61">
        <f t="shared" si="20"/>
        <v>2.2175838773701266</v>
      </c>
      <c r="CI28" s="61">
        <f t="shared" si="20"/>
        <v>2.3241232344197638</v>
      </c>
      <c r="CJ28" s="61">
        <f t="shared" si="20"/>
        <v>2.5806813216314897</v>
      </c>
      <c r="CK28" s="61">
        <f t="shared" si="20"/>
        <v>2.0787509907582411</v>
      </c>
      <c r="CL28" s="61">
        <f t="shared" si="20"/>
        <v>2.88591085464348</v>
      </c>
      <c r="CM28" s="61">
        <f t="shared" si="20"/>
        <v>2.2754672877578241</v>
      </c>
      <c r="CN28" s="61">
        <f t="shared" si="20"/>
        <v>1.796566232554796</v>
      </c>
      <c r="CO28" s="61">
        <f t="shared" si="20"/>
        <v>2.2115894543540846</v>
      </c>
      <c r="CP28" s="61">
        <f t="shared" si="20"/>
        <v>2.9488310285610084</v>
      </c>
      <c r="CQ28" s="61">
        <f t="shared" si="21"/>
        <v>2.4393090655748333</v>
      </c>
      <c r="CR28" s="61">
        <f t="shared" si="21"/>
        <v>2.4201643246201701</v>
      </c>
      <c r="CS28" s="61">
        <f t="shared" si="21"/>
        <v>3.001320616238345</v>
      </c>
      <c r="CT28" s="61">
        <f t="shared" si="21"/>
        <v>3.0319777888907335</v>
      </c>
      <c r="CU28" s="61">
        <f t="shared" si="21"/>
        <v>2.7448454506164381</v>
      </c>
      <c r="CV28" s="61">
        <f t="shared" si="21"/>
        <v>2.1582931297108252</v>
      </c>
      <c r="CW28" s="61">
        <f t="shared" si="21"/>
        <v>3.0319777888907335</v>
      </c>
      <c r="CX28" s="61">
        <f t="shared" si="21"/>
        <v>2.3449077900921269</v>
      </c>
      <c r="CY28" s="61">
        <f t="shared" si="21"/>
        <v>3.0664449660051734</v>
      </c>
      <c r="CZ28" s="61">
        <f t="shared" si="21"/>
        <v>3.0664449660051734</v>
      </c>
      <c r="DA28" s="61">
        <f t="shared" si="22"/>
        <v>2.616227836945745</v>
      </c>
      <c r="DB28" s="61">
        <f t="shared" si="22"/>
        <v>3.1056694708519097</v>
      </c>
      <c r="DC28" s="61">
        <f t="shared" si="22"/>
        <v>3.1056694708519097</v>
      </c>
      <c r="DD28" s="61">
        <f t="shared" si="22"/>
        <v>2.7476906297692514</v>
      </c>
      <c r="DE28" s="61">
        <f t="shared" si="22"/>
        <v>2.9808912639305243</v>
      </c>
      <c r="DF28" s="61">
        <f t="shared" si="22"/>
        <v>3.3499527122119281</v>
      </c>
      <c r="DG28" s="61">
        <f t="shared" si="22"/>
        <v>3.4573303841659211</v>
      </c>
      <c r="DH28" s="61">
        <f t="shared" si="22"/>
        <v>3.4573303841659211</v>
      </c>
      <c r="DI28" s="61">
        <f t="shared" si="22"/>
        <v>3.4573303841659211</v>
      </c>
      <c r="DJ28" s="61">
        <f t="shared" si="22"/>
        <v>3.4573303841659211</v>
      </c>
      <c r="DK28" s="61">
        <f t="shared" si="23"/>
        <v>3.6137905856001775</v>
      </c>
      <c r="DL28" s="61">
        <f t="shared" si="23"/>
        <v>3.6137905856001775</v>
      </c>
      <c r="DM28" s="61">
        <f t="shared" si="23"/>
        <v>3.6137905856001775</v>
      </c>
      <c r="DN28" s="61">
        <f t="shared" si="23"/>
        <v>3.6137905856001775</v>
      </c>
      <c r="DO28" s="61">
        <f t="shared" si="23"/>
        <v>3.6137905856001775</v>
      </c>
      <c r="DP28" s="61">
        <f t="shared" si="23"/>
        <v>3.8932095409482974</v>
      </c>
      <c r="DQ28" s="61">
        <f t="shared" si="23"/>
        <v>3.8932095409482974</v>
      </c>
    </row>
    <row r="29" spans="1:121" x14ac:dyDescent="0.25">
      <c r="A29" s="48" t="str">
        <f>KMeans_Data!A20</f>
        <v>Dir Lower</v>
      </c>
      <c r="B29" s="59">
        <f>KMeans_Data!H20</f>
        <v>0.97062552695729998</v>
      </c>
      <c r="C29" s="59">
        <f>KMeans_Data!I20</f>
        <v>0.99367572463826759</v>
      </c>
      <c r="D29" s="59">
        <f>KMeans_Data!J20</f>
        <v>0.99752622880062936</v>
      </c>
      <c r="E29" s="61">
        <f t="shared" si="12"/>
        <v>4.4346274447006611</v>
      </c>
      <c r="F29" s="61">
        <f t="shared" si="12"/>
        <v>4.2466807171959333</v>
      </c>
      <c r="G29" s="61">
        <f t="shared" si="12"/>
        <v>2.3503914452842838</v>
      </c>
      <c r="H29" s="61">
        <f t="shared" si="12"/>
        <v>2.9828209447761482</v>
      </c>
      <c r="I29" s="61">
        <f t="shared" si="12"/>
        <v>1.7547682339321902</v>
      </c>
      <c r="J29" s="61">
        <f t="shared" si="12"/>
        <v>1.4153572316062866</v>
      </c>
      <c r="K29" s="61">
        <f t="shared" si="12"/>
        <v>2.0371051487668566</v>
      </c>
      <c r="L29" s="61">
        <f t="shared" si="12"/>
        <v>0.86116624907794737</v>
      </c>
      <c r="M29" s="61">
        <f t="shared" si="12"/>
        <v>0.78613890644251572</v>
      </c>
      <c r="N29" s="61">
        <f t="shared" si="12"/>
        <v>2.1619450358658914</v>
      </c>
      <c r="O29" s="61">
        <f t="shared" si="13"/>
        <v>0.5116318594222411</v>
      </c>
      <c r="P29" s="61">
        <f t="shared" si="13"/>
        <v>0.80835603854887716</v>
      </c>
      <c r="Q29" s="61">
        <f t="shared" si="13"/>
        <v>0.10979055306095103</v>
      </c>
      <c r="R29" s="61">
        <f t="shared" si="13"/>
        <v>0.77863911751709047</v>
      </c>
      <c r="S29" s="61">
        <f t="shared" si="13"/>
        <v>1.1537614860392986</v>
      </c>
      <c r="T29" s="61">
        <f t="shared" si="13"/>
        <v>0</v>
      </c>
      <c r="U29" s="61">
        <f t="shared" si="13"/>
        <v>0.85406187065213945</v>
      </c>
      <c r="V29" s="61">
        <f t="shared" si="13"/>
        <v>0.55471085588975722</v>
      </c>
      <c r="W29" s="61">
        <f t="shared" si="13"/>
        <v>0.41030015854890917</v>
      </c>
      <c r="X29" s="61">
        <f t="shared" si="13"/>
        <v>0.23339924339487056</v>
      </c>
      <c r="Y29" s="61">
        <f t="shared" si="14"/>
        <v>0.37732465864972242</v>
      </c>
      <c r="Z29" s="61">
        <f t="shared" si="14"/>
        <v>0.46297097479076632</v>
      </c>
      <c r="AA29" s="61">
        <f t="shared" si="14"/>
        <v>0.85475643836438109</v>
      </c>
      <c r="AB29" s="61">
        <f t="shared" si="14"/>
        <v>0.58554961494024005</v>
      </c>
      <c r="AC29" s="61">
        <f t="shared" si="14"/>
        <v>0.51613530322686685</v>
      </c>
      <c r="AD29" s="61">
        <f t="shared" si="14"/>
        <v>0.42904794828497173</v>
      </c>
      <c r="AE29" s="61">
        <f t="shared" si="14"/>
        <v>2.449464404018157</v>
      </c>
      <c r="AF29" s="61">
        <f t="shared" si="14"/>
        <v>0.495580478294599</v>
      </c>
      <c r="AG29" s="61">
        <f t="shared" si="14"/>
        <v>2.2098956091832078</v>
      </c>
      <c r="AH29" s="61">
        <f t="shared" si="14"/>
        <v>0.94612753574846276</v>
      </c>
      <c r="AI29" s="61">
        <f t="shared" si="15"/>
        <v>2.2104602863528919</v>
      </c>
      <c r="AJ29" s="61">
        <f t="shared" si="15"/>
        <v>0.61163244484016899</v>
      </c>
      <c r="AK29" s="61">
        <f t="shared" si="15"/>
        <v>1.0374019595395745</v>
      </c>
      <c r="AL29" s="61">
        <f t="shared" si="15"/>
        <v>1.3174430783584774</v>
      </c>
      <c r="AM29" s="61">
        <f t="shared" si="15"/>
        <v>0.92873248047660883</v>
      </c>
      <c r="AN29" s="61">
        <f t="shared" si="15"/>
        <v>0.60630930464691801</v>
      </c>
      <c r="AO29" s="61">
        <f t="shared" si="15"/>
        <v>0.93612519550979245</v>
      </c>
      <c r="AP29" s="61">
        <f t="shared" si="15"/>
        <v>0.97982379362683025</v>
      </c>
      <c r="AQ29" s="61">
        <f t="shared" si="15"/>
        <v>0.72861505323793607</v>
      </c>
      <c r="AR29" s="61">
        <f t="shared" si="15"/>
        <v>1.4797304007356566</v>
      </c>
      <c r="AS29" s="61">
        <f t="shared" si="16"/>
        <v>1.78994403457854</v>
      </c>
      <c r="AT29" s="61">
        <f t="shared" si="16"/>
        <v>1.3552259060300549</v>
      </c>
      <c r="AU29" s="61">
        <f t="shared" si="16"/>
        <v>2.1149674605612789</v>
      </c>
      <c r="AV29" s="61">
        <f t="shared" si="16"/>
        <v>1.8760529931299192</v>
      </c>
      <c r="AW29" s="61">
        <f t="shared" si="16"/>
        <v>2.5752793448333127</v>
      </c>
      <c r="AX29" s="61">
        <f t="shared" si="16"/>
        <v>1.2721211108591699</v>
      </c>
      <c r="AY29" s="61">
        <f t="shared" si="16"/>
        <v>2.8217341359264791</v>
      </c>
      <c r="AZ29" s="61">
        <f t="shared" si="16"/>
        <v>1.8358182566978669</v>
      </c>
      <c r="BA29" s="61">
        <f t="shared" si="16"/>
        <v>1.3943730537256114</v>
      </c>
      <c r="BB29" s="61">
        <f t="shared" si="16"/>
        <v>2.8235268737340591</v>
      </c>
      <c r="BC29" s="61">
        <f t="shared" si="17"/>
        <v>2.8253567517223619</v>
      </c>
      <c r="BD29" s="61">
        <f t="shared" si="17"/>
        <v>2.3820498318632848</v>
      </c>
      <c r="BE29" s="61">
        <f t="shared" si="17"/>
        <v>2.2328998761483487</v>
      </c>
      <c r="BF29" s="61">
        <f t="shared" si="17"/>
        <v>0.95084317862518464</v>
      </c>
      <c r="BG29" s="61">
        <f t="shared" si="17"/>
        <v>1.483711542453489</v>
      </c>
      <c r="BH29" s="61">
        <f t="shared" si="17"/>
        <v>2.8555989750274127</v>
      </c>
      <c r="BI29" s="61">
        <f t="shared" si="17"/>
        <v>2.8607678279098177</v>
      </c>
      <c r="BJ29" s="61">
        <f t="shared" si="17"/>
        <v>1.4412529880743079</v>
      </c>
      <c r="BK29" s="61">
        <f t="shared" si="17"/>
        <v>2.3790485750840702</v>
      </c>
      <c r="BL29" s="61">
        <f t="shared" si="17"/>
        <v>2.0314858853161462</v>
      </c>
      <c r="BM29" s="61">
        <f t="shared" si="18"/>
        <v>1.2051253665646307</v>
      </c>
      <c r="BN29" s="61">
        <f t="shared" si="18"/>
        <v>1.6230107702640177</v>
      </c>
      <c r="BO29" s="61">
        <f t="shared" si="18"/>
        <v>2.677410433818062</v>
      </c>
      <c r="BP29" s="61">
        <f t="shared" si="18"/>
        <v>1.5406222939573613</v>
      </c>
      <c r="BQ29" s="61">
        <f t="shared" si="18"/>
        <v>1.6877764476770292</v>
      </c>
      <c r="BR29" s="61">
        <f t="shared" si="18"/>
        <v>1.6863438531664674</v>
      </c>
      <c r="BS29" s="61">
        <f t="shared" si="18"/>
        <v>2.0602552794011455</v>
      </c>
      <c r="BT29" s="61">
        <f t="shared" si="18"/>
        <v>2.1971688696958602</v>
      </c>
      <c r="BU29" s="61">
        <f t="shared" si="18"/>
        <v>2.2294637496657566</v>
      </c>
      <c r="BV29" s="61">
        <f t="shared" si="18"/>
        <v>2.9806109440136703</v>
      </c>
      <c r="BW29" s="61">
        <f t="shared" si="19"/>
        <v>2.1990417933600073</v>
      </c>
      <c r="BX29" s="61">
        <f t="shared" si="19"/>
        <v>2.9872586031700363</v>
      </c>
      <c r="BY29" s="61">
        <f t="shared" si="19"/>
        <v>2.4097317393830053</v>
      </c>
      <c r="BZ29" s="61">
        <f t="shared" si="19"/>
        <v>2.4499184773375071</v>
      </c>
      <c r="CA29" s="61">
        <f t="shared" si="19"/>
        <v>3.0089987429507805</v>
      </c>
      <c r="CB29" s="61">
        <f t="shared" si="19"/>
        <v>2.4596421750656692</v>
      </c>
      <c r="CC29" s="61">
        <f t="shared" si="19"/>
        <v>3.0169210329144223</v>
      </c>
      <c r="CD29" s="61">
        <f t="shared" si="19"/>
        <v>3.0339451188091706</v>
      </c>
      <c r="CE29" s="61">
        <f t="shared" si="19"/>
        <v>2.3619099667213668</v>
      </c>
      <c r="CF29" s="61">
        <f t="shared" si="19"/>
        <v>1.9820789574284927</v>
      </c>
      <c r="CG29" s="61">
        <f t="shared" si="20"/>
        <v>2.3090841478103257</v>
      </c>
      <c r="CH29" s="61">
        <f t="shared" si="20"/>
        <v>2.6091014177720879</v>
      </c>
      <c r="CI29" s="61">
        <f t="shared" si="20"/>
        <v>2.6930592632893222</v>
      </c>
      <c r="CJ29" s="61">
        <f t="shared" si="20"/>
        <v>2.8983028459055147</v>
      </c>
      <c r="CK29" s="61">
        <f t="shared" si="20"/>
        <v>2.5148966426175767</v>
      </c>
      <c r="CL29" s="61">
        <f t="shared" si="20"/>
        <v>3.1548821418384447</v>
      </c>
      <c r="CM29" s="61">
        <f t="shared" si="20"/>
        <v>2.6615352735083566</v>
      </c>
      <c r="CN29" s="61">
        <f t="shared" si="20"/>
        <v>2.0613044061615224</v>
      </c>
      <c r="CO29" s="61">
        <f t="shared" si="20"/>
        <v>2.3738250723308263</v>
      </c>
      <c r="CP29" s="61">
        <f t="shared" si="20"/>
        <v>3.2112872132002148</v>
      </c>
      <c r="CQ29" s="61">
        <f t="shared" si="21"/>
        <v>2.7957993821636666</v>
      </c>
      <c r="CR29" s="61">
        <f t="shared" si="21"/>
        <v>2.7836500809441254</v>
      </c>
      <c r="CS29" s="61">
        <f t="shared" si="21"/>
        <v>3.2585608924649798</v>
      </c>
      <c r="CT29" s="61">
        <f t="shared" si="21"/>
        <v>3.2862582121119615</v>
      </c>
      <c r="CU29" s="61">
        <f t="shared" si="21"/>
        <v>2.8373149564886697</v>
      </c>
      <c r="CV29" s="61">
        <f t="shared" si="21"/>
        <v>2.5966660072657008</v>
      </c>
      <c r="CW29" s="61">
        <f t="shared" si="21"/>
        <v>3.2862582121119615</v>
      </c>
      <c r="CX29" s="61">
        <f t="shared" si="21"/>
        <v>2.7344962504782435</v>
      </c>
      <c r="CY29" s="61">
        <f t="shared" si="21"/>
        <v>3.3174703362708917</v>
      </c>
      <c r="CZ29" s="61">
        <f t="shared" si="21"/>
        <v>3.3174703362708917</v>
      </c>
      <c r="DA29" s="61">
        <f t="shared" si="22"/>
        <v>2.9435953077602046</v>
      </c>
      <c r="DB29" s="61">
        <f t="shared" si="22"/>
        <v>3.3530803160990379</v>
      </c>
      <c r="DC29" s="61">
        <f t="shared" si="22"/>
        <v>3.3530803160990379</v>
      </c>
      <c r="DD29" s="61">
        <f t="shared" si="22"/>
        <v>3.0528997753287856</v>
      </c>
      <c r="DE29" s="61">
        <f t="shared" si="22"/>
        <v>3.2528956574050398</v>
      </c>
      <c r="DF29" s="61">
        <f t="shared" si="22"/>
        <v>3.5767740764790368</v>
      </c>
      <c r="DG29" s="61">
        <f t="shared" si="22"/>
        <v>3.676020324028646</v>
      </c>
      <c r="DH29" s="61">
        <f t="shared" si="22"/>
        <v>3.676020324028646</v>
      </c>
      <c r="DI29" s="61">
        <f t="shared" si="22"/>
        <v>3.676020324028646</v>
      </c>
      <c r="DJ29" s="61">
        <f t="shared" si="22"/>
        <v>3.676020324028646</v>
      </c>
      <c r="DK29" s="61">
        <f t="shared" si="23"/>
        <v>3.8214888319575211</v>
      </c>
      <c r="DL29" s="61">
        <f t="shared" si="23"/>
        <v>3.8214888319575211</v>
      </c>
      <c r="DM29" s="61">
        <f t="shared" si="23"/>
        <v>3.8214888319575211</v>
      </c>
      <c r="DN29" s="61">
        <f t="shared" si="23"/>
        <v>3.8214888319575211</v>
      </c>
      <c r="DO29" s="61">
        <f t="shared" si="23"/>
        <v>3.8214888319575211</v>
      </c>
      <c r="DP29" s="61">
        <f t="shared" si="23"/>
        <v>4.0834470612488181</v>
      </c>
      <c r="DQ29" s="61">
        <f t="shared" si="23"/>
        <v>4.0834470612488181</v>
      </c>
    </row>
    <row r="30" spans="1:121" x14ac:dyDescent="0.25">
      <c r="A30" s="48" t="str">
        <f>KMeans_Data!A21</f>
        <v>Khairpur</v>
      </c>
      <c r="B30" s="59">
        <f>KMeans_Data!H21</f>
        <v>0.88016218188859063</v>
      </c>
      <c r="C30" s="59">
        <f>KMeans_Data!I21</f>
        <v>0.37868427752921691</v>
      </c>
      <c r="D30" s="59">
        <f>KMeans_Data!J21</f>
        <v>1.5832083798719481</v>
      </c>
      <c r="E30" s="61">
        <f t="shared" si="12"/>
        <v>4.6814537702265193</v>
      </c>
      <c r="F30" s="61">
        <f t="shared" si="12"/>
        <v>4.5929723037445029</v>
      </c>
      <c r="G30" s="61">
        <f t="shared" si="12"/>
        <v>2.548544720984494</v>
      </c>
      <c r="H30" s="61">
        <f t="shared" si="12"/>
        <v>3.5045045187435084</v>
      </c>
      <c r="I30" s="61">
        <f t="shared" si="12"/>
        <v>2.127379666492661</v>
      </c>
      <c r="J30" s="61">
        <f t="shared" si="12"/>
        <v>1.9562092231433563</v>
      </c>
      <c r="K30" s="61">
        <f t="shared" si="12"/>
        <v>2.4607664560096891</v>
      </c>
      <c r="L30" s="61">
        <f t="shared" si="12"/>
        <v>0.55189294997606786</v>
      </c>
      <c r="M30" s="61">
        <f t="shared" si="12"/>
        <v>0.92216451619606377</v>
      </c>
      <c r="N30" s="61">
        <f t="shared" si="12"/>
        <v>2.4852381610781404</v>
      </c>
      <c r="O30" s="61">
        <f t="shared" si="13"/>
        <v>1.2751550147125874</v>
      </c>
      <c r="P30" s="61">
        <f t="shared" si="13"/>
        <v>1.4716546033320437</v>
      </c>
      <c r="Q30" s="61">
        <f t="shared" si="13"/>
        <v>0.81073888130745342</v>
      </c>
      <c r="R30" s="61">
        <f t="shared" si="13"/>
        <v>0.19346464016058282</v>
      </c>
      <c r="S30" s="61">
        <f t="shared" si="13"/>
        <v>0.68260825173089767</v>
      </c>
      <c r="T30" s="61">
        <f t="shared" si="13"/>
        <v>0.85406187065213945</v>
      </c>
      <c r="U30" s="61">
        <f t="shared" si="13"/>
        <v>0</v>
      </c>
      <c r="V30" s="61">
        <f t="shared" si="13"/>
        <v>1.3915878658751069</v>
      </c>
      <c r="W30" s="61">
        <f t="shared" si="13"/>
        <v>1.1944232233408518</v>
      </c>
      <c r="X30" s="61">
        <f t="shared" si="13"/>
        <v>0.69300358046052746</v>
      </c>
      <c r="Y30" s="61">
        <f t="shared" si="14"/>
        <v>0.53608618598444213</v>
      </c>
      <c r="Z30" s="61">
        <f t="shared" si="14"/>
        <v>1.0583223565643245</v>
      </c>
      <c r="AA30" s="61">
        <f t="shared" si="14"/>
        <v>0.66763238289170745</v>
      </c>
      <c r="AB30" s="61">
        <f t="shared" si="14"/>
        <v>0.93655791085773998</v>
      </c>
      <c r="AC30" s="61">
        <f t="shared" si="14"/>
        <v>1.3230261338678631</v>
      </c>
      <c r="AD30" s="61">
        <f t="shared" si="14"/>
        <v>0.55008236341057992</v>
      </c>
      <c r="AE30" s="61">
        <f t="shared" si="14"/>
        <v>2.7888971516416392</v>
      </c>
      <c r="AF30" s="61">
        <f t="shared" si="14"/>
        <v>0.82206945960531186</v>
      </c>
      <c r="AG30" s="61">
        <f t="shared" si="14"/>
        <v>2.264786409967591</v>
      </c>
      <c r="AH30" s="61">
        <f t="shared" si="14"/>
        <v>0.88414640478254536</v>
      </c>
      <c r="AI30" s="61">
        <f t="shared" si="15"/>
        <v>2.2652110523743776</v>
      </c>
      <c r="AJ30" s="61">
        <f t="shared" si="15"/>
        <v>0.58872977760858658</v>
      </c>
      <c r="AK30" s="61">
        <f t="shared" si="15"/>
        <v>1.3425281679446872</v>
      </c>
      <c r="AL30" s="61">
        <f t="shared" si="15"/>
        <v>1.2231241727997388</v>
      </c>
      <c r="AM30" s="61">
        <f t="shared" si="15"/>
        <v>1.6700419295187932</v>
      </c>
      <c r="AN30" s="61">
        <f t="shared" si="15"/>
        <v>1.2313241792788339</v>
      </c>
      <c r="AO30" s="61">
        <f t="shared" si="15"/>
        <v>1.1349235198954339</v>
      </c>
      <c r="AP30" s="61">
        <f t="shared" si="15"/>
        <v>1.2100824603815898</v>
      </c>
      <c r="AQ30" s="61">
        <f t="shared" si="15"/>
        <v>1.3905767483077303</v>
      </c>
      <c r="AR30" s="61">
        <f t="shared" si="15"/>
        <v>1.7463567331967504</v>
      </c>
      <c r="AS30" s="61">
        <f t="shared" si="16"/>
        <v>1.3227987765108729</v>
      </c>
      <c r="AT30" s="61">
        <f t="shared" si="16"/>
        <v>1.1395263377842624</v>
      </c>
      <c r="AU30" s="61">
        <f t="shared" si="16"/>
        <v>2.3633590817445143</v>
      </c>
      <c r="AV30" s="61">
        <f t="shared" si="16"/>
        <v>1.623432564860219</v>
      </c>
      <c r="AW30" s="61">
        <f t="shared" si="16"/>
        <v>2.704382702740169</v>
      </c>
      <c r="AX30" s="61">
        <f t="shared" si="16"/>
        <v>1.3823351301932811</v>
      </c>
      <c r="AY30" s="61">
        <f t="shared" si="16"/>
        <v>3.0022050908946447</v>
      </c>
      <c r="AZ30" s="61">
        <f t="shared" si="16"/>
        <v>1.3674289170322316</v>
      </c>
      <c r="BA30" s="61">
        <f t="shared" si="16"/>
        <v>1.1690007400900111</v>
      </c>
      <c r="BB30" s="61">
        <f t="shared" si="16"/>
        <v>3.0036929562609855</v>
      </c>
      <c r="BC30" s="61">
        <f t="shared" si="17"/>
        <v>3.0052135612142314</v>
      </c>
      <c r="BD30" s="61">
        <f t="shared" si="17"/>
        <v>2.4426739250846468</v>
      </c>
      <c r="BE30" s="61">
        <f t="shared" si="17"/>
        <v>2.2298053605957975</v>
      </c>
      <c r="BF30" s="61">
        <f t="shared" si="17"/>
        <v>1.4898776306388015</v>
      </c>
      <c r="BG30" s="61">
        <f t="shared" si="17"/>
        <v>1.3470871998003948</v>
      </c>
      <c r="BH30" s="61">
        <f t="shared" si="17"/>
        <v>3.0305914669763352</v>
      </c>
      <c r="BI30" s="61">
        <f t="shared" si="17"/>
        <v>3.0349698551514535</v>
      </c>
      <c r="BJ30" s="61">
        <f t="shared" si="17"/>
        <v>1.8024444041058025</v>
      </c>
      <c r="BK30" s="61">
        <f t="shared" si="17"/>
        <v>2.408742009647082</v>
      </c>
      <c r="BL30" s="61">
        <f t="shared" si="17"/>
        <v>1.8364318066369092</v>
      </c>
      <c r="BM30" s="61">
        <f t="shared" si="18"/>
        <v>1.425627544103496</v>
      </c>
      <c r="BN30" s="61">
        <f t="shared" si="18"/>
        <v>1.8092761114567211</v>
      </c>
      <c r="BO30" s="61">
        <f t="shared" si="18"/>
        <v>2.7919949215344362</v>
      </c>
      <c r="BP30" s="61">
        <f t="shared" si="18"/>
        <v>1.6560795889442192</v>
      </c>
      <c r="BQ30" s="61">
        <f t="shared" si="18"/>
        <v>1.6434499832473424</v>
      </c>
      <c r="BR30" s="61">
        <f t="shared" si="18"/>
        <v>1.6231216259312742</v>
      </c>
      <c r="BS30" s="61">
        <f t="shared" si="18"/>
        <v>1.7850687007849759</v>
      </c>
      <c r="BT30" s="61">
        <f t="shared" si="18"/>
        <v>2.0577942977315944</v>
      </c>
      <c r="BU30" s="61">
        <f t="shared" si="18"/>
        <v>2.1157596751014935</v>
      </c>
      <c r="BV30" s="61">
        <f t="shared" si="18"/>
        <v>3.1387428808231728</v>
      </c>
      <c r="BW30" s="61">
        <f t="shared" si="19"/>
        <v>2.0304521434759844</v>
      </c>
      <c r="BX30" s="61">
        <f t="shared" si="19"/>
        <v>3.1445956118889917</v>
      </c>
      <c r="BY30" s="61">
        <f t="shared" si="19"/>
        <v>2.3741898188624631</v>
      </c>
      <c r="BZ30" s="61">
        <f t="shared" si="19"/>
        <v>2.4292713234914225</v>
      </c>
      <c r="CA30" s="61">
        <f t="shared" si="19"/>
        <v>3.163790643666657</v>
      </c>
      <c r="CB30" s="61">
        <f t="shared" si="19"/>
        <v>2.43839984528354</v>
      </c>
      <c r="CC30" s="61">
        <f t="shared" si="19"/>
        <v>3.1708052414637051</v>
      </c>
      <c r="CD30" s="61">
        <f t="shared" si="19"/>
        <v>3.1859124007246695</v>
      </c>
      <c r="CE30" s="61">
        <f t="shared" si="19"/>
        <v>2.2644837911539955</v>
      </c>
      <c r="CF30" s="61">
        <f t="shared" si="19"/>
        <v>2.0029379695944884</v>
      </c>
      <c r="CG30" s="61">
        <f t="shared" si="20"/>
        <v>2.4564839096557005</v>
      </c>
      <c r="CH30" s="61">
        <f t="shared" si="20"/>
        <v>2.6197885183362746</v>
      </c>
      <c r="CI30" s="61">
        <f t="shared" si="20"/>
        <v>2.7240772795812167</v>
      </c>
      <c r="CJ30" s="61">
        <f t="shared" si="20"/>
        <v>2.9899160646188165</v>
      </c>
      <c r="CK30" s="61">
        <f t="shared" si="20"/>
        <v>2.4348169356544176</v>
      </c>
      <c r="CL30" s="61">
        <f t="shared" si="20"/>
        <v>3.2943553839188597</v>
      </c>
      <c r="CM30" s="61">
        <f t="shared" si="20"/>
        <v>2.6477726142105</v>
      </c>
      <c r="CN30" s="61">
        <f t="shared" si="20"/>
        <v>1.9246492453768727</v>
      </c>
      <c r="CO30" s="61">
        <f t="shared" si="20"/>
        <v>2.4561821470696721</v>
      </c>
      <c r="CP30" s="61">
        <f t="shared" si="20"/>
        <v>3.3454908269750758</v>
      </c>
      <c r="CQ30" s="61">
        <f t="shared" si="21"/>
        <v>2.7955854337912616</v>
      </c>
      <c r="CR30" s="61">
        <f t="shared" si="21"/>
        <v>2.76411900076618</v>
      </c>
      <c r="CS30" s="61">
        <f t="shared" si="21"/>
        <v>3.3885736570699918</v>
      </c>
      <c r="CT30" s="61">
        <f t="shared" si="21"/>
        <v>3.4139025045118228</v>
      </c>
      <c r="CU30" s="61">
        <f t="shared" si="21"/>
        <v>3.0291773423373418</v>
      </c>
      <c r="CV30" s="61">
        <f t="shared" si="21"/>
        <v>2.4383080546001392</v>
      </c>
      <c r="CW30" s="61">
        <f t="shared" si="21"/>
        <v>3.4139025045118228</v>
      </c>
      <c r="CX30" s="61">
        <f t="shared" si="21"/>
        <v>2.6497564094067094</v>
      </c>
      <c r="CY30" s="61">
        <f t="shared" si="21"/>
        <v>3.4425172811011731</v>
      </c>
      <c r="CZ30" s="61">
        <f t="shared" si="21"/>
        <v>3.4425172811011731</v>
      </c>
      <c r="DA30" s="61">
        <f t="shared" si="22"/>
        <v>2.9593224151788751</v>
      </c>
      <c r="DB30" s="61">
        <f t="shared" si="22"/>
        <v>3.4752513778776937</v>
      </c>
      <c r="DC30" s="61">
        <f t="shared" si="22"/>
        <v>3.4752513778776937</v>
      </c>
      <c r="DD30" s="61">
        <f t="shared" si="22"/>
        <v>3.0916169390737469</v>
      </c>
      <c r="DE30" s="61">
        <f t="shared" si="22"/>
        <v>3.3184672016487742</v>
      </c>
      <c r="DF30" s="61">
        <f t="shared" si="22"/>
        <v>3.6826981676439883</v>
      </c>
      <c r="DG30" s="61">
        <f t="shared" si="22"/>
        <v>3.7755778747705664</v>
      </c>
      <c r="DH30" s="61">
        <f t="shared" si="22"/>
        <v>3.7755778747705664</v>
      </c>
      <c r="DI30" s="61">
        <f t="shared" si="22"/>
        <v>3.7755778747705664</v>
      </c>
      <c r="DJ30" s="61">
        <f t="shared" si="22"/>
        <v>3.7755778747705664</v>
      </c>
      <c r="DK30" s="61">
        <f t="shared" si="23"/>
        <v>3.9124747103512276</v>
      </c>
      <c r="DL30" s="61">
        <f t="shared" si="23"/>
        <v>3.9124747103512276</v>
      </c>
      <c r="DM30" s="61">
        <f t="shared" si="23"/>
        <v>3.9124747103512276</v>
      </c>
      <c r="DN30" s="61">
        <f t="shared" si="23"/>
        <v>3.9124747103512276</v>
      </c>
      <c r="DO30" s="61">
        <f t="shared" si="23"/>
        <v>3.9124747103512276</v>
      </c>
      <c r="DP30" s="61">
        <f t="shared" si="23"/>
        <v>4.160883299847451</v>
      </c>
      <c r="DQ30" s="61">
        <f t="shared" si="23"/>
        <v>4.160883299847451</v>
      </c>
    </row>
    <row r="31" spans="1:121" x14ac:dyDescent="0.25">
      <c r="A31" s="48" t="str">
        <f>KMeans_Data!A22</f>
        <v>Abbottabad</v>
      </c>
      <c r="B31" s="59">
        <f>KMeans_Data!H22</f>
        <v>0.85300106201847159</v>
      </c>
      <c r="C31" s="59">
        <f>KMeans_Data!I22</f>
        <v>1.3810745208577742</v>
      </c>
      <c r="D31" s="59">
        <f>KMeans_Data!J22</f>
        <v>0.61832866607444492</v>
      </c>
      <c r="E31" s="61">
        <f t="shared" si="12"/>
        <v>4.4571842215707198</v>
      </c>
      <c r="F31" s="61">
        <f t="shared" si="12"/>
        <v>4.2075899618400081</v>
      </c>
      <c r="G31" s="61">
        <f t="shared" si="12"/>
        <v>2.4889808716445425</v>
      </c>
      <c r="H31" s="61">
        <f t="shared" si="12"/>
        <v>2.8329760448060908</v>
      </c>
      <c r="I31" s="61">
        <f t="shared" si="12"/>
        <v>1.8354213728375757</v>
      </c>
      <c r="J31" s="61">
        <f t="shared" si="12"/>
        <v>1.3466915536124948</v>
      </c>
      <c r="K31" s="61">
        <f t="shared" si="12"/>
        <v>1.9514179698650884</v>
      </c>
      <c r="L31" s="61">
        <f t="shared" si="12"/>
        <v>1.3855401310860769</v>
      </c>
      <c r="M31" s="61">
        <f t="shared" si="12"/>
        <v>1.1635709208425495</v>
      </c>
      <c r="N31" s="61">
        <f t="shared" si="12"/>
        <v>2.1302669768706641</v>
      </c>
      <c r="O31" s="61">
        <f t="shared" si="13"/>
        <v>0.47844353175087467</v>
      </c>
      <c r="P31" s="61">
        <f t="shared" si="13"/>
        <v>0.72529348930802739</v>
      </c>
      <c r="Q31" s="61">
        <f t="shared" si="13"/>
        <v>0.63213666105562527</v>
      </c>
      <c r="R31" s="61">
        <f t="shared" si="13"/>
        <v>1.3284575100748572</v>
      </c>
      <c r="S31" s="61">
        <f t="shared" si="13"/>
        <v>1.6308996433955578</v>
      </c>
      <c r="T31" s="61">
        <f t="shared" si="13"/>
        <v>0.55471085588975722</v>
      </c>
      <c r="U31" s="61">
        <f t="shared" si="13"/>
        <v>1.3915878658751069</v>
      </c>
      <c r="V31" s="61">
        <f t="shared" si="13"/>
        <v>0</v>
      </c>
      <c r="W31" s="61">
        <f t="shared" si="13"/>
        <v>0.31602598084259687</v>
      </c>
      <c r="X31" s="61">
        <f t="shared" si="13"/>
        <v>0.71361195956501755</v>
      </c>
      <c r="Y31" s="61">
        <f t="shared" si="14"/>
        <v>0.87214376750463551</v>
      </c>
      <c r="Z31" s="61">
        <f t="shared" si="14"/>
        <v>0.58190416557989011</v>
      </c>
      <c r="AA31" s="61">
        <f t="shared" si="14"/>
        <v>1.2692992121536404</v>
      </c>
      <c r="AB31" s="61">
        <f t="shared" si="14"/>
        <v>0.83748112104493022</v>
      </c>
      <c r="AC31" s="61">
        <f t="shared" si="14"/>
        <v>0.14252873215779976</v>
      </c>
      <c r="AD31" s="61">
        <f t="shared" si="14"/>
        <v>0.88923453415677789</v>
      </c>
      <c r="AE31" s="61">
        <f t="shared" si="14"/>
        <v>2.3429778220059725</v>
      </c>
      <c r="AF31" s="61">
        <f t="shared" si="14"/>
        <v>0.78144002422921133</v>
      </c>
      <c r="AG31" s="61">
        <f t="shared" si="14"/>
        <v>2.3087282017358977</v>
      </c>
      <c r="AH31" s="61">
        <f t="shared" si="14"/>
        <v>1.2618129914900165</v>
      </c>
      <c r="AI31" s="61">
        <f t="shared" si="15"/>
        <v>2.3091075473125962</v>
      </c>
      <c r="AJ31" s="61">
        <f t="shared" si="15"/>
        <v>1.0101699797244903</v>
      </c>
      <c r="AK31" s="61">
        <f t="shared" si="15"/>
        <v>1.1036519145354491</v>
      </c>
      <c r="AL31" s="61">
        <f t="shared" si="15"/>
        <v>1.5732025928731457</v>
      </c>
      <c r="AM31" s="61">
        <f t="shared" si="15"/>
        <v>0.48201475788305737</v>
      </c>
      <c r="AN31" s="61">
        <f t="shared" si="15"/>
        <v>0.47440753055541629</v>
      </c>
      <c r="AO31" s="61">
        <f t="shared" si="15"/>
        <v>1.089546606649018</v>
      </c>
      <c r="AP31" s="61">
        <f t="shared" si="15"/>
        <v>1.099753932853073</v>
      </c>
      <c r="AQ31" s="61">
        <f t="shared" si="15"/>
        <v>0.45849387472525571</v>
      </c>
      <c r="AR31" s="61">
        <f t="shared" si="15"/>
        <v>1.4798814709626225</v>
      </c>
      <c r="AS31" s="61">
        <f t="shared" si="16"/>
        <v>2.158499225279344</v>
      </c>
      <c r="AT31" s="61">
        <f t="shared" si="16"/>
        <v>1.6415968556662588</v>
      </c>
      <c r="AU31" s="61">
        <f t="shared" si="16"/>
        <v>2.0636502502913645</v>
      </c>
      <c r="AV31" s="61">
        <f t="shared" si="16"/>
        <v>2.141106447503685</v>
      </c>
      <c r="AW31" s="61">
        <f t="shared" si="16"/>
        <v>2.583960941622927</v>
      </c>
      <c r="AX31" s="61">
        <f t="shared" si="16"/>
        <v>1.3895286279642269</v>
      </c>
      <c r="AY31" s="61">
        <f t="shared" si="16"/>
        <v>2.7846945902955871</v>
      </c>
      <c r="AZ31" s="61">
        <f t="shared" si="16"/>
        <v>2.1941911762701856</v>
      </c>
      <c r="BA31" s="61">
        <f t="shared" si="16"/>
        <v>1.6733724271801165</v>
      </c>
      <c r="BB31" s="61">
        <f t="shared" si="16"/>
        <v>2.7862347869103306</v>
      </c>
      <c r="BC31" s="61">
        <f t="shared" si="17"/>
        <v>2.78780940688041</v>
      </c>
      <c r="BD31" s="61">
        <f t="shared" si="17"/>
        <v>2.4383990400921776</v>
      </c>
      <c r="BE31" s="61">
        <f t="shared" si="17"/>
        <v>2.3347009711785645</v>
      </c>
      <c r="BF31" s="61">
        <f t="shared" si="17"/>
        <v>0.73817904231484743</v>
      </c>
      <c r="BG31" s="61">
        <f t="shared" si="17"/>
        <v>1.7031408826071242</v>
      </c>
      <c r="BH31" s="61">
        <f t="shared" si="17"/>
        <v>2.8141542661784076</v>
      </c>
      <c r="BI31" s="61">
        <f t="shared" si="17"/>
        <v>2.8187096306269317</v>
      </c>
      <c r="BJ31" s="61">
        <f t="shared" si="17"/>
        <v>1.3250046086163279</v>
      </c>
      <c r="BK31" s="61">
        <f t="shared" si="17"/>
        <v>2.4437563961804352</v>
      </c>
      <c r="BL31" s="61">
        <f t="shared" si="17"/>
        <v>2.2396774653498541</v>
      </c>
      <c r="BM31" s="61">
        <f t="shared" si="18"/>
        <v>1.2220166070437508</v>
      </c>
      <c r="BN31" s="61">
        <f t="shared" si="18"/>
        <v>1.6201337078010056</v>
      </c>
      <c r="BO31" s="61">
        <f t="shared" si="18"/>
        <v>2.672436460478266</v>
      </c>
      <c r="BP31" s="61">
        <f t="shared" si="18"/>
        <v>1.5873953448182359</v>
      </c>
      <c r="BQ31" s="61">
        <f t="shared" si="18"/>
        <v>1.8217332187069617</v>
      </c>
      <c r="BR31" s="61">
        <f t="shared" si="18"/>
        <v>1.8289913797689663</v>
      </c>
      <c r="BS31" s="61">
        <f t="shared" si="18"/>
        <v>2.2958298592514139</v>
      </c>
      <c r="BT31" s="61">
        <f t="shared" si="18"/>
        <v>2.3532733294782568</v>
      </c>
      <c r="BU31" s="61">
        <f t="shared" si="18"/>
        <v>2.3699744823265148</v>
      </c>
      <c r="BV31" s="61">
        <f t="shared" si="18"/>
        <v>2.9271076267587954</v>
      </c>
      <c r="BW31" s="61">
        <f t="shared" si="19"/>
        <v>2.3669030735009748</v>
      </c>
      <c r="BX31" s="61">
        <f t="shared" si="19"/>
        <v>2.9332343477687375</v>
      </c>
      <c r="BY31" s="61">
        <f t="shared" si="19"/>
        <v>2.4919550469570755</v>
      </c>
      <c r="BZ31" s="61">
        <f t="shared" si="19"/>
        <v>2.5207251233377033</v>
      </c>
      <c r="CA31" s="61">
        <f t="shared" si="19"/>
        <v>2.9533320517403707</v>
      </c>
      <c r="CB31" s="61">
        <f t="shared" si="19"/>
        <v>2.5293275093343435</v>
      </c>
      <c r="CC31" s="61">
        <f t="shared" si="19"/>
        <v>2.9606777450250443</v>
      </c>
      <c r="CD31" s="61">
        <f t="shared" si="19"/>
        <v>2.976499520207176</v>
      </c>
      <c r="CE31" s="61">
        <f t="shared" si="19"/>
        <v>2.4758739470779529</v>
      </c>
      <c r="CF31" s="61">
        <f t="shared" si="19"/>
        <v>2.0360883253213458</v>
      </c>
      <c r="CG31" s="61">
        <f t="shared" si="20"/>
        <v>2.2637284085018754</v>
      </c>
      <c r="CH31" s="61">
        <f t="shared" si="20"/>
        <v>2.6471291541652633</v>
      </c>
      <c r="CI31" s="61">
        <f t="shared" si="20"/>
        <v>2.7133670721807133</v>
      </c>
      <c r="CJ31" s="61">
        <f t="shared" si="20"/>
        <v>2.8740349047982301</v>
      </c>
      <c r="CK31" s="61">
        <f t="shared" si="20"/>
        <v>2.6019433753270094</v>
      </c>
      <c r="CL31" s="61">
        <f t="shared" si="20"/>
        <v>3.0900747814013179</v>
      </c>
      <c r="CM31" s="61">
        <f t="shared" si="20"/>
        <v>2.7034672124327592</v>
      </c>
      <c r="CN31" s="61">
        <f t="shared" si="20"/>
        <v>2.1831476660452545</v>
      </c>
      <c r="CO31" s="61">
        <f t="shared" si="20"/>
        <v>2.3512554750854715</v>
      </c>
      <c r="CP31" s="61">
        <f t="shared" si="20"/>
        <v>3.1436003283743199</v>
      </c>
      <c r="CQ31" s="61">
        <f t="shared" si="21"/>
        <v>2.8181840712127886</v>
      </c>
      <c r="CR31" s="61">
        <f t="shared" si="21"/>
        <v>2.8156340774795208</v>
      </c>
      <c r="CS31" s="61">
        <f t="shared" si="21"/>
        <v>3.188670952641147</v>
      </c>
      <c r="CT31" s="61">
        <f t="shared" si="21"/>
        <v>3.2151557677934024</v>
      </c>
      <c r="CU31" s="61">
        <f t="shared" si="21"/>
        <v>2.7247750302857292</v>
      </c>
      <c r="CV31" s="61">
        <f t="shared" si="21"/>
        <v>2.7111537791120948</v>
      </c>
      <c r="CW31" s="61">
        <f t="shared" si="21"/>
        <v>3.2151557677934024</v>
      </c>
      <c r="CX31" s="61">
        <f t="shared" si="21"/>
        <v>2.8008933352257319</v>
      </c>
      <c r="CY31" s="61">
        <f t="shared" si="21"/>
        <v>3.2450643542858262</v>
      </c>
      <c r="CZ31" s="61">
        <f t="shared" si="21"/>
        <v>3.2450643542858262</v>
      </c>
      <c r="DA31" s="61">
        <f t="shared" si="22"/>
        <v>2.9456368945672318</v>
      </c>
      <c r="DB31" s="61">
        <f t="shared" si="22"/>
        <v>3.2792620329910305</v>
      </c>
      <c r="DC31" s="61">
        <f t="shared" si="22"/>
        <v>3.2792620329910305</v>
      </c>
      <c r="DD31" s="61">
        <f t="shared" si="22"/>
        <v>3.0359015086366634</v>
      </c>
      <c r="DE31" s="61">
        <f t="shared" si="22"/>
        <v>3.2093789600596359</v>
      </c>
      <c r="DF31" s="61">
        <f t="shared" si="22"/>
        <v>3.4955479853697455</v>
      </c>
      <c r="DG31" s="61">
        <f t="shared" si="22"/>
        <v>3.5921364881294036</v>
      </c>
      <c r="DH31" s="61">
        <f t="shared" si="22"/>
        <v>3.5921364881294036</v>
      </c>
      <c r="DI31" s="61">
        <f t="shared" si="22"/>
        <v>3.5921364881294036</v>
      </c>
      <c r="DJ31" s="61">
        <f t="shared" si="22"/>
        <v>3.5921364881294036</v>
      </c>
      <c r="DK31" s="61">
        <f t="shared" si="23"/>
        <v>3.7342269435146078</v>
      </c>
      <c r="DL31" s="61">
        <f t="shared" si="23"/>
        <v>3.7342269435146078</v>
      </c>
      <c r="DM31" s="61">
        <f t="shared" si="23"/>
        <v>3.7342269435146078</v>
      </c>
      <c r="DN31" s="61">
        <f t="shared" si="23"/>
        <v>3.7342269435146078</v>
      </c>
      <c r="DO31" s="61">
        <f t="shared" si="23"/>
        <v>3.7342269435146078</v>
      </c>
      <c r="DP31" s="61">
        <f t="shared" si="23"/>
        <v>3.9912836185819178</v>
      </c>
      <c r="DQ31" s="61">
        <f t="shared" si="23"/>
        <v>3.9912836185819178</v>
      </c>
    </row>
    <row r="32" spans="1:121" x14ac:dyDescent="0.25">
      <c r="A32" s="48" t="str">
        <f>KMeans_Data!A23</f>
        <v>Nowshera</v>
      </c>
      <c r="B32" s="59">
        <f>KMeans_Data!H23</f>
        <v>0.85113891327863989</v>
      </c>
      <c r="C32" s="59">
        <f>KMeans_Data!I23</f>
        <v>1.3810745208577742</v>
      </c>
      <c r="D32" s="59">
        <f>KMeans_Data!J23</f>
        <v>0.9343491606149037</v>
      </c>
      <c r="E32" s="61">
        <f t="shared" si="12"/>
        <v>4.2790585979296116</v>
      </c>
      <c r="F32" s="61">
        <f t="shared" si="12"/>
        <v>4.0631549867511163</v>
      </c>
      <c r="G32" s="61">
        <f t="shared" si="12"/>
        <v>2.2785764620254594</v>
      </c>
      <c r="H32" s="61">
        <f t="shared" si="12"/>
        <v>2.7359630986074266</v>
      </c>
      <c r="I32" s="61">
        <f t="shared" si="12"/>
        <v>1.670956027620907</v>
      </c>
      <c r="J32" s="61">
        <f t="shared" si="12"/>
        <v>1.1808197102504674</v>
      </c>
      <c r="K32" s="61">
        <f t="shared" si="12"/>
        <v>2.195816259038228</v>
      </c>
      <c r="L32" s="61">
        <f t="shared" si="12"/>
        <v>1.1500394794032098</v>
      </c>
      <c r="M32" s="61">
        <f t="shared" si="12"/>
        <v>0.88003362553587006</v>
      </c>
      <c r="N32" s="61">
        <f t="shared" si="12"/>
        <v>2.3560773772931145</v>
      </c>
      <c r="O32" s="61">
        <f t="shared" si="13"/>
        <v>0.30981431836020196</v>
      </c>
      <c r="P32" s="61">
        <f t="shared" si="13"/>
        <v>0.52937553528176029</v>
      </c>
      <c r="Q32" s="61">
        <f t="shared" si="13"/>
        <v>0.4561432020208116</v>
      </c>
      <c r="R32" s="61">
        <f t="shared" si="13"/>
        <v>1.1518729776896166</v>
      </c>
      <c r="S32" s="61">
        <f t="shared" si="13"/>
        <v>1.5535693231212435</v>
      </c>
      <c r="T32" s="61">
        <f t="shared" si="13"/>
        <v>0.41030015854890917</v>
      </c>
      <c r="U32" s="61">
        <f t="shared" si="13"/>
        <v>1.1944232233408518</v>
      </c>
      <c r="V32" s="61">
        <f t="shared" si="13"/>
        <v>0.31602598084259687</v>
      </c>
      <c r="W32" s="61">
        <f t="shared" si="13"/>
        <v>0</v>
      </c>
      <c r="X32" s="61">
        <f t="shared" si="13"/>
        <v>0.58705938165010907</v>
      </c>
      <c r="Y32" s="61">
        <f t="shared" si="14"/>
        <v>0.67038053500150985</v>
      </c>
      <c r="Z32" s="61">
        <f t="shared" si="14"/>
        <v>0.66199240092955336</v>
      </c>
      <c r="AA32" s="61">
        <f t="shared" si="14"/>
        <v>1.2226968968564822</v>
      </c>
      <c r="AB32" s="61">
        <f t="shared" si="14"/>
        <v>0.87757051563240807</v>
      </c>
      <c r="AC32" s="61">
        <f t="shared" si="14"/>
        <v>0.22497381592210125</v>
      </c>
      <c r="AD32" s="61">
        <f t="shared" si="14"/>
        <v>0.68766017378256239</v>
      </c>
      <c r="AE32" s="61">
        <f t="shared" si="14"/>
        <v>2.589121172506982</v>
      </c>
      <c r="AF32" s="61">
        <f t="shared" si="14"/>
        <v>0.74060036885708591</v>
      </c>
      <c r="AG32" s="61">
        <f t="shared" si="14"/>
        <v>2.4642647703297036</v>
      </c>
      <c r="AH32" s="61">
        <f t="shared" si="14"/>
        <v>1.2601032711675975</v>
      </c>
      <c r="AI32" s="61">
        <f t="shared" si="15"/>
        <v>2.4646177858484748</v>
      </c>
      <c r="AJ32" s="61">
        <f t="shared" si="15"/>
        <v>0.89794235222439667</v>
      </c>
      <c r="AK32" s="61">
        <f t="shared" si="15"/>
        <v>1.2354413212944344</v>
      </c>
      <c r="AL32" s="61">
        <f t="shared" si="15"/>
        <v>1.6172133469842549</v>
      </c>
      <c r="AM32" s="61">
        <f t="shared" si="15"/>
        <v>0.72623158024863199</v>
      </c>
      <c r="AN32" s="61">
        <f t="shared" si="15"/>
        <v>0.50931085672158194</v>
      </c>
      <c r="AO32" s="61">
        <f t="shared" si="15"/>
        <v>1.1553962045126256</v>
      </c>
      <c r="AP32" s="61">
        <f t="shared" si="15"/>
        <v>1.1864247046252119</v>
      </c>
      <c r="AQ32" s="61">
        <f t="shared" si="15"/>
        <v>0.5495390941835141</v>
      </c>
      <c r="AR32" s="61">
        <f t="shared" si="15"/>
        <v>1.6518819476249968</v>
      </c>
      <c r="AS32" s="61">
        <f t="shared" si="16"/>
        <v>2.1234022688475163</v>
      </c>
      <c r="AT32" s="61">
        <f t="shared" si="16"/>
        <v>1.6413435213276431</v>
      </c>
      <c r="AU32" s="61">
        <f t="shared" si="16"/>
        <v>2.2692430530905638</v>
      </c>
      <c r="AV32" s="61">
        <f t="shared" si="16"/>
        <v>2.1788396668294459</v>
      </c>
      <c r="AW32" s="61">
        <f t="shared" si="16"/>
        <v>2.7724233359190098</v>
      </c>
      <c r="AX32" s="61">
        <f t="shared" si="16"/>
        <v>1.4757923497336956</v>
      </c>
      <c r="AY32" s="61">
        <f t="shared" si="16"/>
        <v>2.9944734339660521</v>
      </c>
      <c r="AZ32" s="61">
        <f t="shared" si="16"/>
        <v>2.1564173511362652</v>
      </c>
      <c r="BA32" s="61">
        <f t="shared" si="16"/>
        <v>1.6689587850248353</v>
      </c>
      <c r="BB32" s="61">
        <f t="shared" si="16"/>
        <v>2.9959017158063181</v>
      </c>
      <c r="BC32" s="61">
        <f t="shared" si="17"/>
        <v>2.9973620733795547</v>
      </c>
      <c r="BD32" s="61">
        <f t="shared" si="17"/>
        <v>2.5984593961686961</v>
      </c>
      <c r="BE32" s="61">
        <f t="shared" si="17"/>
        <v>2.4684157206952242</v>
      </c>
      <c r="BF32" s="61">
        <f t="shared" si="17"/>
        <v>0.73725631176330642</v>
      </c>
      <c r="BG32" s="61">
        <f t="shared" si="17"/>
        <v>1.7314040714359538</v>
      </c>
      <c r="BH32" s="61">
        <f t="shared" si="17"/>
        <v>3.0218171488700909</v>
      </c>
      <c r="BI32" s="61">
        <f t="shared" si="17"/>
        <v>3.0260497497460475</v>
      </c>
      <c r="BJ32" s="61">
        <f t="shared" si="17"/>
        <v>1.4965102029159127</v>
      </c>
      <c r="BK32" s="61">
        <f t="shared" si="17"/>
        <v>2.5907895975738962</v>
      </c>
      <c r="BL32" s="61">
        <f t="shared" si="17"/>
        <v>2.2964107827466402</v>
      </c>
      <c r="BM32" s="61">
        <f t="shared" si="18"/>
        <v>1.2897679994988867</v>
      </c>
      <c r="BN32" s="61">
        <f t="shared" si="18"/>
        <v>1.7564286920967416</v>
      </c>
      <c r="BO32" s="61">
        <f t="shared" si="18"/>
        <v>2.8548665956389012</v>
      </c>
      <c r="BP32" s="61">
        <f t="shared" si="18"/>
        <v>1.6850430040033884</v>
      </c>
      <c r="BQ32" s="61">
        <f t="shared" si="18"/>
        <v>1.8880171661013758</v>
      </c>
      <c r="BR32" s="61">
        <f t="shared" si="18"/>
        <v>1.8868380930590072</v>
      </c>
      <c r="BS32" s="61">
        <f t="shared" si="18"/>
        <v>2.3195260889521006</v>
      </c>
      <c r="BT32" s="61">
        <f t="shared" si="18"/>
        <v>2.4294354768795232</v>
      </c>
      <c r="BU32" s="61">
        <f t="shared" si="18"/>
        <v>2.4565095421604739</v>
      </c>
      <c r="BV32" s="61">
        <f t="shared" si="18"/>
        <v>3.1270736747145902</v>
      </c>
      <c r="BW32" s="61">
        <f t="shared" si="19"/>
        <v>2.4305329414539365</v>
      </c>
      <c r="BX32" s="61">
        <f t="shared" si="19"/>
        <v>3.1327998340249623</v>
      </c>
      <c r="BY32" s="61">
        <f t="shared" si="19"/>
        <v>2.609838083370243</v>
      </c>
      <c r="BZ32" s="61">
        <f t="shared" si="19"/>
        <v>2.6447142087797233</v>
      </c>
      <c r="CA32" s="61">
        <f t="shared" si="19"/>
        <v>3.1515949064236968</v>
      </c>
      <c r="CB32" s="61">
        <f t="shared" si="19"/>
        <v>2.6529017561298551</v>
      </c>
      <c r="CC32" s="61">
        <f t="shared" si="19"/>
        <v>3.1584687644096312</v>
      </c>
      <c r="CD32" s="61">
        <f t="shared" si="19"/>
        <v>3.1732818925938044</v>
      </c>
      <c r="CE32" s="61">
        <f t="shared" si="19"/>
        <v>2.566869052925822</v>
      </c>
      <c r="CF32" s="61">
        <f t="shared" si="19"/>
        <v>2.1315972319770617</v>
      </c>
      <c r="CG32" s="61">
        <f t="shared" si="20"/>
        <v>2.421349953664766</v>
      </c>
      <c r="CH32" s="61">
        <f t="shared" si="20"/>
        <v>2.7831209189479411</v>
      </c>
      <c r="CI32" s="61">
        <f t="shared" si="20"/>
        <v>2.8576214149681647</v>
      </c>
      <c r="CJ32" s="61">
        <f t="shared" si="20"/>
        <v>3.044113476172825</v>
      </c>
      <c r="CK32" s="61">
        <f t="shared" si="20"/>
        <v>2.6976200327866131</v>
      </c>
      <c r="CL32" s="61">
        <f t="shared" si="20"/>
        <v>3.2799069544074344</v>
      </c>
      <c r="CM32" s="61">
        <f t="shared" si="20"/>
        <v>2.8272227118856725</v>
      </c>
      <c r="CN32" s="61">
        <f t="shared" si="20"/>
        <v>2.2031255166490338</v>
      </c>
      <c r="CO32" s="61">
        <f t="shared" si="20"/>
        <v>2.4755193805950575</v>
      </c>
      <c r="CP32" s="61">
        <f t="shared" si="20"/>
        <v>3.3303225090682447</v>
      </c>
      <c r="CQ32" s="61">
        <f t="shared" si="21"/>
        <v>2.9460916186086128</v>
      </c>
      <c r="CR32" s="61">
        <f t="shared" si="21"/>
        <v>2.9345395297967474</v>
      </c>
      <c r="CS32" s="61">
        <f t="shared" si="21"/>
        <v>3.372850963044141</v>
      </c>
      <c r="CT32" s="61">
        <f t="shared" si="21"/>
        <v>3.3978733110617942</v>
      </c>
      <c r="CU32" s="61">
        <f t="shared" si="21"/>
        <v>2.903395430772346</v>
      </c>
      <c r="CV32" s="61">
        <f t="shared" si="21"/>
        <v>2.7689321546864263</v>
      </c>
      <c r="CW32" s="61">
        <f t="shared" si="21"/>
        <v>3.3978733110617942</v>
      </c>
      <c r="CX32" s="61">
        <f t="shared" si="21"/>
        <v>2.8897777071945807</v>
      </c>
      <c r="CY32" s="61">
        <f t="shared" si="21"/>
        <v>3.4261574483735848</v>
      </c>
      <c r="CZ32" s="61">
        <f t="shared" si="21"/>
        <v>3.4261574483735848</v>
      </c>
      <c r="DA32" s="61">
        <f t="shared" si="22"/>
        <v>3.0787770594905957</v>
      </c>
      <c r="DB32" s="61">
        <f t="shared" si="22"/>
        <v>3.4585319674271657</v>
      </c>
      <c r="DC32" s="61">
        <f t="shared" si="22"/>
        <v>3.4585319674271657</v>
      </c>
      <c r="DD32" s="61">
        <f t="shared" si="22"/>
        <v>3.1784930459128926</v>
      </c>
      <c r="DE32" s="61">
        <f t="shared" si="22"/>
        <v>3.3622060011573707</v>
      </c>
      <c r="DF32" s="61">
        <f t="shared" si="22"/>
        <v>3.6640682336035919</v>
      </c>
      <c r="DG32" s="61">
        <f t="shared" si="22"/>
        <v>3.7562517505043296</v>
      </c>
      <c r="DH32" s="61">
        <f t="shared" si="22"/>
        <v>3.7562517505043296</v>
      </c>
      <c r="DI32" s="61">
        <f t="shared" si="22"/>
        <v>3.7562517505043296</v>
      </c>
      <c r="DJ32" s="61">
        <f t="shared" si="22"/>
        <v>3.7562517505043296</v>
      </c>
      <c r="DK32" s="61">
        <f t="shared" si="23"/>
        <v>3.8922548197583651</v>
      </c>
      <c r="DL32" s="61">
        <f t="shared" si="23"/>
        <v>3.8922548197583651</v>
      </c>
      <c r="DM32" s="61">
        <f t="shared" si="23"/>
        <v>3.8922548197583651</v>
      </c>
      <c r="DN32" s="61">
        <f t="shared" si="23"/>
        <v>3.8922548197583651</v>
      </c>
      <c r="DO32" s="61">
        <f t="shared" si="23"/>
        <v>3.8922548197583651</v>
      </c>
      <c r="DP32" s="61">
        <f t="shared" si="23"/>
        <v>4.1393475396496306</v>
      </c>
      <c r="DQ32" s="61">
        <f t="shared" si="23"/>
        <v>4.1393475396496306</v>
      </c>
    </row>
    <row r="33" spans="1:121" x14ac:dyDescent="0.25">
      <c r="A33" s="48" t="str">
        <f>KMeans_Data!A24</f>
        <v>Muzaffarabad</v>
      </c>
      <c r="B33" s="59">
        <f>KMeans_Data!H24</f>
        <v>0.84172690240795967</v>
      </c>
      <c r="C33" s="59">
        <f>KMeans_Data!I24</f>
        <v>0.80308444953571578</v>
      </c>
      <c r="D33" s="59">
        <f>KMeans_Data!J24</f>
        <v>1.0367093535020828</v>
      </c>
      <c r="E33" s="61">
        <f t="shared" si="12"/>
        <v>4.6150099077019524</v>
      </c>
      <c r="F33" s="61">
        <f t="shared" si="12"/>
        <v>4.4441289232369678</v>
      </c>
      <c r="G33" s="61">
        <f t="shared" si="12"/>
        <v>2.5151808548031029</v>
      </c>
      <c r="H33" s="61">
        <f t="shared" si="12"/>
        <v>3.1991606308454914</v>
      </c>
      <c r="I33" s="61">
        <f t="shared" si="12"/>
        <v>1.9486060799872575</v>
      </c>
      <c r="J33" s="61">
        <f t="shared" si="12"/>
        <v>1.6214926091198851</v>
      </c>
      <c r="K33" s="61">
        <f t="shared" si="12"/>
        <v>2.0309003368839753</v>
      </c>
      <c r="L33" s="61">
        <f t="shared" si="12"/>
        <v>0.84325402525057369</v>
      </c>
      <c r="M33" s="61">
        <f t="shared" si="12"/>
        <v>0.88052795046726751</v>
      </c>
      <c r="N33" s="61">
        <f t="shared" si="12"/>
        <v>2.1203754804112176</v>
      </c>
      <c r="O33" s="61">
        <f t="shared" si="13"/>
        <v>0.73807380469137063</v>
      </c>
      <c r="P33" s="61">
        <f t="shared" si="13"/>
        <v>1.0150329328917593</v>
      </c>
      <c r="Q33" s="61">
        <f t="shared" si="13"/>
        <v>0.28029199325232479</v>
      </c>
      <c r="R33" s="61">
        <f t="shared" si="13"/>
        <v>0.63755028644469414</v>
      </c>
      <c r="S33" s="61">
        <f t="shared" si="13"/>
        <v>0.97322052904229284</v>
      </c>
      <c r="T33" s="61">
        <f t="shared" si="13"/>
        <v>0.23339924339487056</v>
      </c>
      <c r="U33" s="61">
        <f t="shared" si="13"/>
        <v>0.69300358046052746</v>
      </c>
      <c r="V33" s="61">
        <f t="shared" si="13"/>
        <v>0.71361195956501755</v>
      </c>
      <c r="W33" s="61">
        <f t="shared" si="13"/>
        <v>0.58705938165010907</v>
      </c>
      <c r="X33" s="61">
        <f t="shared" si="13"/>
        <v>0</v>
      </c>
      <c r="Y33" s="61">
        <f t="shared" si="14"/>
        <v>0.23741514652577633</v>
      </c>
      <c r="Z33" s="61">
        <f t="shared" si="14"/>
        <v>0.42212576028940435</v>
      </c>
      <c r="AA33" s="61">
        <f t="shared" si="14"/>
        <v>0.64978662914383967</v>
      </c>
      <c r="AB33" s="61">
        <f t="shared" si="14"/>
        <v>0.45285344355543355</v>
      </c>
      <c r="AC33" s="61">
        <f t="shared" si="14"/>
        <v>0.66018265445588709</v>
      </c>
      <c r="AD33" s="61">
        <f t="shared" si="14"/>
        <v>0.27612413617299808</v>
      </c>
      <c r="AE33" s="61">
        <f t="shared" si="14"/>
        <v>2.388248770565613</v>
      </c>
      <c r="AF33" s="61">
        <f t="shared" si="14"/>
        <v>0.31253222669191671</v>
      </c>
      <c r="AG33" s="61">
        <f t="shared" si="14"/>
        <v>2.0763344522711815</v>
      </c>
      <c r="AH33" s="61">
        <f t="shared" si="14"/>
        <v>0.74006056242157947</v>
      </c>
      <c r="AI33" s="61">
        <f t="shared" si="15"/>
        <v>2.0767390715364402</v>
      </c>
      <c r="AJ33" s="61">
        <f t="shared" si="15"/>
        <v>0.38186625635564753</v>
      </c>
      <c r="AK33" s="61">
        <f t="shared" si="15"/>
        <v>0.91584900332497854</v>
      </c>
      <c r="AL33" s="61">
        <f t="shared" si="15"/>
        <v>1.1247167133986358</v>
      </c>
      <c r="AM33" s="61">
        <f t="shared" si="15"/>
        <v>0.99675508769649446</v>
      </c>
      <c r="AN33" s="61">
        <f t="shared" si="15"/>
        <v>0.60712487534710657</v>
      </c>
      <c r="AO33" s="61">
        <f t="shared" si="15"/>
        <v>0.77052254049675617</v>
      </c>
      <c r="AP33" s="61">
        <f t="shared" si="15"/>
        <v>0.82619135410401878</v>
      </c>
      <c r="AQ33" s="61">
        <f t="shared" si="15"/>
        <v>0.75857917643562367</v>
      </c>
      <c r="AR33" s="61">
        <f t="shared" si="15"/>
        <v>1.3642232730802166</v>
      </c>
      <c r="AS33" s="61">
        <f t="shared" si="16"/>
        <v>1.5664209165459211</v>
      </c>
      <c r="AT33" s="61">
        <f t="shared" si="16"/>
        <v>1.1376070412718038</v>
      </c>
      <c r="AU33" s="61">
        <f t="shared" si="16"/>
        <v>2.0095298620027986</v>
      </c>
      <c r="AV33" s="61">
        <f t="shared" si="16"/>
        <v>1.6711031968149732</v>
      </c>
      <c r="AW33" s="61">
        <f t="shared" si="16"/>
        <v>2.4505990212392765</v>
      </c>
      <c r="AX33" s="61">
        <f t="shared" si="16"/>
        <v>1.1014387366075495</v>
      </c>
      <c r="AY33" s="61">
        <f t="shared" si="16"/>
        <v>2.7112769694513235</v>
      </c>
      <c r="AZ33" s="61">
        <f t="shared" si="16"/>
        <v>1.608842355282458</v>
      </c>
      <c r="BA33" s="61">
        <f t="shared" si="16"/>
        <v>1.1745888515444338</v>
      </c>
      <c r="BB33" s="61">
        <f t="shared" si="16"/>
        <v>2.7128316406528787</v>
      </c>
      <c r="BC33" s="61">
        <f t="shared" si="17"/>
        <v>2.7144213029920752</v>
      </c>
      <c r="BD33" s="61">
        <f t="shared" si="17"/>
        <v>2.2369619996903585</v>
      </c>
      <c r="BE33" s="61">
        <f t="shared" si="17"/>
        <v>2.0716493061401566</v>
      </c>
      <c r="BF33" s="61">
        <f t="shared" si="17"/>
        <v>0.95258325247815911</v>
      </c>
      <c r="BG33" s="61">
        <f t="shared" si="17"/>
        <v>1.2753693132080977</v>
      </c>
      <c r="BH33" s="61">
        <f t="shared" si="17"/>
        <v>2.7410480343387915</v>
      </c>
      <c r="BI33" s="61">
        <f t="shared" si="17"/>
        <v>2.7456568395426695</v>
      </c>
      <c r="BJ33" s="61">
        <f t="shared" si="17"/>
        <v>1.339995026432852</v>
      </c>
      <c r="BK33" s="61">
        <f t="shared" si="17"/>
        <v>2.2226090887414727</v>
      </c>
      <c r="BL33" s="61">
        <f t="shared" si="17"/>
        <v>1.828858168517179</v>
      </c>
      <c r="BM33" s="61">
        <f t="shared" si="18"/>
        <v>1.056838507632998</v>
      </c>
      <c r="BN33" s="61">
        <f t="shared" si="18"/>
        <v>1.4779659309818167</v>
      </c>
      <c r="BO33" s="61">
        <f t="shared" si="18"/>
        <v>2.5423718072784136</v>
      </c>
      <c r="BP33" s="61">
        <f t="shared" si="18"/>
        <v>1.375566880991786</v>
      </c>
      <c r="BQ33" s="61">
        <f t="shared" si="18"/>
        <v>1.4959622082115089</v>
      </c>
      <c r="BR33" s="61">
        <f t="shared" si="18"/>
        <v>1.4909732529785449</v>
      </c>
      <c r="BS33" s="61">
        <f t="shared" si="18"/>
        <v>1.8440459636297692</v>
      </c>
      <c r="BT33" s="61">
        <f t="shared" si="18"/>
        <v>2.001071811246407</v>
      </c>
      <c r="BU33" s="61">
        <f t="shared" si="18"/>
        <v>2.0381037328109297</v>
      </c>
      <c r="BV33" s="61">
        <f t="shared" si="18"/>
        <v>2.8555324713537216</v>
      </c>
      <c r="BW33" s="61">
        <f t="shared" si="19"/>
        <v>1.9973560868503917</v>
      </c>
      <c r="BX33" s="61">
        <f t="shared" si="19"/>
        <v>2.8617493334602213</v>
      </c>
      <c r="BY33" s="61">
        <f t="shared" si="19"/>
        <v>2.2335016377975734</v>
      </c>
      <c r="BZ33" s="61">
        <f t="shared" si="19"/>
        <v>2.276867009026597</v>
      </c>
      <c r="CA33" s="61">
        <f t="shared" si="19"/>
        <v>2.8821451127470423</v>
      </c>
      <c r="CB33" s="61">
        <f t="shared" si="19"/>
        <v>2.2862970184986153</v>
      </c>
      <c r="CC33" s="61">
        <f t="shared" si="19"/>
        <v>2.8896005140734591</v>
      </c>
      <c r="CD33" s="61">
        <f t="shared" si="19"/>
        <v>2.905659667635847</v>
      </c>
      <c r="CE33" s="61">
        <f t="shared" si="19"/>
        <v>2.1721526742101074</v>
      </c>
      <c r="CF33" s="61">
        <f t="shared" si="19"/>
        <v>1.8058517459005179</v>
      </c>
      <c r="CG33" s="61">
        <f t="shared" si="20"/>
        <v>2.1655068457516768</v>
      </c>
      <c r="CH33" s="61">
        <f t="shared" si="20"/>
        <v>2.4422500406570169</v>
      </c>
      <c r="CI33" s="61">
        <f t="shared" si="20"/>
        <v>2.5308216483710115</v>
      </c>
      <c r="CJ33" s="61">
        <f t="shared" si="20"/>
        <v>2.7515337871152763</v>
      </c>
      <c r="CK33" s="61">
        <f t="shared" si="20"/>
        <v>2.3278001547859448</v>
      </c>
      <c r="CL33" s="61">
        <f t="shared" si="20"/>
        <v>3.0209556566109077</v>
      </c>
      <c r="CM33" s="61">
        <f t="shared" si="20"/>
        <v>2.4882916705123765</v>
      </c>
      <c r="CN33" s="61">
        <f t="shared" si="20"/>
        <v>1.8615295052193104</v>
      </c>
      <c r="CO33" s="61">
        <f t="shared" si="20"/>
        <v>2.2147096948128713</v>
      </c>
      <c r="CP33" s="61">
        <f t="shared" si="20"/>
        <v>3.0752881411039437</v>
      </c>
      <c r="CQ33" s="61">
        <f t="shared" si="21"/>
        <v>2.6253267451759834</v>
      </c>
      <c r="CR33" s="61">
        <f t="shared" si="21"/>
        <v>2.6088806849223745</v>
      </c>
      <c r="CS33" s="61">
        <f t="shared" si="21"/>
        <v>3.1210312510177149</v>
      </c>
      <c r="CT33" s="61">
        <f t="shared" si="21"/>
        <v>3.1479075117945809</v>
      </c>
      <c r="CU33" s="61">
        <f t="shared" si="21"/>
        <v>2.7083923243257972</v>
      </c>
      <c r="CV33" s="61">
        <f t="shared" si="21"/>
        <v>2.3962352973592815</v>
      </c>
      <c r="CW33" s="61">
        <f t="shared" si="21"/>
        <v>3.1479075117945809</v>
      </c>
      <c r="CX33" s="61">
        <f t="shared" si="21"/>
        <v>2.5467791264315576</v>
      </c>
      <c r="CY33" s="61">
        <f t="shared" si="21"/>
        <v>3.1782544380762086</v>
      </c>
      <c r="CZ33" s="61">
        <f t="shared" si="21"/>
        <v>3.1782544380762086</v>
      </c>
      <c r="DA33" s="61">
        <f t="shared" si="22"/>
        <v>2.7767072218887034</v>
      </c>
      <c r="DB33" s="61">
        <f t="shared" si="22"/>
        <v>3.2129481510757079</v>
      </c>
      <c r="DC33" s="61">
        <f t="shared" si="22"/>
        <v>3.2129481510757079</v>
      </c>
      <c r="DD33" s="61">
        <f t="shared" si="22"/>
        <v>2.8913993185018065</v>
      </c>
      <c r="DE33" s="61">
        <f t="shared" si="22"/>
        <v>3.0979747139390752</v>
      </c>
      <c r="DF33" s="61">
        <f t="shared" si="22"/>
        <v>3.4322292281306233</v>
      </c>
      <c r="DG33" s="61">
        <f t="shared" si="22"/>
        <v>3.5300722582308555</v>
      </c>
      <c r="DH33" s="61">
        <f t="shared" si="22"/>
        <v>3.5300722582308555</v>
      </c>
      <c r="DI33" s="61">
        <f t="shared" si="22"/>
        <v>3.5300722582308555</v>
      </c>
      <c r="DJ33" s="61">
        <f t="shared" si="22"/>
        <v>3.5300722582308555</v>
      </c>
      <c r="DK33" s="61">
        <f t="shared" si="23"/>
        <v>3.6739158996919632</v>
      </c>
      <c r="DL33" s="61">
        <f t="shared" si="23"/>
        <v>3.6739158996919632</v>
      </c>
      <c r="DM33" s="61">
        <f t="shared" si="23"/>
        <v>3.6739158996919632</v>
      </c>
      <c r="DN33" s="61">
        <f t="shared" si="23"/>
        <v>3.6739158996919632</v>
      </c>
      <c r="DO33" s="61">
        <f t="shared" si="23"/>
        <v>3.6739158996919632</v>
      </c>
      <c r="DP33" s="61">
        <f t="shared" si="23"/>
        <v>3.9338807191152401</v>
      </c>
      <c r="DQ33" s="61">
        <f t="shared" si="23"/>
        <v>3.9338807191152401</v>
      </c>
    </row>
    <row r="34" spans="1:121" x14ac:dyDescent="0.25">
      <c r="A34" s="48" t="str">
        <f>KMeans_Data!A25</f>
        <v>Dera Ghazi Khan</v>
      </c>
      <c r="B34" s="59">
        <f>KMeans_Data!H25</f>
        <v>0.78983637463992185</v>
      </c>
      <c r="C34" s="59">
        <f>KMeans_Data!I25</f>
        <v>0.80308444953571578</v>
      </c>
      <c r="D34" s="59">
        <f>KMeans_Data!J25</f>
        <v>1.2683843951613223</v>
      </c>
      <c r="E34" s="61">
        <f t="shared" ref="E34:N43" si="24">SQRT(($B34-E$5)^2+($C34-E$6)^2+($D34-E$7)^2)</f>
        <v>4.5365573847970895</v>
      </c>
      <c r="F34" s="61">
        <f t="shared" si="24"/>
        <v>4.3926006151949402</v>
      </c>
      <c r="G34" s="61">
        <f t="shared" si="24"/>
        <v>2.433447597801206</v>
      </c>
      <c r="H34" s="61">
        <f t="shared" si="24"/>
        <v>3.1886566763883422</v>
      </c>
      <c r="I34" s="61">
        <f t="shared" si="24"/>
        <v>1.9198114508512609</v>
      </c>
      <c r="J34" s="61">
        <f t="shared" si="24"/>
        <v>1.6015040618990912</v>
      </c>
      <c r="K34" s="61">
        <f t="shared" si="24"/>
        <v>2.2571987021180941</v>
      </c>
      <c r="L34" s="61">
        <f t="shared" si="24"/>
        <v>0.70591599641920222</v>
      </c>
      <c r="M34" s="61">
        <f t="shared" si="24"/>
        <v>0.75482325988174048</v>
      </c>
      <c r="N34" s="61">
        <f t="shared" si="24"/>
        <v>2.3349660088943351</v>
      </c>
      <c r="O34" s="61">
        <f t="shared" ref="O34:X43" si="25">SQRT(($B34-O$5)^2+($C34-O$6)^2+($D34-O$7)^2)</f>
        <v>0.80906871986047235</v>
      </c>
      <c r="P34" s="61">
        <f t="shared" si="25"/>
        <v>1.0275938363279333</v>
      </c>
      <c r="Q34" s="61">
        <f t="shared" si="25"/>
        <v>0.36807693604122582</v>
      </c>
      <c r="R34" s="61">
        <f t="shared" si="25"/>
        <v>0.53121011056296075</v>
      </c>
      <c r="S34" s="61">
        <f t="shared" si="25"/>
        <v>0.98002452142971108</v>
      </c>
      <c r="T34" s="61">
        <f t="shared" si="25"/>
        <v>0.37732465864972242</v>
      </c>
      <c r="U34" s="61">
        <f t="shared" si="25"/>
        <v>0.53608618598444213</v>
      </c>
      <c r="V34" s="61">
        <f t="shared" si="25"/>
        <v>0.87214376750463551</v>
      </c>
      <c r="W34" s="61">
        <f t="shared" si="25"/>
        <v>0.67038053500150985</v>
      </c>
      <c r="X34" s="61">
        <f t="shared" si="25"/>
        <v>0.23741514652577633</v>
      </c>
      <c r="Y34" s="61">
        <f t="shared" ref="Y34:AH43" si="26">SQRT(($B34-Y$5)^2+($C34-Y$6)^2+($D34-Y$7)^2)</f>
        <v>0</v>
      </c>
      <c r="Z34" s="61">
        <f t="shared" si="26"/>
        <v>0.65006938991773788</v>
      </c>
      <c r="AA34" s="61">
        <f t="shared" si="26"/>
        <v>0.71290865188639607</v>
      </c>
      <c r="AB34" s="61">
        <f t="shared" si="26"/>
        <v>0.653172324474807</v>
      </c>
      <c r="AC34" s="61">
        <f t="shared" si="26"/>
        <v>0.79184257602238173</v>
      </c>
      <c r="AD34" s="61">
        <f t="shared" si="26"/>
        <v>8.2244421436952722E-2</v>
      </c>
      <c r="AE34" s="61">
        <f t="shared" si="26"/>
        <v>2.5982580951744239</v>
      </c>
      <c r="AF34" s="61">
        <f t="shared" si="26"/>
        <v>0.45272438353488037</v>
      </c>
      <c r="AG34" s="61">
        <f t="shared" si="26"/>
        <v>2.2373562431774494</v>
      </c>
      <c r="AH34" s="61">
        <f t="shared" si="26"/>
        <v>0.83360111388255964</v>
      </c>
      <c r="AI34" s="61">
        <f t="shared" ref="AI34:AR43" si="27">SQRT(($B34-AI$5)^2+($C34-AI$6)^2+($D34-AI$7)^2)</f>
        <v>2.2376583772345531</v>
      </c>
      <c r="AJ34" s="61">
        <f t="shared" si="27"/>
        <v>0.37179359077452123</v>
      </c>
      <c r="AK34" s="61">
        <f t="shared" si="27"/>
        <v>1.1002134961312608</v>
      </c>
      <c r="AL34" s="61">
        <f t="shared" si="27"/>
        <v>1.2283681880321995</v>
      </c>
      <c r="AM34" s="61">
        <f t="shared" si="27"/>
        <v>1.1622409184561755</v>
      </c>
      <c r="AN34" s="61">
        <f t="shared" si="27"/>
        <v>0.72910552197267386</v>
      </c>
      <c r="AO34" s="61">
        <f t="shared" si="27"/>
        <v>0.91533530767231053</v>
      </c>
      <c r="AP34" s="61">
        <f t="shared" si="27"/>
        <v>0.98142263364335836</v>
      </c>
      <c r="AQ34" s="61">
        <f t="shared" si="27"/>
        <v>0.880850274666649</v>
      </c>
      <c r="AR34" s="61">
        <f t="shared" si="27"/>
        <v>1.5451136086445381</v>
      </c>
      <c r="AS34" s="61">
        <f t="shared" ref="AS34:BB43" si="28">SQRT(($B34-AS$5)^2+($C34-AS$6)^2+($D34-AS$7)^2)</f>
        <v>1.5708364622509443</v>
      </c>
      <c r="AT34" s="61">
        <f t="shared" si="28"/>
        <v>1.1887721116215519</v>
      </c>
      <c r="AU34" s="61">
        <f t="shared" si="28"/>
        <v>2.1931139019830894</v>
      </c>
      <c r="AV34" s="61">
        <f t="shared" si="28"/>
        <v>1.7406840261309713</v>
      </c>
      <c r="AW34" s="61">
        <f t="shared" si="28"/>
        <v>2.6194611179371585</v>
      </c>
      <c r="AX34" s="61">
        <f t="shared" si="28"/>
        <v>1.2287584170210228</v>
      </c>
      <c r="AY34" s="61">
        <f t="shared" si="28"/>
        <v>2.8899973290381107</v>
      </c>
      <c r="AZ34" s="61">
        <f t="shared" si="28"/>
        <v>1.6062954052956877</v>
      </c>
      <c r="BA34" s="61">
        <f t="shared" si="28"/>
        <v>1.216746166767378</v>
      </c>
      <c r="BB34" s="61">
        <f t="shared" si="28"/>
        <v>2.8913384141751624</v>
      </c>
      <c r="BC34" s="61">
        <f t="shared" ref="BC34:BL43" si="29">SQRT(($B34-BC$5)^2+($C34-BC$6)^2+($D34-BC$7)^2)</f>
        <v>2.8927110514769958</v>
      </c>
      <c r="BD34" s="61">
        <f t="shared" si="29"/>
        <v>2.3882881668829317</v>
      </c>
      <c r="BE34" s="61">
        <f t="shared" si="29"/>
        <v>2.206815789858513</v>
      </c>
      <c r="BF34" s="61">
        <f t="shared" si="29"/>
        <v>1.0058241825298266</v>
      </c>
      <c r="BG34" s="61">
        <f t="shared" si="29"/>
        <v>1.341603798537744</v>
      </c>
      <c r="BH34" s="61">
        <f t="shared" si="29"/>
        <v>2.9158794557576773</v>
      </c>
      <c r="BI34" s="61">
        <f t="shared" si="29"/>
        <v>2.9199187062035459</v>
      </c>
      <c r="BJ34" s="61">
        <f t="shared" si="29"/>
        <v>1.4982652923719297</v>
      </c>
      <c r="BK34" s="61">
        <f t="shared" si="29"/>
        <v>2.3611962855936315</v>
      </c>
      <c r="BL34" s="61">
        <f t="shared" si="29"/>
        <v>1.9039434511788687</v>
      </c>
      <c r="BM34" s="61">
        <f t="shared" ref="BM34:BV43" si="30">SQRT(($B34-BM$5)^2+($C34-BM$6)^2+($D34-BM$7)^2)</f>
        <v>1.1533755482402679</v>
      </c>
      <c r="BN34" s="61">
        <f t="shared" si="30"/>
        <v>1.6153426507697071</v>
      </c>
      <c r="BO34" s="61">
        <f t="shared" si="30"/>
        <v>2.6996845718399021</v>
      </c>
      <c r="BP34" s="61">
        <f t="shared" si="30"/>
        <v>1.4860927263378887</v>
      </c>
      <c r="BQ34" s="61">
        <f t="shared" si="30"/>
        <v>1.580827671916063</v>
      </c>
      <c r="BR34" s="61">
        <f t="shared" si="30"/>
        <v>1.5681133492189263</v>
      </c>
      <c r="BS34" s="61">
        <f t="shared" si="30"/>
        <v>1.8855195118621717</v>
      </c>
      <c r="BT34" s="61">
        <f t="shared" si="30"/>
        <v>2.0836556078405026</v>
      </c>
      <c r="BU34" s="61">
        <f t="shared" si="30"/>
        <v>2.128460896835112</v>
      </c>
      <c r="BV34" s="61">
        <f t="shared" si="30"/>
        <v>3.0178297173501214</v>
      </c>
      <c r="BW34" s="61">
        <f t="shared" ref="BW34:CF43" si="31">SQRT(($B34-BW$5)^2+($C34-BW$6)^2+($D34-BW$7)^2)</f>
        <v>2.0681670977662763</v>
      </c>
      <c r="BX34" s="61">
        <f t="shared" si="31"/>
        <v>3.0234380474229812</v>
      </c>
      <c r="BY34" s="61">
        <f t="shared" si="31"/>
        <v>2.3431027296589453</v>
      </c>
      <c r="BZ34" s="61">
        <f t="shared" si="31"/>
        <v>2.3900970364668641</v>
      </c>
      <c r="CA34" s="61">
        <f t="shared" si="31"/>
        <v>3.0418763282801229</v>
      </c>
      <c r="CB34" s="61">
        <f t="shared" si="31"/>
        <v>2.3986869467739291</v>
      </c>
      <c r="CC34" s="61">
        <f t="shared" si="31"/>
        <v>3.0486303189214183</v>
      </c>
      <c r="CD34" s="61">
        <f t="shared" si="31"/>
        <v>3.0632027125010404</v>
      </c>
      <c r="CE34" s="61">
        <f t="shared" si="31"/>
        <v>2.2595918948824831</v>
      </c>
      <c r="CF34" s="61">
        <f t="shared" si="31"/>
        <v>1.8984272731758838</v>
      </c>
      <c r="CG34" s="61">
        <f t="shared" ref="CG34:CP43" si="32">SQRT(($B34-CG$5)^2+($C34-CG$6)^2+($D34-CG$7)^2)</f>
        <v>2.2967767107442003</v>
      </c>
      <c r="CH34" s="61">
        <f t="shared" si="32"/>
        <v>2.5593648862772129</v>
      </c>
      <c r="CI34" s="61">
        <f t="shared" si="32"/>
        <v>2.6520906940775428</v>
      </c>
      <c r="CJ34" s="61">
        <f t="shared" si="32"/>
        <v>2.888861640576013</v>
      </c>
      <c r="CK34" s="61">
        <f t="shared" si="32"/>
        <v>2.4127160780917323</v>
      </c>
      <c r="CL34" s="61">
        <f t="shared" si="32"/>
        <v>3.1686434263485759</v>
      </c>
      <c r="CM34" s="61">
        <f t="shared" si="32"/>
        <v>2.5924912491518577</v>
      </c>
      <c r="CN34" s="61">
        <f t="shared" si="32"/>
        <v>1.8841845501313135</v>
      </c>
      <c r="CO34" s="61">
        <f t="shared" si="32"/>
        <v>2.3154632347198563</v>
      </c>
      <c r="CP34" s="61">
        <f t="shared" si="32"/>
        <v>3.218743483045885</v>
      </c>
      <c r="CQ34" s="61">
        <f t="shared" ref="CQ34:CZ43" si="33">SQRT(($B34-CQ$5)^2+($C34-CQ$6)^2+($D34-CQ$7)^2)</f>
        <v>2.728619339022841</v>
      </c>
      <c r="CR34" s="61">
        <f t="shared" si="33"/>
        <v>2.7047060520378658</v>
      </c>
      <c r="CS34" s="61">
        <f t="shared" si="33"/>
        <v>3.2610926258454147</v>
      </c>
      <c r="CT34" s="61">
        <f t="shared" si="33"/>
        <v>3.2860405619599731</v>
      </c>
      <c r="CU34" s="61">
        <f t="shared" si="33"/>
        <v>2.8417077062749017</v>
      </c>
      <c r="CV34" s="61">
        <f t="shared" si="33"/>
        <v>2.4447879898903166</v>
      </c>
      <c r="CW34" s="61">
        <f t="shared" si="33"/>
        <v>3.2860405619599731</v>
      </c>
      <c r="CX34" s="61">
        <f t="shared" si="33"/>
        <v>2.6180672917961436</v>
      </c>
      <c r="CY34" s="61">
        <f t="shared" si="33"/>
        <v>3.3142647909511429</v>
      </c>
      <c r="CZ34" s="61">
        <f t="shared" si="33"/>
        <v>3.3142647909511429</v>
      </c>
      <c r="DA34" s="61">
        <f t="shared" ref="DA34:DJ43" si="34">SQRT(($B34-DA$5)^2+($C34-DA$6)^2+($D34-DA$7)^2)</f>
        <v>2.8801907044985398</v>
      </c>
      <c r="DB34" s="61">
        <f t="shared" si="34"/>
        <v>3.3465988123348684</v>
      </c>
      <c r="DC34" s="61">
        <f t="shared" si="34"/>
        <v>3.3465988123348684</v>
      </c>
      <c r="DD34" s="61">
        <f t="shared" si="34"/>
        <v>3.0001653837924223</v>
      </c>
      <c r="DE34" s="61">
        <f t="shared" si="34"/>
        <v>3.2108828730514896</v>
      </c>
      <c r="DF34" s="61">
        <f t="shared" si="34"/>
        <v>3.552385813610651</v>
      </c>
      <c r="DG34" s="61">
        <f t="shared" si="34"/>
        <v>3.6448756516877938</v>
      </c>
      <c r="DH34" s="61">
        <f t="shared" si="34"/>
        <v>3.6448756516877938</v>
      </c>
      <c r="DI34" s="61">
        <f t="shared" si="34"/>
        <v>3.6448756516877938</v>
      </c>
      <c r="DJ34" s="61">
        <f t="shared" si="34"/>
        <v>3.6448756516877938</v>
      </c>
      <c r="DK34" s="61">
        <f t="shared" ref="DK34:DQ43" si="35">SQRT(($B34-DK$5)^2+($C34-DK$6)^2+($D34-DK$7)^2)</f>
        <v>3.781463372479656</v>
      </c>
      <c r="DL34" s="61">
        <f t="shared" si="35"/>
        <v>3.781463372479656</v>
      </c>
      <c r="DM34" s="61">
        <f t="shared" si="35"/>
        <v>3.781463372479656</v>
      </c>
      <c r="DN34" s="61">
        <f t="shared" si="35"/>
        <v>3.781463372479656</v>
      </c>
      <c r="DO34" s="61">
        <f t="shared" si="35"/>
        <v>3.781463372479656</v>
      </c>
      <c r="DP34" s="61">
        <f t="shared" si="35"/>
        <v>4.0298615877856374</v>
      </c>
      <c r="DQ34" s="61">
        <f t="shared" si="35"/>
        <v>4.0298615877856374</v>
      </c>
    </row>
    <row r="35" spans="1:121" x14ac:dyDescent="0.25">
      <c r="A35" s="48" t="str">
        <f>KMeans_Data!A26</f>
        <v>Charsadda</v>
      </c>
      <c r="B35" s="59">
        <f>KMeans_Data!H26</f>
        <v>0.78562201948780019</v>
      </c>
      <c r="C35" s="59">
        <f>KMeans_Data!I26</f>
        <v>0.80308444953571578</v>
      </c>
      <c r="D35" s="59">
        <f>KMeans_Data!J26</f>
        <v>0.61832866607444492</v>
      </c>
      <c r="E35" s="61">
        <f t="shared" si="24"/>
        <v>4.8583672348654217</v>
      </c>
      <c r="F35" s="61">
        <f t="shared" si="24"/>
        <v>4.6448026983838</v>
      </c>
      <c r="G35" s="61">
        <f t="shared" si="24"/>
        <v>2.7915615066157859</v>
      </c>
      <c r="H35" s="61">
        <f t="shared" si="24"/>
        <v>3.3296054513855808</v>
      </c>
      <c r="I35" s="61">
        <f t="shared" si="24"/>
        <v>2.1625282630119407</v>
      </c>
      <c r="J35" s="61">
        <f t="shared" si="24"/>
        <v>1.7946936537132117</v>
      </c>
      <c r="K35" s="61">
        <f t="shared" si="24"/>
        <v>1.6736953674699433</v>
      </c>
      <c r="L35" s="61">
        <f t="shared" si="24"/>
        <v>1.2318639927788697</v>
      </c>
      <c r="M35" s="61">
        <f t="shared" si="24"/>
        <v>1.2456385549578923</v>
      </c>
      <c r="N35" s="61">
        <f t="shared" si="24"/>
        <v>1.7768550294641492</v>
      </c>
      <c r="O35" s="61">
        <f t="shared" si="25"/>
        <v>0.84620726855728656</v>
      </c>
      <c r="P35" s="61">
        <f t="shared" si="25"/>
        <v>1.1616411083388651</v>
      </c>
      <c r="Q35" s="61">
        <f t="shared" si="25"/>
        <v>0.56207141307782027</v>
      </c>
      <c r="R35" s="61">
        <f t="shared" si="25"/>
        <v>0.98463665293581015</v>
      </c>
      <c r="S35" s="61">
        <f t="shared" si="25"/>
        <v>1.1193322128845395</v>
      </c>
      <c r="T35" s="61">
        <f t="shared" si="25"/>
        <v>0.46297097479076632</v>
      </c>
      <c r="U35" s="61">
        <f t="shared" si="25"/>
        <v>1.0583223565643245</v>
      </c>
      <c r="V35" s="61">
        <f t="shared" si="25"/>
        <v>0.58190416557989011</v>
      </c>
      <c r="W35" s="61">
        <f t="shared" si="25"/>
        <v>0.66199240092955336</v>
      </c>
      <c r="X35" s="61">
        <f t="shared" si="25"/>
        <v>0.42212576028940435</v>
      </c>
      <c r="Y35" s="61">
        <f t="shared" si="26"/>
        <v>0.65006938991773788</v>
      </c>
      <c r="Z35" s="61">
        <f t="shared" si="26"/>
        <v>0</v>
      </c>
      <c r="AA35" s="61">
        <f t="shared" si="26"/>
        <v>0.72761392835885808</v>
      </c>
      <c r="AB35" s="61">
        <f t="shared" si="26"/>
        <v>0.25981047436278437</v>
      </c>
      <c r="AC35" s="61">
        <f t="shared" si="26"/>
        <v>0.58876014904145846</v>
      </c>
      <c r="AD35" s="61">
        <f t="shared" si="26"/>
        <v>0.66459985831689294</v>
      </c>
      <c r="AE35" s="61">
        <f t="shared" si="26"/>
        <v>2.0084357350604547</v>
      </c>
      <c r="AF35" s="61">
        <f t="shared" si="26"/>
        <v>0.33497106749041067</v>
      </c>
      <c r="AG35" s="61">
        <f t="shared" si="26"/>
        <v>1.8049047466762613</v>
      </c>
      <c r="AH35" s="61">
        <f t="shared" si="26"/>
        <v>0.69480018727348813</v>
      </c>
      <c r="AI35" s="61">
        <f t="shared" si="27"/>
        <v>1.8052718717093117</v>
      </c>
      <c r="AJ35" s="61">
        <f t="shared" si="27"/>
        <v>0.59796071350241387</v>
      </c>
      <c r="AK35" s="61">
        <f t="shared" si="27"/>
        <v>0.59548817971438128</v>
      </c>
      <c r="AL35" s="61">
        <f t="shared" si="27"/>
        <v>0.99877410838939362</v>
      </c>
      <c r="AM35" s="61">
        <f t="shared" si="27"/>
        <v>0.72202898413620775</v>
      </c>
      <c r="AN35" s="61">
        <f t="shared" si="27"/>
        <v>0.48780955548492499</v>
      </c>
      <c r="AO35" s="61">
        <f t="shared" si="27"/>
        <v>0.55715062045266128</v>
      </c>
      <c r="AP35" s="61">
        <f t="shared" si="27"/>
        <v>0.57636825194418184</v>
      </c>
      <c r="AQ35" s="61">
        <f t="shared" si="27"/>
        <v>0.60279565981498695</v>
      </c>
      <c r="AR35" s="61">
        <f t="shared" si="27"/>
        <v>1.0272798322902814</v>
      </c>
      <c r="AS35" s="61">
        <f t="shared" si="28"/>
        <v>1.5973262009920399</v>
      </c>
      <c r="AT35" s="61">
        <f t="shared" si="28"/>
        <v>1.0904059938778843</v>
      </c>
      <c r="AU35" s="61">
        <f t="shared" si="28"/>
        <v>1.658690991102977</v>
      </c>
      <c r="AV35" s="61">
        <f t="shared" si="28"/>
        <v>1.5711446498807555</v>
      </c>
      <c r="AW35" s="61">
        <f t="shared" si="28"/>
        <v>2.1350896673858393</v>
      </c>
      <c r="AX35" s="61">
        <f t="shared" si="28"/>
        <v>0.88025181399692587</v>
      </c>
      <c r="AY35" s="61">
        <f t="shared" si="28"/>
        <v>2.3730160782561658</v>
      </c>
      <c r="AZ35" s="61">
        <f t="shared" si="28"/>
        <v>1.6404744022576843</v>
      </c>
      <c r="BA35" s="61">
        <f t="shared" si="28"/>
        <v>1.1329763770230215</v>
      </c>
      <c r="BB35" s="61">
        <f t="shared" si="28"/>
        <v>2.3746375279931344</v>
      </c>
      <c r="BC35" s="61">
        <f t="shared" si="29"/>
        <v>2.3762968894243861</v>
      </c>
      <c r="BD35" s="61">
        <f t="shared" si="29"/>
        <v>1.9539561540290944</v>
      </c>
      <c r="BE35" s="61">
        <f t="shared" si="29"/>
        <v>1.8223851605241648</v>
      </c>
      <c r="BF35" s="61">
        <f t="shared" si="29"/>
        <v>0.8867296522648348</v>
      </c>
      <c r="BG35" s="61">
        <f t="shared" si="29"/>
        <v>1.1711271535817491</v>
      </c>
      <c r="BH35" s="61">
        <f t="shared" si="29"/>
        <v>2.4042659669611282</v>
      </c>
      <c r="BI35" s="61">
        <f t="shared" si="29"/>
        <v>2.4091342453537794</v>
      </c>
      <c r="BJ35" s="61">
        <f t="shared" si="29"/>
        <v>1.0096974870393927</v>
      </c>
      <c r="BK35" s="61">
        <f t="shared" si="29"/>
        <v>1.955082246972913</v>
      </c>
      <c r="BL35" s="61">
        <f t="shared" si="29"/>
        <v>1.6927106822641838</v>
      </c>
      <c r="BM35" s="61">
        <f t="shared" si="30"/>
        <v>0.86566465655913782</v>
      </c>
      <c r="BN35" s="61">
        <f t="shared" si="30"/>
        <v>1.1965240146116758</v>
      </c>
      <c r="BO35" s="61">
        <f t="shared" si="30"/>
        <v>2.2322118912936073</v>
      </c>
      <c r="BP35" s="61">
        <f t="shared" si="30"/>
        <v>1.1485951155446368</v>
      </c>
      <c r="BQ35" s="61">
        <f t="shared" si="30"/>
        <v>1.3270732977399444</v>
      </c>
      <c r="BR35" s="61">
        <f t="shared" si="30"/>
        <v>1.3357987442391117</v>
      </c>
      <c r="BS35" s="61">
        <f t="shared" si="30"/>
        <v>1.7598649721255002</v>
      </c>
      <c r="BT35" s="61">
        <f t="shared" si="30"/>
        <v>1.8326405380963944</v>
      </c>
      <c r="BU35" s="61">
        <f t="shared" si="30"/>
        <v>1.8540374930187882</v>
      </c>
      <c r="BV35" s="61">
        <f t="shared" si="30"/>
        <v>2.5263674065906545</v>
      </c>
      <c r="BW35" s="61">
        <f t="shared" si="31"/>
        <v>1.8478758414115839</v>
      </c>
      <c r="BX35" s="61">
        <f t="shared" si="31"/>
        <v>2.5330374463979992</v>
      </c>
      <c r="BY35" s="61">
        <f t="shared" si="31"/>
        <v>2.0044271871744304</v>
      </c>
      <c r="BZ35" s="61">
        <f t="shared" si="31"/>
        <v>2.0395013529095722</v>
      </c>
      <c r="CA35" s="61">
        <f t="shared" si="31"/>
        <v>2.5549326466525657</v>
      </c>
      <c r="CB35" s="61">
        <f t="shared" si="31"/>
        <v>2.0495236157753483</v>
      </c>
      <c r="CC35" s="61">
        <f t="shared" si="31"/>
        <v>2.562940130403355</v>
      </c>
      <c r="CD35" s="61">
        <f t="shared" si="31"/>
        <v>2.580193993649063</v>
      </c>
      <c r="CE35" s="61">
        <f t="shared" si="31"/>
        <v>1.9811745527431746</v>
      </c>
      <c r="CF35" s="61">
        <f t="shared" si="31"/>
        <v>1.5963763855711111</v>
      </c>
      <c r="CG35" s="61">
        <f t="shared" si="32"/>
        <v>1.8757031440980176</v>
      </c>
      <c r="CH35" s="61">
        <f t="shared" si="32"/>
        <v>2.1893897887016402</v>
      </c>
      <c r="CI35" s="61">
        <f t="shared" si="32"/>
        <v>2.2675561590860154</v>
      </c>
      <c r="CJ35" s="61">
        <f t="shared" si="32"/>
        <v>2.4568127959975543</v>
      </c>
      <c r="CK35" s="61">
        <f t="shared" si="32"/>
        <v>2.1302959222212841</v>
      </c>
      <c r="CL35" s="61">
        <f t="shared" si="32"/>
        <v>2.7041378442053245</v>
      </c>
      <c r="CM35" s="61">
        <f t="shared" si="32"/>
        <v>2.2522287393846061</v>
      </c>
      <c r="CN35" s="61">
        <f t="shared" si="32"/>
        <v>1.7686798984192933</v>
      </c>
      <c r="CO35" s="61">
        <f t="shared" si="32"/>
        <v>1.9711162850924888</v>
      </c>
      <c r="CP35" s="61">
        <f t="shared" si="32"/>
        <v>2.7625095539221385</v>
      </c>
      <c r="CQ35" s="61">
        <f t="shared" si="33"/>
        <v>2.3844880941934035</v>
      </c>
      <c r="CR35" s="61">
        <f t="shared" si="33"/>
        <v>2.3801921153953249</v>
      </c>
      <c r="CS35" s="61">
        <f t="shared" si="33"/>
        <v>2.8116083817173969</v>
      </c>
      <c r="CT35" s="61">
        <f t="shared" si="33"/>
        <v>2.8404332481641563</v>
      </c>
      <c r="CU35" s="61">
        <f t="shared" si="33"/>
        <v>2.4006029411485859</v>
      </c>
      <c r="CV35" s="61">
        <f t="shared" si="33"/>
        <v>2.2541493384634013</v>
      </c>
      <c r="CW35" s="61">
        <f t="shared" si="33"/>
        <v>2.8404332481641563</v>
      </c>
      <c r="CX35" s="61">
        <f t="shared" si="33"/>
        <v>2.3597559563917003</v>
      </c>
      <c r="CY35" s="61">
        <f t="shared" si="33"/>
        <v>2.8729579464152746</v>
      </c>
      <c r="CZ35" s="61">
        <f t="shared" si="33"/>
        <v>2.8729579464152746</v>
      </c>
      <c r="DA35" s="61">
        <f t="shared" si="34"/>
        <v>2.529865888352556</v>
      </c>
      <c r="DB35" s="61">
        <f t="shared" si="34"/>
        <v>2.9101105076464528</v>
      </c>
      <c r="DC35" s="61">
        <f t="shared" si="34"/>
        <v>2.9101105076464528</v>
      </c>
      <c r="DD35" s="61">
        <f t="shared" si="34"/>
        <v>2.6328466829346899</v>
      </c>
      <c r="DE35" s="61">
        <f t="shared" si="34"/>
        <v>2.8275642665150653</v>
      </c>
      <c r="DF35" s="61">
        <f t="shared" si="34"/>
        <v>3.1441093752614782</v>
      </c>
      <c r="DG35" s="61">
        <f t="shared" si="34"/>
        <v>3.2480509973269918</v>
      </c>
      <c r="DH35" s="61">
        <f t="shared" si="34"/>
        <v>3.2480509973269918</v>
      </c>
      <c r="DI35" s="61">
        <f t="shared" si="34"/>
        <v>3.2480509973269918</v>
      </c>
      <c r="DJ35" s="61">
        <f t="shared" si="34"/>
        <v>3.2480509973269918</v>
      </c>
      <c r="DK35" s="61">
        <f t="shared" si="35"/>
        <v>3.4003534038599428</v>
      </c>
      <c r="DL35" s="61">
        <f t="shared" si="35"/>
        <v>3.4003534038599428</v>
      </c>
      <c r="DM35" s="61">
        <f t="shared" si="35"/>
        <v>3.4003534038599428</v>
      </c>
      <c r="DN35" s="61">
        <f t="shared" si="35"/>
        <v>3.4003534038599428</v>
      </c>
      <c r="DO35" s="61">
        <f t="shared" si="35"/>
        <v>3.4003534038599428</v>
      </c>
      <c r="DP35" s="61">
        <f t="shared" si="35"/>
        <v>3.6741912973222601</v>
      </c>
      <c r="DQ35" s="61">
        <f t="shared" si="35"/>
        <v>3.6741912973222601</v>
      </c>
    </row>
    <row r="36" spans="1:121" x14ac:dyDescent="0.25">
      <c r="A36" s="48" t="str">
        <f>KMeans_Data!A27</f>
        <v>Dir Upper</v>
      </c>
      <c r="B36" s="59">
        <f>KMeans_Data!H27</f>
        <v>0.78350197575168823</v>
      </c>
      <c r="C36" s="59">
        <f>KMeans_Data!I27</f>
        <v>0.16051258962499582</v>
      </c>
      <c r="D36" s="59">
        <f>KMeans_Data!J27</f>
        <v>0.95967737195633995</v>
      </c>
      <c r="E36" s="61">
        <f t="shared" si="24"/>
        <v>5.1481691193932422</v>
      </c>
      <c r="F36" s="61">
        <f t="shared" si="24"/>
        <v>5.0016272685818253</v>
      </c>
      <c r="G36" s="61">
        <f t="shared" si="24"/>
        <v>3.0079368972061076</v>
      </c>
      <c r="H36" s="61">
        <f t="shared" si="24"/>
        <v>3.8039648110214221</v>
      </c>
      <c r="I36" s="61">
        <f t="shared" si="24"/>
        <v>2.4695153729583752</v>
      </c>
      <c r="J36" s="61">
        <f t="shared" si="24"/>
        <v>2.2416527433039843</v>
      </c>
      <c r="K36" s="61">
        <f t="shared" si="24"/>
        <v>1.8687450252790154</v>
      </c>
      <c r="L36" s="61">
        <f t="shared" si="24"/>
        <v>1.0696692246104795</v>
      </c>
      <c r="M36" s="61">
        <f t="shared" si="24"/>
        <v>1.3685667898689635</v>
      </c>
      <c r="N36" s="61">
        <f t="shared" si="24"/>
        <v>1.8580647189992483</v>
      </c>
      <c r="O36" s="61">
        <f t="shared" si="25"/>
        <v>1.3635141141019096</v>
      </c>
      <c r="P36" s="61">
        <f t="shared" si="25"/>
        <v>1.6572418175643173</v>
      </c>
      <c r="Q36" s="61">
        <f t="shared" si="25"/>
        <v>0.8808249841516016</v>
      </c>
      <c r="R36" s="61">
        <f t="shared" si="25"/>
        <v>0.61063359087127045</v>
      </c>
      <c r="S36" s="61">
        <f t="shared" si="25"/>
        <v>0.43336228385611836</v>
      </c>
      <c r="T36" s="61">
        <f t="shared" si="25"/>
        <v>0.85475643836438109</v>
      </c>
      <c r="U36" s="61">
        <f t="shared" si="25"/>
        <v>0.66763238289170745</v>
      </c>
      <c r="V36" s="61">
        <f t="shared" si="25"/>
        <v>1.2692992121536404</v>
      </c>
      <c r="W36" s="61">
        <f t="shared" si="25"/>
        <v>1.2226968968564822</v>
      </c>
      <c r="X36" s="61">
        <f t="shared" si="25"/>
        <v>0.64978662914383967</v>
      </c>
      <c r="Y36" s="61">
        <f t="shared" si="26"/>
        <v>0.71290865188639607</v>
      </c>
      <c r="Z36" s="61">
        <f t="shared" si="26"/>
        <v>0.72761392835885808</v>
      </c>
      <c r="AA36" s="61">
        <f t="shared" si="26"/>
        <v>0</v>
      </c>
      <c r="AB36" s="61">
        <f t="shared" si="26"/>
        <v>0.48543697279554981</v>
      </c>
      <c r="AC36" s="61">
        <f t="shared" si="26"/>
        <v>1.2425686876483695</v>
      </c>
      <c r="AD36" s="61">
        <f t="shared" si="26"/>
        <v>0.72121771234759668</v>
      </c>
      <c r="AE36" s="61">
        <f t="shared" si="26"/>
        <v>2.1321184299774374</v>
      </c>
      <c r="AF36" s="61">
        <f t="shared" si="26"/>
        <v>0.56267343806850512</v>
      </c>
      <c r="AG36" s="61">
        <f t="shared" si="26"/>
        <v>1.6077297380795301</v>
      </c>
      <c r="AH36" s="61">
        <f t="shared" si="26"/>
        <v>0.27214654172026381</v>
      </c>
      <c r="AI36" s="61">
        <f t="shared" si="27"/>
        <v>1.6081377059951343</v>
      </c>
      <c r="AJ36" s="61">
        <f t="shared" si="27"/>
        <v>0.46913318631628581</v>
      </c>
      <c r="AK36" s="61">
        <f t="shared" si="27"/>
        <v>0.75095037349382709</v>
      </c>
      <c r="AL36" s="61">
        <f t="shared" si="27"/>
        <v>0.5916024117462334</v>
      </c>
      <c r="AM36" s="61">
        <f t="shared" si="27"/>
        <v>1.4158391244656572</v>
      </c>
      <c r="AN36" s="61">
        <f t="shared" si="27"/>
        <v>1.0664449476827993</v>
      </c>
      <c r="AO36" s="61">
        <f t="shared" si="27"/>
        <v>0.5885727066472709</v>
      </c>
      <c r="AP36" s="61">
        <f t="shared" si="27"/>
        <v>0.65003805587425367</v>
      </c>
      <c r="AQ36" s="61">
        <f t="shared" si="27"/>
        <v>1.2196555215292531</v>
      </c>
      <c r="AR36" s="61">
        <f t="shared" si="27"/>
        <v>1.11043873336876</v>
      </c>
      <c r="AS36" s="61">
        <f t="shared" si="28"/>
        <v>0.95619421687870476</v>
      </c>
      <c r="AT36" s="61">
        <f t="shared" si="28"/>
        <v>0.6235530588372552</v>
      </c>
      <c r="AU36" s="61">
        <f t="shared" si="28"/>
        <v>1.7071006806131004</v>
      </c>
      <c r="AV36" s="61">
        <f t="shared" si="28"/>
        <v>1.0815429013148983</v>
      </c>
      <c r="AW36" s="61">
        <f t="shared" si="28"/>
        <v>2.0430755111925105</v>
      </c>
      <c r="AX36" s="61">
        <f t="shared" si="28"/>
        <v>0.79857721336699083</v>
      </c>
      <c r="AY36" s="61">
        <f t="shared" si="28"/>
        <v>2.3379214007609703</v>
      </c>
      <c r="AZ36" s="61">
        <f t="shared" si="28"/>
        <v>1.019217020675109</v>
      </c>
      <c r="BA36" s="61">
        <f t="shared" si="28"/>
        <v>0.68440893458820506</v>
      </c>
      <c r="BB36" s="61">
        <f t="shared" si="28"/>
        <v>2.3395612405935426</v>
      </c>
      <c r="BC36" s="61">
        <f t="shared" si="29"/>
        <v>2.3412394586737566</v>
      </c>
      <c r="BD36" s="61">
        <f t="shared" si="29"/>
        <v>1.792738455713683</v>
      </c>
      <c r="BE36" s="61">
        <f t="shared" si="29"/>
        <v>1.5937242105090201</v>
      </c>
      <c r="BF36" s="61">
        <f t="shared" si="29"/>
        <v>1.396170923008607</v>
      </c>
      <c r="BG36" s="61">
        <f t="shared" si="29"/>
        <v>0.82285111911550302</v>
      </c>
      <c r="BH36" s="61">
        <f t="shared" si="29"/>
        <v>2.369530241757503</v>
      </c>
      <c r="BI36" s="61">
        <f t="shared" si="29"/>
        <v>2.3744549847502978</v>
      </c>
      <c r="BJ36" s="61">
        <f t="shared" si="29"/>
        <v>1.2790211325462444</v>
      </c>
      <c r="BK36" s="61">
        <f t="shared" si="29"/>
        <v>1.7739886974760455</v>
      </c>
      <c r="BL36" s="61">
        <f t="shared" si="29"/>
        <v>1.2916484016028615</v>
      </c>
      <c r="BM36" s="61">
        <f t="shared" si="30"/>
        <v>1.0133585559708078</v>
      </c>
      <c r="BN36" s="61">
        <f t="shared" si="30"/>
        <v>1.2347475445825911</v>
      </c>
      <c r="BO36" s="61">
        <f t="shared" si="30"/>
        <v>2.1440691860743031</v>
      </c>
      <c r="BP36" s="61">
        <f t="shared" si="30"/>
        <v>1.1226104822278482</v>
      </c>
      <c r="BQ36" s="61">
        <f t="shared" si="30"/>
        <v>1.1078702680576</v>
      </c>
      <c r="BR36" s="61">
        <f t="shared" si="30"/>
        <v>1.1032575442267483</v>
      </c>
      <c r="BS36" s="61">
        <f t="shared" si="30"/>
        <v>1.3192168070355212</v>
      </c>
      <c r="BT36" s="61">
        <f t="shared" si="30"/>
        <v>1.5090044871819628</v>
      </c>
      <c r="BU36" s="61">
        <f t="shared" si="30"/>
        <v>1.5535947679305886</v>
      </c>
      <c r="BV36" s="61">
        <f t="shared" si="30"/>
        <v>2.4930401609403923</v>
      </c>
      <c r="BW36" s="61">
        <f t="shared" si="31"/>
        <v>1.5064611062708491</v>
      </c>
      <c r="BX36" s="61">
        <f t="shared" si="31"/>
        <v>2.4997855443526733</v>
      </c>
      <c r="BY36" s="61">
        <f t="shared" si="31"/>
        <v>1.7867265179669944</v>
      </c>
      <c r="BZ36" s="61">
        <f t="shared" si="31"/>
        <v>1.8374976684274129</v>
      </c>
      <c r="CA36" s="61">
        <f t="shared" si="31"/>
        <v>2.5219263768988727</v>
      </c>
      <c r="CB36" s="61">
        <f t="shared" si="31"/>
        <v>1.8485944724857724</v>
      </c>
      <c r="CC36" s="61">
        <f t="shared" si="31"/>
        <v>2.5300230221733258</v>
      </c>
      <c r="CD36" s="61">
        <f t="shared" si="31"/>
        <v>2.5474677389986704</v>
      </c>
      <c r="CE36" s="61">
        <f t="shared" si="31"/>
        <v>1.7163100988407123</v>
      </c>
      <c r="CF36" s="61">
        <f t="shared" si="31"/>
        <v>1.4761285757817209</v>
      </c>
      <c r="CG36" s="61">
        <f t="shared" si="32"/>
        <v>1.8752300280500309</v>
      </c>
      <c r="CH36" s="61">
        <f t="shared" si="32"/>
        <v>2.0288161197213861</v>
      </c>
      <c r="CI36" s="61">
        <f t="shared" si="32"/>
        <v>2.1295212024750394</v>
      </c>
      <c r="CJ36" s="61">
        <f t="shared" si="32"/>
        <v>2.3765829772127947</v>
      </c>
      <c r="CK36" s="61">
        <f t="shared" si="32"/>
        <v>1.9002173276825105</v>
      </c>
      <c r="CL36" s="61">
        <f t="shared" si="32"/>
        <v>2.6727291070267043</v>
      </c>
      <c r="CM36" s="61">
        <f t="shared" si="32"/>
        <v>2.0825033595162843</v>
      </c>
      <c r="CN36" s="61">
        <f t="shared" si="32"/>
        <v>1.5567269078149901</v>
      </c>
      <c r="CO36" s="61">
        <f t="shared" si="32"/>
        <v>1.9322720872013688</v>
      </c>
      <c r="CP36" s="61">
        <f t="shared" si="32"/>
        <v>2.7316881608396741</v>
      </c>
      <c r="CQ36" s="61">
        <f t="shared" si="33"/>
        <v>2.2376579337228359</v>
      </c>
      <c r="CR36" s="61">
        <f t="shared" si="33"/>
        <v>2.2200841349335843</v>
      </c>
      <c r="CS36" s="61">
        <f t="shared" si="33"/>
        <v>2.7812648567396372</v>
      </c>
      <c r="CT36" s="61">
        <f t="shared" si="33"/>
        <v>2.8103635377479188</v>
      </c>
      <c r="CU36" s="61">
        <f t="shared" si="33"/>
        <v>2.4595230673442732</v>
      </c>
      <c r="CV36" s="61">
        <f t="shared" si="33"/>
        <v>1.9869874607413076</v>
      </c>
      <c r="CW36" s="61">
        <f t="shared" si="33"/>
        <v>2.8103635377479188</v>
      </c>
      <c r="CX36" s="61">
        <f t="shared" si="33"/>
        <v>2.1539985667323922</v>
      </c>
      <c r="CY36" s="61">
        <f t="shared" si="33"/>
        <v>2.8431913451727726</v>
      </c>
      <c r="CZ36" s="61">
        <f t="shared" si="33"/>
        <v>2.8431913451727726</v>
      </c>
      <c r="DA36" s="61">
        <f t="shared" si="34"/>
        <v>2.4065553915885678</v>
      </c>
      <c r="DB36" s="61">
        <f t="shared" si="34"/>
        <v>2.8806827145631448</v>
      </c>
      <c r="DC36" s="61">
        <f t="shared" si="34"/>
        <v>2.8806827145631448</v>
      </c>
      <c r="DD36" s="61">
        <f t="shared" si="34"/>
        <v>2.5325716281561244</v>
      </c>
      <c r="DE36" s="61">
        <f t="shared" si="34"/>
        <v>2.7576789945289808</v>
      </c>
      <c r="DF36" s="61">
        <f t="shared" si="34"/>
        <v>3.1166462479819503</v>
      </c>
      <c r="DG36" s="61">
        <f t="shared" si="34"/>
        <v>3.2213755578704082</v>
      </c>
      <c r="DH36" s="61">
        <f t="shared" si="34"/>
        <v>3.2213755578704082</v>
      </c>
      <c r="DI36" s="61">
        <f t="shared" si="34"/>
        <v>3.2213755578704082</v>
      </c>
      <c r="DJ36" s="61">
        <f t="shared" si="34"/>
        <v>3.2213755578704082</v>
      </c>
      <c r="DK36" s="61">
        <f t="shared" si="35"/>
        <v>3.3747494245912533</v>
      </c>
      <c r="DL36" s="61">
        <f t="shared" si="35"/>
        <v>3.3747494245912533</v>
      </c>
      <c r="DM36" s="61">
        <f t="shared" si="35"/>
        <v>3.3747494245912533</v>
      </c>
      <c r="DN36" s="61">
        <f t="shared" si="35"/>
        <v>3.3747494245912533</v>
      </c>
      <c r="DO36" s="61">
        <f t="shared" si="35"/>
        <v>3.3747494245912533</v>
      </c>
      <c r="DP36" s="61">
        <f t="shared" si="35"/>
        <v>3.6502989512011172</v>
      </c>
      <c r="DQ36" s="61">
        <f t="shared" si="35"/>
        <v>3.6502989512011172</v>
      </c>
    </row>
    <row r="37" spans="1:121" x14ac:dyDescent="0.25">
      <c r="A37" s="48" t="str">
        <f>KMeans_Data!A28</f>
        <v>Khyber</v>
      </c>
      <c r="B37" s="59">
        <f>KMeans_Data!H28</f>
        <v>0.78350197575168823</v>
      </c>
      <c r="C37" s="59">
        <f>KMeans_Data!I28</f>
        <v>0.54791138584450239</v>
      </c>
      <c r="D37" s="59">
        <f>KMeans_Data!J28</f>
        <v>0.66715177094920652</v>
      </c>
      <c r="E37" s="61">
        <f t="shared" si="24"/>
        <v>5.0075852088878463</v>
      </c>
      <c r="F37" s="61">
        <f t="shared" si="24"/>
        <v>4.812728500772347</v>
      </c>
      <c r="G37" s="61">
        <f t="shared" si="24"/>
        <v>2.9080392987208228</v>
      </c>
      <c r="H37" s="61">
        <f t="shared" si="24"/>
        <v>3.531077145266178</v>
      </c>
      <c r="I37" s="61">
        <f t="shared" si="24"/>
        <v>2.2997913339348295</v>
      </c>
      <c r="J37" s="61">
        <f t="shared" si="24"/>
        <v>1.9848284303315349</v>
      </c>
      <c r="K37" s="61">
        <f t="shared" si="24"/>
        <v>1.6383081185953938</v>
      </c>
      <c r="L37" s="61">
        <f t="shared" si="24"/>
        <v>1.1914822406439738</v>
      </c>
      <c r="M37" s="61">
        <f t="shared" si="24"/>
        <v>1.3132221711399714</v>
      </c>
      <c r="N37" s="61">
        <f t="shared" si="24"/>
        <v>1.6977917917800183</v>
      </c>
      <c r="O37" s="61">
        <f t="shared" si="25"/>
        <v>1.0451610922759429</v>
      </c>
      <c r="P37" s="61">
        <f t="shared" si="25"/>
        <v>1.3628931604480445</v>
      </c>
      <c r="Q37" s="61">
        <f t="shared" si="25"/>
        <v>0.66079780347768058</v>
      </c>
      <c r="R37" s="61">
        <f t="shared" si="25"/>
        <v>0.85923520666610143</v>
      </c>
      <c r="S37" s="61">
        <f t="shared" si="25"/>
        <v>0.88482836790138031</v>
      </c>
      <c r="T37" s="61">
        <f t="shared" si="25"/>
        <v>0.58554961494024005</v>
      </c>
      <c r="U37" s="61">
        <f t="shared" si="25"/>
        <v>0.93655791085773998</v>
      </c>
      <c r="V37" s="61">
        <f t="shared" si="25"/>
        <v>0.83748112104493022</v>
      </c>
      <c r="W37" s="61">
        <f t="shared" si="25"/>
        <v>0.87757051563240807</v>
      </c>
      <c r="X37" s="61">
        <f t="shared" si="25"/>
        <v>0.45285344355543355</v>
      </c>
      <c r="Y37" s="61">
        <f t="shared" si="26"/>
        <v>0.653172324474807</v>
      </c>
      <c r="Z37" s="61">
        <f t="shared" si="26"/>
        <v>0.25981047436278437</v>
      </c>
      <c r="AA37" s="61">
        <f t="shared" si="26"/>
        <v>0.48543697279554981</v>
      </c>
      <c r="AB37" s="61">
        <f t="shared" si="26"/>
        <v>0</v>
      </c>
      <c r="AC37" s="61">
        <f t="shared" si="26"/>
        <v>0.83565413318304771</v>
      </c>
      <c r="AD37" s="61">
        <f t="shared" si="26"/>
        <v>0.66664258660795284</v>
      </c>
      <c r="AE37" s="61">
        <f t="shared" si="26"/>
        <v>1.9463052517401351</v>
      </c>
      <c r="AF37" s="61">
        <f t="shared" si="26"/>
        <v>0.30721291160277658</v>
      </c>
      <c r="AG37" s="61">
        <f t="shared" si="26"/>
        <v>1.6341928980654488</v>
      </c>
      <c r="AH37" s="61">
        <f t="shared" si="26"/>
        <v>0.45331659559425974</v>
      </c>
      <c r="AI37" s="61">
        <f t="shared" si="27"/>
        <v>1.6345942612237352</v>
      </c>
      <c r="AJ37" s="61">
        <f t="shared" si="27"/>
        <v>0.49554069828989039</v>
      </c>
      <c r="AK37" s="61">
        <f t="shared" si="27"/>
        <v>0.48664181527913797</v>
      </c>
      <c r="AL37" s="61">
        <f t="shared" si="27"/>
        <v>0.76510603520344489</v>
      </c>
      <c r="AM37" s="61">
        <f t="shared" si="27"/>
        <v>0.95545584626614899</v>
      </c>
      <c r="AN37" s="61">
        <f t="shared" si="27"/>
        <v>0.68490213478097073</v>
      </c>
      <c r="AO37" s="61">
        <f t="shared" si="27"/>
        <v>0.40924768899334091</v>
      </c>
      <c r="AP37" s="61">
        <f t="shared" si="27"/>
        <v>0.44387547407469086</v>
      </c>
      <c r="AQ37" s="61">
        <f t="shared" si="27"/>
        <v>0.81722511817790489</v>
      </c>
      <c r="AR37" s="61">
        <f t="shared" si="27"/>
        <v>0.92803568981733719</v>
      </c>
      <c r="AS37" s="61">
        <f t="shared" si="28"/>
        <v>1.3511075017233423</v>
      </c>
      <c r="AT37" s="61">
        <f t="shared" si="28"/>
        <v>0.86846304638161165</v>
      </c>
      <c r="AU37" s="61">
        <f t="shared" si="28"/>
        <v>1.5665917770932882</v>
      </c>
      <c r="AV37" s="61">
        <f t="shared" si="28"/>
        <v>1.3381758303026146</v>
      </c>
      <c r="AW37" s="61">
        <f t="shared" si="28"/>
        <v>2.0028818880558763</v>
      </c>
      <c r="AX37" s="61">
        <f t="shared" si="28"/>
        <v>0.73155966218066182</v>
      </c>
      <c r="AY37" s="61">
        <f t="shared" si="28"/>
        <v>2.26171117839122</v>
      </c>
      <c r="AZ37" s="61">
        <f t="shared" si="28"/>
        <v>1.4009280341487513</v>
      </c>
      <c r="BA37" s="61">
        <f t="shared" si="28"/>
        <v>0.92002019341888452</v>
      </c>
      <c r="BB37" s="61">
        <f t="shared" si="28"/>
        <v>2.2634062332712745</v>
      </c>
      <c r="BC37" s="61">
        <f t="shared" si="29"/>
        <v>2.2651408744655703</v>
      </c>
      <c r="BD37" s="61">
        <f t="shared" si="29"/>
        <v>1.7997796582933387</v>
      </c>
      <c r="BE37" s="61">
        <f t="shared" si="29"/>
        <v>1.6483229332021014</v>
      </c>
      <c r="BF37" s="61">
        <f t="shared" si="29"/>
        <v>1.0633755216115468</v>
      </c>
      <c r="BG37" s="61">
        <f t="shared" si="29"/>
        <v>0.97533250453353837</v>
      </c>
      <c r="BH37" s="61">
        <f t="shared" si="29"/>
        <v>2.2943701848060685</v>
      </c>
      <c r="BI37" s="61">
        <f t="shared" si="29"/>
        <v>2.299455903671388</v>
      </c>
      <c r="BJ37" s="61">
        <f t="shared" si="29"/>
        <v>1.0066499830500342</v>
      </c>
      <c r="BK37" s="61">
        <f t="shared" si="29"/>
        <v>1.7980065117109649</v>
      </c>
      <c r="BL37" s="61">
        <f t="shared" si="29"/>
        <v>1.4836140588593587</v>
      </c>
      <c r="BM37" s="61">
        <f t="shared" si="30"/>
        <v>0.83339623783249983</v>
      </c>
      <c r="BN37" s="61">
        <f t="shared" si="30"/>
        <v>1.1063030576082469</v>
      </c>
      <c r="BO37" s="61">
        <f t="shared" si="30"/>
        <v>2.1058041190341181</v>
      </c>
      <c r="BP37" s="61">
        <f t="shared" si="30"/>
        <v>1.0438271243136079</v>
      </c>
      <c r="BQ37" s="61">
        <f t="shared" si="30"/>
        <v>1.1675090795202636</v>
      </c>
      <c r="BR37" s="61">
        <f t="shared" si="30"/>
        <v>1.1753476698417866</v>
      </c>
      <c r="BS37" s="61">
        <f t="shared" si="30"/>
        <v>1.5522510018060776</v>
      </c>
      <c r="BT37" s="61">
        <f t="shared" si="30"/>
        <v>1.6462553608151655</v>
      </c>
      <c r="BU37" s="61">
        <f t="shared" si="30"/>
        <v>1.672510134237875</v>
      </c>
      <c r="BV37" s="61">
        <f t="shared" si="30"/>
        <v>2.4217163794270706</v>
      </c>
      <c r="BW37" s="61">
        <f t="shared" si="31"/>
        <v>1.6603886735575546</v>
      </c>
      <c r="BX37" s="61">
        <f t="shared" si="31"/>
        <v>2.428659866279808</v>
      </c>
      <c r="BY37" s="61">
        <f t="shared" si="31"/>
        <v>1.8454280350537486</v>
      </c>
      <c r="BZ37" s="61">
        <f t="shared" si="31"/>
        <v>1.8850488891361832</v>
      </c>
      <c r="CA37" s="61">
        <f t="shared" si="31"/>
        <v>2.451443172668283</v>
      </c>
      <c r="CB37" s="61">
        <f t="shared" si="31"/>
        <v>1.8958673889970075</v>
      </c>
      <c r="CC37" s="61">
        <f t="shared" si="31"/>
        <v>2.4597718331281686</v>
      </c>
      <c r="CD37" s="61">
        <f t="shared" si="31"/>
        <v>2.4777112139155082</v>
      </c>
      <c r="CE37" s="61">
        <f t="shared" si="31"/>
        <v>1.8139895542478897</v>
      </c>
      <c r="CF37" s="61">
        <f t="shared" si="31"/>
        <v>1.4740420769833664</v>
      </c>
      <c r="CG37" s="61">
        <f t="shared" si="32"/>
        <v>1.7874544275759621</v>
      </c>
      <c r="CH37" s="61">
        <f t="shared" si="32"/>
        <v>2.0498503274687199</v>
      </c>
      <c r="CI37" s="61">
        <f t="shared" si="32"/>
        <v>2.1354522236759466</v>
      </c>
      <c r="CJ37" s="61">
        <f t="shared" si="32"/>
        <v>2.3421197579640043</v>
      </c>
      <c r="CK37" s="61">
        <f t="shared" si="32"/>
        <v>1.9774665712097932</v>
      </c>
      <c r="CL37" s="61">
        <f t="shared" si="32"/>
        <v>2.6063272737458405</v>
      </c>
      <c r="CM37" s="61">
        <f t="shared" si="32"/>
        <v>2.1147199541001087</v>
      </c>
      <c r="CN37" s="61">
        <f t="shared" si="32"/>
        <v>1.64424658737459</v>
      </c>
      <c r="CO37" s="61">
        <f t="shared" si="32"/>
        <v>1.8813831498957165</v>
      </c>
      <c r="CP37" s="61">
        <f t="shared" si="32"/>
        <v>2.6667548043259059</v>
      </c>
      <c r="CQ37" s="61">
        <f t="shared" si="33"/>
        <v>2.2567464513620106</v>
      </c>
      <c r="CR37" s="61">
        <f t="shared" si="33"/>
        <v>2.2503319328615405</v>
      </c>
      <c r="CS37" s="61">
        <f t="shared" si="33"/>
        <v>2.7175163627214127</v>
      </c>
      <c r="CT37" s="61">
        <f t="shared" si="33"/>
        <v>2.7472903364272696</v>
      </c>
      <c r="CU37" s="61">
        <f t="shared" si="33"/>
        <v>2.3408003304520508</v>
      </c>
      <c r="CV37" s="61">
        <f t="shared" si="33"/>
        <v>2.1030864772770017</v>
      </c>
      <c r="CW37" s="61">
        <f t="shared" si="33"/>
        <v>2.7472903364272696</v>
      </c>
      <c r="CX37" s="61">
        <f t="shared" si="33"/>
        <v>2.2224441440253462</v>
      </c>
      <c r="CY37" s="61">
        <f t="shared" si="33"/>
        <v>2.7808628163915281</v>
      </c>
      <c r="CZ37" s="61">
        <f t="shared" si="33"/>
        <v>2.7808628163915281</v>
      </c>
      <c r="DA37" s="61">
        <f t="shared" si="34"/>
        <v>2.4118052368704674</v>
      </c>
      <c r="DB37" s="61">
        <f t="shared" si="34"/>
        <v>2.8191831938181227</v>
      </c>
      <c r="DC37" s="61">
        <f t="shared" si="34"/>
        <v>2.8191831938181227</v>
      </c>
      <c r="DD37" s="61">
        <f t="shared" si="34"/>
        <v>2.5221463000527633</v>
      </c>
      <c r="DE37" s="61">
        <f t="shared" si="34"/>
        <v>2.7280344114277786</v>
      </c>
      <c r="DF37" s="61">
        <f t="shared" si="34"/>
        <v>3.0598929414905403</v>
      </c>
      <c r="DG37" s="61">
        <f t="shared" si="34"/>
        <v>3.1664998757569132</v>
      </c>
      <c r="DH37" s="61">
        <f t="shared" si="34"/>
        <v>3.1664998757569132</v>
      </c>
      <c r="DI37" s="61">
        <f t="shared" si="34"/>
        <v>3.1664998757569132</v>
      </c>
      <c r="DJ37" s="61">
        <f t="shared" si="34"/>
        <v>3.1664998757569132</v>
      </c>
      <c r="DK37" s="61">
        <f t="shared" si="35"/>
        <v>3.3224079606668799</v>
      </c>
      <c r="DL37" s="61">
        <f t="shared" si="35"/>
        <v>3.3224079606668799</v>
      </c>
      <c r="DM37" s="61">
        <f t="shared" si="35"/>
        <v>3.3224079606668799</v>
      </c>
      <c r="DN37" s="61">
        <f t="shared" si="35"/>
        <v>3.3224079606668799</v>
      </c>
      <c r="DO37" s="61">
        <f t="shared" si="35"/>
        <v>3.3224079606668799</v>
      </c>
      <c r="DP37" s="61">
        <f t="shared" si="35"/>
        <v>3.6019638270620704</v>
      </c>
      <c r="DQ37" s="61">
        <f t="shared" si="35"/>
        <v>3.6019638270620704</v>
      </c>
    </row>
    <row r="38" spans="1:121" x14ac:dyDescent="0.25">
      <c r="A38" s="48" t="str">
        <f>KMeans_Data!A29</f>
        <v>Bajaur</v>
      </c>
      <c r="B38" s="59">
        <f>KMeans_Data!H29</f>
        <v>0.76181258672347318</v>
      </c>
      <c r="C38" s="59">
        <f>KMeans_Data!I29</f>
        <v>1.3810745208577742</v>
      </c>
      <c r="D38" s="59">
        <f>KMeans_Data!J29</f>
        <v>0.72786907626120334</v>
      </c>
      <c r="E38" s="61">
        <f t="shared" si="24"/>
        <v>4.4442382127810589</v>
      </c>
      <c r="F38" s="61">
        <f t="shared" si="24"/>
        <v>4.2082689649124569</v>
      </c>
      <c r="G38" s="61">
        <f t="shared" si="24"/>
        <v>2.4711808824373649</v>
      </c>
      <c r="H38" s="61">
        <f t="shared" si="24"/>
        <v>2.8450667778873671</v>
      </c>
      <c r="I38" s="61">
        <f t="shared" si="24"/>
        <v>1.8420833143755462</v>
      </c>
      <c r="J38" s="61">
        <f t="shared" si="24"/>
        <v>1.3304080775026015</v>
      </c>
      <c r="K38" s="61">
        <f t="shared" si="24"/>
        <v>2.0574628458923927</v>
      </c>
      <c r="L38" s="61">
        <f t="shared" si="24"/>
        <v>1.3350440507887618</v>
      </c>
      <c r="M38" s="61">
        <f t="shared" si="24"/>
        <v>1.1010404072771254</v>
      </c>
      <c r="N38" s="61">
        <f t="shared" si="24"/>
        <v>2.2221614041321041</v>
      </c>
      <c r="O38" s="61">
        <f t="shared" si="25"/>
        <v>0.46978172046300598</v>
      </c>
      <c r="P38" s="61">
        <f t="shared" si="25"/>
        <v>0.69004141678634723</v>
      </c>
      <c r="Q38" s="61">
        <f t="shared" si="25"/>
        <v>0.59432714764245442</v>
      </c>
      <c r="R38" s="61">
        <f t="shared" si="25"/>
        <v>1.2775206045773282</v>
      </c>
      <c r="S38" s="61">
        <f t="shared" si="25"/>
        <v>1.6087904385335388</v>
      </c>
      <c r="T38" s="61">
        <f t="shared" si="25"/>
        <v>0.51613530322686685</v>
      </c>
      <c r="U38" s="61">
        <f t="shared" si="25"/>
        <v>1.3230261338678631</v>
      </c>
      <c r="V38" s="61">
        <f t="shared" si="25"/>
        <v>0.14252873215779976</v>
      </c>
      <c r="W38" s="61">
        <f t="shared" si="25"/>
        <v>0.22497381592210125</v>
      </c>
      <c r="X38" s="61">
        <f t="shared" si="25"/>
        <v>0.66018265445588709</v>
      </c>
      <c r="Y38" s="61">
        <f t="shared" si="26"/>
        <v>0.79184257602238173</v>
      </c>
      <c r="Z38" s="61">
        <f t="shared" si="26"/>
        <v>0.58876014904145846</v>
      </c>
      <c r="AA38" s="61">
        <f t="shared" si="26"/>
        <v>1.2425686876483695</v>
      </c>
      <c r="AB38" s="61">
        <f t="shared" si="26"/>
        <v>0.83565413318304771</v>
      </c>
      <c r="AC38" s="61">
        <f t="shared" si="26"/>
        <v>0</v>
      </c>
      <c r="AD38" s="61">
        <f t="shared" si="26"/>
        <v>0.80002193559457246</v>
      </c>
      <c r="AE38" s="61">
        <f t="shared" si="26"/>
        <v>2.420433901010778</v>
      </c>
      <c r="AF38" s="61">
        <f t="shared" si="26"/>
        <v>0.72761087650878054</v>
      </c>
      <c r="AG38" s="61">
        <f t="shared" si="26"/>
        <v>2.3501923150536617</v>
      </c>
      <c r="AH38" s="61">
        <f t="shared" si="26"/>
        <v>1.2355283109142339</v>
      </c>
      <c r="AI38" s="61">
        <f t="shared" si="27"/>
        <v>2.3504422221581716</v>
      </c>
      <c r="AJ38" s="61">
        <f t="shared" si="27"/>
        <v>0.93826412744408427</v>
      </c>
      <c r="AK38" s="61">
        <f t="shared" si="27"/>
        <v>1.1191053028039453</v>
      </c>
      <c r="AL38" s="61">
        <f t="shared" si="27"/>
        <v>1.5628972798162337</v>
      </c>
      <c r="AM38" s="61">
        <f t="shared" si="27"/>
        <v>0.50361609688222875</v>
      </c>
      <c r="AN38" s="61">
        <f t="shared" si="27"/>
        <v>0.38774529488003479</v>
      </c>
      <c r="AO38" s="61">
        <f t="shared" si="27"/>
        <v>1.0714657243947416</v>
      </c>
      <c r="AP38" s="61">
        <f t="shared" si="27"/>
        <v>1.0895272020643842</v>
      </c>
      <c r="AQ38" s="61">
        <f t="shared" si="27"/>
        <v>0.38350809802312213</v>
      </c>
      <c r="AR38" s="61">
        <f t="shared" si="27"/>
        <v>1.5095001888037278</v>
      </c>
      <c r="AS38" s="61">
        <f t="shared" si="28"/>
        <v>2.1203024204757837</v>
      </c>
      <c r="AT38" s="61">
        <f t="shared" si="28"/>
        <v>1.6047890846714508</v>
      </c>
      <c r="AU38" s="61">
        <f t="shared" si="28"/>
        <v>2.1085905125965168</v>
      </c>
      <c r="AV38" s="61">
        <f t="shared" si="28"/>
        <v>2.1256787039953418</v>
      </c>
      <c r="AW38" s="61">
        <f t="shared" si="28"/>
        <v>2.6270141257333073</v>
      </c>
      <c r="AX38" s="61">
        <f t="shared" si="28"/>
        <v>1.3747012240999255</v>
      </c>
      <c r="AY38" s="61">
        <f t="shared" si="28"/>
        <v>2.8359084207509837</v>
      </c>
      <c r="AZ38" s="61">
        <f t="shared" si="28"/>
        <v>2.1506125822692903</v>
      </c>
      <c r="BA38" s="61">
        <f t="shared" si="28"/>
        <v>1.6314103987583004</v>
      </c>
      <c r="BB38" s="61">
        <f t="shared" si="28"/>
        <v>2.8372104077115696</v>
      </c>
      <c r="BC38" s="61">
        <f t="shared" si="29"/>
        <v>2.8385437619497038</v>
      </c>
      <c r="BD38" s="61">
        <f t="shared" si="29"/>
        <v>2.4671399825133355</v>
      </c>
      <c r="BE38" s="61">
        <f t="shared" si="29"/>
        <v>2.3521140709134971</v>
      </c>
      <c r="BF38" s="61">
        <f t="shared" si="29"/>
        <v>0.63204002312002106</v>
      </c>
      <c r="BG38" s="61">
        <f t="shared" si="29"/>
        <v>1.6684809251628789</v>
      </c>
      <c r="BH38" s="61">
        <f t="shared" si="29"/>
        <v>2.8611423715959345</v>
      </c>
      <c r="BI38" s="61">
        <f t="shared" si="29"/>
        <v>2.8650971671066672</v>
      </c>
      <c r="BJ38" s="61">
        <f t="shared" si="29"/>
        <v>1.3262902474772034</v>
      </c>
      <c r="BK38" s="61">
        <f t="shared" si="29"/>
        <v>2.4618775655865788</v>
      </c>
      <c r="BL38" s="61">
        <f t="shared" si="29"/>
        <v>2.2216969456324622</v>
      </c>
      <c r="BM38" s="61">
        <f t="shared" si="30"/>
        <v>1.1736712440212693</v>
      </c>
      <c r="BN38" s="61">
        <f t="shared" si="30"/>
        <v>1.6148307863079543</v>
      </c>
      <c r="BO38" s="61">
        <f t="shared" si="30"/>
        <v>2.70386990206371</v>
      </c>
      <c r="BP38" s="61">
        <f t="shared" si="30"/>
        <v>1.5633239994381789</v>
      </c>
      <c r="BQ38" s="61">
        <f t="shared" si="30"/>
        <v>1.7931043606872155</v>
      </c>
      <c r="BR38" s="61">
        <f t="shared" si="30"/>
        <v>1.7962763787885565</v>
      </c>
      <c r="BS38" s="61">
        <f t="shared" si="30"/>
        <v>2.2602327641047308</v>
      </c>
      <c r="BT38" s="61">
        <f t="shared" si="30"/>
        <v>2.3359198451554763</v>
      </c>
      <c r="BU38" s="61">
        <f t="shared" si="30"/>
        <v>2.3566744582181416</v>
      </c>
      <c r="BV38" s="61">
        <f t="shared" si="30"/>
        <v>2.9617151554080041</v>
      </c>
      <c r="BW38" s="61">
        <f t="shared" si="31"/>
        <v>2.3429263855285529</v>
      </c>
      <c r="BX38" s="61">
        <f t="shared" si="31"/>
        <v>2.9672782887445219</v>
      </c>
      <c r="BY38" s="61">
        <f t="shared" si="31"/>
        <v>2.4886714370446965</v>
      </c>
      <c r="BZ38" s="61">
        <f t="shared" si="31"/>
        <v>2.5195314710930417</v>
      </c>
      <c r="CA38" s="61">
        <f t="shared" si="31"/>
        <v>2.98558249078599</v>
      </c>
      <c r="CB38" s="61">
        <f t="shared" si="31"/>
        <v>2.527479061620328</v>
      </c>
      <c r="CC38" s="61">
        <f t="shared" si="31"/>
        <v>2.99229249612881</v>
      </c>
      <c r="CD38" s="61">
        <f t="shared" si="31"/>
        <v>3.0067784436212319</v>
      </c>
      <c r="CE38" s="61">
        <f t="shared" si="31"/>
        <v>2.4590653318501201</v>
      </c>
      <c r="CF38" s="61">
        <f t="shared" si="31"/>
        <v>2.010379718419157</v>
      </c>
      <c r="CG38" s="61">
        <f t="shared" si="32"/>
        <v>2.2641524298915128</v>
      </c>
      <c r="CH38" s="61">
        <f t="shared" si="32"/>
        <v>2.6474917709328034</v>
      </c>
      <c r="CI38" s="61">
        <f t="shared" si="32"/>
        <v>2.7162266705548941</v>
      </c>
      <c r="CJ38" s="61">
        <f t="shared" si="32"/>
        <v>2.8880967065357632</v>
      </c>
      <c r="CK38" s="61">
        <f t="shared" si="32"/>
        <v>2.5821524784395047</v>
      </c>
      <c r="CL38" s="61">
        <f t="shared" si="32"/>
        <v>3.1118554153124753</v>
      </c>
      <c r="CM38" s="61">
        <f t="shared" si="32"/>
        <v>2.6947945025678126</v>
      </c>
      <c r="CN38" s="61">
        <f t="shared" si="32"/>
        <v>2.1212865830148924</v>
      </c>
      <c r="CO38" s="61">
        <f t="shared" si="32"/>
        <v>2.3308088213208342</v>
      </c>
      <c r="CP38" s="61">
        <f t="shared" si="32"/>
        <v>3.1618974535901301</v>
      </c>
      <c r="CQ38" s="61">
        <f t="shared" si="33"/>
        <v>2.8082994704333579</v>
      </c>
      <c r="CR38" s="61">
        <f t="shared" si="33"/>
        <v>2.8009661098343503</v>
      </c>
      <c r="CS38" s="61">
        <f t="shared" si="33"/>
        <v>3.2042374854527318</v>
      </c>
      <c r="CT38" s="61">
        <f t="shared" si="33"/>
        <v>3.2291941754156808</v>
      </c>
      <c r="CU38" s="61">
        <f t="shared" si="33"/>
        <v>2.7284609276451626</v>
      </c>
      <c r="CV38" s="61">
        <f t="shared" si="33"/>
        <v>2.6705323673132875</v>
      </c>
      <c r="CW38" s="61">
        <f t="shared" si="33"/>
        <v>3.2291941754156808</v>
      </c>
      <c r="CX38" s="61">
        <f t="shared" si="33"/>
        <v>2.7716486811717629</v>
      </c>
      <c r="CY38" s="61">
        <f t="shared" si="33"/>
        <v>3.2574391892876324</v>
      </c>
      <c r="CZ38" s="61">
        <f t="shared" si="33"/>
        <v>3.2574391892876324</v>
      </c>
      <c r="DA38" s="61">
        <f t="shared" si="34"/>
        <v>2.9353888049787757</v>
      </c>
      <c r="DB38" s="61">
        <f t="shared" si="34"/>
        <v>3.2898095263109823</v>
      </c>
      <c r="DC38" s="61">
        <f t="shared" si="34"/>
        <v>3.2898095263109823</v>
      </c>
      <c r="DD38" s="61">
        <f t="shared" si="34"/>
        <v>3.028936120668714</v>
      </c>
      <c r="DE38" s="61">
        <f t="shared" si="34"/>
        <v>3.2049531857679958</v>
      </c>
      <c r="DF38" s="61">
        <f t="shared" si="34"/>
        <v>3.4960475145005327</v>
      </c>
      <c r="DG38" s="61">
        <f t="shared" si="34"/>
        <v>3.5888201088408036</v>
      </c>
      <c r="DH38" s="61">
        <f t="shared" si="34"/>
        <v>3.5888201088408036</v>
      </c>
      <c r="DI38" s="61">
        <f t="shared" si="34"/>
        <v>3.5888201088408036</v>
      </c>
      <c r="DJ38" s="61">
        <f t="shared" si="34"/>
        <v>3.5888201088408036</v>
      </c>
      <c r="DK38" s="61">
        <f t="shared" si="35"/>
        <v>3.7258755532795464</v>
      </c>
      <c r="DL38" s="61">
        <f t="shared" si="35"/>
        <v>3.7258755532795464</v>
      </c>
      <c r="DM38" s="61">
        <f t="shared" si="35"/>
        <v>3.7258755532795464</v>
      </c>
      <c r="DN38" s="61">
        <f t="shared" si="35"/>
        <v>3.7258755532795464</v>
      </c>
      <c r="DO38" s="61">
        <f t="shared" si="35"/>
        <v>3.7258755532795464</v>
      </c>
      <c r="DP38" s="61">
        <f t="shared" si="35"/>
        <v>3.9752041411792853</v>
      </c>
      <c r="DQ38" s="61">
        <f t="shared" si="35"/>
        <v>3.9752041411792853</v>
      </c>
    </row>
    <row r="39" spans="1:121" x14ac:dyDescent="0.25">
      <c r="A39" s="48" t="str">
        <f>KMeans_Data!A30</f>
        <v>Shikarpur</v>
      </c>
      <c r="B39" s="59">
        <f>KMeans_Data!H30</f>
        <v>0.70820457074466558</v>
      </c>
      <c r="C39" s="59">
        <f>KMeans_Data!I30</f>
        <v>0.80308444953571578</v>
      </c>
      <c r="D39" s="59">
        <f>KMeans_Data!J30</f>
        <v>1.2784040483641788</v>
      </c>
      <c r="E39" s="61">
        <f t="shared" si="24"/>
        <v>4.5774421255084663</v>
      </c>
      <c r="F39" s="61">
        <f t="shared" si="24"/>
        <v>4.4356607332410452</v>
      </c>
      <c r="G39" s="61">
        <f t="shared" si="24"/>
        <v>2.4826193856844538</v>
      </c>
      <c r="H39" s="61">
        <f t="shared" si="24"/>
        <v>3.2281248394675321</v>
      </c>
      <c r="I39" s="61">
        <f t="shared" si="24"/>
        <v>1.9772138611353642</v>
      </c>
      <c r="J39" s="61">
        <f t="shared" si="24"/>
        <v>1.6379851559299323</v>
      </c>
      <c r="K39" s="61">
        <f t="shared" si="24"/>
        <v>2.2876594628200251</v>
      </c>
      <c r="L39" s="61">
        <f t="shared" si="24"/>
        <v>0.76283294626073495</v>
      </c>
      <c r="M39" s="61">
        <f t="shared" si="24"/>
        <v>0.80285812811101864</v>
      </c>
      <c r="N39" s="61">
        <f t="shared" si="24"/>
        <v>2.3596578708801581</v>
      </c>
      <c r="O39" s="61">
        <f t="shared" si="25"/>
        <v>0.85106484532070081</v>
      </c>
      <c r="P39" s="61">
        <f t="shared" si="25"/>
        <v>1.0582020559630501</v>
      </c>
      <c r="Q39" s="61">
        <f t="shared" si="25"/>
        <v>0.4327417105834156</v>
      </c>
      <c r="R39" s="61">
        <f t="shared" si="25"/>
        <v>0.57035761149190434</v>
      </c>
      <c r="S39" s="61">
        <f t="shared" si="25"/>
        <v>1.0024144730854236</v>
      </c>
      <c r="T39" s="61">
        <f t="shared" si="25"/>
        <v>0.42904794828497173</v>
      </c>
      <c r="U39" s="61">
        <f t="shared" si="25"/>
        <v>0.55008236341057992</v>
      </c>
      <c r="V39" s="61">
        <f t="shared" si="25"/>
        <v>0.88923453415677789</v>
      </c>
      <c r="W39" s="61">
        <f t="shared" si="25"/>
        <v>0.68766017378256239</v>
      </c>
      <c r="X39" s="61">
        <f t="shared" si="25"/>
        <v>0.27612413617299808</v>
      </c>
      <c r="Y39" s="61">
        <f t="shared" si="26"/>
        <v>8.2244421436952722E-2</v>
      </c>
      <c r="Z39" s="61">
        <f t="shared" si="26"/>
        <v>0.66459985831689294</v>
      </c>
      <c r="AA39" s="61">
        <f t="shared" si="26"/>
        <v>0.72121771234759668</v>
      </c>
      <c r="AB39" s="61">
        <f t="shared" si="26"/>
        <v>0.66664258660795284</v>
      </c>
      <c r="AC39" s="61">
        <f t="shared" si="26"/>
        <v>0.80002193559457246</v>
      </c>
      <c r="AD39" s="61">
        <f t="shared" si="26"/>
        <v>0</v>
      </c>
      <c r="AE39" s="61">
        <f t="shared" si="26"/>
        <v>2.6043325647718318</v>
      </c>
      <c r="AF39" s="61">
        <f t="shared" si="26"/>
        <v>0.43478753804599268</v>
      </c>
      <c r="AG39" s="61">
        <f t="shared" si="26"/>
        <v>2.2386004245757647</v>
      </c>
      <c r="AH39" s="61">
        <f t="shared" si="26"/>
        <v>0.82266973247167663</v>
      </c>
      <c r="AI39" s="61">
        <f t="shared" si="27"/>
        <v>2.2387870277251158</v>
      </c>
      <c r="AJ39" s="61">
        <f t="shared" si="27"/>
        <v>0.33453584607846881</v>
      </c>
      <c r="AK39" s="61">
        <f t="shared" si="27"/>
        <v>1.0930444428881629</v>
      </c>
      <c r="AL39" s="61">
        <f t="shared" si="27"/>
        <v>1.2166340967259952</v>
      </c>
      <c r="AM39" s="61">
        <f t="shared" si="27"/>
        <v>1.1519625530926456</v>
      </c>
      <c r="AN39" s="61">
        <f t="shared" si="27"/>
        <v>0.70318618941472899</v>
      </c>
      <c r="AO39" s="61">
        <f t="shared" si="27"/>
        <v>0.89497639634607118</v>
      </c>
      <c r="AP39" s="61">
        <f t="shared" si="27"/>
        <v>0.96293701412176003</v>
      </c>
      <c r="AQ39" s="61">
        <f t="shared" si="27"/>
        <v>0.85620511748716666</v>
      </c>
      <c r="AR39" s="61">
        <f t="shared" si="27"/>
        <v>1.5348718832673254</v>
      </c>
      <c r="AS39" s="61">
        <f t="shared" si="28"/>
        <v>1.5499263768629024</v>
      </c>
      <c r="AT39" s="61">
        <f t="shared" si="28"/>
        <v>1.1599922439273656</v>
      </c>
      <c r="AU39" s="61">
        <f t="shared" si="28"/>
        <v>2.1837022146019591</v>
      </c>
      <c r="AV39" s="61">
        <f t="shared" si="28"/>
        <v>1.7218488006468653</v>
      </c>
      <c r="AW39" s="61">
        <f t="shared" si="28"/>
        <v>2.6115676085871988</v>
      </c>
      <c r="AX39" s="61">
        <f t="shared" si="28"/>
        <v>1.2014131493752773</v>
      </c>
      <c r="AY39" s="61">
        <f t="shared" si="28"/>
        <v>2.8828951788915895</v>
      </c>
      <c r="AZ39" s="61">
        <f t="shared" si="28"/>
        <v>1.579726611442914</v>
      </c>
      <c r="BA39" s="61">
        <f t="shared" si="28"/>
        <v>1.1830034439340458</v>
      </c>
      <c r="BB39" s="61">
        <f t="shared" si="28"/>
        <v>2.8840542659300277</v>
      </c>
      <c r="BC39" s="61">
        <f t="shared" si="29"/>
        <v>2.8852427848085007</v>
      </c>
      <c r="BD39" s="61">
        <f t="shared" si="29"/>
        <v>2.3758289416926197</v>
      </c>
      <c r="BE39" s="61">
        <f t="shared" si="29"/>
        <v>2.1916170702962368</v>
      </c>
      <c r="BF39" s="61">
        <f t="shared" si="29"/>
        <v>0.95961574709458575</v>
      </c>
      <c r="BG39" s="61">
        <f t="shared" si="29"/>
        <v>1.3066007188903526</v>
      </c>
      <c r="BH39" s="61">
        <f t="shared" si="29"/>
        <v>2.9055794074122234</v>
      </c>
      <c r="BI39" s="61">
        <f t="shared" si="29"/>
        <v>2.909169320468973</v>
      </c>
      <c r="BJ39" s="61">
        <f t="shared" si="29"/>
        <v>1.4669423928747281</v>
      </c>
      <c r="BK39" s="61">
        <f t="shared" si="29"/>
        <v>2.3425335699091256</v>
      </c>
      <c r="BL39" s="61">
        <f t="shared" si="29"/>
        <v>1.8762589370095883</v>
      </c>
      <c r="BM39" s="61">
        <f t="shared" si="30"/>
        <v>1.1036325625290027</v>
      </c>
      <c r="BN39" s="61">
        <f t="shared" si="30"/>
        <v>1.582585140479021</v>
      </c>
      <c r="BO39" s="61">
        <f t="shared" si="30"/>
        <v>2.6828070094533127</v>
      </c>
      <c r="BP39" s="61">
        <f t="shared" si="30"/>
        <v>1.4457901724883053</v>
      </c>
      <c r="BQ39" s="61">
        <f t="shared" si="30"/>
        <v>1.541625908488764</v>
      </c>
      <c r="BR39" s="61">
        <f t="shared" si="30"/>
        <v>1.5269716517236926</v>
      </c>
      <c r="BS39" s="61">
        <f t="shared" si="30"/>
        <v>1.8488392425489155</v>
      </c>
      <c r="BT39" s="61">
        <f t="shared" si="30"/>
        <v>2.0508360279446176</v>
      </c>
      <c r="BU39" s="61">
        <f t="shared" si="30"/>
        <v>2.0967466596285815</v>
      </c>
      <c r="BV39" s="61">
        <f t="shared" si="30"/>
        <v>2.9985080159269093</v>
      </c>
      <c r="BW39" s="61">
        <f t="shared" si="31"/>
        <v>2.0321788694689413</v>
      </c>
      <c r="BX39" s="61">
        <f t="shared" si="31"/>
        <v>3.0037171904321633</v>
      </c>
      <c r="BY39" s="61">
        <f t="shared" si="31"/>
        <v>2.3122447728471007</v>
      </c>
      <c r="BZ39" s="61">
        <f t="shared" si="31"/>
        <v>2.3595060000513723</v>
      </c>
      <c r="CA39" s="61">
        <f t="shared" si="31"/>
        <v>3.0208916070794145</v>
      </c>
      <c r="CB39" s="61">
        <f t="shared" si="31"/>
        <v>2.3675772312499612</v>
      </c>
      <c r="CC39" s="61">
        <f t="shared" si="31"/>
        <v>3.0271999410969954</v>
      </c>
      <c r="CD39" s="61">
        <f t="shared" si="31"/>
        <v>3.0408397331741179</v>
      </c>
      <c r="CE39" s="61">
        <f t="shared" si="31"/>
        <v>2.2230834487514031</v>
      </c>
      <c r="CF39" s="61">
        <f t="shared" si="31"/>
        <v>1.8543037653983543</v>
      </c>
      <c r="CG39" s="61">
        <f t="shared" si="32"/>
        <v>2.2604287577649558</v>
      </c>
      <c r="CH39" s="61">
        <f t="shared" si="32"/>
        <v>2.5267970894044196</v>
      </c>
      <c r="CI39" s="61">
        <f t="shared" si="32"/>
        <v>2.6195253784583974</v>
      </c>
      <c r="CJ39" s="61">
        <f t="shared" si="32"/>
        <v>2.859357923996563</v>
      </c>
      <c r="CK39" s="61">
        <f t="shared" si="32"/>
        <v>2.371987230226551</v>
      </c>
      <c r="CL39" s="61">
        <f t="shared" si="32"/>
        <v>3.14046829916485</v>
      </c>
      <c r="CM39" s="61">
        <f t="shared" si="32"/>
        <v>2.5547235692393242</v>
      </c>
      <c r="CN39" s="61">
        <f t="shared" si="32"/>
        <v>1.8235931109191217</v>
      </c>
      <c r="CO39" s="61">
        <f t="shared" si="32"/>
        <v>2.268624317970239</v>
      </c>
      <c r="CP39" s="61">
        <f t="shared" si="32"/>
        <v>3.1882449209324535</v>
      </c>
      <c r="CQ39" s="61">
        <f t="shared" si="33"/>
        <v>2.6885335662567242</v>
      </c>
      <c r="CR39" s="61">
        <f t="shared" si="33"/>
        <v>2.6625546633246144</v>
      </c>
      <c r="CS39" s="61">
        <f t="shared" si="33"/>
        <v>3.2287963636662043</v>
      </c>
      <c r="CT39" s="61">
        <f t="shared" si="33"/>
        <v>3.2527472310569632</v>
      </c>
      <c r="CU39" s="61">
        <f t="shared" si="33"/>
        <v>2.8019935894025774</v>
      </c>
      <c r="CV39" s="61">
        <f t="shared" si="33"/>
        <v>2.3939546269563023</v>
      </c>
      <c r="CW39" s="61">
        <f t="shared" si="33"/>
        <v>3.2527472310569632</v>
      </c>
      <c r="CX39" s="61">
        <f t="shared" si="33"/>
        <v>2.5700892009483525</v>
      </c>
      <c r="CY39" s="61">
        <f t="shared" si="33"/>
        <v>3.2798933205372922</v>
      </c>
      <c r="CZ39" s="61">
        <f t="shared" si="33"/>
        <v>3.2798933205372922</v>
      </c>
      <c r="DA39" s="61">
        <f t="shared" si="34"/>
        <v>2.8383048478878066</v>
      </c>
      <c r="DB39" s="61">
        <f t="shared" si="34"/>
        <v>3.311051830863267</v>
      </c>
      <c r="DC39" s="61">
        <f t="shared" si="34"/>
        <v>3.311051830863267</v>
      </c>
      <c r="DD39" s="61">
        <f t="shared" si="34"/>
        <v>2.9587381088532236</v>
      </c>
      <c r="DE39" s="61">
        <f t="shared" si="34"/>
        <v>3.1689473663458632</v>
      </c>
      <c r="DF39" s="61">
        <f t="shared" si="34"/>
        <v>3.5105393069881123</v>
      </c>
      <c r="DG39" s="61">
        <f t="shared" si="34"/>
        <v>3.6007102536662932</v>
      </c>
      <c r="DH39" s="61">
        <f t="shared" si="34"/>
        <v>3.6007102536662932</v>
      </c>
      <c r="DI39" s="61">
        <f t="shared" si="34"/>
        <v>3.6007102536662932</v>
      </c>
      <c r="DJ39" s="61">
        <f t="shared" si="34"/>
        <v>3.6007102536662932</v>
      </c>
      <c r="DK39" s="61">
        <f t="shared" si="35"/>
        <v>3.7343014254069136</v>
      </c>
      <c r="DL39" s="61">
        <f t="shared" si="35"/>
        <v>3.7343014254069136</v>
      </c>
      <c r="DM39" s="61">
        <f t="shared" si="35"/>
        <v>3.7343014254069136</v>
      </c>
      <c r="DN39" s="61">
        <f t="shared" si="35"/>
        <v>3.7343014254069136</v>
      </c>
      <c r="DO39" s="61">
        <f t="shared" si="35"/>
        <v>3.7343014254069136</v>
      </c>
      <c r="DP39" s="61">
        <f t="shared" si="35"/>
        <v>3.9782442052148572</v>
      </c>
      <c r="DQ39" s="61">
        <f t="shared" si="35"/>
        <v>3.9782442052148572</v>
      </c>
    </row>
    <row r="40" spans="1:121" x14ac:dyDescent="0.25">
      <c r="A40" s="48" t="str">
        <f>KMeans_Data!A31</f>
        <v>Rawalpindi</v>
      </c>
      <c r="B40" s="59">
        <f>KMeans_Data!H31</f>
        <v>0.64567305864807512</v>
      </c>
      <c r="C40" s="59">
        <f>KMeans_Data!I31</f>
        <v>-0.14698313392952958</v>
      </c>
      <c r="D40" s="59">
        <f>KMeans_Data!J31</f>
        <v>-1.1456441163335547</v>
      </c>
      <c r="E40" s="61">
        <f t="shared" si="24"/>
        <v>6.6163799696290333</v>
      </c>
      <c r="F40" s="61">
        <f t="shared" si="24"/>
        <v>6.3202600745793749</v>
      </c>
      <c r="G40" s="61">
        <f t="shared" si="24"/>
        <v>4.6140961456431953</v>
      </c>
      <c r="H40" s="61">
        <f t="shared" si="24"/>
        <v>4.939896884511378</v>
      </c>
      <c r="I40" s="61">
        <f t="shared" si="24"/>
        <v>3.9116800125412099</v>
      </c>
      <c r="J40" s="61">
        <f t="shared" si="24"/>
        <v>3.6162040410227214</v>
      </c>
      <c r="K40" s="61">
        <f t="shared" si="24"/>
        <v>0.82406922646320091</v>
      </c>
      <c r="L40" s="61">
        <f t="shared" si="24"/>
        <v>3.0623360139594267</v>
      </c>
      <c r="M40" s="61">
        <f t="shared" si="24"/>
        <v>3.2085676641039029</v>
      </c>
      <c r="N40" s="61">
        <f t="shared" si="24"/>
        <v>0.64199276997619037</v>
      </c>
      <c r="O40" s="61">
        <f t="shared" si="25"/>
        <v>2.7264273286246112</v>
      </c>
      <c r="P40" s="61">
        <f t="shared" si="25"/>
        <v>3.0411164110059743</v>
      </c>
      <c r="Q40" s="61">
        <f t="shared" si="25"/>
        <v>2.5326458101929115</v>
      </c>
      <c r="R40" s="61">
        <f t="shared" si="25"/>
        <v>2.6969311940684069</v>
      </c>
      <c r="S40" s="61">
        <f t="shared" si="25"/>
        <v>2.3407055657210845</v>
      </c>
      <c r="T40" s="61">
        <f t="shared" si="25"/>
        <v>2.449464404018157</v>
      </c>
      <c r="U40" s="61">
        <f t="shared" si="25"/>
        <v>2.7888971516416392</v>
      </c>
      <c r="V40" s="61">
        <f t="shared" si="25"/>
        <v>2.3429778220059725</v>
      </c>
      <c r="W40" s="61">
        <f t="shared" si="25"/>
        <v>2.589121172506982</v>
      </c>
      <c r="X40" s="61">
        <f t="shared" si="25"/>
        <v>2.388248770565613</v>
      </c>
      <c r="Y40" s="61">
        <f t="shared" si="26"/>
        <v>2.5982580951744239</v>
      </c>
      <c r="Z40" s="61">
        <f t="shared" si="26"/>
        <v>2.0084357350604547</v>
      </c>
      <c r="AA40" s="61">
        <f t="shared" si="26"/>
        <v>2.1321184299774374</v>
      </c>
      <c r="AB40" s="61">
        <f t="shared" si="26"/>
        <v>1.9463052517401351</v>
      </c>
      <c r="AC40" s="61">
        <f t="shared" si="26"/>
        <v>2.420433901010778</v>
      </c>
      <c r="AD40" s="61">
        <f t="shared" si="26"/>
        <v>2.6043325647718318</v>
      </c>
      <c r="AE40" s="61">
        <f t="shared" si="26"/>
        <v>0</v>
      </c>
      <c r="AF40" s="61">
        <f t="shared" si="26"/>
        <v>2.1844510560000856</v>
      </c>
      <c r="AG40" s="61">
        <f t="shared" si="26"/>
        <v>0.91496189905673209</v>
      </c>
      <c r="AH40" s="61">
        <f t="shared" si="26"/>
        <v>1.9527474465103312</v>
      </c>
      <c r="AI40" s="61">
        <f t="shared" si="27"/>
        <v>0.91520220539866637</v>
      </c>
      <c r="AJ40" s="61">
        <f t="shared" si="27"/>
        <v>2.3648493912275987</v>
      </c>
      <c r="AK40" s="61">
        <f t="shared" si="27"/>
        <v>1.5300312133399783</v>
      </c>
      <c r="AL40" s="61">
        <f t="shared" si="27"/>
        <v>1.7052711441023685</v>
      </c>
      <c r="AM40" s="61">
        <f t="shared" si="27"/>
        <v>2.1146980427842497</v>
      </c>
      <c r="AN40" s="61">
        <f t="shared" si="27"/>
        <v>2.277651355890935</v>
      </c>
      <c r="AO40" s="61">
        <f t="shared" si="27"/>
        <v>1.778419886584109</v>
      </c>
      <c r="AP40" s="61">
        <f t="shared" si="27"/>
        <v>1.7036569054111126</v>
      </c>
      <c r="AQ40" s="61">
        <f t="shared" si="27"/>
        <v>2.2845926076918595</v>
      </c>
      <c r="AR40" s="61">
        <f t="shared" si="27"/>
        <v>1.1395078316512035</v>
      </c>
      <c r="AS40" s="61">
        <f t="shared" si="28"/>
        <v>2.2439279629919282</v>
      </c>
      <c r="AT40" s="61">
        <f t="shared" si="28"/>
        <v>1.9555900134537492</v>
      </c>
      <c r="AU40" s="61">
        <f t="shared" si="28"/>
        <v>0.63730782210871562</v>
      </c>
      <c r="AV40" s="61">
        <f t="shared" si="28"/>
        <v>1.7847419921699987</v>
      </c>
      <c r="AW40" s="61">
        <f t="shared" si="28"/>
        <v>0.73836962685343654</v>
      </c>
      <c r="AX40" s="61">
        <f t="shared" si="28"/>
        <v>1.6117591183014166</v>
      </c>
      <c r="AY40" s="61">
        <f t="shared" si="28"/>
        <v>0.68853623587289314</v>
      </c>
      <c r="AZ40" s="61">
        <f t="shared" si="28"/>
        <v>2.2843954378858013</v>
      </c>
      <c r="BA40" s="61">
        <f t="shared" si="28"/>
        <v>1.993198818353793</v>
      </c>
      <c r="BB40" s="61">
        <f t="shared" si="28"/>
        <v>0.69278262967291682</v>
      </c>
      <c r="BC40" s="61">
        <f t="shared" si="29"/>
        <v>0.69711942122382753</v>
      </c>
      <c r="BD40" s="61">
        <f t="shared" si="29"/>
        <v>0.95799710156750895</v>
      </c>
      <c r="BE40" s="61">
        <f t="shared" si="29"/>
        <v>1.1540510716760239</v>
      </c>
      <c r="BF40" s="61">
        <f t="shared" si="29"/>
        <v>2.5070579721650965</v>
      </c>
      <c r="BG40" s="61">
        <f t="shared" si="29"/>
        <v>1.8461934608515069</v>
      </c>
      <c r="BH40" s="61">
        <f t="shared" si="29"/>
        <v>0.76867708942190494</v>
      </c>
      <c r="BI40" s="61">
        <f t="shared" si="29"/>
        <v>0.78081517535110789</v>
      </c>
      <c r="BJ40" s="61">
        <f t="shared" si="29"/>
        <v>1.4814138332876035</v>
      </c>
      <c r="BK40" s="61">
        <f t="shared" si="29"/>
        <v>1.1143502862264891</v>
      </c>
      <c r="BL40" s="61">
        <f t="shared" si="29"/>
        <v>1.7254805038734196</v>
      </c>
      <c r="BM40" s="61">
        <f t="shared" si="30"/>
        <v>1.9126543913823548</v>
      </c>
      <c r="BN40" s="61">
        <f t="shared" si="30"/>
        <v>1.4079860881806245</v>
      </c>
      <c r="BO40" s="61">
        <f t="shared" si="30"/>
        <v>0.94042537367600576</v>
      </c>
      <c r="BP40" s="61">
        <f t="shared" si="30"/>
        <v>1.6244050418755513</v>
      </c>
      <c r="BQ40" s="61">
        <f t="shared" si="30"/>
        <v>1.704065906333085</v>
      </c>
      <c r="BR40" s="61">
        <f t="shared" si="30"/>
        <v>1.7585629508139276</v>
      </c>
      <c r="BS40" s="61">
        <f t="shared" si="30"/>
        <v>1.996049580378717</v>
      </c>
      <c r="BT40" s="61">
        <f t="shared" si="30"/>
        <v>1.6764111272591082</v>
      </c>
      <c r="BU40" s="61">
        <f t="shared" si="30"/>
        <v>1.6097128339429374</v>
      </c>
      <c r="BV40" s="61">
        <f t="shared" si="30"/>
        <v>1.0470950502629917</v>
      </c>
      <c r="BW40" s="61">
        <f t="shared" si="31"/>
        <v>1.7825065614331335</v>
      </c>
      <c r="BX40" s="61">
        <f t="shared" si="31"/>
        <v>1.0609767705802609</v>
      </c>
      <c r="BY40" s="61">
        <f t="shared" si="31"/>
        <v>1.4550696614569665</v>
      </c>
      <c r="BZ40" s="61">
        <f t="shared" si="31"/>
        <v>1.4268240617135268</v>
      </c>
      <c r="CA40" s="61">
        <f t="shared" si="31"/>
        <v>1.1057726854925323</v>
      </c>
      <c r="CB40" s="61">
        <f t="shared" si="31"/>
        <v>1.4393387843683685</v>
      </c>
      <c r="CC40" s="61">
        <f t="shared" si="31"/>
        <v>1.1218745317920775</v>
      </c>
      <c r="CD40" s="61">
        <f t="shared" si="31"/>
        <v>1.1560905939655126</v>
      </c>
      <c r="CE40" s="61">
        <f t="shared" si="31"/>
        <v>1.6708406619776459</v>
      </c>
      <c r="CF40" s="61">
        <f t="shared" si="31"/>
        <v>1.6593267180759232</v>
      </c>
      <c r="CG40" s="61">
        <f t="shared" si="32"/>
        <v>1.3427760609254091</v>
      </c>
      <c r="CH40" s="61">
        <f t="shared" si="32"/>
        <v>1.4420033901708058</v>
      </c>
      <c r="CI40" s="61">
        <f t="shared" si="32"/>
        <v>1.4314584704603783</v>
      </c>
      <c r="CJ40" s="61">
        <f t="shared" si="32"/>
        <v>1.3425907007716069</v>
      </c>
      <c r="CK40" s="61">
        <f t="shared" si="32"/>
        <v>1.75371916113307</v>
      </c>
      <c r="CL40" s="61">
        <f t="shared" si="32"/>
        <v>1.3859213030549966</v>
      </c>
      <c r="CM40" s="61">
        <f t="shared" si="32"/>
        <v>1.6155962101003916</v>
      </c>
      <c r="CN40" s="61">
        <f t="shared" si="32"/>
        <v>2.230507321178711</v>
      </c>
      <c r="CO40" s="61">
        <f t="shared" si="32"/>
        <v>1.6916898584203452</v>
      </c>
      <c r="CP40" s="61">
        <f t="shared" si="32"/>
        <v>1.4864813577861453</v>
      </c>
      <c r="CQ40" s="61">
        <f t="shared" si="33"/>
        <v>1.6980661534517425</v>
      </c>
      <c r="CR40" s="61">
        <f t="shared" si="33"/>
        <v>1.7743580684314197</v>
      </c>
      <c r="CS40" s="61">
        <f t="shared" si="33"/>
        <v>1.5681113797108259</v>
      </c>
      <c r="CT40" s="61">
        <f t="shared" si="33"/>
        <v>1.6149328167294064</v>
      </c>
      <c r="CU40" s="61">
        <f t="shared" si="33"/>
        <v>1.5604005879269436</v>
      </c>
      <c r="CV40" s="61">
        <f t="shared" si="33"/>
        <v>2.1443824203739674</v>
      </c>
      <c r="CW40" s="61">
        <f t="shared" si="33"/>
        <v>1.6149328167294064</v>
      </c>
      <c r="CX40" s="61">
        <f t="shared" si="33"/>
        <v>2.0032894147356153</v>
      </c>
      <c r="CY40" s="61">
        <f t="shared" si="33"/>
        <v>1.6668789901397698</v>
      </c>
      <c r="CZ40" s="61">
        <f t="shared" si="33"/>
        <v>1.6668789901397698</v>
      </c>
      <c r="DA40" s="61">
        <f t="shared" si="34"/>
        <v>1.7863813833168558</v>
      </c>
      <c r="DB40" s="61">
        <f t="shared" si="34"/>
        <v>1.7251617082042925</v>
      </c>
      <c r="DC40" s="61">
        <f t="shared" si="34"/>
        <v>1.7251617082042925</v>
      </c>
      <c r="DD40" s="61">
        <f t="shared" si="34"/>
        <v>1.7987085468486994</v>
      </c>
      <c r="DE40" s="61">
        <f t="shared" si="34"/>
        <v>1.8957372607825711</v>
      </c>
      <c r="DF40" s="61">
        <f t="shared" si="34"/>
        <v>2.0716869674950886</v>
      </c>
      <c r="DG40" s="61">
        <f t="shared" si="34"/>
        <v>2.2168421962261942</v>
      </c>
      <c r="DH40" s="61">
        <f t="shared" si="34"/>
        <v>2.2168421962261942</v>
      </c>
      <c r="DI40" s="61">
        <f t="shared" si="34"/>
        <v>2.2168421962261942</v>
      </c>
      <c r="DJ40" s="61">
        <f t="shared" si="34"/>
        <v>2.2168421962261942</v>
      </c>
      <c r="DK40" s="61">
        <f t="shared" si="35"/>
        <v>2.4223727569813844</v>
      </c>
      <c r="DL40" s="61">
        <f t="shared" si="35"/>
        <v>2.4223727569813844</v>
      </c>
      <c r="DM40" s="61">
        <f t="shared" si="35"/>
        <v>2.4223727569813844</v>
      </c>
      <c r="DN40" s="61">
        <f t="shared" si="35"/>
        <v>2.4223727569813844</v>
      </c>
      <c r="DO40" s="61">
        <f t="shared" si="35"/>
        <v>2.4223727569813844</v>
      </c>
      <c r="DP40" s="61">
        <f t="shared" si="35"/>
        <v>2.7756425502726647</v>
      </c>
      <c r="DQ40" s="61">
        <f t="shared" si="35"/>
        <v>2.7756425502726647</v>
      </c>
    </row>
    <row r="41" spans="1:121" x14ac:dyDescent="0.25">
      <c r="A41" s="48" t="str">
        <f>KMeans_Data!A32</f>
        <v>Buner</v>
      </c>
      <c r="B41" s="59">
        <f>KMeans_Data!H32</f>
        <v>0.60239578498043678</v>
      </c>
      <c r="C41" s="59">
        <f>KMeans_Data!I32</f>
        <v>0.68618000108374222</v>
      </c>
      <c r="D41" s="59">
        <f>KMeans_Data!J32</f>
        <v>0.8732151368336003</v>
      </c>
      <c r="E41" s="61">
        <f t="shared" si="24"/>
        <v>4.903216967148734</v>
      </c>
      <c r="F41" s="61">
        <f t="shared" si="24"/>
        <v>4.7246611522898423</v>
      </c>
      <c r="G41" s="61">
        <f t="shared" si="24"/>
        <v>2.8174604630695534</v>
      </c>
      <c r="H41" s="61">
        <f t="shared" si="24"/>
        <v>3.4487999526160982</v>
      </c>
      <c r="I41" s="61">
        <f t="shared" si="24"/>
        <v>2.2454521117518178</v>
      </c>
      <c r="J41" s="61">
        <f t="shared" si="24"/>
        <v>1.8723907193505716</v>
      </c>
      <c r="K41" s="61">
        <f t="shared" si="24"/>
        <v>1.923973218767385</v>
      </c>
      <c r="L41" s="61">
        <f t="shared" si="24"/>
        <v>1.1105340002198389</v>
      </c>
      <c r="M41" s="61">
        <f t="shared" si="24"/>
        <v>1.1763471444243814</v>
      </c>
      <c r="N41" s="61">
        <f t="shared" si="24"/>
        <v>1.9837304021735245</v>
      </c>
      <c r="O41" s="61">
        <f t="shared" si="25"/>
        <v>0.96292896015500351</v>
      </c>
      <c r="P41" s="61">
        <f t="shared" si="25"/>
        <v>1.2380592357214235</v>
      </c>
      <c r="Q41" s="61">
        <f t="shared" si="25"/>
        <v>0.57553081302358944</v>
      </c>
      <c r="R41" s="61">
        <f t="shared" si="25"/>
        <v>0.80022663785630888</v>
      </c>
      <c r="S41" s="61">
        <f t="shared" si="25"/>
        <v>0.97199026166540614</v>
      </c>
      <c r="T41" s="61">
        <f t="shared" si="25"/>
        <v>0.495580478294599</v>
      </c>
      <c r="U41" s="61">
        <f t="shared" si="25"/>
        <v>0.82206945960531186</v>
      </c>
      <c r="V41" s="61">
        <f t="shared" si="25"/>
        <v>0.78144002422921133</v>
      </c>
      <c r="W41" s="61">
        <f t="shared" si="25"/>
        <v>0.74060036885708591</v>
      </c>
      <c r="X41" s="61">
        <f t="shared" si="25"/>
        <v>0.31253222669191671</v>
      </c>
      <c r="Y41" s="61">
        <f t="shared" si="26"/>
        <v>0.45272438353488037</v>
      </c>
      <c r="Z41" s="61">
        <f t="shared" si="26"/>
        <v>0.33497106749041067</v>
      </c>
      <c r="AA41" s="61">
        <f t="shared" si="26"/>
        <v>0.56267343806850512</v>
      </c>
      <c r="AB41" s="61">
        <f t="shared" si="26"/>
        <v>0.30721291160277658</v>
      </c>
      <c r="AC41" s="61">
        <f t="shared" si="26"/>
        <v>0.72761087650878054</v>
      </c>
      <c r="AD41" s="61">
        <f t="shared" si="26"/>
        <v>0.43478753804599268</v>
      </c>
      <c r="AE41" s="61">
        <f t="shared" si="26"/>
        <v>2.1844510560000856</v>
      </c>
      <c r="AF41" s="61">
        <f t="shared" si="26"/>
        <v>0</v>
      </c>
      <c r="AG41" s="61">
        <f t="shared" si="26"/>
        <v>1.8621789316230464</v>
      </c>
      <c r="AH41" s="61">
        <f t="shared" si="26"/>
        <v>0.53416942579058735</v>
      </c>
      <c r="AI41" s="61">
        <f t="shared" si="27"/>
        <v>1.8622234877132229</v>
      </c>
      <c r="AJ41" s="61">
        <f t="shared" si="27"/>
        <v>0.27930909454017766</v>
      </c>
      <c r="AK41" s="61">
        <f t="shared" si="27"/>
        <v>0.66599181087239345</v>
      </c>
      <c r="AL41" s="61">
        <f t="shared" si="27"/>
        <v>0.90064954333700786</v>
      </c>
      <c r="AM41" s="61">
        <f t="shared" si="27"/>
        <v>0.90385921825286486</v>
      </c>
      <c r="AN41" s="61">
        <f t="shared" si="27"/>
        <v>0.5069542433853057</v>
      </c>
      <c r="AO41" s="61">
        <f t="shared" si="27"/>
        <v>0.48395028433523546</v>
      </c>
      <c r="AP41" s="61">
        <f t="shared" si="27"/>
        <v>0.54318933124620428</v>
      </c>
      <c r="AQ41" s="61">
        <f t="shared" si="27"/>
        <v>0.66455522092249264</v>
      </c>
      <c r="AR41" s="61">
        <f t="shared" si="27"/>
        <v>1.1079443824242929</v>
      </c>
      <c r="AS41" s="61">
        <f t="shared" si="28"/>
        <v>1.3952701815354784</v>
      </c>
      <c r="AT41" s="61">
        <f t="shared" si="28"/>
        <v>0.90110211128729101</v>
      </c>
      <c r="AU41" s="61">
        <f t="shared" si="28"/>
        <v>1.75762718358382</v>
      </c>
      <c r="AV41" s="61">
        <f t="shared" si="28"/>
        <v>1.4472253797102845</v>
      </c>
      <c r="AW41" s="61">
        <f t="shared" si="28"/>
        <v>2.2047243377323769</v>
      </c>
      <c r="AX41" s="61">
        <f t="shared" si="28"/>
        <v>0.80919517016859888</v>
      </c>
      <c r="AY41" s="61">
        <f t="shared" si="28"/>
        <v>2.4664450906311686</v>
      </c>
      <c r="AZ41" s="61">
        <f t="shared" si="28"/>
        <v>1.4258104305311039</v>
      </c>
      <c r="BA41" s="61">
        <f t="shared" si="28"/>
        <v>0.93090844575573473</v>
      </c>
      <c r="BB41" s="61">
        <f t="shared" si="28"/>
        <v>2.4675190671638418</v>
      </c>
      <c r="BC41" s="61">
        <f t="shared" si="29"/>
        <v>2.4686239448972267</v>
      </c>
      <c r="BD41" s="61">
        <f t="shared" si="29"/>
        <v>1.9824997493298682</v>
      </c>
      <c r="BE41" s="61">
        <f t="shared" si="29"/>
        <v>1.8155160160261443</v>
      </c>
      <c r="BF41" s="61">
        <f t="shared" si="29"/>
        <v>0.84524444601813009</v>
      </c>
      <c r="BG41" s="61">
        <f t="shared" si="29"/>
        <v>1.0053230308116643</v>
      </c>
      <c r="BH41" s="61">
        <f t="shared" si="29"/>
        <v>2.487987399588353</v>
      </c>
      <c r="BI41" s="61">
        <f t="shared" si="29"/>
        <v>2.4914772570046675</v>
      </c>
      <c r="BJ41" s="61">
        <f t="shared" si="29"/>
        <v>1.0513640898008285</v>
      </c>
      <c r="BK41" s="61">
        <f t="shared" si="29"/>
        <v>1.9552084852236222</v>
      </c>
      <c r="BL41" s="61">
        <f t="shared" si="29"/>
        <v>1.5725172244562244</v>
      </c>
      <c r="BM41" s="61">
        <f t="shared" si="30"/>
        <v>0.74911603499439372</v>
      </c>
      <c r="BN41" s="61">
        <f t="shared" si="30"/>
        <v>1.1760404543072656</v>
      </c>
      <c r="BO41" s="61">
        <f t="shared" si="30"/>
        <v>2.2745877425808985</v>
      </c>
      <c r="BP41" s="61">
        <f t="shared" si="30"/>
        <v>1.0664381279714961</v>
      </c>
      <c r="BQ41" s="61">
        <f t="shared" si="30"/>
        <v>1.201497030695176</v>
      </c>
      <c r="BR41" s="61">
        <f t="shared" si="30"/>
        <v>1.1971083982531243</v>
      </c>
      <c r="BS41" s="61">
        <f t="shared" si="30"/>
        <v>1.5886325775190715</v>
      </c>
      <c r="BT41" s="61">
        <f t="shared" si="30"/>
        <v>1.7250056305673163</v>
      </c>
      <c r="BU41" s="61">
        <f t="shared" si="30"/>
        <v>1.759999108835923</v>
      </c>
      <c r="BV41" s="61">
        <f t="shared" si="30"/>
        <v>2.5818182529229921</v>
      </c>
      <c r="BW41" s="61">
        <f t="shared" si="31"/>
        <v>1.7210027538251083</v>
      </c>
      <c r="BX41" s="61">
        <f t="shared" si="31"/>
        <v>2.5872114178515493</v>
      </c>
      <c r="BY41" s="61">
        <f t="shared" si="31"/>
        <v>1.9472002955039545</v>
      </c>
      <c r="BZ41" s="61">
        <f t="shared" si="31"/>
        <v>1.9895989019892859</v>
      </c>
      <c r="CA41" s="61">
        <f t="shared" si="31"/>
        <v>2.6050508274287751</v>
      </c>
      <c r="CB41" s="61">
        <f t="shared" si="31"/>
        <v>1.9981972358583089</v>
      </c>
      <c r="CC41" s="61">
        <f t="shared" si="31"/>
        <v>2.6116236742842873</v>
      </c>
      <c r="CD41" s="61">
        <f t="shared" si="31"/>
        <v>2.6258679934357283</v>
      </c>
      <c r="CE41" s="61">
        <f t="shared" si="31"/>
        <v>1.8839986312912937</v>
      </c>
      <c r="CF41" s="61">
        <f t="shared" si="31"/>
        <v>1.4988902844316196</v>
      </c>
      <c r="CG41" s="61">
        <f t="shared" si="32"/>
        <v>1.8619612694745056</v>
      </c>
      <c r="CH41" s="61">
        <f t="shared" si="32"/>
        <v>2.1492229790097195</v>
      </c>
      <c r="CI41" s="61">
        <f t="shared" si="32"/>
        <v>2.236532208906425</v>
      </c>
      <c r="CJ41" s="61">
        <f t="shared" si="32"/>
        <v>2.4597051772373923</v>
      </c>
      <c r="CK41" s="61">
        <f t="shared" si="32"/>
        <v>2.0318623745809461</v>
      </c>
      <c r="CL41" s="61">
        <f t="shared" si="32"/>
        <v>2.7308503165597315</v>
      </c>
      <c r="CM41" s="61">
        <f t="shared" si="32"/>
        <v>2.1896254053718742</v>
      </c>
      <c r="CN41" s="61">
        <f t="shared" si="32"/>
        <v>1.5704873821244447</v>
      </c>
      <c r="CO41" s="61">
        <f t="shared" si="32"/>
        <v>1.903305087166439</v>
      </c>
      <c r="CP41" s="61">
        <f t="shared" si="32"/>
        <v>2.7815532467998181</v>
      </c>
      <c r="CQ41" s="61">
        <f t="shared" si="33"/>
        <v>2.3229094811403526</v>
      </c>
      <c r="CR41" s="61">
        <f t="shared" si="33"/>
        <v>2.3055965115425909</v>
      </c>
      <c r="CS41" s="61">
        <f t="shared" si="33"/>
        <v>2.8246874711446939</v>
      </c>
      <c r="CT41" s="61">
        <f t="shared" si="33"/>
        <v>2.8501930426314677</v>
      </c>
      <c r="CU41" s="61">
        <f t="shared" si="33"/>
        <v>2.4036641698004462</v>
      </c>
      <c r="CV41" s="61">
        <f t="shared" si="33"/>
        <v>2.1017942029661003</v>
      </c>
      <c r="CW41" s="61">
        <f t="shared" si="33"/>
        <v>2.8501930426314677</v>
      </c>
      <c r="CX41" s="61">
        <f t="shared" si="33"/>
        <v>2.2444267875350685</v>
      </c>
      <c r="CY41" s="61">
        <f t="shared" si="33"/>
        <v>2.8791199271108359</v>
      </c>
      <c r="CZ41" s="61">
        <f t="shared" si="33"/>
        <v>2.8791199271108359</v>
      </c>
      <c r="DA41" s="61">
        <f t="shared" si="34"/>
        <v>2.4714751475441603</v>
      </c>
      <c r="DB41" s="61">
        <f t="shared" si="34"/>
        <v>2.9123397626117216</v>
      </c>
      <c r="DC41" s="61">
        <f t="shared" si="34"/>
        <v>2.9123397626117216</v>
      </c>
      <c r="DD41" s="61">
        <f t="shared" si="34"/>
        <v>2.5856029534390901</v>
      </c>
      <c r="DE41" s="61">
        <f t="shared" si="34"/>
        <v>2.7909662158277166</v>
      </c>
      <c r="DF41" s="61">
        <f t="shared" si="34"/>
        <v>3.1250921978345163</v>
      </c>
      <c r="DG41" s="61">
        <f t="shared" si="34"/>
        <v>3.2211401511744948</v>
      </c>
      <c r="DH41" s="61">
        <f t="shared" si="34"/>
        <v>3.2211401511744948</v>
      </c>
      <c r="DI41" s="61">
        <f t="shared" si="34"/>
        <v>3.2211401511744948</v>
      </c>
      <c r="DJ41" s="61">
        <f t="shared" si="34"/>
        <v>3.2211401511744948</v>
      </c>
      <c r="DK41" s="61">
        <f t="shared" si="35"/>
        <v>3.3631798208964363</v>
      </c>
      <c r="DL41" s="61">
        <f t="shared" si="35"/>
        <v>3.3631798208964363</v>
      </c>
      <c r="DM41" s="61">
        <f t="shared" si="35"/>
        <v>3.3631798208964363</v>
      </c>
      <c r="DN41" s="61">
        <f t="shared" si="35"/>
        <v>3.3631798208964363</v>
      </c>
      <c r="DO41" s="61">
        <f t="shared" si="35"/>
        <v>3.3631798208964363</v>
      </c>
      <c r="DP41" s="61">
        <f t="shared" si="35"/>
        <v>3.6216094048151786</v>
      </c>
      <c r="DQ41" s="61">
        <f t="shared" si="35"/>
        <v>3.6216094048151786</v>
      </c>
    </row>
    <row r="42" spans="1:121" x14ac:dyDescent="0.25">
      <c r="A42" s="48" t="str">
        <f>KMeans_Data!A33</f>
        <v>Sargodha</v>
      </c>
      <c r="B42" s="59">
        <f>KMeans_Data!H33</f>
        <v>0.57775354876086193</v>
      </c>
      <c r="C42" s="59">
        <f>KMeans_Data!I33</f>
        <v>-0.67265054538827607</v>
      </c>
      <c r="D42" s="59">
        <f>KMeans_Data!J33</f>
        <v>-0.39984522290956798</v>
      </c>
      <c r="E42" s="61">
        <f t="shared" si="24"/>
        <v>6.5429996922998921</v>
      </c>
      <c r="F42" s="61">
        <f t="shared" si="24"/>
        <v>6.3209418094309999</v>
      </c>
      <c r="G42" s="61">
        <f t="shared" si="24"/>
        <v>4.4361610207384006</v>
      </c>
      <c r="H42" s="61">
        <f t="shared" si="24"/>
        <v>5.0214318115197587</v>
      </c>
      <c r="I42" s="61">
        <f t="shared" si="24"/>
        <v>3.7990282172703158</v>
      </c>
      <c r="J42" s="61">
        <f t="shared" si="24"/>
        <v>3.5591263689732826</v>
      </c>
      <c r="K42" s="61">
        <f t="shared" si="24"/>
        <v>1.2060986797700148</v>
      </c>
      <c r="L42" s="61">
        <f t="shared" si="24"/>
        <v>2.6271614340368394</v>
      </c>
      <c r="M42" s="61">
        <f t="shared" si="24"/>
        <v>2.8993307430219892</v>
      </c>
      <c r="N42" s="61">
        <f t="shared" si="24"/>
        <v>0.91963027764734917</v>
      </c>
      <c r="O42" s="61">
        <f t="shared" si="25"/>
        <v>2.6193679431612407</v>
      </c>
      <c r="P42" s="61">
        <f t="shared" si="25"/>
        <v>2.9521788702555987</v>
      </c>
      <c r="Q42" s="61">
        <f t="shared" si="25"/>
        <v>2.2768548322537709</v>
      </c>
      <c r="R42" s="61">
        <f t="shared" si="25"/>
        <v>2.1941641439380088</v>
      </c>
      <c r="S42" s="61">
        <f t="shared" si="25"/>
        <v>1.7076006204919898</v>
      </c>
      <c r="T42" s="61">
        <f t="shared" si="25"/>
        <v>2.2098956091832078</v>
      </c>
      <c r="U42" s="61">
        <f t="shared" si="25"/>
        <v>2.264786409967591</v>
      </c>
      <c r="V42" s="61">
        <f t="shared" si="25"/>
        <v>2.3087282017358977</v>
      </c>
      <c r="W42" s="61">
        <f t="shared" si="25"/>
        <v>2.4642647703297036</v>
      </c>
      <c r="X42" s="61">
        <f t="shared" si="25"/>
        <v>2.0763344522711815</v>
      </c>
      <c r="Y42" s="61">
        <f t="shared" si="26"/>
        <v>2.2373562431774494</v>
      </c>
      <c r="Z42" s="61">
        <f t="shared" si="26"/>
        <v>1.8049047466762613</v>
      </c>
      <c r="AA42" s="61">
        <f t="shared" si="26"/>
        <v>1.6077297380795301</v>
      </c>
      <c r="AB42" s="61">
        <f t="shared" si="26"/>
        <v>1.6341928980654488</v>
      </c>
      <c r="AC42" s="61">
        <f t="shared" si="26"/>
        <v>2.3501923150536617</v>
      </c>
      <c r="AD42" s="61">
        <f t="shared" si="26"/>
        <v>2.2386004245757647</v>
      </c>
      <c r="AE42" s="61">
        <f t="shared" si="26"/>
        <v>0.91496189905673209</v>
      </c>
      <c r="AF42" s="61">
        <f t="shared" si="26"/>
        <v>1.8621789316230464</v>
      </c>
      <c r="AG42" s="61">
        <f t="shared" si="26"/>
        <v>0</v>
      </c>
      <c r="AH42" s="61">
        <f t="shared" si="26"/>
        <v>1.4456287402070938</v>
      </c>
      <c r="AI42" s="61">
        <f t="shared" si="27"/>
        <v>3.163961218244693E-3</v>
      </c>
      <c r="AJ42" s="61">
        <f t="shared" si="27"/>
        <v>1.9442247258370557</v>
      </c>
      <c r="AK42" s="61">
        <f t="shared" si="27"/>
        <v>1.2565038829518804</v>
      </c>
      <c r="AL42" s="61">
        <f t="shared" si="27"/>
        <v>1.0913375645541374</v>
      </c>
      <c r="AM42" s="61">
        <f t="shared" si="27"/>
        <v>2.1740543860371733</v>
      </c>
      <c r="AN42" s="61">
        <f t="shared" si="27"/>
        <v>2.1390852660173167</v>
      </c>
      <c r="AO42" s="61">
        <f t="shared" si="27"/>
        <v>1.417553087353234</v>
      </c>
      <c r="AP42" s="61">
        <f t="shared" si="27"/>
        <v>1.3665065338945408</v>
      </c>
      <c r="AQ42" s="61">
        <f t="shared" si="27"/>
        <v>2.2068668422753066</v>
      </c>
      <c r="AR42" s="61">
        <f t="shared" si="27"/>
        <v>0.91248790125635904</v>
      </c>
      <c r="AS42" s="61">
        <f t="shared" si="28"/>
        <v>1.43467780420576</v>
      </c>
      <c r="AT42" s="61">
        <f t="shared" si="28"/>
        <v>1.3218382587950661</v>
      </c>
      <c r="AU42" s="61">
        <f t="shared" si="28"/>
        <v>0.65717849411192508</v>
      </c>
      <c r="AV42" s="61">
        <f t="shared" si="28"/>
        <v>0.96955359397018359</v>
      </c>
      <c r="AW42" s="61">
        <f t="shared" si="28"/>
        <v>0.54341508243294989</v>
      </c>
      <c r="AX42" s="61">
        <f t="shared" si="28"/>
        <v>1.1933246429100492</v>
      </c>
      <c r="AY42" s="61">
        <f t="shared" si="28"/>
        <v>0.83557027779349835</v>
      </c>
      <c r="AZ42" s="61">
        <f t="shared" si="28"/>
        <v>1.4810873146241965</v>
      </c>
      <c r="BA42" s="61">
        <f t="shared" si="28"/>
        <v>1.3611909487120661</v>
      </c>
      <c r="BB42" s="61">
        <f t="shared" si="28"/>
        <v>0.83854277849908687</v>
      </c>
      <c r="BC42" s="61">
        <f t="shared" si="29"/>
        <v>0.84159435357899837</v>
      </c>
      <c r="BD42" s="61">
        <f t="shared" si="29"/>
        <v>0.42319540858825627</v>
      </c>
      <c r="BE42" s="61">
        <f t="shared" si="29"/>
        <v>0.45216857544923555</v>
      </c>
      <c r="BF42" s="61">
        <f t="shared" si="29"/>
        <v>2.4073724483689722</v>
      </c>
      <c r="BG42" s="61">
        <f t="shared" si="29"/>
        <v>1.2411445014120392</v>
      </c>
      <c r="BH42" s="61">
        <f t="shared" si="29"/>
        <v>0.89397076527881858</v>
      </c>
      <c r="BI42" s="61">
        <f t="shared" si="29"/>
        <v>0.90318711356446768</v>
      </c>
      <c r="BJ42" s="61">
        <f t="shared" si="29"/>
        <v>1.4001380047043768</v>
      </c>
      <c r="BK42" s="61">
        <f t="shared" si="29"/>
        <v>0.57179475719683115</v>
      </c>
      <c r="BL42" s="61">
        <f t="shared" si="29"/>
        <v>0.96000901619454404</v>
      </c>
      <c r="BM42" s="61">
        <f t="shared" si="30"/>
        <v>1.6359404601136791</v>
      </c>
      <c r="BN42" s="61">
        <f t="shared" si="30"/>
        <v>1.1297565237890093</v>
      </c>
      <c r="BO42" s="61">
        <f t="shared" si="30"/>
        <v>0.77024775698390557</v>
      </c>
      <c r="BP42" s="61">
        <f t="shared" si="30"/>
        <v>1.2624144451025308</v>
      </c>
      <c r="BQ42" s="61">
        <f t="shared" si="30"/>
        <v>1.1663029503832352</v>
      </c>
      <c r="BR42" s="61">
        <f t="shared" si="30"/>
        <v>1.2136112245129782</v>
      </c>
      <c r="BS42" s="61">
        <f t="shared" si="30"/>
        <v>1.2481182896131664</v>
      </c>
      <c r="BT42" s="61">
        <f t="shared" si="30"/>
        <v>0.99004591303161771</v>
      </c>
      <c r="BU42" s="61">
        <f t="shared" si="30"/>
        <v>0.94182344771934201</v>
      </c>
      <c r="BV42" s="61">
        <f t="shared" si="30"/>
        <v>1.121560192547133</v>
      </c>
      <c r="BW42" s="61">
        <f t="shared" si="31"/>
        <v>1.0955075796359228</v>
      </c>
      <c r="BX42" s="61">
        <f t="shared" si="31"/>
        <v>1.133571951156281</v>
      </c>
      <c r="BY42" s="61">
        <f t="shared" si="31"/>
        <v>0.91361007596133093</v>
      </c>
      <c r="BZ42" s="61">
        <f t="shared" si="31"/>
        <v>0.91824923298636418</v>
      </c>
      <c r="CA42" s="61">
        <f t="shared" si="31"/>
        <v>1.1726411071097276</v>
      </c>
      <c r="CB42" s="61">
        <f t="shared" si="31"/>
        <v>0.93625313129722132</v>
      </c>
      <c r="CC42" s="61">
        <f t="shared" si="31"/>
        <v>1.1867920787009547</v>
      </c>
      <c r="CD42" s="61">
        <f t="shared" si="31"/>
        <v>1.2170369717697018</v>
      </c>
      <c r="CE42" s="61">
        <f t="shared" si="31"/>
        <v>1.0773553167860908</v>
      </c>
      <c r="CF42" s="61">
        <f t="shared" si="31"/>
        <v>1.2375317081481783</v>
      </c>
      <c r="CG42" s="61">
        <f t="shared" si="32"/>
        <v>1.1730689700073089</v>
      </c>
      <c r="CH42" s="61">
        <f t="shared" si="32"/>
        <v>1.0486966105238775</v>
      </c>
      <c r="CI42" s="61">
        <f t="shared" si="32"/>
        <v>1.1031595265013121</v>
      </c>
      <c r="CJ42" s="61">
        <f t="shared" si="32"/>
        <v>1.2024596919912254</v>
      </c>
      <c r="CK42" s="61">
        <f t="shared" si="32"/>
        <v>1.2380295052203096</v>
      </c>
      <c r="CL42" s="61">
        <f t="shared" si="32"/>
        <v>1.4251617165659731</v>
      </c>
      <c r="CM42" s="61">
        <f t="shared" si="32"/>
        <v>1.2173774430013822</v>
      </c>
      <c r="CN42" s="61">
        <f t="shared" si="32"/>
        <v>1.7269490946837975</v>
      </c>
      <c r="CO42" s="61">
        <f t="shared" si="32"/>
        <v>1.4397221375466607</v>
      </c>
      <c r="CP42" s="61">
        <f t="shared" si="32"/>
        <v>1.5183065420430915</v>
      </c>
      <c r="CQ42" s="61">
        <f t="shared" si="33"/>
        <v>1.3641721228640624</v>
      </c>
      <c r="CR42" s="61">
        <f t="shared" si="33"/>
        <v>1.4119888106614844</v>
      </c>
      <c r="CS42" s="61">
        <f t="shared" si="33"/>
        <v>1.5946129565101121</v>
      </c>
      <c r="CT42" s="61">
        <f t="shared" si="33"/>
        <v>1.6386234288787298</v>
      </c>
      <c r="CU42" s="61">
        <f t="shared" si="33"/>
        <v>1.6079436598073449</v>
      </c>
      <c r="CV42" s="61">
        <f t="shared" si="33"/>
        <v>1.6034657966122481</v>
      </c>
      <c r="CW42" s="61">
        <f t="shared" si="33"/>
        <v>1.6386234288787298</v>
      </c>
      <c r="CX42" s="61">
        <f t="shared" si="33"/>
        <v>1.5573664135066498</v>
      </c>
      <c r="CY42" s="61">
        <f t="shared" si="33"/>
        <v>1.687636010518154</v>
      </c>
      <c r="CZ42" s="61">
        <f t="shared" si="33"/>
        <v>1.687636010518154</v>
      </c>
      <c r="DA42" s="61">
        <f t="shared" si="34"/>
        <v>1.5174292179184801</v>
      </c>
      <c r="DB42" s="61">
        <f t="shared" si="34"/>
        <v>1.7428383111821468</v>
      </c>
      <c r="DC42" s="61">
        <f t="shared" si="34"/>
        <v>1.7428383111821468</v>
      </c>
      <c r="DD42" s="61">
        <f t="shared" si="34"/>
        <v>1.5928910622697872</v>
      </c>
      <c r="DE42" s="61">
        <f t="shared" si="34"/>
        <v>1.7764246912558124</v>
      </c>
      <c r="DF42" s="61">
        <f t="shared" si="34"/>
        <v>2.0746526818060786</v>
      </c>
      <c r="DG42" s="61">
        <f t="shared" si="34"/>
        <v>2.2150275438168836</v>
      </c>
      <c r="DH42" s="61">
        <f t="shared" si="34"/>
        <v>2.2150275438168836</v>
      </c>
      <c r="DI42" s="61">
        <f t="shared" si="34"/>
        <v>2.2150275438168836</v>
      </c>
      <c r="DJ42" s="61">
        <f t="shared" si="34"/>
        <v>2.2150275438168836</v>
      </c>
      <c r="DK42" s="61">
        <f t="shared" si="35"/>
        <v>2.4147838478770773</v>
      </c>
      <c r="DL42" s="61">
        <f t="shared" si="35"/>
        <v>2.4147838478770773</v>
      </c>
      <c r="DM42" s="61">
        <f t="shared" si="35"/>
        <v>2.4147838478770773</v>
      </c>
      <c r="DN42" s="61">
        <f t="shared" si="35"/>
        <v>2.4147838478770773</v>
      </c>
      <c r="DO42" s="61">
        <f t="shared" si="35"/>
        <v>2.4147838478770773</v>
      </c>
      <c r="DP42" s="61">
        <f t="shared" si="35"/>
        <v>2.7601589128984672</v>
      </c>
      <c r="DQ42" s="61">
        <f t="shared" si="35"/>
        <v>2.7601589128984672</v>
      </c>
    </row>
    <row r="43" spans="1:121" x14ac:dyDescent="0.25">
      <c r="A43" s="48" t="str">
        <f>KMeans_Data!A34</f>
        <v>Shaheed Benazirabad</v>
      </c>
      <c r="B43" s="59">
        <f>KMeans_Data!H34</f>
        <v>0.57775354876086193</v>
      </c>
      <c r="C43" s="59">
        <f>KMeans_Data!I34</f>
        <v>0.16051258962499582</v>
      </c>
      <c r="D43" s="59">
        <f>KMeans_Data!J34</f>
        <v>0.78154448627517237</v>
      </c>
      <c r="E43" s="61">
        <f t="shared" si="24"/>
        <v>5.3310034929576178</v>
      </c>
      <c r="F43" s="61">
        <f t="shared" si="24"/>
        <v>5.1689875552894788</v>
      </c>
      <c r="G43" s="61">
        <f t="shared" si="24"/>
        <v>3.2055617057629036</v>
      </c>
      <c r="H43" s="61">
        <f t="shared" si="24"/>
        <v>3.9280030289919989</v>
      </c>
      <c r="I43" s="61">
        <f t="shared" si="24"/>
        <v>2.6469005662564453</v>
      </c>
      <c r="J43" s="61">
        <f t="shared" si="24"/>
        <v>2.3587461250615838</v>
      </c>
      <c r="K43" s="61">
        <f t="shared" si="24"/>
        <v>1.7774793600668544</v>
      </c>
      <c r="L43" s="61">
        <f t="shared" si="24"/>
        <v>1.3075794628368289</v>
      </c>
      <c r="M43" s="61">
        <f t="shared" si="24"/>
        <v>1.5507770365115561</v>
      </c>
      <c r="N43" s="61">
        <f t="shared" si="24"/>
        <v>1.7501048253650886</v>
      </c>
      <c r="O43" s="61">
        <f t="shared" si="25"/>
        <v>1.445886159161599</v>
      </c>
      <c r="P43" s="61">
        <f t="shared" si="25"/>
        <v>1.7423187932110449</v>
      </c>
      <c r="Q43" s="61">
        <f t="shared" si="25"/>
        <v>0.99977418974330001</v>
      </c>
      <c r="R43" s="61">
        <f t="shared" si="25"/>
        <v>0.85635508280799066</v>
      </c>
      <c r="S43" s="61">
        <f t="shared" si="25"/>
        <v>0.65420942954214434</v>
      </c>
      <c r="T43" s="61">
        <f t="shared" si="25"/>
        <v>0.94612753574846276</v>
      </c>
      <c r="U43" s="61">
        <f t="shared" si="25"/>
        <v>0.88414640478254536</v>
      </c>
      <c r="V43" s="61">
        <f t="shared" si="25"/>
        <v>1.2618129914900165</v>
      </c>
      <c r="W43" s="61">
        <f t="shared" si="25"/>
        <v>1.2601032711675975</v>
      </c>
      <c r="X43" s="61">
        <f t="shared" si="25"/>
        <v>0.74006056242157947</v>
      </c>
      <c r="Y43" s="61">
        <f t="shared" si="26"/>
        <v>0.83360111388255964</v>
      </c>
      <c r="Z43" s="61">
        <f t="shared" si="26"/>
        <v>0.69480018727348813</v>
      </c>
      <c r="AA43" s="61">
        <f t="shared" si="26"/>
        <v>0.27214654172026381</v>
      </c>
      <c r="AB43" s="61">
        <f t="shared" si="26"/>
        <v>0.45331659559425974</v>
      </c>
      <c r="AC43" s="61">
        <f t="shared" si="26"/>
        <v>1.2355283109142339</v>
      </c>
      <c r="AD43" s="61">
        <f t="shared" si="26"/>
        <v>0.82266973247167663</v>
      </c>
      <c r="AE43" s="61">
        <f t="shared" si="26"/>
        <v>1.9527474465103312</v>
      </c>
      <c r="AF43" s="61">
        <f t="shared" si="26"/>
        <v>0.53416942579058735</v>
      </c>
      <c r="AG43" s="61">
        <f t="shared" si="26"/>
        <v>1.4456287402070938</v>
      </c>
      <c r="AH43" s="61">
        <f t="shared" si="26"/>
        <v>0</v>
      </c>
      <c r="AI43" s="61">
        <f t="shared" si="27"/>
        <v>1.4456322025893513</v>
      </c>
      <c r="AJ43" s="61">
        <f t="shared" si="27"/>
        <v>0.51024394651162441</v>
      </c>
      <c r="AK43" s="61">
        <f t="shared" si="27"/>
        <v>0.54275491373985563</v>
      </c>
      <c r="AL43" s="61">
        <f t="shared" si="27"/>
        <v>0.39482421644654569</v>
      </c>
      <c r="AM43" s="61">
        <f t="shared" si="27"/>
        <v>1.3127506824521229</v>
      </c>
      <c r="AN43" s="61">
        <f t="shared" si="27"/>
        <v>0.99505549295546958</v>
      </c>
      <c r="AO43" s="61">
        <f t="shared" si="27"/>
        <v>0.35613499372327817</v>
      </c>
      <c r="AP43" s="61">
        <f t="shared" si="27"/>
        <v>0.41577962751868486</v>
      </c>
      <c r="AQ43" s="61">
        <f t="shared" si="27"/>
        <v>1.135332595314434</v>
      </c>
      <c r="AR43" s="61">
        <f t="shared" si="27"/>
        <v>0.88047415886839431</v>
      </c>
      <c r="AS43" s="61">
        <f t="shared" si="28"/>
        <v>0.90262072423876138</v>
      </c>
      <c r="AT43" s="61">
        <f t="shared" si="28"/>
        <v>0.43248682796943844</v>
      </c>
      <c r="AU43" s="61">
        <f t="shared" si="28"/>
        <v>1.4849547911111689</v>
      </c>
      <c r="AV43" s="61">
        <f t="shared" si="28"/>
        <v>0.93191956232936735</v>
      </c>
      <c r="AW43" s="61">
        <f t="shared" si="28"/>
        <v>1.8407553941321477</v>
      </c>
      <c r="AX43" s="61">
        <f t="shared" si="28"/>
        <v>0.52832031061168816</v>
      </c>
      <c r="AY43" s="61">
        <f t="shared" si="28"/>
        <v>2.1331147224820288</v>
      </c>
      <c r="AZ43" s="61">
        <f t="shared" si="28"/>
        <v>0.94821362595805025</v>
      </c>
      <c r="BA43" s="61">
        <f t="shared" si="28"/>
        <v>0.49162480589927837</v>
      </c>
      <c r="BB43" s="61">
        <f t="shared" si="28"/>
        <v>2.1342808441043197</v>
      </c>
      <c r="BC43" s="61">
        <f t="shared" si="29"/>
        <v>2.1354816286059992</v>
      </c>
      <c r="BD43" s="61">
        <f t="shared" si="29"/>
        <v>1.5853247497388285</v>
      </c>
      <c r="BE43" s="61">
        <f t="shared" si="29"/>
        <v>1.3877674952237802</v>
      </c>
      <c r="BF43" s="61">
        <f t="shared" si="29"/>
        <v>1.2996106981829125</v>
      </c>
      <c r="BG43" s="61">
        <f t="shared" si="29"/>
        <v>0.59044762822361219</v>
      </c>
      <c r="BH43" s="61">
        <f t="shared" si="29"/>
        <v>2.156660487724221</v>
      </c>
      <c r="BI43" s="61">
        <f t="shared" si="29"/>
        <v>2.1604970937834174</v>
      </c>
      <c r="BJ43" s="61">
        <f t="shared" si="29"/>
        <v>1.0285096381113896</v>
      </c>
      <c r="BK43" s="61">
        <f t="shared" si="29"/>
        <v>1.5546033895725726</v>
      </c>
      <c r="BL43" s="61">
        <f t="shared" si="29"/>
        <v>1.0983438004334884</v>
      </c>
      <c r="BM43" s="61">
        <f t="shared" si="30"/>
        <v>0.77571302901292682</v>
      </c>
      <c r="BN43" s="61">
        <f t="shared" si="30"/>
        <v>0.96524102568016268</v>
      </c>
      <c r="BO43" s="61">
        <f t="shared" si="30"/>
        <v>1.919990124024008</v>
      </c>
      <c r="BP43" s="61">
        <f t="shared" si="30"/>
        <v>0.85085290014362536</v>
      </c>
      <c r="BQ43" s="61">
        <f t="shared" si="30"/>
        <v>0.85308230633438797</v>
      </c>
      <c r="BR43" s="61">
        <f t="shared" si="30"/>
        <v>0.85145805899825044</v>
      </c>
      <c r="BS43" s="61">
        <f t="shared" si="30"/>
        <v>1.1365288080417304</v>
      </c>
      <c r="BT43" s="61">
        <f t="shared" si="30"/>
        <v>1.2913369312108129</v>
      </c>
      <c r="BU43" s="61">
        <f t="shared" si="30"/>
        <v>1.3319210586894321</v>
      </c>
      <c r="BV43" s="61">
        <f t="shared" si="30"/>
        <v>2.2605083489436706</v>
      </c>
      <c r="BW43" s="61">
        <f t="shared" si="31"/>
        <v>1.2914273419656586</v>
      </c>
      <c r="BX43" s="61">
        <f t="shared" si="31"/>
        <v>2.2664920248229281</v>
      </c>
      <c r="BY43" s="61">
        <f t="shared" si="31"/>
        <v>1.5523927719026771</v>
      </c>
      <c r="BZ43" s="61">
        <f t="shared" si="31"/>
        <v>1.6014443025144334</v>
      </c>
      <c r="CA43" s="61">
        <f t="shared" si="31"/>
        <v>2.286282549515962</v>
      </c>
      <c r="CB43" s="61">
        <f t="shared" si="31"/>
        <v>1.6118350182446544</v>
      </c>
      <c r="CC43" s="61">
        <f t="shared" si="31"/>
        <v>2.293572795488517</v>
      </c>
      <c r="CD43" s="61">
        <f t="shared" si="31"/>
        <v>2.3093678184282478</v>
      </c>
      <c r="CE43" s="61">
        <f t="shared" si="31"/>
        <v>1.4847075578408737</v>
      </c>
      <c r="CF43" s="61">
        <f t="shared" si="31"/>
        <v>1.2132069065466551</v>
      </c>
      <c r="CG43" s="61">
        <f t="shared" si="32"/>
        <v>1.6093476460653848</v>
      </c>
      <c r="CH43" s="61">
        <f t="shared" si="32"/>
        <v>1.7859470976031229</v>
      </c>
      <c r="CI43" s="61">
        <f t="shared" si="32"/>
        <v>1.8844418667591996</v>
      </c>
      <c r="CJ43" s="61">
        <f t="shared" si="32"/>
        <v>2.1304905022258653</v>
      </c>
      <c r="CK43" s="61">
        <f t="shared" si="32"/>
        <v>1.6611095807500069</v>
      </c>
      <c r="CL43" s="61">
        <f t="shared" si="32"/>
        <v>2.4255075032872915</v>
      </c>
      <c r="CM43" s="61">
        <f t="shared" si="32"/>
        <v>1.8363627510198666</v>
      </c>
      <c r="CN43" s="61">
        <f t="shared" si="32"/>
        <v>1.3290889390182952</v>
      </c>
      <c r="CO43" s="61">
        <f t="shared" si="32"/>
        <v>1.6649643730990078</v>
      </c>
      <c r="CP43" s="61">
        <f t="shared" si="32"/>
        <v>2.4813817694479274</v>
      </c>
      <c r="CQ43" s="61">
        <f t="shared" si="33"/>
        <v>1.9876639643843703</v>
      </c>
      <c r="CR43" s="61">
        <f t="shared" si="33"/>
        <v>1.9707695745667231</v>
      </c>
      <c r="CS43" s="61">
        <f t="shared" si="33"/>
        <v>2.528792441306245</v>
      </c>
      <c r="CT43" s="61">
        <f t="shared" si="33"/>
        <v>2.5567728627721245</v>
      </c>
      <c r="CU43" s="61">
        <f t="shared" si="33"/>
        <v>2.1914903297334134</v>
      </c>
      <c r="CV43" s="61">
        <f t="shared" si="33"/>
        <v>1.7577498702815841</v>
      </c>
      <c r="CW43" s="61">
        <f t="shared" si="33"/>
        <v>2.5567728627721245</v>
      </c>
      <c r="CX43" s="61">
        <f t="shared" si="33"/>
        <v>1.9110097146226086</v>
      </c>
      <c r="CY43" s="61">
        <f t="shared" si="33"/>
        <v>2.5884582349605934</v>
      </c>
      <c r="CZ43" s="61">
        <f t="shared" si="33"/>
        <v>2.5884582349605934</v>
      </c>
      <c r="DA43" s="61">
        <f t="shared" si="34"/>
        <v>2.1533117841308975</v>
      </c>
      <c r="DB43" s="61">
        <f t="shared" si="34"/>
        <v>2.6247830594283248</v>
      </c>
      <c r="DC43" s="61">
        <f t="shared" si="34"/>
        <v>2.6247830594283248</v>
      </c>
      <c r="DD43" s="61">
        <f t="shared" si="34"/>
        <v>2.277376234132237</v>
      </c>
      <c r="DE43" s="61">
        <f t="shared" si="34"/>
        <v>2.4997530183828753</v>
      </c>
      <c r="DF43" s="61">
        <f t="shared" si="34"/>
        <v>2.8559034437919699</v>
      </c>
      <c r="DG43" s="61">
        <f t="shared" si="34"/>
        <v>2.9594505824570096</v>
      </c>
      <c r="DH43" s="61">
        <f t="shared" si="34"/>
        <v>2.9594505824570096</v>
      </c>
      <c r="DI43" s="61">
        <f t="shared" si="34"/>
        <v>2.9594505824570096</v>
      </c>
      <c r="DJ43" s="61">
        <f t="shared" si="34"/>
        <v>2.9594505824570096</v>
      </c>
      <c r="DK43" s="61">
        <f t="shared" si="35"/>
        <v>3.1117811237466078</v>
      </c>
      <c r="DL43" s="61">
        <f t="shared" si="35"/>
        <v>3.1117811237466078</v>
      </c>
      <c r="DM43" s="61">
        <f t="shared" si="35"/>
        <v>3.1117811237466078</v>
      </c>
      <c r="DN43" s="61">
        <f t="shared" si="35"/>
        <v>3.1117811237466078</v>
      </c>
      <c r="DO43" s="61">
        <f t="shared" si="35"/>
        <v>3.1117811237466078</v>
      </c>
      <c r="DP43" s="61">
        <f t="shared" si="35"/>
        <v>3.3868094062982825</v>
      </c>
      <c r="DQ43" s="61">
        <f t="shared" si="35"/>
        <v>3.3868094062982825</v>
      </c>
    </row>
    <row r="44" spans="1:121" x14ac:dyDescent="0.25">
      <c r="A44" s="48" t="str">
        <f>KMeans_Data!A35</f>
        <v>Gujrat</v>
      </c>
      <c r="B44" s="59">
        <f>KMeans_Data!H35</f>
        <v>0.57458958754261724</v>
      </c>
      <c r="C44" s="59">
        <f>KMeans_Data!I35</f>
        <v>-0.67265054538827607</v>
      </c>
      <c r="D44" s="59">
        <f>KMeans_Data!J35</f>
        <v>-0.39984522290956798</v>
      </c>
      <c r="E44" s="61">
        <f t="shared" ref="E44:N53" si="36">SQRT(($B44-E$5)^2+($C44-E$6)^2+($D44-E$7)^2)</f>
        <v>6.5443042851341469</v>
      </c>
      <c r="F44" s="61">
        <f t="shared" si="36"/>
        <v>6.3222801341890342</v>
      </c>
      <c r="G44" s="61">
        <f t="shared" si="36"/>
        <v>4.4374363327787467</v>
      </c>
      <c r="H44" s="61">
        <f t="shared" si="36"/>
        <v>5.0225463588180697</v>
      </c>
      <c r="I44" s="61">
        <f t="shared" si="36"/>
        <v>3.8003563161825453</v>
      </c>
      <c r="J44" s="61">
        <f t="shared" si="36"/>
        <v>3.5599419786108606</v>
      </c>
      <c r="K44" s="61">
        <f t="shared" si="36"/>
        <v>1.2080994092823738</v>
      </c>
      <c r="L44" s="61">
        <f t="shared" si="36"/>
        <v>2.6280526928216261</v>
      </c>
      <c r="M44" s="61">
        <f t="shared" si="36"/>
        <v>2.9000759387499251</v>
      </c>
      <c r="N44" s="61">
        <f t="shared" si="36"/>
        <v>0.92177932371043225</v>
      </c>
      <c r="O44" s="61">
        <f t="shared" ref="O44:X53" si="37">SQRT(($B44-O$5)^2+($C44-O$6)^2+($D44-O$7)^2)</f>
        <v>2.6200501984088373</v>
      </c>
      <c r="P44" s="61">
        <f t="shared" si="37"/>
        <v>2.9527691394849498</v>
      </c>
      <c r="Q44" s="61">
        <f t="shared" si="37"/>
        <v>2.2775027987931757</v>
      </c>
      <c r="R44" s="61">
        <f t="shared" si="37"/>
        <v>2.1948290386308456</v>
      </c>
      <c r="S44" s="61">
        <f t="shared" si="37"/>
        <v>1.7084002174030588</v>
      </c>
      <c r="T44" s="61">
        <f t="shared" si="37"/>
        <v>2.2104602863528919</v>
      </c>
      <c r="U44" s="61">
        <f t="shared" si="37"/>
        <v>2.2652110523743776</v>
      </c>
      <c r="V44" s="61">
        <f t="shared" si="37"/>
        <v>2.3091075473125962</v>
      </c>
      <c r="W44" s="61">
        <f t="shared" si="37"/>
        <v>2.4646177858484748</v>
      </c>
      <c r="X44" s="61">
        <f t="shared" si="37"/>
        <v>2.0767390715364402</v>
      </c>
      <c r="Y44" s="61">
        <f t="shared" ref="Y44:AH53" si="38">SQRT(($B44-Y$5)^2+($C44-Y$6)^2+($D44-Y$7)^2)</f>
        <v>2.2376583772345531</v>
      </c>
      <c r="Z44" s="61">
        <f t="shared" si="38"/>
        <v>1.8052718717093117</v>
      </c>
      <c r="AA44" s="61">
        <f t="shared" si="38"/>
        <v>1.6081377059951343</v>
      </c>
      <c r="AB44" s="61">
        <f t="shared" si="38"/>
        <v>1.6345942612237352</v>
      </c>
      <c r="AC44" s="61">
        <f t="shared" si="38"/>
        <v>2.3504422221581716</v>
      </c>
      <c r="AD44" s="61">
        <f t="shared" si="38"/>
        <v>2.2387870277251158</v>
      </c>
      <c r="AE44" s="61">
        <f t="shared" si="38"/>
        <v>0.91520220539866637</v>
      </c>
      <c r="AF44" s="61">
        <f t="shared" si="38"/>
        <v>1.8622234877132229</v>
      </c>
      <c r="AG44" s="61">
        <f t="shared" si="38"/>
        <v>3.163961218244693E-3</v>
      </c>
      <c r="AH44" s="61">
        <f t="shared" si="38"/>
        <v>1.4456322025893513</v>
      </c>
      <c r="AI44" s="61">
        <f t="shared" ref="AI44:AR53" si="39">SQRT(($B44-AI$5)^2+($C44-AI$6)^2+($D44-AI$7)^2)</f>
        <v>0</v>
      </c>
      <c r="AJ44" s="61">
        <f t="shared" si="39"/>
        <v>1.9442117586390786</v>
      </c>
      <c r="AK44" s="61">
        <f t="shared" si="39"/>
        <v>1.256391658197676</v>
      </c>
      <c r="AL44" s="61">
        <f t="shared" si="39"/>
        <v>1.0910724861992556</v>
      </c>
      <c r="AM44" s="61">
        <f t="shared" si="39"/>
        <v>2.1739213333930785</v>
      </c>
      <c r="AN44" s="61">
        <f t="shared" si="39"/>
        <v>2.1389040606560958</v>
      </c>
      <c r="AO44" s="61">
        <f t="shared" si="39"/>
        <v>1.4172340624201258</v>
      </c>
      <c r="AP44" s="61">
        <f t="shared" si="39"/>
        <v>1.3661659070139087</v>
      </c>
      <c r="AQ44" s="61">
        <f t="shared" si="39"/>
        <v>2.2066252250856015</v>
      </c>
      <c r="AR44" s="61">
        <f t="shared" si="39"/>
        <v>0.91184164488020747</v>
      </c>
      <c r="AS44" s="61">
        <f t="shared" ref="AS44:BB53" si="40">SQRT(($B44-AS$5)^2+($C44-AS$6)^2+($D44-AS$7)^2)</f>
        <v>1.434106381052102</v>
      </c>
      <c r="AT44" s="61">
        <f t="shared" si="40"/>
        <v>1.3211141040377656</v>
      </c>
      <c r="AU44" s="61">
        <f t="shared" si="40"/>
        <v>0.65566552387715771</v>
      </c>
      <c r="AV44" s="61">
        <f t="shared" si="40"/>
        <v>0.96850972037507566</v>
      </c>
      <c r="AW44" s="61">
        <f t="shared" si="40"/>
        <v>0.54144614491352527</v>
      </c>
      <c r="AX44" s="61">
        <f t="shared" si="40"/>
        <v>1.1924131660489456</v>
      </c>
      <c r="AY44" s="61">
        <f t="shared" si="40"/>
        <v>0.83414835461093395</v>
      </c>
      <c r="AZ44" s="61">
        <f t="shared" si="40"/>
        <v>1.4802855879555601</v>
      </c>
      <c r="BA44" s="61">
        <f t="shared" si="40"/>
        <v>1.3603033334816867</v>
      </c>
      <c r="BB44" s="61">
        <f t="shared" si="40"/>
        <v>0.83710115971649646</v>
      </c>
      <c r="BC44" s="61">
        <f t="shared" ref="BC44:BL53" si="41">SQRT(($B44-BC$5)^2+($C44-BC$6)^2+($D44-BC$7)^2)</f>
        <v>0.84013300155277459</v>
      </c>
      <c r="BD44" s="61">
        <f t="shared" si="41"/>
        <v>0.42012805784975854</v>
      </c>
      <c r="BE44" s="61">
        <f t="shared" si="41"/>
        <v>0.44919999220674245</v>
      </c>
      <c r="BF44" s="61">
        <f t="shared" si="41"/>
        <v>2.4067879235003113</v>
      </c>
      <c r="BG44" s="61">
        <f t="shared" si="41"/>
        <v>1.2399322102833923</v>
      </c>
      <c r="BH44" s="61">
        <f t="shared" si="41"/>
        <v>0.89223012480858832</v>
      </c>
      <c r="BI44" s="61">
        <f t="shared" si="41"/>
        <v>0.90140627045044419</v>
      </c>
      <c r="BJ44" s="61">
        <f t="shared" si="41"/>
        <v>1.3988909204374169</v>
      </c>
      <c r="BK44" s="61">
        <f t="shared" si="41"/>
        <v>0.56863079597858646</v>
      </c>
      <c r="BL44" s="61">
        <f t="shared" si="41"/>
        <v>0.9580963501527221</v>
      </c>
      <c r="BM44" s="61">
        <f t="shared" ref="BM44:BV53" si="42">SQRT(($B44-BM$5)^2+($C44-BM$6)^2+($D44-BM$7)^2)</f>
        <v>1.634761219001323</v>
      </c>
      <c r="BN44" s="61">
        <f t="shared" si="42"/>
        <v>1.1280193426202063</v>
      </c>
      <c r="BO44" s="61">
        <f t="shared" si="42"/>
        <v>0.76760992335314648</v>
      </c>
      <c r="BP44" s="61">
        <f t="shared" si="42"/>
        <v>1.2607224362520169</v>
      </c>
      <c r="BQ44" s="61">
        <f t="shared" si="42"/>
        <v>1.1644395166450789</v>
      </c>
      <c r="BR44" s="61">
        <f t="shared" si="42"/>
        <v>1.2117573217142419</v>
      </c>
      <c r="BS44" s="61">
        <f t="shared" si="42"/>
        <v>1.2462177952415534</v>
      </c>
      <c r="BT44" s="61">
        <f t="shared" si="42"/>
        <v>0.98751547737279943</v>
      </c>
      <c r="BU44" s="61">
        <f t="shared" si="42"/>
        <v>0.93916309276619603</v>
      </c>
      <c r="BV44" s="61">
        <f t="shared" si="42"/>
        <v>1.119199089620377</v>
      </c>
      <c r="BW44" s="61">
        <f t="shared" ref="BW44:CF53" si="43">SQRT(($B44-BW$5)^2+($C44-BW$6)^2+($D44-BW$7)^2)</f>
        <v>1.0930438451728779</v>
      </c>
      <c r="BX44" s="61">
        <f t="shared" si="43"/>
        <v>1.1311911239391912</v>
      </c>
      <c r="BY44" s="61">
        <f t="shared" si="43"/>
        <v>0.91053764562637729</v>
      </c>
      <c r="BZ44" s="61">
        <f t="shared" si="43"/>
        <v>0.91513137446549131</v>
      </c>
      <c r="CA44" s="61">
        <f t="shared" si="43"/>
        <v>1.1702012411267477</v>
      </c>
      <c r="CB44" s="61">
        <f t="shared" si="43"/>
        <v>0.93313350141718832</v>
      </c>
      <c r="CC44" s="61">
        <f t="shared" si="43"/>
        <v>1.1843325730851886</v>
      </c>
      <c r="CD44" s="61">
        <f t="shared" si="43"/>
        <v>1.2145382341051494</v>
      </c>
      <c r="CE44" s="61">
        <f t="shared" si="43"/>
        <v>1.0744717012916412</v>
      </c>
      <c r="CF44" s="61">
        <f t="shared" si="43"/>
        <v>1.2350221402636647</v>
      </c>
      <c r="CG44" s="61">
        <f t="shared" ref="CG44:CP53" si="44">SQRT(($B44-CG$5)^2+($C44-CG$6)^2+($D44-CG$7)^2)</f>
        <v>1.1702413205120534</v>
      </c>
      <c r="CH44" s="61">
        <f t="shared" si="44"/>
        <v>1.0455326493056329</v>
      </c>
      <c r="CI44" s="61">
        <f t="shared" si="44"/>
        <v>1.1000095350743209</v>
      </c>
      <c r="CJ44" s="61">
        <f t="shared" si="44"/>
        <v>1.1995000679679808</v>
      </c>
      <c r="CK44" s="61">
        <f t="shared" si="44"/>
        <v>1.2350068165952148</v>
      </c>
      <c r="CL44" s="61">
        <f t="shared" si="44"/>
        <v>1.4224665313404123</v>
      </c>
      <c r="CM44" s="61">
        <f t="shared" si="44"/>
        <v>1.2142211302505554</v>
      </c>
      <c r="CN44" s="61">
        <f t="shared" si="44"/>
        <v>1.7245980706298605</v>
      </c>
      <c r="CO44" s="61">
        <f t="shared" si="44"/>
        <v>1.4368163030737835</v>
      </c>
      <c r="CP44" s="61">
        <f t="shared" si="44"/>
        <v>1.5155513884548879</v>
      </c>
      <c r="CQ44" s="61">
        <f t="shared" ref="CQ44:CZ53" si="45">SQRT(($B44-CQ$5)^2+($C44-CQ$6)^2+($D44-CQ$7)^2)</f>
        <v>1.3610081616458176</v>
      </c>
      <c r="CR44" s="61">
        <f t="shared" si="45"/>
        <v>1.4088305310649749</v>
      </c>
      <c r="CS44" s="61">
        <f t="shared" si="45"/>
        <v>1.5918170576097954</v>
      </c>
      <c r="CT44" s="61">
        <f t="shared" si="45"/>
        <v>1.635806804608023</v>
      </c>
      <c r="CU44" s="61">
        <f t="shared" si="45"/>
        <v>1.6050731987813711</v>
      </c>
      <c r="CV44" s="61">
        <f t="shared" si="45"/>
        <v>1.6005873050967812</v>
      </c>
      <c r="CW44" s="61">
        <f t="shared" si="45"/>
        <v>1.635806804608023</v>
      </c>
      <c r="CX44" s="61">
        <f t="shared" si="45"/>
        <v>1.554290932237071</v>
      </c>
      <c r="CY44" s="61">
        <f t="shared" si="45"/>
        <v>1.6847983440499485</v>
      </c>
      <c r="CZ44" s="61">
        <f t="shared" si="45"/>
        <v>1.6847983440499485</v>
      </c>
      <c r="DA44" s="61">
        <f t="shared" ref="DA44:DJ53" si="46">SQRT(($B44-DA$5)^2+($C44-DA$6)^2+($D44-DA$7)^2)</f>
        <v>1.514272626546656</v>
      </c>
      <c r="DB44" s="61">
        <f t="shared" si="46"/>
        <v>1.7399792002579773</v>
      </c>
      <c r="DC44" s="61">
        <f t="shared" si="46"/>
        <v>1.7399792002579773</v>
      </c>
      <c r="DD44" s="61">
        <f t="shared" si="46"/>
        <v>1.5897623013095774</v>
      </c>
      <c r="DE44" s="61">
        <f t="shared" si="46"/>
        <v>1.7733525997269111</v>
      </c>
      <c r="DF44" s="61">
        <f t="shared" si="46"/>
        <v>2.0717005363997734</v>
      </c>
      <c r="DG44" s="61">
        <f t="shared" si="46"/>
        <v>2.2120485761190105</v>
      </c>
      <c r="DH44" s="61">
        <f t="shared" si="46"/>
        <v>2.2120485761190105</v>
      </c>
      <c r="DI44" s="61">
        <f t="shared" si="46"/>
        <v>2.2120485761190105</v>
      </c>
      <c r="DJ44" s="61">
        <f t="shared" si="46"/>
        <v>2.2120485761190105</v>
      </c>
      <c r="DK44" s="61">
        <f t="shared" ref="DK44:DQ53" si="47">SQRT(($B44-DK$5)^2+($C44-DK$6)^2+($D44-DK$7)^2)</f>
        <v>2.4117747652610055</v>
      </c>
      <c r="DL44" s="61">
        <f t="shared" si="47"/>
        <v>2.4117747652610055</v>
      </c>
      <c r="DM44" s="61">
        <f t="shared" si="47"/>
        <v>2.4117747652610055</v>
      </c>
      <c r="DN44" s="61">
        <f t="shared" si="47"/>
        <v>2.4117747652610055</v>
      </c>
      <c r="DO44" s="61">
        <f t="shared" si="47"/>
        <v>2.4117747652610055</v>
      </c>
      <c r="DP44" s="61">
        <f t="shared" si="47"/>
        <v>2.7571127715097909</v>
      </c>
      <c r="DQ44" s="61">
        <f t="shared" si="47"/>
        <v>2.7571127715097909</v>
      </c>
    </row>
    <row r="45" spans="1:121" x14ac:dyDescent="0.25">
      <c r="A45" s="48" t="str">
        <f>KMeans_Data!A36</f>
        <v>Dera Ismail Khan</v>
      </c>
      <c r="B45" s="59">
        <f>KMeans_Data!H36</f>
        <v>0.56820337223564554</v>
      </c>
      <c r="C45" s="59">
        <f>KMeans_Data!I36</f>
        <v>0.54791138584450239</v>
      </c>
      <c r="D45" s="59">
        <f>KMeans_Data!J36</f>
        <v>1.1134779913146182</v>
      </c>
      <c r="E45" s="61">
        <f t="shared" si="36"/>
        <v>4.9077486940462336</v>
      </c>
      <c r="F45" s="61">
        <f t="shared" si="36"/>
        <v>4.7615981384513324</v>
      </c>
      <c r="G45" s="61">
        <f t="shared" si="36"/>
        <v>2.8037271427768466</v>
      </c>
      <c r="H45" s="61">
        <f t="shared" si="36"/>
        <v>3.5381065074790743</v>
      </c>
      <c r="I45" s="61">
        <f t="shared" si="36"/>
        <v>2.2832524376183554</v>
      </c>
      <c r="J45" s="61">
        <f t="shared" si="36"/>
        <v>1.9488417723351996</v>
      </c>
      <c r="K45" s="61">
        <f t="shared" si="36"/>
        <v>2.1214370412319647</v>
      </c>
      <c r="L45" s="61">
        <f t="shared" si="36"/>
        <v>0.9753846919571505</v>
      </c>
      <c r="M45" s="61">
        <f t="shared" si="36"/>
        <v>1.121137468333292</v>
      </c>
      <c r="N45" s="61">
        <f t="shared" si="36"/>
        <v>2.1539594607512567</v>
      </c>
      <c r="O45" s="61">
        <f t="shared" si="37"/>
        <v>1.097802776552762</v>
      </c>
      <c r="P45" s="61">
        <f t="shared" si="37"/>
        <v>1.3434509926013314</v>
      </c>
      <c r="Q45" s="61">
        <f t="shared" si="37"/>
        <v>0.6517500617567199</v>
      </c>
      <c r="R45" s="61">
        <f t="shared" si="37"/>
        <v>0.61328679051740209</v>
      </c>
      <c r="S45" s="61">
        <f t="shared" si="37"/>
        <v>0.82400889998180959</v>
      </c>
      <c r="T45" s="61">
        <f t="shared" si="37"/>
        <v>0.61163244484016899</v>
      </c>
      <c r="U45" s="61">
        <f t="shared" si="37"/>
        <v>0.58872977760858658</v>
      </c>
      <c r="V45" s="61">
        <f t="shared" si="37"/>
        <v>1.0101699797244903</v>
      </c>
      <c r="W45" s="61">
        <f t="shared" si="37"/>
        <v>0.89794235222439667</v>
      </c>
      <c r="X45" s="61">
        <f t="shared" si="37"/>
        <v>0.38186625635564753</v>
      </c>
      <c r="Y45" s="61">
        <f t="shared" si="38"/>
        <v>0.37179359077452123</v>
      </c>
      <c r="Z45" s="61">
        <f t="shared" si="38"/>
        <v>0.59796071350241387</v>
      </c>
      <c r="AA45" s="61">
        <f t="shared" si="38"/>
        <v>0.46913318631628581</v>
      </c>
      <c r="AB45" s="61">
        <f t="shared" si="38"/>
        <v>0.49554069828989039</v>
      </c>
      <c r="AC45" s="61">
        <f t="shared" si="38"/>
        <v>0.93826412744408427</v>
      </c>
      <c r="AD45" s="61">
        <f t="shared" si="38"/>
        <v>0.33453584607846881</v>
      </c>
      <c r="AE45" s="61">
        <f t="shared" si="38"/>
        <v>2.3648493912275987</v>
      </c>
      <c r="AF45" s="61">
        <f t="shared" si="38"/>
        <v>0.27930909454017766</v>
      </c>
      <c r="AG45" s="61">
        <f t="shared" si="38"/>
        <v>1.9442247258370557</v>
      </c>
      <c r="AH45" s="61">
        <f t="shared" si="38"/>
        <v>0.51024394651162441</v>
      </c>
      <c r="AI45" s="61">
        <f t="shared" si="39"/>
        <v>1.9442117586390786</v>
      </c>
      <c r="AJ45" s="61">
        <f t="shared" si="39"/>
        <v>0</v>
      </c>
      <c r="AK45" s="61">
        <f t="shared" si="39"/>
        <v>0.84469591437756175</v>
      </c>
      <c r="AL45" s="61">
        <f t="shared" si="39"/>
        <v>0.89726322289681837</v>
      </c>
      <c r="AM45" s="61">
        <f t="shared" si="39"/>
        <v>1.1623353393508662</v>
      </c>
      <c r="AN45" s="61">
        <f t="shared" si="39"/>
        <v>0.72508465165519509</v>
      </c>
      <c r="AO45" s="61">
        <f t="shared" si="39"/>
        <v>0.61298342347490786</v>
      </c>
      <c r="AP45" s="61">
        <f t="shared" si="39"/>
        <v>0.68889453237347698</v>
      </c>
      <c r="AQ45" s="61">
        <f t="shared" si="39"/>
        <v>0.88660492902563481</v>
      </c>
      <c r="AR45" s="61">
        <f t="shared" si="39"/>
        <v>1.266115148380929</v>
      </c>
      <c r="AS45" s="61">
        <f t="shared" si="40"/>
        <v>1.250330745179923</v>
      </c>
      <c r="AT45" s="61">
        <f t="shared" si="40"/>
        <v>0.82745281185288333</v>
      </c>
      <c r="AU45" s="61">
        <f t="shared" si="40"/>
        <v>1.9076403688820682</v>
      </c>
      <c r="AV45" s="61">
        <f t="shared" si="40"/>
        <v>1.3947107988289118</v>
      </c>
      <c r="AW45" s="61">
        <f t="shared" si="40"/>
        <v>2.3138601011168087</v>
      </c>
      <c r="AX45" s="61">
        <f t="shared" si="40"/>
        <v>0.89351898314152345</v>
      </c>
      <c r="AY45" s="61">
        <f t="shared" si="40"/>
        <v>2.5938890564199508</v>
      </c>
      <c r="AZ45" s="61">
        <f t="shared" si="40"/>
        <v>1.2771776014172911</v>
      </c>
      <c r="BA45" s="61">
        <f t="shared" si="40"/>
        <v>0.8505897108185253</v>
      </c>
      <c r="BB45" s="61">
        <f t="shared" si="40"/>
        <v>2.5948240193808982</v>
      </c>
      <c r="BC45" s="61">
        <f t="shared" si="41"/>
        <v>2.5957873787064623</v>
      </c>
      <c r="BD45" s="61">
        <f t="shared" si="41"/>
        <v>2.0650010525149258</v>
      </c>
      <c r="BE45" s="61">
        <f t="shared" si="41"/>
        <v>1.8720176655987082</v>
      </c>
      <c r="BF45" s="61">
        <f t="shared" si="41"/>
        <v>0.99998451048151349</v>
      </c>
      <c r="BG45" s="61">
        <f t="shared" si="41"/>
        <v>0.97286630001622709</v>
      </c>
      <c r="BH45" s="61">
        <f t="shared" si="41"/>
        <v>2.6128620650671794</v>
      </c>
      <c r="BI45" s="61">
        <f t="shared" si="41"/>
        <v>2.6159693777027599</v>
      </c>
      <c r="BJ45" s="61">
        <f t="shared" si="41"/>
        <v>1.2338655380947019</v>
      </c>
      <c r="BK45" s="61">
        <f t="shared" si="41"/>
        <v>2.0238669786275758</v>
      </c>
      <c r="BL45" s="61">
        <f t="shared" si="41"/>
        <v>1.5421562156777067</v>
      </c>
      <c r="BM45" s="61">
        <f t="shared" si="42"/>
        <v>0.8578561996009807</v>
      </c>
      <c r="BN45" s="61">
        <f t="shared" si="42"/>
        <v>1.2924828341656251</v>
      </c>
      <c r="BO45" s="61">
        <f t="shared" si="42"/>
        <v>2.3761593110948933</v>
      </c>
      <c r="BP45" s="61">
        <f t="shared" si="42"/>
        <v>1.1463829442825522</v>
      </c>
      <c r="BQ45" s="61">
        <f t="shared" si="42"/>
        <v>1.2160198671260884</v>
      </c>
      <c r="BR45" s="61">
        <f t="shared" si="42"/>
        <v>1.2012748272033353</v>
      </c>
      <c r="BS45" s="61">
        <f t="shared" si="42"/>
        <v>1.5184135218585719</v>
      </c>
      <c r="BT45" s="61">
        <f t="shared" si="42"/>
        <v>1.7171284506459095</v>
      </c>
      <c r="BU45" s="61">
        <f t="shared" si="42"/>
        <v>1.7638254793148558</v>
      </c>
      <c r="BV45" s="61">
        <f t="shared" si="42"/>
        <v>2.6979949825076472</v>
      </c>
      <c r="BW45" s="61">
        <f t="shared" si="43"/>
        <v>1.698782037936172</v>
      </c>
      <c r="BX45" s="61">
        <f t="shared" si="43"/>
        <v>2.7029537773633101</v>
      </c>
      <c r="BY45" s="61">
        <f t="shared" si="43"/>
        <v>1.9845796246715159</v>
      </c>
      <c r="BZ45" s="61">
        <f t="shared" si="43"/>
        <v>2.0332235625726951</v>
      </c>
      <c r="CA45" s="61">
        <f t="shared" si="43"/>
        <v>2.7193900624177676</v>
      </c>
      <c r="CB45" s="61">
        <f t="shared" si="43"/>
        <v>2.0413322803800402</v>
      </c>
      <c r="CC45" s="61">
        <f t="shared" si="43"/>
        <v>2.7254580780296886</v>
      </c>
      <c r="CD45" s="61">
        <f t="shared" si="43"/>
        <v>2.7386289577807421</v>
      </c>
      <c r="CE45" s="61">
        <f t="shared" si="43"/>
        <v>1.8925697542241731</v>
      </c>
      <c r="CF45" s="61">
        <f t="shared" si="43"/>
        <v>1.5421325530354779</v>
      </c>
      <c r="CG45" s="61">
        <f t="shared" si="44"/>
        <v>1.9628680178794342</v>
      </c>
      <c r="CH45" s="61">
        <f t="shared" si="44"/>
        <v>2.2044826808066889</v>
      </c>
      <c r="CI45" s="61">
        <f t="shared" si="44"/>
        <v>2.2997730640704468</v>
      </c>
      <c r="CJ45" s="61">
        <f t="shared" si="44"/>
        <v>2.5474590643973301</v>
      </c>
      <c r="CK45" s="61">
        <f t="shared" si="44"/>
        <v>2.0455575489406268</v>
      </c>
      <c r="CL45" s="61">
        <f t="shared" si="44"/>
        <v>2.8364007094731871</v>
      </c>
      <c r="CM45" s="61">
        <f t="shared" si="44"/>
        <v>2.2322884310145796</v>
      </c>
      <c r="CN45" s="61">
        <f t="shared" si="44"/>
        <v>1.5304057421263848</v>
      </c>
      <c r="CO45" s="61">
        <f t="shared" si="44"/>
        <v>1.971075901875595</v>
      </c>
      <c r="CP45" s="61">
        <f t="shared" si="44"/>
        <v>2.8839683849813809</v>
      </c>
      <c r="CQ45" s="61">
        <f t="shared" si="45"/>
        <v>2.3695820720513892</v>
      </c>
      <c r="CR45" s="61">
        <f t="shared" si="45"/>
        <v>2.3433077719340853</v>
      </c>
      <c r="CS45" s="61">
        <f t="shared" si="45"/>
        <v>2.9245766632908006</v>
      </c>
      <c r="CT45" s="61">
        <f t="shared" si="45"/>
        <v>2.9486433195988222</v>
      </c>
      <c r="CU45" s="61">
        <f t="shared" si="45"/>
        <v>2.5178405732534608</v>
      </c>
      <c r="CV45" s="61">
        <f t="shared" si="45"/>
        <v>2.0761763699553986</v>
      </c>
      <c r="CW45" s="61">
        <f t="shared" si="45"/>
        <v>2.9486433195988222</v>
      </c>
      <c r="CX45" s="61">
        <f t="shared" si="45"/>
        <v>2.2518117837355809</v>
      </c>
      <c r="CY45" s="61">
        <f t="shared" si="45"/>
        <v>2.9759836327983464</v>
      </c>
      <c r="CZ45" s="61">
        <f t="shared" si="45"/>
        <v>2.9759836327983464</v>
      </c>
      <c r="DA45" s="61">
        <f t="shared" si="46"/>
        <v>2.5232218576787888</v>
      </c>
      <c r="DB45" s="61">
        <f t="shared" si="46"/>
        <v>3.0074370745668748</v>
      </c>
      <c r="DC45" s="61">
        <f t="shared" si="46"/>
        <v>3.0074370745668748</v>
      </c>
      <c r="DD45" s="61">
        <f t="shared" si="46"/>
        <v>2.6464444321575447</v>
      </c>
      <c r="DE45" s="61">
        <f t="shared" si="46"/>
        <v>2.8614444053534784</v>
      </c>
      <c r="DF45" s="61">
        <f t="shared" si="46"/>
        <v>3.2100600369620316</v>
      </c>
      <c r="DG45" s="61">
        <f t="shared" si="46"/>
        <v>3.302088553751795</v>
      </c>
      <c r="DH45" s="61">
        <f t="shared" si="46"/>
        <v>3.302088553751795</v>
      </c>
      <c r="DI45" s="61">
        <f t="shared" si="46"/>
        <v>3.302088553751795</v>
      </c>
      <c r="DJ45" s="61">
        <f t="shared" si="46"/>
        <v>3.302088553751795</v>
      </c>
      <c r="DK45" s="61">
        <f t="shared" si="47"/>
        <v>3.4386904534959157</v>
      </c>
      <c r="DL45" s="61">
        <f t="shared" si="47"/>
        <v>3.4386904534959157</v>
      </c>
      <c r="DM45" s="61">
        <f t="shared" si="47"/>
        <v>3.4386904534959157</v>
      </c>
      <c r="DN45" s="61">
        <f t="shared" si="47"/>
        <v>3.4386904534959157</v>
      </c>
      <c r="DO45" s="61">
        <f t="shared" si="47"/>
        <v>3.4386904534959157</v>
      </c>
      <c r="DP45" s="61">
        <f t="shared" si="47"/>
        <v>3.6884952947874514</v>
      </c>
      <c r="DQ45" s="61">
        <f t="shared" si="47"/>
        <v>3.6884952947874514</v>
      </c>
    </row>
    <row r="46" spans="1:121" x14ac:dyDescent="0.25">
      <c r="A46" s="48" t="str">
        <f>KMeans_Data!A37</f>
        <v>Karak</v>
      </c>
      <c r="B46" s="59">
        <f>KMeans_Data!H37</f>
        <v>0.53160574306813768</v>
      </c>
      <c r="C46" s="59">
        <f>KMeans_Data!I37</f>
        <v>0.37868427752921691</v>
      </c>
      <c r="D46" s="59">
        <f>KMeans_Data!J37</f>
        <v>0.2867168485915767</v>
      </c>
      <c r="E46" s="61">
        <f t="shared" si="36"/>
        <v>5.4512731124576481</v>
      </c>
      <c r="F46" s="61">
        <f t="shared" si="36"/>
        <v>5.2340441818867705</v>
      </c>
      <c r="G46" s="61">
        <f t="shared" si="36"/>
        <v>3.373200352844651</v>
      </c>
      <c r="H46" s="61">
        <f t="shared" si="36"/>
        <v>3.9054209352956488</v>
      </c>
      <c r="I46" s="61">
        <f t="shared" si="36"/>
        <v>2.7426043919405982</v>
      </c>
      <c r="J46" s="61">
        <f t="shared" si="36"/>
        <v>2.3863048745819126</v>
      </c>
      <c r="K46" s="61">
        <f t="shared" si="36"/>
        <v>1.391022221094474</v>
      </c>
      <c r="L46" s="61">
        <f t="shared" si="36"/>
        <v>1.6660408807200133</v>
      </c>
      <c r="M46" s="61">
        <f t="shared" si="36"/>
        <v>1.7911304919048918</v>
      </c>
      <c r="N46" s="61">
        <f t="shared" si="36"/>
        <v>1.3999354156433559</v>
      </c>
      <c r="O46" s="61">
        <f t="shared" si="37"/>
        <v>1.4379933694277458</v>
      </c>
      <c r="P46" s="61">
        <f t="shared" si="37"/>
        <v>1.7494778360447223</v>
      </c>
      <c r="Q46" s="61">
        <f t="shared" si="37"/>
        <v>1.1266504831392623</v>
      </c>
      <c r="R46" s="61">
        <f t="shared" si="37"/>
        <v>1.2871988045077052</v>
      </c>
      <c r="S46" s="61">
        <f t="shared" si="37"/>
        <v>1.1303919483048617</v>
      </c>
      <c r="T46" s="61">
        <f t="shared" si="37"/>
        <v>1.0374019595395745</v>
      </c>
      <c r="U46" s="61">
        <f t="shared" si="37"/>
        <v>1.3425281679446872</v>
      </c>
      <c r="V46" s="61">
        <f t="shared" si="37"/>
        <v>1.1036519145354491</v>
      </c>
      <c r="W46" s="61">
        <f t="shared" si="37"/>
        <v>1.2354413212944344</v>
      </c>
      <c r="X46" s="61">
        <f t="shared" si="37"/>
        <v>0.91584900332497854</v>
      </c>
      <c r="Y46" s="61">
        <f t="shared" si="38"/>
        <v>1.1002134961312608</v>
      </c>
      <c r="Z46" s="61">
        <f t="shared" si="38"/>
        <v>0.59548817971438128</v>
      </c>
      <c r="AA46" s="61">
        <f t="shared" si="38"/>
        <v>0.75095037349382709</v>
      </c>
      <c r="AB46" s="61">
        <f t="shared" si="38"/>
        <v>0.48664181527913797</v>
      </c>
      <c r="AC46" s="61">
        <f t="shared" si="38"/>
        <v>1.1191053028039453</v>
      </c>
      <c r="AD46" s="61">
        <f t="shared" si="38"/>
        <v>1.0930444428881629</v>
      </c>
      <c r="AE46" s="61">
        <f t="shared" si="38"/>
        <v>1.5300312133399783</v>
      </c>
      <c r="AF46" s="61">
        <f t="shared" si="38"/>
        <v>0.66599181087239345</v>
      </c>
      <c r="AG46" s="61">
        <f t="shared" si="38"/>
        <v>1.2565038829518804</v>
      </c>
      <c r="AH46" s="61">
        <f t="shared" si="38"/>
        <v>0.54275491373985563</v>
      </c>
      <c r="AI46" s="61">
        <f t="shared" si="39"/>
        <v>1.256391658197676</v>
      </c>
      <c r="AJ46" s="61">
        <f t="shared" si="39"/>
        <v>0.84469591437756175</v>
      </c>
      <c r="AK46" s="61">
        <f t="shared" si="39"/>
        <v>0</v>
      </c>
      <c r="AL46" s="61">
        <f t="shared" si="39"/>
        <v>0.59068256591727331</v>
      </c>
      <c r="AM46" s="61">
        <f t="shared" si="39"/>
        <v>1.0036961574272256</v>
      </c>
      <c r="AN46" s="61">
        <f t="shared" si="39"/>
        <v>0.88435221861520397</v>
      </c>
      <c r="AO46" s="61">
        <f t="shared" si="39"/>
        <v>0.27168970882819504</v>
      </c>
      <c r="AP46" s="61">
        <f t="shared" si="39"/>
        <v>0.20164316108932798</v>
      </c>
      <c r="AQ46" s="61">
        <f t="shared" si="39"/>
        <v>0.96497944020469317</v>
      </c>
      <c r="AR46" s="61">
        <f t="shared" si="39"/>
        <v>0.44853365956802482</v>
      </c>
      <c r="AS46" s="61">
        <f t="shared" si="40"/>
        <v>1.2945414504930368</v>
      </c>
      <c r="AT46" s="61">
        <f t="shared" si="40"/>
        <v>0.76191739654305224</v>
      </c>
      <c r="AU46" s="61">
        <f t="shared" si="40"/>
        <v>1.0960376626030996</v>
      </c>
      <c r="AV46" s="61">
        <f t="shared" si="40"/>
        <v>1.1104449676068231</v>
      </c>
      <c r="AW46" s="61">
        <f t="shared" si="40"/>
        <v>1.5575078407028637</v>
      </c>
      <c r="AX46" s="61">
        <f t="shared" si="40"/>
        <v>0.38216735975536587</v>
      </c>
      <c r="AY46" s="61">
        <f t="shared" si="40"/>
        <v>1.8072850364063244</v>
      </c>
      <c r="AZ46" s="61">
        <f t="shared" si="40"/>
        <v>1.3307280933419112</v>
      </c>
      <c r="BA46" s="61">
        <f t="shared" si="40"/>
        <v>0.80571965202629614</v>
      </c>
      <c r="BB46" s="61">
        <f t="shared" si="40"/>
        <v>1.8084941959706811</v>
      </c>
      <c r="BC46" s="61">
        <f t="shared" si="41"/>
        <v>1.8097420743373651</v>
      </c>
      <c r="BD46" s="61">
        <f t="shared" si="41"/>
        <v>1.3645533670230201</v>
      </c>
      <c r="BE46" s="61">
        <f t="shared" si="41"/>
        <v>1.2369275789225349</v>
      </c>
      <c r="BF46" s="61">
        <f t="shared" si="41"/>
        <v>1.184303666823727</v>
      </c>
      <c r="BG46" s="61">
        <f t="shared" si="41"/>
        <v>0.75620213866226405</v>
      </c>
      <c r="BH46" s="61">
        <f t="shared" si="41"/>
        <v>1.8320933584590511</v>
      </c>
      <c r="BI46" s="61">
        <f t="shared" si="41"/>
        <v>1.8361928525342655</v>
      </c>
      <c r="BJ46" s="61">
        <f t="shared" si="41"/>
        <v>0.60385157282521607</v>
      </c>
      <c r="BK46" s="61">
        <f t="shared" si="41"/>
        <v>1.3612410166933924</v>
      </c>
      <c r="BL46" s="61">
        <f t="shared" si="41"/>
        <v>1.1822577518760347</v>
      </c>
      <c r="BM46" s="61">
        <f t="shared" si="42"/>
        <v>0.62776897525197761</v>
      </c>
      <c r="BN46" s="61">
        <f t="shared" si="42"/>
        <v>0.66177558960733618</v>
      </c>
      <c r="BO46" s="61">
        <f t="shared" si="42"/>
        <v>1.6418890564336026</v>
      </c>
      <c r="BP46" s="61">
        <f t="shared" si="42"/>
        <v>0.66714094154885817</v>
      </c>
      <c r="BQ46" s="61">
        <f t="shared" si="42"/>
        <v>0.83499826220883211</v>
      </c>
      <c r="BR46" s="61">
        <f t="shared" si="42"/>
        <v>0.86054451335813642</v>
      </c>
      <c r="BS46" s="61">
        <f t="shared" si="42"/>
        <v>1.3031352928190427</v>
      </c>
      <c r="BT46" s="61">
        <f t="shared" si="42"/>
        <v>1.2925983195194164</v>
      </c>
      <c r="BU46" s="61">
        <f t="shared" si="42"/>
        <v>1.3014072716738645</v>
      </c>
      <c r="BV46" s="61">
        <f t="shared" si="42"/>
        <v>1.9451120821862098</v>
      </c>
      <c r="BW46" s="61">
        <f t="shared" si="43"/>
        <v>1.3256745453427232</v>
      </c>
      <c r="BX46" s="61">
        <f t="shared" si="43"/>
        <v>1.951684127621806</v>
      </c>
      <c r="BY46" s="61">
        <f t="shared" si="43"/>
        <v>1.4256697001706231</v>
      </c>
      <c r="BZ46" s="61">
        <f t="shared" si="43"/>
        <v>1.4575215152623155</v>
      </c>
      <c r="CA46" s="61">
        <f t="shared" si="43"/>
        <v>1.9734345583712718</v>
      </c>
      <c r="CB46" s="61">
        <f t="shared" si="43"/>
        <v>1.4683567530579149</v>
      </c>
      <c r="CC46" s="61">
        <f t="shared" si="43"/>
        <v>1.9814506158297871</v>
      </c>
      <c r="CD46" s="61">
        <f t="shared" si="43"/>
        <v>1.9988221940939987</v>
      </c>
      <c r="CE46" s="61">
        <f t="shared" si="43"/>
        <v>1.4285872956213617</v>
      </c>
      <c r="CF46" s="61">
        <f t="shared" si="43"/>
        <v>1.0836177725136447</v>
      </c>
      <c r="CG46" s="61">
        <f t="shared" si="44"/>
        <v>1.3239327065837054</v>
      </c>
      <c r="CH46" s="61">
        <f t="shared" si="44"/>
        <v>1.606790743678614</v>
      </c>
      <c r="CI46" s="61">
        <f t="shared" si="44"/>
        <v>1.684155326287355</v>
      </c>
      <c r="CJ46" s="61">
        <f t="shared" si="44"/>
        <v>1.8718729706832955</v>
      </c>
      <c r="CK46" s="61">
        <f t="shared" si="44"/>
        <v>1.5813454767614814</v>
      </c>
      <c r="CL46" s="61">
        <f t="shared" si="44"/>
        <v>2.1264700102644212</v>
      </c>
      <c r="CM46" s="61">
        <f t="shared" si="44"/>
        <v>1.6830663041468559</v>
      </c>
      <c r="CN46" s="61">
        <f t="shared" si="44"/>
        <v>1.3875460159417854</v>
      </c>
      <c r="CO46" s="61">
        <f t="shared" si="44"/>
        <v>1.4577979002100971</v>
      </c>
      <c r="CP46" s="61">
        <f t="shared" si="44"/>
        <v>2.1877086527198482</v>
      </c>
      <c r="CQ46" s="61">
        <f t="shared" si="45"/>
        <v>1.8204011889025649</v>
      </c>
      <c r="CR46" s="61">
        <f t="shared" si="45"/>
        <v>1.8238469126350616</v>
      </c>
      <c r="CS46" s="61">
        <f t="shared" si="45"/>
        <v>2.2395490798658231</v>
      </c>
      <c r="CT46" s="61">
        <f t="shared" si="45"/>
        <v>2.2700876452760101</v>
      </c>
      <c r="CU46" s="61">
        <f t="shared" si="45"/>
        <v>1.8727904881237236</v>
      </c>
      <c r="CV46" s="61">
        <f t="shared" si="45"/>
        <v>1.7612792752947011</v>
      </c>
      <c r="CW46" s="61">
        <f t="shared" si="45"/>
        <v>2.2700876452760101</v>
      </c>
      <c r="CX46" s="61">
        <f t="shared" si="45"/>
        <v>1.83378721556706</v>
      </c>
      <c r="CY46" s="61">
        <f t="shared" si="45"/>
        <v>2.304618247366693</v>
      </c>
      <c r="CZ46" s="61">
        <f t="shared" si="45"/>
        <v>2.304618247366693</v>
      </c>
      <c r="DA46" s="61">
        <f t="shared" si="46"/>
        <v>1.9706982672909683</v>
      </c>
      <c r="DB46" s="61">
        <f t="shared" si="46"/>
        <v>2.3441368103715692</v>
      </c>
      <c r="DC46" s="61">
        <f t="shared" si="46"/>
        <v>2.3441368103715692</v>
      </c>
      <c r="DD46" s="61">
        <f t="shared" si="46"/>
        <v>2.072620169906799</v>
      </c>
      <c r="DE46" s="61">
        <f t="shared" si="46"/>
        <v>2.2711918483649032</v>
      </c>
      <c r="DF46" s="61">
        <f t="shared" si="46"/>
        <v>2.5939119062847866</v>
      </c>
      <c r="DG46" s="61">
        <f t="shared" si="46"/>
        <v>2.7049441464220436</v>
      </c>
      <c r="DH46" s="61">
        <f t="shared" si="46"/>
        <v>2.7049441464220436</v>
      </c>
      <c r="DI46" s="61">
        <f t="shared" si="46"/>
        <v>2.7049441464220436</v>
      </c>
      <c r="DJ46" s="61">
        <f t="shared" si="46"/>
        <v>2.7049441464220436</v>
      </c>
      <c r="DK46" s="61">
        <f t="shared" si="47"/>
        <v>2.867416865409512</v>
      </c>
      <c r="DL46" s="61">
        <f t="shared" si="47"/>
        <v>2.867416865409512</v>
      </c>
      <c r="DM46" s="61">
        <f t="shared" si="47"/>
        <v>2.867416865409512</v>
      </c>
      <c r="DN46" s="61">
        <f t="shared" si="47"/>
        <v>2.867416865409512</v>
      </c>
      <c r="DO46" s="61">
        <f t="shared" si="47"/>
        <v>2.867416865409512</v>
      </c>
      <c r="DP46" s="61">
        <f t="shared" si="47"/>
        <v>3.1584931364728011</v>
      </c>
      <c r="DQ46" s="61">
        <f t="shared" si="47"/>
        <v>3.1584931364728011</v>
      </c>
    </row>
    <row r="47" spans="1:121" x14ac:dyDescent="0.25">
      <c r="A47" s="48" t="str">
        <f>KMeans_Data!A38</f>
        <v>Shangla</v>
      </c>
      <c r="B47" s="59">
        <f>KMeans_Data!H38</f>
        <v>0.48474983033217361</v>
      </c>
      <c r="C47" s="59">
        <f>KMeans_Data!I38</f>
        <v>-0.14698313392952958</v>
      </c>
      <c r="D47" s="59">
        <f>KMeans_Data!J38</f>
        <v>0.55201703639881239</v>
      </c>
      <c r="E47" s="61">
        <f t="shared" si="36"/>
        <v>5.7093441936674045</v>
      </c>
      <c r="F47" s="61">
        <f t="shared" si="36"/>
        <v>5.5408341386271118</v>
      </c>
      <c r="G47" s="61">
        <f t="shared" si="36"/>
        <v>3.5785889331999092</v>
      </c>
      <c r="H47" s="61">
        <f t="shared" si="36"/>
        <v>4.2894792559645492</v>
      </c>
      <c r="I47" s="61">
        <f t="shared" si="36"/>
        <v>3.0083382283574056</v>
      </c>
      <c r="J47" s="61">
        <f t="shared" si="36"/>
        <v>2.7325941643663292</v>
      </c>
      <c r="K47" s="61">
        <f t="shared" si="36"/>
        <v>1.6491719246560772</v>
      </c>
      <c r="L47" s="61">
        <f t="shared" si="36"/>
        <v>1.6609876838126034</v>
      </c>
      <c r="M47" s="61">
        <f t="shared" si="36"/>
        <v>1.9374361208497952</v>
      </c>
      <c r="N47" s="61">
        <f t="shared" si="36"/>
        <v>1.5519138734755462</v>
      </c>
      <c r="O47" s="61">
        <f t="shared" si="37"/>
        <v>1.8042171041811519</v>
      </c>
      <c r="P47" s="61">
        <f t="shared" si="37"/>
        <v>2.1117511834637788</v>
      </c>
      <c r="Q47" s="61">
        <f t="shared" si="37"/>
        <v>1.3753215508556562</v>
      </c>
      <c r="R47" s="61">
        <f t="shared" si="37"/>
        <v>1.193781578262858</v>
      </c>
      <c r="S47" s="61">
        <f t="shared" si="37"/>
        <v>0.80725015096275088</v>
      </c>
      <c r="T47" s="61">
        <f t="shared" si="37"/>
        <v>1.3174430783584774</v>
      </c>
      <c r="U47" s="61">
        <f t="shared" si="37"/>
        <v>1.2231241727997388</v>
      </c>
      <c r="V47" s="61">
        <f t="shared" si="37"/>
        <v>1.5732025928731457</v>
      </c>
      <c r="W47" s="61">
        <f t="shared" si="37"/>
        <v>1.6172133469842549</v>
      </c>
      <c r="X47" s="61">
        <f t="shared" si="37"/>
        <v>1.1247167133986358</v>
      </c>
      <c r="Y47" s="61">
        <f t="shared" si="38"/>
        <v>1.2283681880321995</v>
      </c>
      <c r="Z47" s="61">
        <f t="shared" si="38"/>
        <v>0.99877410838939362</v>
      </c>
      <c r="AA47" s="61">
        <f t="shared" si="38"/>
        <v>0.5916024117462334</v>
      </c>
      <c r="AB47" s="61">
        <f t="shared" si="38"/>
        <v>0.76510603520344489</v>
      </c>
      <c r="AC47" s="61">
        <f t="shared" si="38"/>
        <v>1.5628972798162337</v>
      </c>
      <c r="AD47" s="61">
        <f t="shared" si="38"/>
        <v>1.2166340967259952</v>
      </c>
      <c r="AE47" s="61">
        <f t="shared" si="38"/>
        <v>1.7052711441023685</v>
      </c>
      <c r="AF47" s="61">
        <f t="shared" si="38"/>
        <v>0.90064954333700786</v>
      </c>
      <c r="AG47" s="61">
        <f t="shared" si="38"/>
        <v>1.0913375645541374</v>
      </c>
      <c r="AH47" s="61">
        <f t="shared" si="38"/>
        <v>0.39482421644654569</v>
      </c>
      <c r="AI47" s="61">
        <f t="shared" si="39"/>
        <v>1.0910724861992556</v>
      </c>
      <c r="AJ47" s="61">
        <f t="shared" si="39"/>
        <v>0.89726322289681837</v>
      </c>
      <c r="AK47" s="61">
        <f t="shared" si="39"/>
        <v>0.59068256591727331</v>
      </c>
      <c r="AL47" s="61">
        <f t="shared" si="39"/>
        <v>0</v>
      </c>
      <c r="AM47" s="61">
        <f t="shared" si="39"/>
        <v>1.5475267660176497</v>
      </c>
      <c r="AN47" s="61">
        <f t="shared" si="39"/>
        <v>1.3040382851221037</v>
      </c>
      <c r="AO47" s="61">
        <f t="shared" si="39"/>
        <v>0.5283208074800918</v>
      </c>
      <c r="AP47" s="61">
        <f t="shared" si="39"/>
        <v>0.5364974633931251</v>
      </c>
      <c r="AQ47" s="61">
        <f t="shared" si="39"/>
        <v>1.4236818771029884</v>
      </c>
      <c r="AR47" s="61">
        <f t="shared" si="39"/>
        <v>0.70802229096045921</v>
      </c>
      <c r="AS47" s="61">
        <f t="shared" si="40"/>
        <v>0.71767345509648361</v>
      </c>
      <c r="AT47" s="61">
        <f t="shared" si="40"/>
        <v>0.30646496263728557</v>
      </c>
      <c r="AU47" s="61">
        <f t="shared" si="40"/>
        <v>1.2092155918529992</v>
      </c>
      <c r="AV47" s="61">
        <f t="shared" si="40"/>
        <v>0.57429696385230999</v>
      </c>
      <c r="AW47" s="61">
        <f t="shared" si="40"/>
        <v>1.4938401886276196</v>
      </c>
      <c r="AX47" s="61">
        <f t="shared" si="40"/>
        <v>0.43267232299437641</v>
      </c>
      <c r="AY47" s="61">
        <f t="shared" si="40"/>
        <v>1.7996964990743989</v>
      </c>
      <c r="AZ47" s="61">
        <f t="shared" si="40"/>
        <v>0.766637531942855</v>
      </c>
      <c r="BA47" s="61">
        <f t="shared" si="40"/>
        <v>0.37910208204221113</v>
      </c>
      <c r="BB47" s="61">
        <f t="shared" si="40"/>
        <v>1.8007404096204951</v>
      </c>
      <c r="BC47" s="61">
        <f t="shared" si="41"/>
        <v>1.8018212469261028</v>
      </c>
      <c r="BD47" s="61">
        <f t="shared" si="41"/>
        <v>1.2209138780018525</v>
      </c>
      <c r="BE47" s="61">
        <f t="shared" si="41"/>
        <v>1.0098022530064428</v>
      </c>
      <c r="BF47" s="61">
        <f t="shared" si="41"/>
        <v>1.584029163490464</v>
      </c>
      <c r="BG47" s="61">
        <f t="shared" si="41"/>
        <v>0.38958312361892178</v>
      </c>
      <c r="BH47" s="61">
        <f t="shared" si="41"/>
        <v>1.8216230984720221</v>
      </c>
      <c r="BI47" s="61">
        <f t="shared" si="41"/>
        <v>1.8253219752301408</v>
      </c>
      <c r="BJ47" s="61">
        <f t="shared" si="41"/>
        <v>0.996480621768704</v>
      </c>
      <c r="BK47" s="61">
        <f t="shared" si="41"/>
        <v>1.1881114623511007</v>
      </c>
      <c r="BL47" s="61">
        <f t="shared" si="41"/>
        <v>0.74169103253652202</v>
      </c>
      <c r="BM47" s="61">
        <f t="shared" si="42"/>
        <v>0.86822269859069545</v>
      </c>
      <c r="BN47" s="61">
        <f t="shared" si="42"/>
        <v>0.79556688201539338</v>
      </c>
      <c r="BO47" s="61">
        <f t="shared" si="42"/>
        <v>1.5726045332653258</v>
      </c>
      <c r="BP47" s="61">
        <f t="shared" si="42"/>
        <v>0.71902898171496943</v>
      </c>
      <c r="BQ47" s="61">
        <f t="shared" si="42"/>
        <v>0.61885268696794271</v>
      </c>
      <c r="BR47" s="61">
        <f t="shared" si="42"/>
        <v>0.63096662005711435</v>
      </c>
      <c r="BS47" s="61">
        <f t="shared" si="42"/>
        <v>0.84318490473573238</v>
      </c>
      <c r="BT47" s="61">
        <f t="shared" si="42"/>
        <v>0.94542099113009759</v>
      </c>
      <c r="BU47" s="61">
        <f t="shared" si="42"/>
        <v>0.98056091362659348</v>
      </c>
      <c r="BV47" s="61">
        <f t="shared" si="42"/>
        <v>1.9268883771192216</v>
      </c>
      <c r="BW47" s="61">
        <f t="shared" si="43"/>
        <v>0.96194525669659126</v>
      </c>
      <c r="BX47" s="61">
        <f t="shared" si="43"/>
        <v>1.9331342107383815</v>
      </c>
      <c r="BY47" s="61">
        <f t="shared" si="43"/>
        <v>1.2025139184411462</v>
      </c>
      <c r="BZ47" s="61">
        <f t="shared" si="43"/>
        <v>1.2526185212291752</v>
      </c>
      <c r="CA47" s="61">
        <f t="shared" si="43"/>
        <v>1.9538627289394319</v>
      </c>
      <c r="CB47" s="61">
        <f t="shared" si="43"/>
        <v>1.2645331927764842</v>
      </c>
      <c r="CC47" s="61">
        <f t="shared" si="43"/>
        <v>1.9615225207592615</v>
      </c>
      <c r="CD47" s="61">
        <f t="shared" si="43"/>
        <v>1.978155621622824</v>
      </c>
      <c r="CE47" s="61">
        <f t="shared" si="43"/>
        <v>1.1515642756263853</v>
      </c>
      <c r="CF47" s="61">
        <f t="shared" si="43"/>
        <v>0.98033929938755038</v>
      </c>
      <c r="CG47" s="61">
        <f t="shared" si="44"/>
        <v>1.3488479027291851</v>
      </c>
      <c r="CH47" s="61">
        <f t="shared" si="44"/>
        <v>1.4476591077206886</v>
      </c>
      <c r="CI47" s="61">
        <f t="shared" si="44"/>
        <v>1.5493664484001652</v>
      </c>
      <c r="CJ47" s="61">
        <f t="shared" si="44"/>
        <v>1.7988862360672941</v>
      </c>
      <c r="CK47" s="61">
        <f t="shared" si="44"/>
        <v>1.3446770048660623</v>
      </c>
      <c r="CL47" s="61">
        <f t="shared" si="44"/>
        <v>2.1014290259747894</v>
      </c>
      <c r="CM47" s="61">
        <f t="shared" si="44"/>
        <v>1.5120488993761769</v>
      </c>
      <c r="CN47" s="61">
        <f t="shared" si="44"/>
        <v>1.1933918336182814</v>
      </c>
      <c r="CO47" s="61">
        <f t="shared" si="44"/>
        <v>1.4319725829354388</v>
      </c>
      <c r="CP47" s="61">
        <f t="shared" si="44"/>
        <v>2.1610346949736132</v>
      </c>
      <c r="CQ47" s="61">
        <f t="shared" si="45"/>
        <v>1.6727932031784947</v>
      </c>
      <c r="CR47" s="61">
        <f t="shared" si="45"/>
        <v>1.6618429165060675</v>
      </c>
      <c r="CS47" s="61">
        <f t="shared" si="45"/>
        <v>2.2116586436984433</v>
      </c>
      <c r="CT47" s="61">
        <f t="shared" si="45"/>
        <v>2.2415403442755011</v>
      </c>
      <c r="CU47" s="61">
        <f t="shared" si="45"/>
        <v>1.9392715210585574</v>
      </c>
      <c r="CV47" s="61">
        <f t="shared" si="45"/>
        <v>1.4915551428974654</v>
      </c>
      <c r="CW47" s="61">
        <f t="shared" si="45"/>
        <v>2.2415403442755011</v>
      </c>
      <c r="CX47" s="61">
        <f t="shared" si="45"/>
        <v>1.6245794662330981</v>
      </c>
      <c r="CY47" s="61">
        <f t="shared" si="45"/>
        <v>2.2753750436998259</v>
      </c>
      <c r="CZ47" s="61">
        <f t="shared" si="45"/>
        <v>2.2753750436998259</v>
      </c>
      <c r="DA47" s="61">
        <f t="shared" si="46"/>
        <v>1.8463104610615664</v>
      </c>
      <c r="DB47" s="61">
        <f t="shared" si="46"/>
        <v>2.3141518827280012</v>
      </c>
      <c r="DC47" s="61">
        <f t="shared" si="46"/>
        <v>2.3141518827280012</v>
      </c>
      <c r="DD47" s="61">
        <f t="shared" si="46"/>
        <v>1.971282373312145</v>
      </c>
      <c r="DE47" s="61">
        <f t="shared" si="46"/>
        <v>2.1986756623719934</v>
      </c>
      <c r="DF47" s="61">
        <f t="shared" si="46"/>
        <v>2.5602524938176905</v>
      </c>
      <c r="DG47" s="61">
        <f t="shared" si="46"/>
        <v>2.6700571582209882</v>
      </c>
      <c r="DH47" s="61">
        <f t="shared" si="46"/>
        <v>2.6700571582209882</v>
      </c>
      <c r="DI47" s="61">
        <f t="shared" si="46"/>
        <v>2.6700571582209882</v>
      </c>
      <c r="DJ47" s="61">
        <f t="shared" si="46"/>
        <v>2.6700571582209882</v>
      </c>
      <c r="DK47" s="61">
        <f t="shared" si="47"/>
        <v>2.8310396744849422</v>
      </c>
      <c r="DL47" s="61">
        <f t="shared" si="47"/>
        <v>2.8310396744849422</v>
      </c>
      <c r="DM47" s="61">
        <f t="shared" si="47"/>
        <v>2.8310396744849422</v>
      </c>
      <c r="DN47" s="61">
        <f t="shared" si="47"/>
        <v>2.8310396744849422</v>
      </c>
      <c r="DO47" s="61">
        <f t="shared" si="47"/>
        <v>2.8310396744849422</v>
      </c>
      <c r="DP47" s="61">
        <f t="shared" si="47"/>
        <v>3.1200925235572523</v>
      </c>
      <c r="DQ47" s="61">
        <f t="shared" si="47"/>
        <v>3.1200925235572523</v>
      </c>
    </row>
    <row r="48" spans="1:121" x14ac:dyDescent="0.25">
      <c r="A48" s="48" t="str">
        <f>KMeans_Data!A39</f>
        <v>Mansehra</v>
      </c>
      <c r="B48" s="59">
        <f>KMeans_Data!H39</f>
        <v>0.48474983033217361</v>
      </c>
      <c r="C48" s="59">
        <f>KMeans_Data!I39</f>
        <v>1.3810745208577742</v>
      </c>
      <c r="D48" s="59">
        <f>KMeans_Data!J39</f>
        <v>0.30731539115103124</v>
      </c>
      <c r="E48" s="61">
        <f t="shared" si="36"/>
        <v>4.8498232359863591</v>
      </c>
      <c r="F48" s="61">
        <f t="shared" si="36"/>
        <v>4.5808724041844169</v>
      </c>
      <c r="G48" s="61">
        <f t="shared" si="36"/>
        <v>2.9379689416866364</v>
      </c>
      <c r="H48" s="61">
        <f t="shared" si="36"/>
        <v>3.1611047192035278</v>
      </c>
      <c r="I48" s="61">
        <f t="shared" si="36"/>
        <v>2.2896663830796053</v>
      </c>
      <c r="J48" s="61">
        <f t="shared" si="36"/>
        <v>1.7409968664127784</v>
      </c>
      <c r="K48" s="61">
        <f t="shared" si="36"/>
        <v>1.8711545081021956</v>
      </c>
      <c r="L48" s="61">
        <f t="shared" si="36"/>
        <v>1.7835276144543237</v>
      </c>
      <c r="M48" s="61">
        <f t="shared" si="36"/>
        <v>1.5985569850170833</v>
      </c>
      <c r="N48" s="61">
        <f t="shared" si="36"/>
        <v>2.0321491616480616</v>
      </c>
      <c r="O48" s="61">
        <f t="shared" si="37"/>
        <v>0.95056374325521931</v>
      </c>
      <c r="P48" s="61">
        <f t="shared" si="37"/>
        <v>1.1407851856079076</v>
      </c>
      <c r="Q48" s="61">
        <f t="shared" si="37"/>
        <v>1.0290785116652119</v>
      </c>
      <c r="R48" s="61">
        <f t="shared" si="37"/>
        <v>1.6318441222640736</v>
      </c>
      <c r="S48" s="61">
        <f t="shared" si="37"/>
        <v>1.8295918588080076</v>
      </c>
      <c r="T48" s="61">
        <f t="shared" si="37"/>
        <v>0.92873248047660883</v>
      </c>
      <c r="U48" s="61">
        <f t="shared" si="37"/>
        <v>1.6700419295187932</v>
      </c>
      <c r="V48" s="61">
        <f t="shared" si="37"/>
        <v>0.48201475788305737</v>
      </c>
      <c r="W48" s="61">
        <f t="shared" si="37"/>
        <v>0.72623158024863199</v>
      </c>
      <c r="X48" s="61">
        <f t="shared" si="37"/>
        <v>0.99675508769649446</v>
      </c>
      <c r="Y48" s="61">
        <f t="shared" si="38"/>
        <v>1.1622409184561755</v>
      </c>
      <c r="Z48" s="61">
        <f t="shared" si="38"/>
        <v>0.72202898413620775</v>
      </c>
      <c r="AA48" s="61">
        <f t="shared" si="38"/>
        <v>1.4158391244656572</v>
      </c>
      <c r="AB48" s="61">
        <f t="shared" si="38"/>
        <v>0.95545584626614899</v>
      </c>
      <c r="AC48" s="61">
        <f t="shared" si="38"/>
        <v>0.50361609688222875</v>
      </c>
      <c r="AD48" s="61">
        <f t="shared" si="38"/>
        <v>1.1519625530926456</v>
      </c>
      <c r="AE48" s="61">
        <f t="shared" si="38"/>
        <v>2.1146980427842497</v>
      </c>
      <c r="AF48" s="61">
        <f t="shared" si="38"/>
        <v>0.90385921825286486</v>
      </c>
      <c r="AG48" s="61">
        <f t="shared" si="38"/>
        <v>2.1740543860371733</v>
      </c>
      <c r="AH48" s="61">
        <f t="shared" si="38"/>
        <v>1.3127506824521229</v>
      </c>
      <c r="AI48" s="61">
        <f t="shared" si="39"/>
        <v>2.1739213333930785</v>
      </c>
      <c r="AJ48" s="61">
        <f t="shared" si="39"/>
        <v>1.1623353393508662</v>
      </c>
      <c r="AK48" s="61">
        <f t="shared" si="39"/>
        <v>1.0036961574272256</v>
      </c>
      <c r="AL48" s="61">
        <f t="shared" si="39"/>
        <v>1.5475267660176497</v>
      </c>
      <c r="AM48" s="61">
        <f t="shared" si="39"/>
        <v>0</v>
      </c>
      <c r="AN48" s="61">
        <f t="shared" si="39"/>
        <v>0.47573738799360027</v>
      </c>
      <c r="AO48" s="61">
        <f t="shared" si="39"/>
        <v>1.030325624098485</v>
      </c>
      <c r="AP48" s="61">
        <f t="shared" si="39"/>
        <v>1.015531623259271</v>
      </c>
      <c r="AQ48" s="61">
        <f t="shared" si="39"/>
        <v>0.34769208184923178</v>
      </c>
      <c r="AR48" s="61">
        <f t="shared" si="39"/>
        <v>1.2836444808060699</v>
      </c>
      <c r="AS48" s="61">
        <f t="shared" si="40"/>
        <v>2.17738423523546</v>
      </c>
      <c r="AT48" s="61">
        <f t="shared" si="40"/>
        <v>1.6116823081536877</v>
      </c>
      <c r="AU48" s="61">
        <f t="shared" si="40"/>
        <v>1.8097926153596864</v>
      </c>
      <c r="AV48" s="61">
        <f t="shared" si="40"/>
        <v>2.0767772701745622</v>
      </c>
      <c r="AW48" s="61">
        <f t="shared" si="40"/>
        <v>2.3578066667060678</v>
      </c>
      <c r="AX48" s="61">
        <f t="shared" si="40"/>
        <v>1.2485621992104114</v>
      </c>
      <c r="AY48" s="61">
        <f t="shared" si="40"/>
        <v>2.5316804399314528</v>
      </c>
      <c r="AZ48" s="61">
        <f t="shared" si="40"/>
        <v>2.1964130004249438</v>
      </c>
      <c r="BA48" s="61">
        <f t="shared" si="40"/>
        <v>1.6302967585843235</v>
      </c>
      <c r="BB48" s="61">
        <f t="shared" si="40"/>
        <v>2.5324226313929228</v>
      </c>
      <c r="BC48" s="61">
        <f t="shared" si="41"/>
        <v>2.5331913009137708</v>
      </c>
      <c r="BD48" s="61">
        <f t="shared" si="41"/>
        <v>2.2305873381591241</v>
      </c>
      <c r="BE48" s="61">
        <f t="shared" si="41"/>
        <v>2.1520925285884673</v>
      </c>
      <c r="BF48" s="61">
        <f t="shared" si="41"/>
        <v>0.58551437827902686</v>
      </c>
      <c r="BG48" s="61">
        <f t="shared" si="41"/>
        <v>1.6059474560243554</v>
      </c>
      <c r="BH48" s="61">
        <f t="shared" si="41"/>
        <v>2.5473140901815929</v>
      </c>
      <c r="BI48" s="61">
        <f t="shared" si="41"/>
        <v>2.5499605240883492</v>
      </c>
      <c r="BJ48" s="61">
        <f t="shared" si="41"/>
        <v>0.99841555811050109</v>
      </c>
      <c r="BK48" s="61">
        <f t="shared" si="41"/>
        <v>2.2242085425181211</v>
      </c>
      <c r="BL48" s="61">
        <f t="shared" si="41"/>
        <v>2.1117508102663671</v>
      </c>
      <c r="BM48" s="61">
        <f t="shared" si="42"/>
        <v>1.0002153487838157</v>
      </c>
      <c r="BN48" s="61">
        <f t="shared" si="42"/>
        <v>1.3560510835268393</v>
      </c>
      <c r="BO48" s="61">
        <f t="shared" si="42"/>
        <v>2.408480597067626</v>
      </c>
      <c r="BP48" s="61">
        <f t="shared" si="42"/>
        <v>1.3534070161895</v>
      </c>
      <c r="BQ48" s="61">
        <f t="shared" si="42"/>
        <v>1.6414698482649437</v>
      </c>
      <c r="BR48" s="61">
        <f t="shared" si="42"/>
        <v>1.6533171741682573</v>
      </c>
      <c r="BS48" s="61">
        <f t="shared" si="42"/>
        <v>2.1758775339404828</v>
      </c>
      <c r="BT48" s="61">
        <f t="shared" si="42"/>
        <v>2.1725128930433142</v>
      </c>
      <c r="BU48" s="61">
        <f t="shared" si="42"/>
        <v>2.1785645101202427</v>
      </c>
      <c r="BV48" s="61">
        <f t="shared" si="42"/>
        <v>2.6236229109816853</v>
      </c>
      <c r="BW48" s="61">
        <f t="shared" si="43"/>
        <v>2.1901687623203139</v>
      </c>
      <c r="BX48" s="61">
        <f t="shared" si="43"/>
        <v>2.6282135069050176</v>
      </c>
      <c r="BY48" s="61">
        <f t="shared" si="43"/>
        <v>2.2556871030700765</v>
      </c>
      <c r="BZ48" s="61">
        <f t="shared" si="43"/>
        <v>2.2761491210278342</v>
      </c>
      <c r="CA48" s="61">
        <f t="shared" si="43"/>
        <v>2.6434972904638108</v>
      </c>
      <c r="CB48" s="61">
        <f t="shared" si="43"/>
        <v>2.2827277229365106</v>
      </c>
      <c r="CC48" s="61">
        <f t="shared" si="43"/>
        <v>2.6491638229065098</v>
      </c>
      <c r="CD48" s="61">
        <f t="shared" si="43"/>
        <v>2.661502963460467</v>
      </c>
      <c r="CE48" s="61">
        <f t="shared" si="43"/>
        <v>2.2535063280498631</v>
      </c>
      <c r="CF48" s="61">
        <f t="shared" si="43"/>
        <v>1.7759067847682337</v>
      </c>
      <c r="CG48" s="61">
        <f t="shared" si="44"/>
        <v>1.936074697534655</v>
      </c>
      <c r="CH48" s="61">
        <f t="shared" si="44"/>
        <v>2.3730174221457321</v>
      </c>
      <c r="CI48" s="61">
        <f t="shared" si="44"/>
        <v>2.4259896057251416</v>
      </c>
      <c r="CJ48" s="61">
        <f t="shared" si="44"/>
        <v>2.5619690588914095</v>
      </c>
      <c r="CK48" s="61">
        <f t="shared" si="44"/>
        <v>2.3499917809908357</v>
      </c>
      <c r="CL48" s="61">
        <f t="shared" si="44"/>
        <v>2.7543605995512315</v>
      </c>
      <c r="CM48" s="61">
        <f t="shared" si="44"/>
        <v>2.4213910192887069</v>
      </c>
      <c r="CN48" s="61">
        <f t="shared" si="44"/>
        <v>1.9637873553334679</v>
      </c>
      <c r="CO48" s="61">
        <f t="shared" si="44"/>
        <v>2.021417779007411</v>
      </c>
      <c r="CP48" s="61">
        <f t="shared" si="44"/>
        <v>2.8001016613742014</v>
      </c>
      <c r="CQ48" s="61">
        <f t="shared" si="45"/>
        <v>2.5166906632005221</v>
      </c>
      <c r="CR48" s="61">
        <f t="shared" si="45"/>
        <v>2.5176505860283092</v>
      </c>
      <c r="CS48" s="61">
        <f t="shared" si="45"/>
        <v>2.8393542078079839</v>
      </c>
      <c r="CT48" s="61">
        <f t="shared" si="45"/>
        <v>2.8626912994882274</v>
      </c>
      <c r="CU48" s="61">
        <f t="shared" si="45"/>
        <v>2.3413601980237506</v>
      </c>
      <c r="CV48" s="61">
        <f t="shared" si="45"/>
        <v>2.4669185701023886</v>
      </c>
      <c r="CW48" s="61">
        <f t="shared" si="45"/>
        <v>2.8626912994882274</v>
      </c>
      <c r="CX48" s="61">
        <f t="shared" si="45"/>
        <v>2.5206276133961425</v>
      </c>
      <c r="CY48" s="61">
        <f t="shared" si="45"/>
        <v>2.8892611426873223</v>
      </c>
      <c r="CZ48" s="61">
        <f t="shared" si="45"/>
        <v>2.8892611426873223</v>
      </c>
      <c r="DA48" s="61">
        <f t="shared" si="46"/>
        <v>2.6255954551841492</v>
      </c>
      <c r="DB48" s="61">
        <f t="shared" si="46"/>
        <v>2.9198967956906317</v>
      </c>
      <c r="DC48" s="61">
        <f t="shared" si="46"/>
        <v>2.9198967956906317</v>
      </c>
      <c r="DD48" s="61">
        <f t="shared" si="46"/>
        <v>2.7028876007456817</v>
      </c>
      <c r="DE48" s="61">
        <f t="shared" si="46"/>
        <v>2.856898394537597</v>
      </c>
      <c r="DF48" s="61">
        <f t="shared" si="46"/>
        <v>3.1185559467886046</v>
      </c>
      <c r="DG48" s="61">
        <f t="shared" si="46"/>
        <v>3.2093151277676064</v>
      </c>
      <c r="DH48" s="61">
        <f t="shared" si="46"/>
        <v>3.2093151277676064</v>
      </c>
      <c r="DI48" s="61">
        <f t="shared" si="46"/>
        <v>3.2093151277676064</v>
      </c>
      <c r="DJ48" s="61">
        <f t="shared" si="46"/>
        <v>3.2093151277676064</v>
      </c>
      <c r="DK48" s="61">
        <f t="shared" si="47"/>
        <v>3.3444407603751443</v>
      </c>
      <c r="DL48" s="61">
        <f t="shared" si="47"/>
        <v>3.3444407603751443</v>
      </c>
      <c r="DM48" s="61">
        <f t="shared" si="47"/>
        <v>3.3444407603751443</v>
      </c>
      <c r="DN48" s="61">
        <f t="shared" si="47"/>
        <v>3.3444407603751443</v>
      </c>
      <c r="DO48" s="61">
        <f t="shared" si="47"/>
        <v>3.3444407603751443</v>
      </c>
      <c r="DP48" s="61">
        <f t="shared" si="47"/>
        <v>3.592419201138521</v>
      </c>
      <c r="DQ48" s="61">
        <f t="shared" si="47"/>
        <v>3.592419201138521</v>
      </c>
    </row>
    <row r="49" spans="1:121" x14ac:dyDescent="0.25">
      <c r="A49" s="48" t="str">
        <f>KMeans_Data!A40</f>
        <v>Swabi</v>
      </c>
      <c r="B49" s="59">
        <f>KMeans_Data!H40</f>
        <v>0.45366775919714841</v>
      </c>
      <c r="C49" s="59">
        <f>KMeans_Data!I40</f>
        <v>1.1458599186993335</v>
      </c>
      <c r="D49" s="59">
        <f>KMeans_Data!J40</f>
        <v>0.71966725318196356</v>
      </c>
      <c r="E49" s="61">
        <f t="shared" si="36"/>
        <v>4.7688298155952484</v>
      </c>
      <c r="F49" s="61">
        <f t="shared" si="36"/>
        <v>4.5531575497909316</v>
      </c>
      <c r="G49" s="61">
        <f t="shared" si="36"/>
        <v>2.7751268965196854</v>
      </c>
      <c r="H49" s="61">
        <f t="shared" si="36"/>
        <v>3.2033437897448338</v>
      </c>
      <c r="I49" s="61">
        <f t="shared" si="36"/>
        <v>2.1794862916916338</v>
      </c>
      <c r="J49" s="61">
        <f t="shared" si="36"/>
        <v>1.6682153587916893</v>
      </c>
      <c r="K49" s="61">
        <f t="shared" si="36"/>
        <v>2.0346642721595614</v>
      </c>
      <c r="L49" s="61">
        <f t="shared" si="36"/>
        <v>1.4013850597072723</v>
      </c>
      <c r="M49" s="61">
        <f t="shared" si="36"/>
        <v>1.2670398539277761</v>
      </c>
      <c r="N49" s="61">
        <f t="shared" si="36"/>
        <v>2.1482643545095241</v>
      </c>
      <c r="O49" s="61">
        <f t="shared" si="37"/>
        <v>0.80851645509087544</v>
      </c>
      <c r="P49" s="61">
        <f t="shared" si="37"/>
        <v>1.0202945755408115</v>
      </c>
      <c r="Q49" s="61">
        <f t="shared" si="37"/>
        <v>0.70718754358185165</v>
      </c>
      <c r="R49" s="61">
        <f t="shared" si="37"/>
        <v>1.2218161570781203</v>
      </c>
      <c r="S49" s="61">
        <f t="shared" si="37"/>
        <v>1.4759816817742455</v>
      </c>
      <c r="T49" s="61">
        <f t="shared" si="37"/>
        <v>0.60630930464691801</v>
      </c>
      <c r="U49" s="61">
        <f t="shared" si="37"/>
        <v>1.2313241792788339</v>
      </c>
      <c r="V49" s="61">
        <f t="shared" si="37"/>
        <v>0.47440753055541629</v>
      </c>
      <c r="W49" s="61">
        <f t="shared" si="37"/>
        <v>0.50931085672158194</v>
      </c>
      <c r="X49" s="61">
        <f t="shared" si="37"/>
        <v>0.60712487534710657</v>
      </c>
      <c r="Y49" s="61">
        <f t="shared" si="38"/>
        <v>0.72910552197267386</v>
      </c>
      <c r="Z49" s="61">
        <f t="shared" si="38"/>
        <v>0.48780955548492499</v>
      </c>
      <c r="AA49" s="61">
        <f t="shared" si="38"/>
        <v>1.0664449476827993</v>
      </c>
      <c r="AB49" s="61">
        <f t="shared" si="38"/>
        <v>0.68490213478097073</v>
      </c>
      <c r="AC49" s="61">
        <f t="shared" si="38"/>
        <v>0.38774529488003479</v>
      </c>
      <c r="AD49" s="61">
        <f t="shared" si="38"/>
        <v>0.70318618941472899</v>
      </c>
      <c r="AE49" s="61">
        <f t="shared" si="38"/>
        <v>2.277651355890935</v>
      </c>
      <c r="AF49" s="61">
        <f t="shared" si="38"/>
        <v>0.5069542433853057</v>
      </c>
      <c r="AG49" s="61">
        <f t="shared" si="38"/>
        <v>2.1390852660173167</v>
      </c>
      <c r="AH49" s="61">
        <f t="shared" si="38"/>
        <v>0.99505549295546958</v>
      </c>
      <c r="AI49" s="61">
        <f t="shared" si="39"/>
        <v>2.1389040606560958</v>
      </c>
      <c r="AJ49" s="61">
        <f t="shared" si="39"/>
        <v>0.72508465165519509</v>
      </c>
      <c r="AK49" s="61">
        <f t="shared" si="39"/>
        <v>0.88435221861520397</v>
      </c>
      <c r="AL49" s="61">
        <f t="shared" si="39"/>
        <v>1.3040382851221037</v>
      </c>
      <c r="AM49" s="61">
        <f t="shared" si="39"/>
        <v>0.47573738799360027</v>
      </c>
      <c r="AN49" s="61">
        <f t="shared" si="39"/>
        <v>0</v>
      </c>
      <c r="AO49" s="61">
        <f t="shared" si="39"/>
        <v>0.78820212437032056</v>
      </c>
      <c r="AP49" s="61">
        <f t="shared" si="39"/>
        <v>0.81019172249889793</v>
      </c>
      <c r="AQ49" s="61">
        <f t="shared" si="39"/>
        <v>0.16271691405769756</v>
      </c>
      <c r="AR49" s="61">
        <f t="shared" si="39"/>
        <v>1.2697586478021918</v>
      </c>
      <c r="AS49" s="61">
        <f t="shared" si="40"/>
        <v>1.8467478756669156</v>
      </c>
      <c r="AT49" s="61">
        <f t="shared" si="40"/>
        <v>1.3064471755404823</v>
      </c>
      <c r="AU49" s="61">
        <f t="shared" si="40"/>
        <v>1.8834590188654294</v>
      </c>
      <c r="AV49" s="61">
        <f t="shared" si="40"/>
        <v>1.8405947808807939</v>
      </c>
      <c r="AW49" s="61">
        <f t="shared" si="40"/>
        <v>2.3953106801267134</v>
      </c>
      <c r="AX49" s="61">
        <f t="shared" si="40"/>
        <v>1.0649366013892887</v>
      </c>
      <c r="AY49" s="61">
        <f t="shared" si="40"/>
        <v>2.6172925308836064</v>
      </c>
      <c r="AZ49" s="61">
        <f t="shared" si="40"/>
        <v>1.8624467412360339</v>
      </c>
      <c r="BA49" s="61">
        <f t="shared" si="40"/>
        <v>1.3207743423311256</v>
      </c>
      <c r="BB49" s="61">
        <f t="shared" si="40"/>
        <v>2.6179327235743282</v>
      </c>
      <c r="BC49" s="61">
        <f t="shared" si="41"/>
        <v>2.6185975946040121</v>
      </c>
      <c r="BD49" s="61">
        <f t="shared" si="41"/>
        <v>2.2100813469236709</v>
      </c>
      <c r="BE49" s="61">
        <f t="shared" si="41"/>
        <v>2.0798328183568269</v>
      </c>
      <c r="BF49" s="61">
        <f t="shared" si="41"/>
        <v>0.40263147539773891</v>
      </c>
      <c r="BG49" s="61">
        <f t="shared" si="41"/>
        <v>1.3439463690256086</v>
      </c>
      <c r="BH49" s="61">
        <f t="shared" si="41"/>
        <v>2.6310461231568749</v>
      </c>
      <c r="BI49" s="61">
        <f t="shared" si="41"/>
        <v>2.6334133908290127</v>
      </c>
      <c r="BJ49" s="61">
        <f t="shared" si="41"/>
        <v>1.025298057119292</v>
      </c>
      <c r="BK49" s="61">
        <f t="shared" si="41"/>
        <v>2.181910129180356</v>
      </c>
      <c r="BL49" s="61">
        <f t="shared" si="41"/>
        <v>1.9085267241240813</v>
      </c>
      <c r="BM49" s="61">
        <f t="shared" si="42"/>
        <v>0.80134540275502808</v>
      </c>
      <c r="BN49" s="61">
        <f t="shared" si="42"/>
        <v>1.2946832863161928</v>
      </c>
      <c r="BO49" s="61">
        <f t="shared" si="42"/>
        <v>2.4413464142994177</v>
      </c>
      <c r="BP49" s="61">
        <f t="shared" si="42"/>
        <v>1.2175213264876035</v>
      </c>
      <c r="BQ49" s="61">
        <f t="shared" si="42"/>
        <v>1.4503952736271812</v>
      </c>
      <c r="BR49" s="61">
        <f t="shared" si="42"/>
        <v>1.4494520115480953</v>
      </c>
      <c r="BS49" s="61">
        <f t="shared" si="42"/>
        <v>1.9273377350895442</v>
      </c>
      <c r="BT49" s="61">
        <f t="shared" si="42"/>
        <v>2.0075373396835179</v>
      </c>
      <c r="BU49" s="61">
        <f t="shared" si="42"/>
        <v>2.0313082652112699</v>
      </c>
      <c r="BV49" s="61">
        <f t="shared" si="42"/>
        <v>2.7010296056336012</v>
      </c>
      <c r="BW49" s="61">
        <f t="shared" si="43"/>
        <v>2.0066723532000981</v>
      </c>
      <c r="BX49" s="61">
        <f t="shared" si="43"/>
        <v>2.7053048599938783</v>
      </c>
      <c r="BY49" s="61">
        <f t="shared" si="43"/>
        <v>2.1685305000325847</v>
      </c>
      <c r="BZ49" s="61">
        <f t="shared" si="43"/>
        <v>2.2011789018921726</v>
      </c>
      <c r="CA49" s="61">
        <f t="shared" si="43"/>
        <v>2.7195700185641192</v>
      </c>
      <c r="CB49" s="61">
        <f t="shared" si="43"/>
        <v>2.2077237665526046</v>
      </c>
      <c r="CC49" s="61">
        <f t="shared" si="43"/>
        <v>2.7248700440826226</v>
      </c>
      <c r="CD49" s="61">
        <f t="shared" si="43"/>
        <v>2.7364298071234918</v>
      </c>
      <c r="CE49" s="61">
        <f t="shared" si="43"/>
        <v>2.121615019297773</v>
      </c>
      <c r="CF49" s="61">
        <f t="shared" si="43"/>
        <v>1.6567263586186627</v>
      </c>
      <c r="CG49" s="61">
        <f t="shared" si="44"/>
        <v>1.9441338722145494</v>
      </c>
      <c r="CH49" s="61">
        <f t="shared" si="44"/>
        <v>2.3270568670226677</v>
      </c>
      <c r="CI49" s="61">
        <f t="shared" si="44"/>
        <v>2.3982494468191708</v>
      </c>
      <c r="CJ49" s="61">
        <f t="shared" si="44"/>
        <v>2.58710146646618</v>
      </c>
      <c r="CK49" s="61">
        <f t="shared" si="44"/>
        <v>2.2353488249400431</v>
      </c>
      <c r="CL49" s="61">
        <f t="shared" si="44"/>
        <v>2.8240474463925227</v>
      </c>
      <c r="CM49" s="61">
        <f t="shared" si="44"/>
        <v>2.359478113232651</v>
      </c>
      <c r="CN49" s="61">
        <f t="shared" si="44"/>
        <v>1.7392576027665523</v>
      </c>
      <c r="CO49" s="61">
        <f t="shared" si="44"/>
        <v>1.9800916430602538</v>
      </c>
      <c r="CP49" s="61">
        <f t="shared" si="44"/>
        <v>2.8675063902845985</v>
      </c>
      <c r="CQ49" s="61">
        <f t="shared" si="45"/>
        <v>2.4694336610160295</v>
      </c>
      <c r="CR49" s="61">
        <f t="shared" si="45"/>
        <v>2.455696220135998</v>
      </c>
      <c r="CS49" s="61">
        <f t="shared" si="45"/>
        <v>2.9049184047477898</v>
      </c>
      <c r="CT49" s="61">
        <f t="shared" si="45"/>
        <v>2.9272062409258668</v>
      </c>
      <c r="CU49" s="61">
        <f t="shared" si="45"/>
        <v>2.4161743542545207</v>
      </c>
      <c r="CV49" s="61">
        <f t="shared" si="45"/>
        <v>2.3012446217358207</v>
      </c>
      <c r="CW49" s="61">
        <f t="shared" si="45"/>
        <v>2.9272062409258668</v>
      </c>
      <c r="CX49" s="61">
        <f t="shared" si="45"/>
        <v>2.4098359735399919</v>
      </c>
      <c r="CY49" s="61">
        <f t="shared" si="45"/>
        <v>2.9526184916069997</v>
      </c>
      <c r="CZ49" s="61">
        <f t="shared" si="45"/>
        <v>2.9526184916069997</v>
      </c>
      <c r="DA49" s="61">
        <f t="shared" si="46"/>
        <v>2.5950127093022242</v>
      </c>
      <c r="DB49" s="61">
        <f t="shared" si="46"/>
        <v>2.9819645343443826</v>
      </c>
      <c r="DC49" s="61">
        <f t="shared" si="46"/>
        <v>2.9819645343443826</v>
      </c>
      <c r="DD49" s="61">
        <f t="shared" si="46"/>
        <v>2.692966889858508</v>
      </c>
      <c r="DE49" s="61">
        <f t="shared" si="46"/>
        <v>2.8729745079507825</v>
      </c>
      <c r="DF49" s="61">
        <f t="shared" si="46"/>
        <v>3.1732128670073876</v>
      </c>
      <c r="DG49" s="61">
        <f t="shared" si="46"/>
        <v>3.261025063537399</v>
      </c>
      <c r="DH49" s="61">
        <f t="shared" si="46"/>
        <v>3.261025063537399</v>
      </c>
      <c r="DI49" s="61">
        <f t="shared" si="46"/>
        <v>3.261025063537399</v>
      </c>
      <c r="DJ49" s="61">
        <f t="shared" si="46"/>
        <v>3.261025063537399</v>
      </c>
      <c r="DK49" s="61">
        <f t="shared" si="47"/>
        <v>3.3921595223746079</v>
      </c>
      <c r="DL49" s="61">
        <f t="shared" si="47"/>
        <v>3.3921595223746079</v>
      </c>
      <c r="DM49" s="61">
        <f t="shared" si="47"/>
        <v>3.3921595223746079</v>
      </c>
      <c r="DN49" s="61">
        <f t="shared" si="47"/>
        <v>3.3921595223746079</v>
      </c>
      <c r="DO49" s="61">
        <f t="shared" si="47"/>
        <v>3.3921595223746079</v>
      </c>
      <c r="DP49" s="61">
        <f t="shared" si="47"/>
        <v>3.6338012413689014</v>
      </c>
      <c r="DQ49" s="61">
        <f t="shared" si="47"/>
        <v>3.6338012413689014</v>
      </c>
    </row>
    <row r="50" spans="1:121" x14ac:dyDescent="0.25">
      <c r="A50" s="48" t="str">
        <f>KMeans_Data!A41</f>
        <v>Haripur</v>
      </c>
      <c r="B50" s="59">
        <f>KMeans_Data!H41</f>
        <v>0.43325455393275542</v>
      </c>
      <c r="C50" s="59">
        <f>KMeans_Data!I41</f>
        <v>0.37868427752921691</v>
      </c>
      <c r="D50" s="59">
        <f>KMeans_Data!J41</f>
        <v>0.53998023220398461</v>
      </c>
      <c r="E50" s="61">
        <f t="shared" si="36"/>
        <v>5.3691092076194247</v>
      </c>
      <c r="F50" s="61">
        <f t="shared" si="36"/>
        <v>5.1760270880774852</v>
      </c>
      <c r="G50" s="61">
        <f t="shared" si="36"/>
        <v>3.2796958727069581</v>
      </c>
      <c r="H50" s="61">
        <f t="shared" si="36"/>
        <v>3.8726525906640741</v>
      </c>
      <c r="I50" s="61">
        <f t="shared" si="36"/>
        <v>2.6840435663640831</v>
      </c>
      <c r="J50" s="61">
        <f t="shared" si="36"/>
        <v>2.3176741650887926</v>
      </c>
      <c r="K50" s="61">
        <f t="shared" si="36"/>
        <v>1.6524232702443264</v>
      </c>
      <c r="L50" s="61">
        <f t="shared" si="36"/>
        <v>1.5086172264915794</v>
      </c>
      <c r="M50" s="61">
        <f t="shared" si="36"/>
        <v>1.6466564118748546</v>
      </c>
      <c r="N50" s="61">
        <f t="shared" si="36"/>
        <v>1.6517401687798428</v>
      </c>
      <c r="O50" s="61">
        <f t="shared" si="37"/>
        <v>1.3806255785572032</v>
      </c>
      <c r="P50" s="61">
        <f t="shared" si="37"/>
        <v>1.675045071706623</v>
      </c>
      <c r="Q50" s="61">
        <f t="shared" si="37"/>
        <v>1.0205813035368718</v>
      </c>
      <c r="R50" s="61">
        <f t="shared" si="37"/>
        <v>1.1093263837568521</v>
      </c>
      <c r="S50" s="61">
        <f t="shared" si="37"/>
        <v>0.99972427987138501</v>
      </c>
      <c r="T50" s="61">
        <f t="shared" si="37"/>
        <v>0.93612519550979245</v>
      </c>
      <c r="U50" s="61">
        <f t="shared" si="37"/>
        <v>1.1349235198954339</v>
      </c>
      <c r="V50" s="61">
        <f t="shared" si="37"/>
        <v>1.089546606649018</v>
      </c>
      <c r="W50" s="61">
        <f t="shared" si="37"/>
        <v>1.1553962045126256</v>
      </c>
      <c r="X50" s="61">
        <f t="shared" si="37"/>
        <v>0.77052254049675617</v>
      </c>
      <c r="Y50" s="61">
        <f t="shared" si="38"/>
        <v>0.91533530767231053</v>
      </c>
      <c r="Z50" s="61">
        <f t="shared" si="38"/>
        <v>0.55715062045266128</v>
      </c>
      <c r="AA50" s="61">
        <f t="shared" si="38"/>
        <v>0.5885727066472709</v>
      </c>
      <c r="AB50" s="61">
        <f t="shared" si="38"/>
        <v>0.40924768899334091</v>
      </c>
      <c r="AC50" s="61">
        <f t="shared" si="38"/>
        <v>1.0714657243947416</v>
      </c>
      <c r="AD50" s="61">
        <f t="shared" si="38"/>
        <v>0.89497639634607118</v>
      </c>
      <c r="AE50" s="61">
        <f t="shared" si="38"/>
        <v>1.778419886584109</v>
      </c>
      <c r="AF50" s="61">
        <f t="shared" si="38"/>
        <v>0.48395028433523546</v>
      </c>
      <c r="AG50" s="61">
        <f t="shared" si="38"/>
        <v>1.417553087353234</v>
      </c>
      <c r="AH50" s="61">
        <f t="shared" si="38"/>
        <v>0.35613499372327817</v>
      </c>
      <c r="AI50" s="61">
        <f t="shared" si="39"/>
        <v>1.4172340624201258</v>
      </c>
      <c r="AJ50" s="61">
        <f t="shared" si="39"/>
        <v>0.61298342347490786</v>
      </c>
      <c r="AK50" s="61">
        <f t="shared" si="39"/>
        <v>0.27168970882819504</v>
      </c>
      <c r="AL50" s="61">
        <f t="shared" si="39"/>
        <v>0.5283208074800918</v>
      </c>
      <c r="AM50" s="61">
        <f t="shared" si="39"/>
        <v>1.030325624098485</v>
      </c>
      <c r="AN50" s="61">
        <f t="shared" si="39"/>
        <v>0.78820212437032056</v>
      </c>
      <c r="AO50" s="61">
        <f t="shared" si="39"/>
        <v>0</v>
      </c>
      <c r="AP50" s="61">
        <f t="shared" si="39"/>
        <v>7.9743501960397201E-2</v>
      </c>
      <c r="AQ50" s="61">
        <f t="shared" si="39"/>
        <v>0.89860423595911332</v>
      </c>
      <c r="AR50" s="61">
        <f t="shared" si="39"/>
        <v>0.65740553954912762</v>
      </c>
      <c r="AS50" s="61">
        <f t="shared" si="40"/>
        <v>1.1578489113738979</v>
      </c>
      <c r="AT50" s="61">
        <f t="shared" si="40"/>
        <v>0.59720949038115512</v>
      </c>
      <c r="AU50" s="61">
        <f t="shared" si="40"/>
        <v>1.2999228669919221</v>
      </c>
      <c r="AV50" s="61">
        <f t="shared" si="40"/>
        <v>1.0663901708687509</v>
      </c>
      <c r="AW50" s="61">
        <f t="shared" si="40"/>
        <v>1.7334497316219959</v>
      </c>
      <c r="AX50" s="61">
        <f t="shared" si="40"/>
        <v>0.33610819433304362</v>
      </c>
      <c r="AY50" s="61">
        <f t="shared" si="40"/>
        <v>2.0001469731466899</v>
      </c>
      <c r="AZ50" s="61">
        <f t="shared" si="40"/>
        <v>1.183997338776829</v>
      </c>
      <c r="BA50" s="61">
        <f t="shared" si="40"/>
        <v>0.63151385501013468</v>
      </c>
      <c r="BB50" s="61">
        <f t="shared" si="40"/>
        <v>2.0009178347849428</v>
      </c>
      <c r="BC50" s="61">
        <f t="shared" si="41"/>
        <v>2.001720037440867</v>
      </c>
      <c r="BD50" s="61">
        <f t="shared" si="41"/>
        <v>1.5047645753378214</v>
      </c>
      <c r="BE50" s="61">
        <f t="shared" si="41"/>
        <v>1.3409624445069788</v>
      </c>
      <c r="BF50" s="61">
        <f t="shared" si="41"/>
        <v>1.0727241449194826</v>
      </c>
      <c r="BG50" s="61">
        <f t="shared" si="41"/>
        <v>0.62686231733767439</v>
      </c>
      <c r="BH50" s="61">
        <f t="shared" si="41"/>
        <v>2.0169357610235745</v>
      </c>
      <c r="BI50" s="61">
        <f t="shared" si="41"/>
        <v>2.0198558422028952</v>
      </c>
      <c r="BJ50" s="61">
        <f t="shared" si="41"/>
        <v>0.69353073696959688</v>
      </c>
      <c r="BK50" s="61">
        <f t="shared" si="41"/>
        <v>1.4734851422720971</v>
      </c>
      <c r="BL50" s="61">
        <f t="shared" si="41"/>
        <v>1.1519823020041797</v>
      </c>
      <c r="BM50" s="61">
        <f t="shared" si="42"/>
        <v>0.49779626848784181</v>
      </c>
      <c r="BN50" s="61">
        <f t="shared" si="42"/>
        <v>0.72256010482117927</v>
      </c>
      <c r="BO50" s="61">
        <f t="shared" si="42"/>
        <v>1.7930743994767235</v>
      </c>
      <c r="BP50" s="61">
        <f t="shared" si="42"/>
        <v>0.63708029265925681</v>
      </c>
      <c r="BQ50" s="61">
        <f t="shared" si="42"/>
        <v>0.77248116175895687</v>
      </c>
      <c r="BR50" s="61">
        <f t="shared" si="42"/>
        <v>0.78137640457148771</v>
      </c>
      <c r="BS50" s="61">
        <f t="shared" si="42"/>
        <v>1.2149432124772022</v>
      </c>
      <c r="BT50" s="61">
        <f t="shared" si="42"/>
        <v>1.28255291878168</v>
      </c>
      <c r="BU50" s="61">
        <f t="shared" si="42"/>
        <v>1.3078940927355633</v>
      </c>
      <c r="BV50" s="61">
        <f t="shared" si="42"/>
        <v>2.1040704185519901</v>
      </c>
      <c r="BW50" s="61">
        <f t="shared" si="43"/>
        <v>1.293207181284415</v>
      </c>
      <c r="BX50" s="61">
        <f t="shared" si="43"/>
        <v>2.1094008430427302</v>
      </c>
      <c r="BY50" s="61">
        <f t="shared" si="43"/>
        <v>1.4759205485117406</v>
      </c>
      <c r="BZ50" s="61">
        <f t="shared" si="43"/>
        <v>1.5159314137761404</v>
      </c>
      <c r="CA50" s="61">
        <f t="shared" si="43"/>
        <v>2.1271734465029457</v>
      </c>
      <c r="CB50" s="61">
        <f t="shared" si="43"/>
        <v>1.5251747669695159</v>
      </c>
      <c r="CC50" s="61">
        <f t="shared" si="43"/>
        <v>2.133770580459486</v>
      </c>
      <c r="CD50" s="61">
        <f t="shared" si="43"/>
        <v>2.1481465284390477</v>
      </c>
      <c r="CE50" s="61">
        <f t="shared" si="43"/>
        <v>1.4331939952156936</v>
      </c>
      <c r="CF50" s="61">
        <f t="shared" si="43"/>
        <v>1.0670865724569139</v>
      </c>
      <c r="CG50" s="61">
        <f t="shared" si="44"/>
        <v>1.4061192843350994</v>
      </c>
      <c r="CH50" s="61">
        <f t="shared" si="44"/>
        <v>1.6751567461548993</v>
      </c>
      <c r="CI50" s="61">
        <f t="shared" si="44"/>
        <v>1.7616388360821222</v>
      </c>
      <c r="CJ50" s="61">
        <f t="shared" si="44"/>
        <v>1.9820052448344629</v>
      </c>
      <c r="CK50" s="61">
        <f t="shared" si="44"/>
        <v>1.5854225201093555</v>
      </c>
      <c r="CL50" s="61">
        <f t="shared" si="44"/>
        <v>2.2564159367911243</v>
      </c>
      <c r="CM50" s="61">
        <f t="shared" si="44"/>
        <v>1.7267567170055187</v>
      </c>
      <c r="CN50" s="61">
        <f t="shared" si="44"/>
        <v>1.2579718472064023</v>
      </c>
      <c r="CO50" s="61">
        <f t="shared" si="44"/>
        <v>1.478299343223662</v>
      </c>
      <c r="CP50" s="61">
        <f t="shared" si="44"/>
        <v>2.3096211130529158</v>
      </c>
      <c r="CQ50" s="61">
        <f t="shared" si="45"/>
        <v>1.8644514837376074</v>
      </c>
      <c r="CR50" s="61">
        <f t="shared" si="45"/>
        <v>1.8539239160175827</v>
      </c>
      <c r="CS50" s="61">
        <f t="shared" si="45"/>
        <v>2.3551556225572989</v>
      </c>
      <c r="CT50" s="61">
        <f t="shared" si="45"/>
        <v>2.3821667041796144</v>
      </c>
      <c r="CU50" s="61">
        <f t="shared" si="45"/>
        <v>1.9662322004844432</v>
      </c>
      <c r="CV50" s="61">
        <f t="shared" si="45"/>
        <v>1.7055541560171823</v>
      </c>
      <c r="CW50" s="61">
        <f t="shared" si="45"/>
        <v>2.3821667041796144</v>
      </c>
      <c r="CX50" s="61">
        <f t="shared" si="45"/>
        <v>1.8194987060711019</v>
      </c>
      <c r="CY50" s="61">
        <f t="shared" si="45"/>
        <v>2.4128611624217648</v>
      </c>
      <c r="CZ50" s="61">
        <f t="shared" si="45"/>
        <v>2.4128611624217648</v>
      </c>
      <c r="DA50" s="61">
        <f t="shared" si="46"/>
        <v>2.0171500967522067</v>
      </c>
      <c r="DB50" s="61">
        <f t="shared" si="46"/>
        <v>2.4481733504028074</v>
      </c>
      <c r="DC50" s="61">
        <f t="shared" si="46"/>
        <v>2.4481733504028074</v>
      </c>
      <c r="DD50" s="61">
        <f t="shared" si="46"/>
        <v>2.1298975497328749</v>
      </c>
      <c r="DE50" s="61">
        <f t="shared" si="46"/>
        <v>2.3376783607671743</v>
      </c>
      <c r="DF50" s="61">
        <f t="shared" si="46"/>
        <v>2.6750685109136918</v>
      </c>
      <c r="DG50" s="61">
        <f t="shared" si="46"/>
        <v>2.7775678514965731</v>
      </c>
      <c r="DH50" s="61">
        <f t="shared" si="46"/>
        <v>2.7775678514965731</v>
      </c>
      <c r="DI50" s="61">
        <f t="shared" si="46"/>
        <v>2.7775678514965731</v>
      </c>
      <c r="DJ50" s="61">
        <f t="shared" si="46"/>
        <v>2.7775678514965731</v>
      </c>
      <c r="DK50" s="61">
        <f t="shared" si="47"/>
        <v>2.9289467788239918</v>
      </c>
      <c r="DL50" s="61">
        <f t="shared" si="47"/>
        <v>2.9289467788239918</v>
      </c>
      <c r="DM50" s="61">
        <f t="shared" si="47"/>
        <v>2.9289467788239918</v>
      </c>
      <c r="DN50" s="61">
        <f t="shared" si="47"/>
        <v>2.9289467788239918</v>
      </c>
      <c r="DO50" s="61">
        <f t="shared" si="47"/>
        <v>2.9289467788239918</v>
      </c>
      <c r="DP50" s="61">
        <f t="shared" si="47"/>
        <v>3.2033991070309726</v>
      </c>
      <c r="DQ50" s="61">
        <f t="shared" si="47"/>
        <v>3.2033991070309726</v>
      </c>
    </row>
    <row r="51" spans="1:121" x14ac:dyDescent="0.25">
      <c r="A51" s="48" t="str">
        <f>KMeans_Data!A42</f>
        <v>Battagram</v>
      </c>
      <c r="B51" s="59">
        <f>KMeans_Data!H42</f>
        <v>0.42907404938827359</v>
      </c>
      <c r="C51" s="59">
        <f>KMeans_Data!I42</f>
        <v>0.37868427752921691</v>
      </c>
      <c r="D51" s="59">
        <f>KMeans_Data!J42</f>
        <v>0.46034638584038468</v>
      </c>
      <c r="E51" s="61">
        <f t="shared" si="36"/>
        <v>5.4119772224383986</v>
      </c>
      <c r="F51" s="61">
        <f t="shared" si="36"/>
        <v>5.2117257450614796</v>
      </c>
      <c r="G51" s="61">
        <f t="shared" si="36"/>
        <v>3.3272736080545511</v>
      </c>
      <c r="H51" s="61">
        <f t="shared" si="36"/>
        <v>3.898072401335364</v>
      </c>
      <c r="I51" s="61">
        <f t="shared" si="36"/>
        <v>2.7219805543278133</v>
      </c>
      <c r="J51" s="61">
        <f t="shared" si="36"/>
        <v>2.3517505664228162</v>
      </c>
      <c r="K51" s="61">
        <f t="shared" si="36"/>
        <v>1.5896948229092016</v>
      </c>
      <c r="L51" s="61">
        <f t="shared" si="36"/>
        <v>1.5742360539324178</v>
      </c>
      <c r="M51" s="61">
        <f t="shared" si="36"/>
        <v>1.7055146245655486</v>
      </c>
      <c r="N51" s="61">
        <f t="shared" si="36"/>
        <v>1.5886217991400278</v>
      </c>
      <c r="O51" s="61">
        <f t="shared" si="37"/>
        <v>1.4106079705124064</v>
      </c>
      <c r="P51" s="61">
        <f t="shared" si="37"/>
        <v>1.7081509613981158</v>
      </c>
      <c r="Q51" s="61">
        <f t="shared" si="37"/>
        <v>1.0672984573666131</v>
      </c>
      <c r="R51" s="61">
        <f t="shared" si="37"/>
        <v>1.1790679955950032</v>
      </c>
      <c r="S51" s="61">
        <f t="shared" si="37"/>
        <v>1.0537817546002182</v>
      </c>
      <c r="T51" s="61">
        <f t="shared" si="37"/>
        <v>0.97982379362683025</v>
      </c>
      <c r="U51" s="61">
        <f t="shared" si="37"/>
        <v>1.2100824603815898</v>
      </c>
      <c r="V51" s="61">
        <f t="shared" si="37"/>
        <v>1.099753932853073</v>
      </c>
      <c r="W51" s="61">
        <f t="shared" si="37"/>
        <v>1.1864247046252119</v>
      </c>
      <c r="X51" s="61">
        <f t="shared" si="37"/>
        <v>0.82619135410401878</v>
      </c>
      <c r="Y51" s="61">
        <f t="shared" si="38"/>
        <v>0.98142263364335836</v>
      </c>
      <c r="Z51" s="61">
        <f t="shared" si="38"/>
        <v>0.57636825194418184</v>
      </c>
      <c r="AA51" s="61">
        <f t="shared" si="38"/>
        <v>0.65003805587425367</v>
      </c>
      <c r="AB51" s="61">
        <f t="shared" si="38"/>
        <v>0.44387547407469086</v>
      </c>
      <c r="AC51" s="61">
        <f t="shared" si="38"/>
        <v>1.0895272020643842</v>
      </c>
      <c r="AD51" s="61">
        <f t="shared" si="38"/>
        <v>0.96293701412176003</v>
      </c>
      <c r="AE51" s="61">
        <f t="shared" si="38"/>
        <v>1.7036569054111126</v>
      </c>
      <c r="AF51" s="61">
        <f t="shared" si="38"/>
        <v>0.54318933124620428</v>
      </c>
      <c r="AG51" s="61">
        <f t="shared" si="38"/>
        <v>1.3665065338945408</v>
      </c>
      <c r="AH51" s="61">
        <f t="shared" si="38"/>
        <v>0.41577962751868486</v>
      </c>
      <c r="AI51" s="61">
        <f t="shared" si="39"/>
        <v>1.3661659070139087</v>
      </c>
      <c r="AJ51" s="61">
        <f t="shared" si="39"/>
        <v>0.68889453237347698</v>
      </c>
      <c r="AK51" s="61">
        <f t="shared" si="39"/>
        <v>0.20164316108932798</v>
      </c>
      <c r="AL51" s="61">
        <f t="shared" si="39"/>
        <v>0.5364974633931251</v>
      </c>
      <c r="AM51" s="61">
        <f t="shared" si="39"/>
        <v>1.015531623259271</v>
      </c>
      <c r="AN51" s="61">
        <f t="shared" si="39"/>
        <v>0.81019172249889793</v>
      </c>
      <c r="AO51" s="61">
        <f t="shared" si="39"/>
        <v>7.9743501960397201E-2</v>
      </c>
      <c r="AP51" s="61">
        <f t="shared" si="39"/>
        <v>0</v>
      </c>
      <c r="AQ51" s="61">
        <f t="shared" si="39"/>
        <v>0.90979944382820266</v>
      </c>
      <c r="AR51" s="61">
        <f t="shared" si="39"/>
        <v>0.58279573620561975</v>
      </c>
      <c r="AS51" s="61">
        <f t="shared" si="40"/>
        <v>1.1920628138718545</v>
      </c>
      <c r="AT51" s="61">
        <f t="shared" si="40"/>
        <v>0.63166083632168257</v>
      </c>
      <c r="AU51" s="61">
        <f t="shared" si="40"/>
        <v>1.2277396109382914</v>
      </c>
      <c r="AV51" s="61">
        <f t="shared" si="40"/>
        <v>1.0668076350005806</v>
      </c>
      <c r="AW51" s="61">
        <f t="shared" si="40"/>
        <v>1.6710088584354399</v>
      </c>
      <c r="AX51" s="61">
        <f t="shared" si="40"/>
        <v>0.30401855676631967</v>
      </c>
      <c r="AY51" s="61">
        <f t="shared" si="40"/>
        <v>1.9330130243215531</v>
      </c>
      <c r="AZ51" s="61">
        <f t="shared" si="40"/>
        <v>1.2184874358276221</v>
      </c>
      <c r="BA51" s="61">
        <f t="shared" si="40"/>
        <v>0.66627049885671341</v>
      </c>
      <c r="BB51" s="61">
        <f t="shared" si="40"/>
        <v>1.9337964942192247</v>
      </c>
      <c r="BC51" s="61">
        <f t="shared" si="41"/>
        <v>1.9346122019533813</v>
      </c>
      <c r="BD51" s="61">
        <f t="shared" si="41"/>
        <v>1.4499310247666002</v>
      </c>
      <c r="BE51" s="61">
        <f t="shared" si="41"/>
        <v>1.295124566881364</v>
      </c>
      <c r="BF51" s="61">
        <f t="shared" si="41"/>
        <v>1.0917344226736032</v>
      </c>
      <c r="BG51" s="61">
        <f t="shared" si="41"/>
        <v>0.63954244735834209</v>
      </c>
      <c r="BH51" s="61">
        <f t="shared" si="41"/>
        <v>1.9501308311123158</v>
      </c>
      <c r="BI51" s="61">
        <f t="shared" si="41"/>
        <v>1.9531154236943691</v>
      </c>
      <c r="BJ51" s="61">
        <f t="shared" si="41"/>
        <v>0.63154990397424515</v>
      </c>
      <c r="BK51" s="61">
        <f t="shared" si="41"/>
        <v>1.422765277565651</v>
      </c>
      <c r="BL51" s="61">
        <f t="shared" si="41"/>
        <v>1.1409479518014543</v>
      </c>
      <c r="BM51" s="61">
        <f t="shared" si="42"/>
        <v>0.49415534969556102</v>
      </c>
      <c r="BN51" s="61">
        <f t="shared" si="42"/>
        <v>0.66730856538712879</v>
      </c>
      <c r="BO51" s="61">
        <f t="shared" si="42"/>
        <v>1.7320510338277166</v>
      </c>
      <c r="BP51" s="61">
        <f t="shared" si="42"/>
        <v>0.60333610143895255</v>
      </c>
      <c r="BQ51" s="61">
        <f t="shared" si="42"/>
        <v>0.75717918111810967</v>
      </c>
      <c r="BR51" s="61">
        <f t="shared" si="42"/>
        <v>0.77117816157803754</v>
      </c>
      <c r="BS51" s="61">
        <f t="shared" si="42"/>
        <v>1.2192212852865414</v>
      </c>
      <c r="BT51" s="61">
        <f t="shared" si="42"/>
        <v>1.2612443396483466</v>
      </c>
      <c r="BU51" s="61">
        <f t="shared" si="42"/>
        <v>1.2817668813848004</v>
      </c>
      <c r="BV51" s="61">
        <f t="shared" si="42"/>
        <v>2.0394142029349016</v>
      </c>
      <c r="BW51" s="61">
        <f t="shared" si="43"/>
        <v>1.2776845060657167</v>
      </c>
      <c r="BX51" s="61">
        <f t="shared" si="43"/>
        <v>2.0448804302227699</v>
      </c>
      <c r="BY51" s="61">
        <f t="shared" si="43"/>
        <v>1.43648672619788</v>
      </c>
      <c r="BZ51" s="61">
        <f t="shared" si="43"/>
        <v>1.4741771020838095</v>
      </c>
      <c r="CA51" s="61">
        <f t="shared" si="43"/>
        <v>2.0631050752677109</v>
      </c>
      <c r="CB51" s="61">
        <f t="shared" si="43"/>
        <v>1.4836291455528814</v>
      </c>
      <c r="CC51" s="61">
        <f t="shared" si="43"/>
        <v>2.0698695284536996</v>
      </c>
      <c r="CD51" s="61">
        <f t="shared" si="43"/>
        <v>2.0846088338432782</v>
      </c>
      <c r="CE51" s="61">
        <f t="shared" si="43"/>
        <v>1.4050751962801744</v>
      </c>
      <c r="CF51" s="61">
        <f t="shared" si="43"/>
        <v>1.0364311275112426</v>
      </c>
      <c r="CG51" s="61">
        <f t="shared" si="44"/>
        <v>1.3514017284281836</v>
      </c>
      <c r="CH51" s="61">
        <f t="shared" si="44"/>
        <v>1.6294984854266972</v>
      </c>
      <c r="CI51" s="61">
        <f t="shared" si="44"/>
        <v>1.7133601820312367</v>
      </c>
      <c r="CJ51" s="61">
        <f t="shared" si="44"/>
        <v>1.9259275230564288</v>
      </c>
      <c r="CK51" s="61">
        <f t="shared" si="44"/>
        <v>1.5555540654541515</v>
      </c>
      <c r="CL51" s="61">
        <f t="shared" si="44"/>
        <v>2.1955319628744339</v>
      </c>
      <c r="CM51" s="61">
        <f t="shared" si="44"/>
        <v>1.6860824604192297</v>
      </c>
      <c r="CN51" s="61">
        <f t="shared" si="44"/>
        <v>1.2623097063787316</v>
      </c>
      <c r="CO51" s="61">
        <f t="shared" si="44"/>
        <v>1.4376656546922337</v>
      </c>
      <c r="CP51" s="61">
        <f t="shared" si="44"/>
        <v>2.2499764068256591</v>
      </c>
      <c r="CQ51" s="61">
        <f t="shared" si="45"/>
        <v>1.8228156328616929</v>
      </c>
      <c r="CR51" s="61">
        <f t="shared" si="45"/>
        <v>1.8156510274660347</v>
      </c>
      <c r="CS51" s="61">
        <f t="shared" si="45"/>
        <v>2.2965354754952876</v>
      </c>
      <c r="CT51" s="61">
        <f t="shared" si="45"/>
        <v>2.3241386863243991</v>
      </c>
      <c r="CU51" s="61">
        <f t="shared" si="45"/>
        <v>1.9089599192634299</v>
      </c>
      <c r="CV51" s="61">
        <f t="shared" si="45"/>
        <v>1.6913050895296</v>
      </c>
      <c r="CW51" s="61">
        <f t="shared" si="45"/>
        <v>2.3241386863243991</v>
      </c>
      <c r="CX51" s="61">
        <f t="shared" si="45"/>
        <v>1.7927609492809082</v>
      </c>
      <c r="CY51" s="61">
        <f t="shared" si="45"/>
        <v>2.3554920766846061</v>
      </c>
      <c r="CZ51" s="61">
        <f t="shared" si="45"/>
        <v>2.3554920766846061</v>
      </c>
      <c r="DA51" s="61">
        <f t="shared" si="46"/>
        <v>1.9742470483091268</v>
      </c>
      <c r="DB51" s="61">
        <f t="shared" si="46"/>
        <v>2.3915442995563385</v>
      </c>
      <c r="DC51" s="61">
        <f t="shared" si="46"/>
        <v>2.3915442995563385</v>
      </c>
      <c r="DD51" s="61">
        <f t="shared" si="46"/>
        <v>2.0841007793585216</v>
      </c>
      <c r="DE51" s="61">
        <f t="shared" si="46"/>
        <v>2.2892304577920495</v>
      </c>
      <c r="DF51" s="61">
        <f t="shared" si="46"/>
        <v>2.6227669709906603</v>
      </c>
      <c r="DG51" s="61">
        <f t="shared" si="46"/>
        <v>2.7270031761451965</v>
      </c>
      <c r="DH51" s="61">
        <f t="shared" si="46"/>
        <v>2.7270031761451965</v>
      </c>
      <c r="DI51" s="61">
        <f t="shared" si="46"/>
        <v>2.7270031761451965</v>
      </c>
      <c r="DJ51" s="61">
        <f t="shared" si="46"/>
        <v>2.7270031761451965</v>
      </c>
      <c r="DK51" s="61">
        <f t="shared" si="47"/>
        <v>2.8807339242180245</v>
      </c>
      <c r="DL51" s="61">
        <f t="shared" si="47"/>
        <v>2.8807339242180245</v>
      </c>
      <c r="DM51" s="61">
        <f t="shared" si="47"/>
        <v>2.8807339242180245</v>
      </c>
      <c r="DN51" s="61">
        <f t="shared" si="47"/>
        <v>2.8807339242180245</v>
      </c>
      <c r="DO51" s="61">
        <f t="shared" si="47"/>
        <v>2.8807339242180245</v>
      </c>
      <c r="DP51" s="61">
        <f t="shared" si="47"/>
        <v>3.158899841844244</v>
      </c>
      <c r="DQ51" s="61">
        <f t="shared" si="47"/>
        <v>3.158899841844244</v>
      </c>
    </row>
    <row r="52" spans="1:121" x14ac:dyDescent="0.25">
      <c r="A52" s="48" t="str">
        <f>KMeans_Data!A43</f>
        <v>Kohat</v>
      </c>
      <c r="B52" s="59">
        <f>KMeans_Data!H43</f>
        <v>0.40765250667401376</v>
      </c>
      <c r="C52" s="59">
        <f>KMeans_Data!I43</f>
        <v>1.2725500225060853</v>
      </c>
      <c r="D52" s="59">
        <f>KMeans_Data!J43</f>
        <v>0.62851349158581915</v>
      </c>
      <c r="E52" s="61">
        <f t="shared" si="36"/>
        <v>4.7703842622670001</v>
      </c>
      <c r="F52" s="61">
        <f t="shared" si="36"/>
        <v>4.5397837130114027</v>
      </c>
      <c r="G52" s="61">
        <f t="shared" si="36"/>
        <v>2.8131849853969211</v>
      </c>
      <c r="H52" s="61">
        <f t="shared" si="36"/>
        <v>3.1650593982643711</v>
      </c>
      <c r="I52" s="61">
        <f t="shared" si="36"/>
        <v>2.2090022076134663</v>
      </c>
      <c r="J52" s="61">
        <f t="shared" si="36"/>
        <v>1.6619741608503635</v>
      </c>
      <c r="K52" s="61">
        <f t="shared" si="36"/>
        <v>2.0532952294910416</v>
      </c>
      <c r="L52" s="61">
        <f t="shared" si="36"/>
        <v>1.539250318376139</v>
      </c>
      <c r="M52" s="61">
        <f t="shared" si="36"/>
        <v>1.3664469632896816</v>
      </c>
      <c r="N52" s="61">
        <f t="shared" si="36"/>
        <v>2.1809220154288407</v>
      </c>
      <c r="O52" s="61">
        <f t="shared" si="37"/>
        <v>0.84188508043344989</v>
      </c>
      <c r="P52" s="61">
        <f t="shared" si="37"/>
        <v>1.0262628259610398</v>
      </c>
      <c r="Q52" s="61">
        <f t="shared" si="37"/>
        <v>0.82772359867022161</v>
      </c>
      <c r="R52" s="61">
        <f t="shared" si="37"/>
        <v>1.3799561862055567</v>
      </c>
      <c r="S52" s="61">
        <f t="shared" si="37"/>
        <v>1.6325158378456599</v>
      </c>
      <c r="T52" s="61">
        <f t="shared" si="37"/>
        <v>0.72861505323793607</v>
      </c>
      <c r="U52" s="61">
        <f t="shared" si="37"/>
        <v>1.3905767483077303</v>
      </c>
      <c r="V52" s="61">
        <f t="shared" si="37"/>
        <v>0.45849387472525571</v>
      </c>
      <c r="W52" s="61">
        <f t="shared" si="37"/>
        <v>0.5495390941835141</v>
      </c>
      <c r="X52" s="61">
        <f t="shared" si="37"/>
        <v>0.75857917643562367</v>
      </c>
      <c r="Y52" s="61">
        <f t="shared" si="38"/>
        <v>0.880850274666649</v>
      </c>
      <c r="Z52" s="61">
        <f t="shared" si="38"/>
        <v>0.60279565981498695</v>
      </c>
      <c r="AA52" s="61">
        <f t="shared" si="38"/>
        <v>1.2196555215292531</v>
      </c>
      <c r="AB52" s="61">
        <f t="shared" si="38"/>
        <v>0.81722511817790489</v>
      </c>
      <c r="AC52" s="61">
        <f t="shared" si="38"/>
        <v>0.38350809802312213</v>
      </c>
      <c r="AD52" s="61">
        <f t="shared" si="38"/>
        <v>0.85620511748716666</v>
      </c>
      <c r="AE52" s="61">
        <f t="shared" si="38"/>
        <v>2.2845926076918595</v>
      </c>
      <c r="AF52" s="61">
        <f t="shared" si="38"/>
        <v>0.66455522092249264</v>
      </c>
      <c r="AG52" s="61">
        <f t="shared" si="38"/>
        <v>2.2068668422753066</v>
      </c>
      <c r="AH52" s="61">
        <f t="shared" si="38"/>
        <v>1.135332595314434</v>
      </c>
      <c r="AI52" s="61">
        <f t="shared" si="39"/>
        <v>2.2066252250856015</v>
      </c>
      <c r="AJ52" s="61">
        <f t="shared" si="39"/>
        <v>0.88660492902563481</v>
      </c>
      <c r="AK52" s="61">
        <f t="shared" si="39"/>
        <v>0.96497944020469317</v>
      </c>
      <c r="AL52" s="61">
        <f t="shared" si="39"/>
        <v>1.4236818771029884</v>
      </c>
      <c r="AM52" s="61">
        <f t="shared" si="39"/>
        <v>0.34769208184923178</v>
      </c>
      <c r="AN52" s="61">
        <f t="shared" si="39"/>
        <v>0.16271691405769756</v>
      </c>
      <c r="AO52" s="61">
        <f t="shared" si="39"/>
        <v>0.89860423595911332</v>
      </c>
      <c r="AP52" s="61">
        <f t="shared" si="39"/>
        <v>0.90979944382820266</v>
      </c>
      <c r="AQ52" s="61">
        <f t="shared" si="39"/>
        <v>0</v>
      </c>
      <c r="AR52" s="61">
        <f t="shared" si="39"/>
        <v>1.3179605718239056</v>
      </c>
      <c r="AS52" s="61">
        <f t="shared" si="40"/>
        <v>1.9845066618407723</v>
      </c>
      <c r="AT52" s="61">
        <f t="shared" si="40"/>
        <v>1.4332659224802133</v>
      </c>
      <c r="AU52" s="61">
        <f t="shared" si="40"/>
        <v>1.9069902732541815</v>
      </c>
      <c r="AV52" s="61">
        <f t="shared" si="40"/>
        <v>1.9543709322376557</v>
      </c>
      <c r="AW52" s="61">
        <f t="shared" si="40"/>
        <v>2.433817955656989</v>
      </c>
      <c r="AX52" s="61">
        <f t="shared" si="40"/>
        <v>1.152498843158638</v>
      </c>
      <c r="AY52" s="61">
        <f t="shared" si="40"/>
        <v>2.6408627100020379</v>
      </c>
      <c r="AZ52" s="61">
        <f t="shared" si="40"/>
        <v>1.9974329660074728</v>
      </c>
      <c r="BA52" s="61">
        <f t="shared" si="40"/>
        <v>1.4451729493598735</v>
      </c>
      <c r="BB52" s="61">
        <f t="shared" si="40"/>
        <v>2.6413831402204759</v>
      </c>
      <c r="BC52" s="61">
        <f t="shared" si="41"/>
        <v>2.6419266308206408</v>
      </c>
      <c r="BD52" s="61">
        <f t="shared" si="41"/>
        <v>2.2632758433058715</v>
      </c>
      <c r="BE52" s="61">
        <f t="shared" si="41"/>
        <v>2.1470081580281493</v>
      </c>
      <c r="BF52" s="61">
        <f t="shared" si="41"/>
        <v>0.33058888573394274</v>
      </c>
      <c r="BG52" s="61">
        <f t="shared" si="41"/>
        <v>1.4523446046542812</v>
      </c>
      <c r="BH52" s="61">
        <f t="shared" si="41"/>
        <v>2.6524801570632719</v>
      </c>
      <c r="BI52" s="61">
        <f t="shared" si="41"/>
        <v>2.6545418877402982</v>
      </c>
      <c r="BJ52" s="61">
        <f t="shared" si="41"/>
        <v>1.0293653142537456</v>
      </c>
      <c r="BK52" s="61">
        <f t="shared" si="41"/>
        <v>2.2366682221049259</v>
      </c>
      <c r="BL52" s="61">
        <f t="shared" si="41"/>
        <v>2.0056984753946114</v>
      </c>
      <c r="BM52" s="61">
        <f t="shared" si="42"/>
        <v>0.85767954566053195</v>
      </c>
      <c r="BN52" s="61">
        <f t="shared" si="42"/>
        <v>1.3353676216928747</v>
      </c>
      <c r="BO52" s="61">
        <f t="shared" si="42"/>
        <v>2.473498879824088</v>
      </c>
      <c r="BP52" s="61">
        <f t="shared" si="42"/>
        <v>1.2746872334221309</v>
      </c>
      <c r="BQ52" s="61">
        <f t="shared" si="42"/>
        <v>1.5310727178022872</v>
      </c>
      <c r="BR52" s="61">
        <f t="shared" si="42"/>
        <v>1.5323579551783271</v>
      </c>
      <c r="BS52" s="61">
        <f t="shared" si="42"/>
        <v>2.0302456575099925</v>
      </c>
      <c r="BT52" s="61">
        <f t="shared" si="42"/>
        <v>2.0880784483060468</v>
      </c>
      <c r="BU52" s="61">
        <f t="shared" si="42"/>
        <v>2.1072912099061458</v>
      </c>
      <c r="BV52" s="61">
        <f t="shared" si="42"/>
        <v>2.7160782404558179</v>
      </c>
      <c r="BW52" s="61">
        <f t="shared" si="43"/>
        <v>2.0899546060552225</v>
      </c>
      <c r="BX52" s="61">
        <f t="shared" si="43"/>
        <v>2.7200589199404304</v>
      </c>
      <c r="BY52" s="61">
        <f t="shared" si="43"/>
        <v>2.2260165821863671</v>
      </c>
      <c r="BZ52" s="61">
        <f t="shared" si="43"/>
        <v>2.2549743486748093</v>
      </c>
      <c r="CA52" s="61">
        <f t="shared" si="43"/>
        <v>2.7333847214750442</v>
      </c>
      <c r="CB52" s="61">
        <f t="shared" si="43"/>
        <v>2.2609918489810226</v>
      </c>
      <c r="CC52" s="61">
        <f t="shared" si="43"/>
        <v>2.7383511213083045</v>
      </c>
      <c r="CD52" s="61">
        <f t="shared" si="43"/>
        <v>2.749208702372314</v>
      </c>
      <c r="CE52" s="61">
        <f t="shared" si="43"/>
        <v>2.1877289760023024</v>
      </c>
      <c r="CF52" s="61">
        <f t="shared" si="43"/>
        <v>1.7070435238633421</v>
      </c>
      <c r="CG52" s="61">
        <f t="shared" si="44"/>
        <v>1.9607463376928316</v>
      </c>
      <c r="CH52" s="61">
        <f t="shared" si="44"/>
        <v>2.3692313242679233</v>
      </c>
      <c r="CI52" s="61">
        <f t="shared" si="44"/>
        <v>2.4343885171287201</v>
      </c>
      <c r="CJ52" s="61">
        <f t="shared" si="44"/>
        <v>2.6089705454865988</v>
      </c>
      <c r="CK52" s="61">
        <f t="shared" si="44"/>
        <v>2.2910928807547184</v>
      </c>
      <c r="CL52" s="61">
        <f t="shared" si="44"/>
        <v>2.8323292504443325</v>
      </c>
      <c r="CM52" s="61">
        <f t="shared" si="44"/>
        <v>2.4011141539615606</v>
      </c>
      <c r="CN52" s="61">
        <f t="shared" si="44"/>
        <v>1.8043598692111735</v>
      </c>
      <c r="CO52" s="61">
        <f t="shared" si="44"/>
        <v>2.0000347367958797</v>
      </c>
      <c r="CP52" s="61">
        <f t="shared" si="44"/>
        <v>2.8739332210777246</v>
      </c>
      <c r="CQ52" s="61">
        <f t="shared" si="45"/>
        <v>2.503424183186624</v>
      </c>
      <c r="CR52" s="61">
        <f t="shared" si="45"/>
        <v>2.4921293411769709</v>
      </c>
      <c r="CS52" s="61">
        <f t="shared" si="45"/>
        <v>2.9098880486580883</v>
      </c>
      <c r="CT52" s="61">
        <f t="shared" si="45"/>
        <v>2.9313595174921501</v>
      </c>
      <c r="CU52" s="61">
        <f t="shared" si="45"/>
        <v>2.40574185363413</v>
      </c>
      <c r="CV52" s="61">
        <f t="shared" si="45"/>
        <v>2.3616221624574414</v>
      </c>
      <c r="CW52" s="61">
        <f t="shared" si="45"/>
        <v>2.9313595174921501</v>
      </c>
      <c r="CX52" s="61">
        <f t="shared" si="45"/>
        <v>2.4554364860650164</v>
      </c>
      <c r="CY52" s="61">
        <f t="shared" si="45"/>
        <v>2.9558825289620332</v>
      </c>
      <c r="CZ52" s="61">
        <f t="shared" si="45"/>
        <v>2.9558825289620332</v>
      </c>
      <c r="DA52" s="61">
        <f t="shared" si="46"/>
        <v>2.6211619922797844</v>
      </c>
      <c r="DB52" s="61">
        <f t="shared" si="46"/>
        <v>2.9842513882948203</v>
      </c>
      <c r="DC52" s="61">
        <f t="shared" si="46"/>
        <v>2.9842513882948203</v>
      </c>
      <c r="DD52" s="61">
        <f t="shared" si="46"/>
        <v>2.7126601177194916</v>
      </c>
      <c r="DE52" s="61">
        <f t="shared" si="46"/>
        <v>2.8831239134365538</v>
      </c>
      <c r="DF52" s="61">
        <f t="shared" si="46"/>
        <v>3.1701297488901807</v>
      </c>
      <c r="DG52" s="61">
        <f t="shared" si="46"/>
        <v>3.2559096229433111</v>
      </c>
      <c r="DH52" s="61">
        <f t="shared" si="46"/>
        <v>3.2559096229433111</v>
      </c>
      <c r="DI52" s="61">
        <f t="shared" si="46"/>
        <v>3.2559096229433111</v>
      </c>
      <c r="DJ52" s="61">
        <f t="shared" si="46"/>
        <v>3.2559096229433111</v>
      </c>
      <c r="DK52" s="61">
        <f t="shared" si="47"/>
        <v>3.384374064978549</v>
      </c>
      <c r="DL52" s="61">
        <f t="shared" si="47"/>
        <v>3.384374064978549</v>
      </c>
      <c r="DM52" s="61">
        <f t="shared" si="47"/>
        <v>3.384374064978549</v>
      </c>
      <c r="DN52" s="61">
        <f t="shared" si="47"/>
        <v>3.384374064978549</v>
      </c>
      <c r="DO52" s="61">
        <f t="shared" si="47"/>
        <v>3.384374064978549</v>
      </c>
      <c r="DP52" s="61">
        <f t="shared" si="47"/>
        <v>3.6219541561486244</v>
      </c>
      <c r="DQ52" s="61">
        <f t="shared" si="47"/>
        <v>3.6219541561486244</v>
      </c>
    </row>
    <row r="53" spans="1:121" x14ac:dyDescent="0.25">
      <c r="A53" s="48" t="str">
        <f>KMeans_Data!A44</f>
        <v>Kurram</v>
      </c>
      <c r="B53" s="59">
        <f>KMeans_Data!H44</f>
        <v>0.38985692646238834</v>
      </c>
      <c r="C53" s="59">
        <f>KMeans_Data!I44</f>
        <v>0.16051258962499582</v>
      </c>
      <c r="D53" s="59">
        <f>KMeans_Data!J44</f>
        <v>-7.8647122474779993E-2</v>
      </c>
      <c r="E53" s="61">
        <f t="shared" si="36"/>
        <v>5.8702245972691269</v>
      </c>
      <c r="F53" s="61">
        <f t="shared" si="36"/>
        <v>5.6360349126501452</v>
      </c>
      <c r="G53" s="61">
        <f t="shared" si="36"/>
        <v>3.8025155512720685</v>
      </c>
      <c r="H53" s="61">
        <f t="shared" si="36"/>
        <v>4.2831517245265385</v>
      </c>
      <c r="I53" s="61">
        <f t="shared" si="36"/>
        <v>3.1550274322092169</v>
      </c>
      <c r="J53" s="61">
        <f t="shared" si="36"/>
        <v>2.7967573125262017</v>
      </c>
      <c r="K53" s="61">
        <f t="shared" si="36"/>
        <v>1.2074767970513363</v>
      </c>
      <c r="L53" s="61">
        <f t="shared" si="36"/>
        <v>2.0937206621641988</v>
      </c>
      <c r="M53" s="61">
        <f t="shared" si="36"/>
        <v>2.2379838494215134</v>
      </c>
      <c r="N53" s="61">
        <f t="shared" si="36"/>
        <v>1.1443761375049508</v>
      </c>
      <c r="O53" s="61">
        <f t="shared" si="37"/>
        <v>1.8529154843156741</v>
      </c>
      <c r="P53" s="61">
        <f t="shared" si="37"/>
        <v>2.1633831798969085</v>
      </c>
      <c r="Q53" s="61">
        <f t="shared" si="37"/>
        <v>1.5696346414880862</v>
      </c>
      <c r="R53" s="61">
        <f t="shared" si="37"/>
        <v>1.6930417975150076</v>
      </c>
      <c r="S53" s="61">
        <f t="shared" si="37"/>
        <v>1.4239942001318284</v>
      </c>
      <c r="T53" s="61">
        <f t="shared" si="37"/>
        <v>1.4797304007356566</v>
      </c>
      <c r="U53" s="61">
        <f t="shared" si="37"/>
        <v>1.7463567331967504</v>
      </c>
      <c r="V53" s="61">
        <f t="shared" si="37"/>
        <v>1.4798814709626225</v>
      </c>
      <c r="W53" s="61">
        <f t="shared" si="37"/>
        <v>1.6518819476249968</v>
      </c>
      <c r="X53" s="61">
        <f t="shared" si="37"/>
        <v>1.3642232730802166</v>
      </c>
      <c r="Y53" s="61">
        <f t="shared" si="38"/>
        <v>1.5451136086445381</v>
      </c>
      <c r="Z53" s="61">
        <f t="shared" si="38"/>
        <v>1.0272798322902814</v>
      </c>
      <c r="AA53" s="61">
        <f t="shared" si="38"/>
        <v>1.11043873336876</v>
      </c>
      <c r="AB53" s="61">
        <f t="shared" si="38"/>
        <v>0.92803568981733719</v>
      </c>
      <c r="AC53" s="61">
        <f t="shared" si="38"/>
        <v>1.5095001888037278</v>
      </c>
      <c r="AD53" s="61">
        <f t="shared" si="38"/>
        <v>1.5348718832673254</v>
      </c>
      <c r="AE53" s="61">
        <f t="shared" si="38"/>
        <v>1.1395078316512035</v>
      </c>
      <c r="AF53" s="61">
        <f t="shared" si="38"/>
        <v>1.1079443824242929</v>
      </c>
      <c r="AG53" s="61">
        <f t="shared" si="38"/>
        <v>0.91248790125635904</v>
      </c>
      <c r="AH53" s="61">
        <f t="shared" si="38"/>
        <v>0.88047415886839431</v>
      </c>
      <c r="AI53" s="61">
        <f t="shared" si="39"/>
        <v>0.91184164488020747</v>
      </c>
      <c r="AJ53" s="61">
        <f t="shared" si="39"/>
        <v>1.266115148380929</v>
      </c>
      <c r="AK53" s="61">
        <f t="shared" si="39"/>
        <v>0.44853365956802482</v>
      </c>
      <c r="AL53" s="61">
        <f t="shared" si="39"/>
        <v>0.70802229096045921</v>
      </c>
      <c r="AM53" s="61">
        <f t="shared" si="39"/>
        <v>1.2836444808060699</v>
      </c>
      <c r="AN53" s="61">
        <f t="shared" si="39"/>
        <v>1.2697586478021918</v>
      </c>
      <c r="AO53" s="61">
        <f t="shared" si="39"/>
        <v>0.65740553954912762</v>
      </c>
      <c r="AP53" s="61">
        <f t="shared" si="39"/>
        <v>0.58279573620561975</v>
      </c>
      <c r="AQ53" s="61">
        <f t="shared" si="39"/>
        <v>1.3179605718239056</v>
      </c>
      <c r="AR53" s="61">
        <f t="shared" si="39"/>
        <v>0</v>
      </c>
      <c r="AS53" s="61">
        <f t="shared" si="40"/>
        <v>1.3735695241592136</v>
      </c>
      <c r="AT53" s="61">
        <f t="shared" si="40"/>
        <v>0.91404054761348363</v>
      </c>
      <c r="AU53" s="61">
        <f t="shared" si="40"/>
        <v>0.6496873220042283</v>
      </c>
      <c r="AV53" s="61">
        <f t="shared" si="40"/>
        <v>1.0316413416985097</v>
      </c>
      <c r="AW53" s="61">
        <f t="shared" si="40"/>
        <v>1.1283840419373659</v>
      </c>
      <c r="AX53" s="61">
        <f t="shared" si="40"/>
        <v>0.48641026178328695</v>
      </c>
      <c r="AY53" s="61">
        <f t="shared" si="40"/>
        <v>1.3668648757463795</v>
      </c>
      <c r="AZ53" s="61">
        <f t="shared" si="40"/>
        <v>1.4016133258027652</v>
      </c>
      <c r="BA53" s="61">
        <f t="shared" si="40"/>
        <v>0.94731739515675872</v>
      </c>
      <c r="BB53" s="61">
        <f t="shared" si="40"/>
        <v>1.3677849311533636</v>
      </c>
      <c r="BC53" s="61">
        <f t="shared" si="41"/>
        <v>1.3687479927637756</v>
      </c>
      <c r="BD53" s="61">
        <f t="shared" si="41"/>
        <v>0.96121815527922649</v>
      </c>
      <c r="BE53" s="61">
        <f t="shared" si="41"/>
        <v>0.88171943081104931</v>
      </c>
      <c r="BF53" s="61">
        <f t="shared" si="41"/>
        <v>1.511277615520966</v>
      </c>
      <c r="BG53" s="61">
        <f t="shared" si="41"/>
        <v>0.81477168175508763</v>
      </c>
      <c r="BH53" s="61">
        <f t="shared" si="41"/>
        <v>1.3876891505337374</v>
      </c>
      <c r="BI53" s="61">
        <f t="shared" si="41"/>
        <v>1.3914146440179223</v>
      </c>
      <c r="BJ53" s="61">
        <f t="shared" si="41"/>
        <v>0.53913414928475534</v>
      </c>
      <c r="BK53" s="61">
        <f t="shared" si="41"/>
        <v>0.97196029098235137</v>
      </c>
      <c r="BL53" s="61">
        <f t="shared" si="41"/>
        <v>1.022258461798162</v>
      </c>
      <c r="BM53" s="61">
        <f t="shared" si="42"/>
        <v>0.81619621865499636</v>
      </c>
      <c r="BN53" s="61">
        <f t="shared" si="42"/>
        <v>0.45022986672630361</v>
      </c>
      <c r="BO53" s="61">
        <f t="shared" si="42"/>
        <v>1.2071350937695267</v>
      </c>
      <c r="BP53" s="61">
        <f t="shared" si="42"/>
        <v>0.59722726726168429</v>
      </c>
      <c r="BQ53" s="61">
        <f t="shared" si="42"/>
        <v>0.74594509614031601</v>
      </c>
      <c r="BR53" s="61">
        <f t="shared" si="42"/>
        <v>0.79281847405163863</v>
      </c>
      <c r="BS53" s="61">
        <f t="shared" si="42"/>
        <v>1.211520153722343</v>
      </c>
      <c r="BT53" s="61">
        <f t="shared" si="42"/>
        <v>1.0647750545796579</v>
      </c>
      <c r="BU53" s="61">
        <f t="shared" si="42"/>
        <v>1.0463555783623208</v>
      </c>
      <c r="BV53" s="61">
        <f t="shared" si="42"/>
        <v>1.5016128900762591</v>
      </c>
      <c r="BW53" s="61">
        <f t="shared" si="43"/>
        <v>1.1273504421869744</v>
      </c>
      <c r="BX53" s="61">
        <f t="shared" si="43"/>
        <v>1.5086122010143797</v>
      </c>
      <c r="BY53" s="61">
        <f t="shared" si="43"/>
        <v>1.0926922827696675</v>
      </c>
      <c r="BZ53" s="61">
        <f t="shared" si="43"/>
        <v>1.1115725944450978</v>
      </c>
      <c r="CA53" s="61">
        <f t="shared" si="43"/>
        <v>1.5319134322157322</v>
      </c>
      <c r="CB53" s="61">
        <f t="shared" si="43"/>
        <v>1.1234404409946395</v>
      </c>
      <c r="CC53" s="61">
        <f t="shared" si="43"/>
        <v>1.5405465119702841</v>
      </c>
      <c r="CD53" s="61">
        <f t="shared" si="43"/>
        <v>1.5593243393606915</v>
      </c>
      <c r="CE53" s="61">
        <f t="shared" si="43"/>
        <v>1.1574978111475838</v>
      </c>
      <c r="CF53" s="61">
        <f t="shared" si="43"/>
        <v>0.87911763371440721</v>
      </c>
      <c r="CG53" s="61">
        <f t="shared" si="44"/>
        <v>0.96886452069218265</v>
      </c>
      <c r="CH53" s="61">
        <f t="shared" si="44"/>
        <v>1.2402845032479102</v>
      </c>
      <c r="CI53" s="61">
        <f t="shared" si="44"/>
        <v>1.3050999471178</v>
      </c>
      <c r="CJ53" s="61">
        <f t="shared" si="44"/>
        <v>1.458951085961371</v>
      </c>
      <c r="CK53" s="61">
        <f t="shared" si="44"/>
        <v>1.2985072695958391</v>
      </c>
      <c r="CL53" s="61">
        <f t="shared" si="44"/>
        <v>1.6989524061114276</v>
      </c>
      <c r="CM53" s="61">
        <f t="shared" si="44"/>
        <v>1.3431266656928986</v>
      </c>
      <c r="CN53" s="61">
        <f t="shared" si="44"/>
        <v>1.3401282491945261</v>
      </c>
      <c r="CO53" s="61">
        <f t="shared" si="44"/>
        <v>1.1800840893459679</v>
      </c>
      <c r="CP53" s="61">
        <f t="shared" si="44"/>
        <v>1.7663510736952845</v>
      </c>
      <c r="CQ53" s="61">
        <f t="shared" si="45"/>
        <v>1.4768050252145291</v>
      </c>
      <c r="CR53" s="61">
        <f t="shared" si="45"/>
        <v>1.4974671422170598</v>
      </c>
      <c r="CS53" s="61">
        <f t="shared" si="45"/>
        <v>1.8234192825996476</v>
      </c>
      <c r="CT53" s="61">
        <f t="shared" si="45"/>
        <v>1.8570170992437252</v>
      </c>
      <c r="CU53" s="61">
        <f t="shared" si="45"/>
        <v>1.5055360247671055</v>
      </c>
      <c r="CV53" s="61">
        <f t="shared" si="45"/>
        <v>1.5582789186107158</v>
      </c>
      <c r="CW53" s="61">
        <f t="shared" si="45"/>
        <v>1.8570170992437252</v>
      </c>
      <c r="CX53" s="61">
        <f t="shared" si="45"/>
        <v>1.5666530369713547</v>
      </c>
      <c r="CY53" s="61">
        <f t="shared" si="45"/>
        <v>1.8949759098802774</v>
      </c>
      <c r="CZ53" s="61">
        <f t="shared" si="45"/>
        <v>1.8949759098802774</v>
      </c>
      <c r="DA53" s="61">
        <f t="shared" si="46"/>
        <v>1.6225710916720968</v>
      </c>
      <c r="DB53" s="61">
        <f t="shared" si="46"/>
        <v>1.9383670173772867</v>
      </c>
      <c r="DC53" s="61">
        <f t="shared" si="46"/>
        <v>1.9383670173772867</v>
      </c>
      <c r="DD53" s="61">
        <f t="shared" si="46"/>
        <v>1.7117382195700621</v>
      </c>
      <c r="DE53" s="61">
        <f t="shared" si="46"/>
        <v>1.9007530289257903</v>
      </c>
      <c r="DF53" s="61">
        <f t="shared" si="46"/>
        <v>2.2109710582733508</v>
      </c>
      <c r="DG53" s="61">
        <f t="shared" si="46"/>
        <v>2.3311561097116362</v>
      </c>
      <c r="DH53" s="61">
        <f t="shared" si="46"/>
        <v>2.3311561097116362</v>
      </c>
      <c r="DI53" s="61">
        <f t="shared" si="46"/>
        <v>2.3311561097116362</v>
      </c>
      <c r="DJ53" s="61">
        <f t="shared" si="46"/>
        <v>2.3311561097116362</v>
      </c>
      <c r="DK53" s="61">
        <f t="shared" si="47"/>
        <v>2.5059565554156347</v>
      </c>
      <c r="DL53" s="61">
        <f t="shared" si="47"/>
        <v>2.5059565554156347</v>
      </c>
      <c r="DM53" s="61">
        <f t="shared" si="47"/>
        <v>2.5059565554156347</v>
      </c>
      <c r="DN53" s="61">
        <f t="shared" si="47"/>
        <v>2.5059565554156347</v>
      </c>
      <c r="DO53" s="61">
        <f t="shared" si="47"/>
        <v>2.5059565554156347</v>
      </c>
      <c r="DP53" s="61">
        <f t="shared" si="47"/>
        <v>2.8162994168555233</v>
      </c>
      <c r="DQ53" s="61">
        <f t="shared" si="47"/>
        <v>2.8162994168555233</v>
      </c>
    </row>
    <row r="54" spans="1:121" x14ac:dyDescent="0.25">
      <c r="A54" s="48" t="str">
        <f>KMeans_Data!A45</f>
        <v>Kambar Shahdadkot</v>
      </c>
      <c r="B54" s="59">
        <f>KMeans_Data!H45</f>
        <v>0.31711502585735735</v>
      </c>
      <c r="C54" s="59">
        <f>KMeans_Data!I45</f>
        <v>-0.67265054538827607</v>
      </c>
      <c r="D54" s="59">
        <f>KMeans_Data!J45</f>
        <v>1.0109587897935928</v>
      </c>
      <c r="E54" s="61">
        <f t="shared" ref="E54:N63" si="48">SQRT(($B54-E$5)^2+($C54-E$6)^2+($D54-E$7)^2)</f>
        <v>5.997391976545833</v>
      </c>
      <c r="F54" s="61">
        <f t="shared" si="48"/>
        <v>5.8918674643797244</v>
      </c>
      <c r="G54" s="61">
        <f t="shared" si="48"/>
        <v>3.8532022467443805</v>
      </c>
      <c r="H54" s="61">
        <f t="shared" si="48"/>
        <v>4.7369821571356665</v>
      </c>
      <c r="I54" s="61">
        <f t="shared" si="48"/>
        <v>3.3773349487390236</v>
      </c>
      <c r="J54" s="61">
        <f t="shared" si="48"/>
        <v>3.1626180189623714</v>
      </c>
      <c r="K54" s="61">
        <f t="shared" si="48"/>
        <v>2.2601110622162954</v>
      </c>
      <c r="L54" s="61">
        <f t="shared" si="48"/>
        <v>1.8311416536561982</v>
      </c>
      <c r="M54" s="61">
        <f t="shared" si="48"/>
        <v>2.2152497269340015</v>
      </c>
      <c r="N54" s="61">
        <f t="shared" si="48"/>
        <v>2.1041012527493117</v>
      </c>
      <c r="O54" s="61">
        <f t="shared" ref="O54:X63" si="49">SQRT(($B54-O$5)^2+($C54-O$6)^2+($D54-O$7)^2)</f>
        <v>2.3013233745531192</v>
      </c>
      <c r="P54" s="61">
        <f t="shared" si="49"/>
        <v>2.5766813345780459</v>
      </c>
      <c r="Q54" s="61">
        <f t="shared" si="49"/>
        <v>1.8187092965106511</v>
      </c>
      <c r="R54" s="61">
        <f t="shared" si="49"/>
        <v>1.3546641306834701</v>
      </c>
      <c r="S54" s="61">
        <f t="shared" si="49"/>
        <v>0.88187697137668708</v>
      </c>
      <c r="T54" s="61">
        <f t="shared" si="49"/>
        <v>1.78994403457854</v>
      </c>
      <c r="U54" s="61">
        <f t="shared" si="49"/>
        <v>1.3227987765108729</v>
      </c>
      <c r="V54" s="61">
        <f t="shared" si="49"/>
        <v>2.158499225279344</v>
      </c>
      <c r="W54" s="61">
        <f t="shared" si="49"/>
        <v>2.1234022688475163</v>
      </c>
      <c r="X54" s="61">
        <f t="shared" si="49"/>
        <v>1.5664209165459211</v>
      </c>
      <c r="Y54" s="61">
        <f t="shared" ref="Y54:AH63" si="50">SQRT(($B54-Y$5)^2+($C54-Y$6)^2+($D54-Y$7)^2)</f>
        <v>1.5708364622509443</v>
      </c>
      <c r="Z54" s="61">
        <f t="shared" si="50"/>
        <v>1.5973262009920399</v>
      </c>
      <c r="AA54" s="61">
        <f t="shared" si="50"/>
        <v>0.95619421687870476</v>
      </c>
      <c r="AB54" s="61">
        <f t="shared" si="50"/>
        <v>1.3511075017233423</v>
      </c>
      <c r="AC54" s="61">
        <f t="shared" si="50"/>
        <v>2.1203024204757837</v>
      </c>
      <c r="AD54" s="61">
        <f t="shared" si="50"/>
        <v>1.5499263768629024</v>
      </c>
      <c r="AE54" s="61">
        <f t="shared" si="50"/>
        <v>2.2439279629919282</v>
      </c>
      <c r="AF54" s="61">
        <f t="shared" si="50"/>
        <v>1.3952701815354784</v>
      </c>
      <c r="AG54" s="61">
        <f t="shared" si="50"/>
        <v>1.43467780420576</v>
      </c>
      <c r="AH54" s="61">
        <f t="shared" si="50"/>
        <v>0.90262072423876138</v>
      </c>
      <c r="AI54" s="61">
        <f t="shared" ref="AI54:AR63" si="51">SQRT(($B54-AI$5)^2+($C54-AI$6)^2+($D54-AI$7)^2)</f>
        <v>1.434106381052102</v>
      </c>
      <c r="AJ54" s="61">
        <f t="shared" si="51"/>
        <v>1.250330745179923</v>
      </c>
      <c r="AK54" s="61">
        <f t="shared" si="51"/>
        <v>1.2945414504930368</v>
      </c>
      <c r="AL54" s="61">
        <f t="shared" si="51"/>
        <v>0.71767345509648361</v>
      </c>
      <c r="AM54" s="61">
        <f t="shared" si="51"/>
        <v>2.17738423523546</v>
      </c>
      <c r="AN54" s="61">
        <f t="shared" si="51"/>
        <v>1.8467478756669156</v>
      </c>
      <c r="AO54" s="61">
        <f t="shared" si="51"/>
        <v>1.1578489113738979</v>
      </c>
      <c r="AP54" s="61">
        <f t="shared" si="51"/>
        <v>1.1920628138718545</v>
      </c>
      <c r="AQ54" s="61">
        <f t="shared" si="51"/>
        <v>1.9845066618407723</v>
      </c>
      <c r="AR54" s="61">
        <f t="shared" si="51"/>
        <v>1.3735695241592136</v>
      </c>
      <c r="AS54" s="61">
        <f t="shared" ref="AS54:BB63" si="52">SQRT(($B54-AS$5)^2+($C54-AS$6)^2+($D54-AS$7)^2)</f>
        <v>0</v>
      </c>
      <c r="AT54" s="61">
        <f t="shared" si="52"/>
        <v>0.57813677301048083</v>
      </c>
      <c r="AU54" s="61">
        <f t="shared" si="52"/>
        <v>1.7302144857568327</v>
      </c>
      <c r="AV54" s="61">
        <f t="shared" si="52"/>
        <v>0.4997271888519767</v>
      </c>
      <c r="AW54" s="61">
        <f t="shared" si="52"/>
        <v>1.8370827039399493</v>
      </c>
      <c r="AX54" s="61">
        <f t="shared" si="52"/>
        <v>1.047562448866546</v>
      </c>
      <c r="AY54" s="61">
        <f t="shared" si="52"/>
        <v>2.159727872834361</v>
      </c>
      <c r="AZ54" s="61">
        <f t="shared" si="52"/>
        <v>0.11812320758714862</v>
      </c>
      <c r="BA54" s="61">
        <f t="shared" si="52"/>
        <v>0.58109367107136534</v>
      </c>
      <c r="BB54" s="61">
        <f t="shared" si="52"/>
        <v>2.1600898243351434</v>
      </c>
      <c r="BC54" s="61">
        <f t="shared" ref="BC54:BL63" si="53">SQRT(($B54-BC$5)^2+($C54-BC$6)^2+($D54-BC$7)^2)</f>
        <v>2.1604765447748395</v>
      </c>
      <c r="BD54" s="61">
        <f t="shared" si="53"/>
        <v>1.5215915967159375</v>
      </c>
      <c r="BE54" s="61">
        <f t="shared" si="53"/>
        <v>1.2655307540587759</v>
      </c>
      <c r="BF54" s="61">
        <f t="shared" si="53"/>
        <v>2.0756398747445099</v>
      </c>
      <c r="BG54" s="61">
        <f t="shared" si="53"/>
        <v>0.69083606565330269</v>
      </c>
      <c r="BH54" s="61">
        <f t="shared" si="53"/>
        <v>2.1690757604662783</v>
      </c>
      <c r="BI54" s="61">
        <f t="shared" si="53"/>
        <v>2.1709074548822191</v>
      </c>
      <c r="BJ54" s="61">
        <f t="shared" si="53"/>
        <v>1.6079900656091495</v>
      </c>
      <c r="BK54" s="61">
        <f t="shared" si="53"/>
        <v>1.444709716309454</v>
      </c>
      <c r="BL54" s="61">
        <f t="shared" si="53"/>
        <v>0.72197120700220585</v>
      </c>
      <c r="BM54" s="61">
        <f t="shared" ref="BM54:BV63" si="54">SQRT(($B54-BM$5)^2+($C54-BM$6)^2+($D54-BM$7)^2)</f>
        <v>1.36812284122349</v>
      </c>
      <c r="BN54" s="61">
        <f t="shared" si="54"/>
        <v>1.3271736227029634</v>
      </c>
      <c r="BO54" s="61">
        <f t="shared" si="54"/>
        <v>1.8747377518533221</v>
      </c>
      <c r="BP54" s="61">
        <f t="shared" si="54"/>
        <v>1.1929373786360264</v>
      </c>
      <c r="BQ54" s="61">
        <f t="shared" si="54"/>
        <v>0.92465092895472001</v>
      </c>
      <c r="BR54" s="61">
        <f t="shared" si="54"/>
        <v>0.90398451631721133</v>
      </c>
      <c r="BS54" s="61">
        <f t="shared" si="54"/>
        <v>0.64134438950441841</v>
      </c>
      <c r="BT54" s="61">
        <f t="shared" si="54"/>
        <v>0.9749936246600136</v>
      </c>
      <c r="BU54" s="61">
        <f t="shared" si="54"/>
        <v>1.0468237043585833</v>
      </c>
      <c r="BV54" s="61">
        <f t="shared" si="54"/>
        <v>2.2324638187490162</v>
      </c>
      <c r="BW54" s="61">
        <f t="shared" ref="BW54:CF63" si="55">SQRT(($B54-BW$5)^2+($C54-BW$6)^2+($D54-BW$7)^2)</f>
        <v>0.936068624328251</v>
      </c>
      <c r="BX54" s="61">
        <f t="shared" si="55"/>
        <v>2.2366569193266495</v>
      </c>
      <c r="BY54" s="61">
        <f t="shared" si="55"/>
        <v>1.3475670213648636</v>
      </c>
      <c r="BZ54" s="61">
        <f t="shared" si="55"/>
        <v>1.4106135753539568</v>
      </c>
      <c r="CA54" s="61">
        <f t="shared" si="55"/>
        <v>2.2507839273210584</v>
      </c>
      <c r="CB54" s="61">
        <f t="shared" si="55"/>
        <v>1.4190483915291556</v>
      </c>
      <c r="CC54" s="61">
        <f t="shared" si="55"/>
        <v>2.2560797782914102</v>
      </c>
      <c r="CD54" s="61">
        <f t="shared" si="55"/>
        <v>2.267706628592209</v>
      </c>
      <c r="CE54" s="61">
        <f t="shared" si="55"/>
        <v>1.2073431083235173</v>
      </c>
      <c r="CF54" s="61">
        <f t="shared" si="55"/>
        <v>1.2477890864705043</v>
      </c>
      <c r="CG54" s="61">
        <f t="shared" ref="CG54:CP63" si="56">SQRT(($B54-CG$5)^2+($C54-CG$6)^2+($D54-CG$7)^2)</f>
        <v>1.6993321450478593</v>
      </c>
      <c r="CH54" s="61">
        <f t="shared" si="56"/>
        <v>1.6159837597337479</v>
      </c>
      <c r="CI54" s="61">
        <f t="shared" si="56"/>
        <v>1.7304632970164118</v>
      </c>
      <c r="CJ54" s="61">
        <f t="shared" si="56"/>
        <v>2.0287509443114469</v>
      </c>
      <c r="CK54" s="61">
        <f t="shared" si="56"/>
        <v>1.3940913517242404</v>
      </c>
      <c r="CL54" s="61">
        <f t="shared" si="56"/>
        <v>2.3581089045129247</v>
      </c>
      <c r="CM54" s="61">
        <f t="shared" si="56"/>
        <v>1.6336647697022073</v>
      </c>
      <c r="CN54" s="61">
        <f t="shared" si="56"/>
        <v>1.212328024748516</v>
      </c>
      <c r="CO54" s="61">
        <f t="shared" si="56"/>
        <v>1.681419538100698</v>
      </c>
      <c r="CP54" s="61">
        <f t="shared" si="56"/>
        <v>2.4038535727393793</v>
      </c>
      <c r="CQ54" s="61">
        <f t="shared" ref="CQ54:CZ63" si="57">SQRT(($B54-CQ$5)^2+($C54-CQ$6)^2+($D54-CQ$7)^2)</f>
        <v>1.7911321471352271</v>
      </c>
      <c r="CR54" s="61">
        <f t="shared" si="57"/>
        <v>1.7546815693938658</v>
      </c>
      <c r="CS54" s="61">
        <f t="shared" si="57"/>
        <v>2.4435065859840646</v>
      </c>
      <c r="CT54" s="61">
        <f t="shared" si="57"/>
        <v>2.4672174974653283</v>
      </c>
      <c r="CU54" s="61">
        <f t="shared" si="57"/>
        <v>2.2541657244558055</v>
      </c>
      <c r="CV54" s="61">
        <f t="shared" si="57"/>
        <v>1.4115389029408512</v>
      </c>
      <c r="CW54" s="61">
        <f t="shared" si="57"/>
        <v>2.4672174974653283</v>
      </c>
      <c r="CX54" s="61">
        <f t="shared" si="57"/>
        <v>1.6320582906910597</v>
      </c>
      <c r="CY54" s="61">
        <f t="shared" si="57"/>
        <v>2.4943146309701825</v>
      </c>
      <c r="CZ54" s="61">
        <f t="shared" si="57"/>
        <v>2.4943146309701825</v>
      </c>
      <c r="DA54" s="61">
        <f t="shared" ref="DA54:DJ63" si="58">SQRT(($B54-DA$5)^2+($C54-DA$6)^2+($D54-DA$7)^2)</f>
        <v>1.9655765896557813</v>
      </c>
      <c r="DB54" s="61">
        <f t="shared" si="58"/>
        <v>2.5256721772542976</v>
      </c>
      <c r="DC54" s="61">
        <f t="shared" si="58"/>
        <v>2.5256721772542976</v>
      </c>
      <c r="DD54" s="61">
        <f t="shared" si="58"/>
        <v>2.1076984357547381</v>
      </c>
      <c r="DE54" s="61">
        <f t="shared" si="58"/>
        <v>2.3479508847826609</v>
      </c>
      <c r="DF54" s="61">
        <f t="shared" si="58"/>
        <v>2.7308718752463901</v>
      </c>
      <c r="DG54" s="61">
        <f t="shared" si="58"/>
        <v>2.8252033045963687</v>
      </c>
      <c r="DH54" s="61">
        <f t="shared" si="58"/>
        <v>2.8252033045963687</v>
      </c>
      <c r="DI54" s="61">
        <f t="shared" si="58"/>
        <v>2.8252033045963687</v>
      </c>
      <c r="DJ54" s="61">
        <f t="shared" si="58"/>
        <v>2.8252033045963687</v>
      </c>
      <c r="DK54" s="61">
        <f t="shared" ref="DK54:DQ63" si="59">SQRT(($B54-DK$5)^2+($C54-DK$6)^2+($D54-DK$7)^2)</f>
        <v>2.9659064991514752</v>
      </c>
      <c r="DL54" s="61">
        <f t="shared" si="59"/>
        <v>2.9659064991514752</v>
      </c>
      <c r="DM54" s="61">
        <f t="shared" si="59"/>
        <v>2.9659064991514752</v>
      </c>
      <c r="DN54" s="61">
        <f t="shared" si="59"/>
        <v>2.9659064991514752</v>
      </c>
      <c r="DO54" s="61">
        <f t="shared" si="59"/>
        <v>2.9659064991514752</v>
      </c>
      <c r="DP54" s="61">
        <f t="shared" si="59"/>
        <v>3.2242581216534347</v>
      </c>
      <c r="DQ54" s="61">
        <f t="shared" si="59"/>
        <v>3.2242581216534347</v>
      </c>
    </row>
    <row r="55" spans="1:121" x14ac:dyDescent="0.25">
      <c r="A55" s="48" t="str">
        <f>KMeans_Data!A46</f>
        <v>Nagar</v>
      </c>
      <c r="B55" s="59">
        <f>KMeans_Data!H46</f>
        <v>0.27371739838699027</v>
      </c>
      <c r="C55" s="59">
        <f>KMeans_Data!I46</f>
        <v>-0.14698313392952958</v>
      </c>
      <c r="D55" s="59">
        <f>KMeans_Data!J46</f>
        <v>0.77424684086161255</v>
      </c>
      <c r="E55" s="61">
        <f t="shared" si="48"/>
        <v>5.7155539104585298</v>
      </c>
      <c r="F55" s="61">
        <f t="shared" si="48"/>
        <v>5.5691931302459041</v>
      </c>
      <c r="G55" s="61">
        <f t="shared" si="48"/>
        <v>3.5895044983065381</v>
      </c>
      <c r="H55" s="61">
        <f t="shared" si="48"/>
        <v>4.335350963667409</v>
      </c>
      <c r="I55" s="61">
        <f t="shared" si="48"/>
        <v>3.0573019133933177</v>
      </c>
      <c r="J55" s="61">
        <f t="shared" si="48"/>
        <v>2.7551145947394886</v>
      </c>
      <c r="K55" s="61">
        <f t="shared" si="48"/>
        <v>1.9458218488115473</v>
      </c>
      <c r="L55" s="61">
        <f t="shared" si="48"/>
        <v>1.6379742187225816</v>
      </c>
      <c r="M55" s="61">
        <f t="shared" si="48"/>
        <v>1.9147272682046159</v>
      </c>
      <c r="N55" s="61">
        <f t="shared" si="48"/>
        <v>1.8484239306155263</v>
      </c>
      <c r="O55" s="61">
        <f t="shared" si="49"/>
        <v>1.8526188574976448</v>
      </c>
      <c r="P55" s="61">
        <f t="shared" si="49"/>
        <v>2.1333538446303049</v>
      </c>
      <c r="Q55" s="61">
        <f t="shared" si="49"/>
        <v>1.4092415063853203</v>
      </c>
      <c r="R55" s="61">
        <f t="shared" si="49"/>
        <v>1.1593431801629535</v>
      </c>
      <c r="S55" s="61">
        <f t="shared" si="49"/>
        <v>0.83250331968396241</v>
      </c>
      <c r="T55" s="61">
        <f t="shared" si="49"/>
        <v>1.3552259060300549</v>
      </c>
      <c r="U55" s="61">
        <f t="shared" si="49"/>
        <v>1.1395263377842624</v>
      </c>
      <c r="V55" s="61">
        <f t="shared" si="49"/>
        <v>1.6415968556662588</v>
      </c>
      <c r="W55" s="61">
        <f t="shared" si="49"/>
        <v>1.6413435213276431</v>
      </c>
      <c r="X55" s="61">
        <f t="shared" si="49"/>
        <v>1.1376070412718038</v>
      </c>
      <c r="Y55" s="61">
        <f t="shared" si="50"/>
        <v>1.1887721116215519</v>
      </c>
      <c r="Z55" s="61">
        <f t="shared" si="50"/>
        <v>1.0904059938778843</v>
      </c>
      <c r="AA55" s="61">
        <f t="shared" si="50"/>
        <v>0.6235530588372552</v>
      </c>
      <c r="AB55" s="61">
        <f t="shared" si="50"/>
        <v>0.86846304638161165</v>
      </c>
      <c r="AC55" s="61">
        <f t="shared" si="50"/>
        <v>1.6047890846714508</v>
      </c>
      <c r="AD55" s="61">
        <f t="shared" si="50"/>
        <v>1.1599922439273656</v>
      </c>
      <c r="AE55" s="61">
        <f t="shared" si="50"/>
        <v>1.9555900134537492</v>
      </c>
      <c r="AF55" s="61">
        <f t="shared" si="50"/>
        <v>0.90110211128729101</v>
      </c>
      <c r="AG55" s="61">
        <f t="shared" si="50"/>
        <v>1.3218382587950661</v>
      </c>
      <c r="AH55" s="61">
        <f t="shared" si="50"/>
        <v>0.43248682796943844</v>
      </c>
      <c r="AI55" s="61">
        <f t="shared" si="51"/>
        <v>1.3211141040377656</v>
      </c>
      <c r="AJ55" s="61">
        <f t="shared" si="51"/>
        <v>0.82745281185288333</v>
      </c>
      <c r="AK55" s="61">
        <f t="shared" si="51"/>
        <v>0.76191739654305224</v>
      </c>
      <c r="AL55" s="61">
        <f t="shared" si="51"/>
        <v>0.30646496263728557</v>
      </c>
      <c r="AM55" s="61">
        <f t="shared" si="51"/>
        <v>1.6116823081536877</v>
      </c>
      <c r="AN55" s="61">
        <f t="shared" si="51"/>
        <v>1.3064471755404823</v>
      </c>
      <c r="AO55" s="61">
        <f t="shared" si="51"/>
        <v>0.59720949038115512</v>
      </c>
      <c r="AP55" s="61">
        <f t="shared" si="51"/>
        <v>0.63166083632168257</v>
      </c>
      <c r="AQ55" s="61">
        <f t="shared" si="51"/>
        <v>1.4332659224802133</v>
      </c>
      <c r="AR55" s="61">
        <f t="shared" si="51"/>
        <v>0.91404054761348363</v>
      </c>
      <c r="AS55" s="61">
        <f t="shared" si="52"/>
        <v>0.57813677301048083</v>
      </c>
      <c r="AT55" s="61">
        <f t="shared" si="52"/>
        <v>0</v>
      </c>
      <c r="AU55" s="61">
        <f t="shared" si="52"/>
        <v>1.4108503893969537</v>
      </c>
      <c r="AV55" s="61">
        <f t="shared" si="52"/>
        <v>0.58640537635096257</v>
      </c>
      <c r="AW55" s="61">
        <f t="shared" si="52"/>
        <v>1.6832638442866785</v>
      </c>
      <c r="AX55" s="61">
        <f t="shared" si="52"/>
        <v>0.50040836827737389</v>
      </c>
      <c r="AY55" s="61">
        <f t="shared" si="52"/>
        <v>1.9918832543834357</v>
      </c>
      <c r="AZ55" s="61">
        <f t="shared" si="52"/>
        <v>0.59018678134692293</v>
      </c>
      <c r="BA55" s="61">
        <f t="shared" si="52"/>
        <v>8.2166980958139749E-2</v>
      </c>
      <c r="BB55" s="61">
        <f t="shared" si="52"/>
        <v>1.9921330842993872</v>
      </c>
      <c r="BC55" s="61">
        <f t="shared" si="53"/>
        <v>1.9924079903370793</v>
      </c>
      <c r="BD55" s="61">
        <f t="shared" si="53"/>
        <v>1.385505550572411</v>
      </c>
      <c r="BE55" s="61">
        <f t="shared" si="53"/>
        <v>1.152172047328474</v>
      </c>
      <c r="BF55" s="61">
        <f t="shared" si="53"/>
        <v>1.5346637073640408</v>
      </c>
      <c r="BG55" s="61">
        <f t="shared" si="53"/>
        <v>0.23279396144757916</v>
      </c>
      <c r="BH55" s="61">
        <f t="shared" si="53"/>
        <v>1.9994958637341251</v>
      </c>
      <c r="BI55" s="61">
        <f t="shared" si="53"/>
        <v>2.0011244354121915</v>
      </c>
      <c r="BJ55" s="61">
        <f t="shared" si="53"/>
        <v>1.0655580032559469</v>
      </c>
      <c r="BK55" s="61">
        <f t="shared" si="53"/>
        <v>1.3139684445252029</v>
      </c>
      <c r="BL55" s="61">
        <f t="shared" si="53"/>
        <v>0.72209673497092564</v>
      </c>
      <c r="BM55" s="61">
        <f t="shared" si="54"/>
        <v>0.80706329486833672</v>
      </c>
      <c r="BN55" s="61">
        <f t="shared" si="54"/>
        <v>0.8544578156374677</v>
      </c>
      <c r="BO55" s="61">
        <f t="shared" si="54"/>
        <v>1.7166253828672446</v>
      </c>
      <c r="BP55" s="61">
        <f t="shared" si="54"/>
        <v>0.70161045675248113</v>
      </c>
      <c r="BQ55" s="61">
        <f t="shared" si="54"/>
        <v>0.54912311190674812</v>
      </c>
      <c r="BR55" s="61">
        <f t="shared" si="54"/>
        <v>0.53362662183557508</v>
      </c>
      <c r="BS55" s="61">
        <f t="shared" si="54"/>
        <v>0.71216162994939158</v>
      </c>
      <c r="BT55" s="61">
        <f t="shared" si="54"/>
        <v>0.92293317308030076</v>
      </c>
      <c r="BU55" s="61">
        <f t="shared" si="54"/>
        <v>0.97828174811321245</v>
      </c>
      <c r="BV55" s="61">
        <f t="shared" si="54"/>
        <v>2.0608411844378698</v>
      </c>
      <c r="BW55" s="61">
        <f t="shared" si="55"/>
        <v>0.9033935892340097</v>
      </c>
      <c r="BX55" s="61">
        <f t="shared" si="55"/>
        <v>2.0650461910635465</v>
      </c>
      <c r="BY55" s="61">
        <f t="shared" si="55"/>
        <v>1.2373324368550604</v>
      </c>
      <c r="BZ55" s="61">
        <f t="shared" si="55"/>
        <v>1.2938545901707177</v>
      </c>
      <c r="CA55" s="61">
        <f t="shared" si="55"/>
        <v>2.0792698044786739</v>
      </c>
      <c r="CB55" s="61">
        <f t="shared" si="55"/>
        <v>1.3024370050977825</v>
      </c>
      <c r="CC55" s="61">
        <f t="shared" si="55"/>
        <v>2.0846211578027858</v>
      </c>
      <c r="CD55" s="61">
        <f t="shared" si="55"/>
        <v>2.0964004820341886</v>
      </c>
      <c r="CE55" s="61">
        <f t="shared" si="55"/>
        <v>1.1273893179106631</v>
      </c>
      <c r="CF55" s="61">
        <f t="shared" si="55"/>
        <v>0.92908903475922133</v>
      </c>
      <c r="CG55" s="61">
        <f t="shared" si="56"/>
        <v>1.3903277941267262</v>
      </c>
      <c r="CH55" s="61">
        <f t="shared" si="56"/>
        <v>1.4863840696774933</v>
      </c>
      <c r="CI55" s="61">
        <f t="shared" si="56"/>
        <v>1.5934799760645375</v>
      </c>
      <c r="CJ55" s="61">
        <f t="shared" si="56"/>
        <v>1.8724651155762679</v>
      </c>
      <c r="CK55" s="61">
        <f t="shared" si="56"/>
        <v>1.3048944656272765</v>
      </c>
      <c r="CL55" s="61">
        <f t="shared" si="56"/>
        <v>2.1888688275006793</v>
      </c>
      <c r="CM55" s="61">
        <f t="shared" si="56"/>
        <v>1.5140695164141627</v>
      </c>
      <c r="CN55" s="61">
        <f t="shared" si="56"/>
        <v>0.99068276575689507</v>
      </c>
      <c r="CO55" s="61">
        <f t="shared" si="56"/>
        <v>1.3970672668018551</v>
      </c>
      <c r="CP55" s="61">
        <f t="shared" si="56"/>
        <v>2.2359787943741294</v>
      </c>
      <c r="CQ55" s="61">
        <f t="shared" si="57"/>
        <v>1.6669453145943125</v>
      </c>
      <c r="CR55" s="61">
        <f t="shared" si="57"/>
        <v>1.638757702042948</v>
      </c>
      <c r="CS55" s="61">
        <f t="shared" si="57"/>
        <v>2.2768985593290418</v>
      </c>
      <c r="CT55" s="61">
        <f t="shared" si="57"/>
        <v>2.3013907143757453</v>
      </c>
      <c r="CU55" s="61">
        <f t="shared" si="57"/>
        <v>1.9722856171158505</v>
      </c>
      <c r="CV55" s="61">
        <f t="shared" si="57"/>
        <v>1.3673285814855676</v>
      </c>
      <c r="CW55" s="61">
        <f t="shared" si="57"/>
        <v>2.3013907143757453</v>
      </c>
      <c r="CX55" s="61">
        <f t="shared" si="57"/>
        <v>1.5473017703795251</v>
      </c>
      <c r="CY55" s="61">
        <f t="shared" si="57"/>
        <v>2.3293953997141417</v>
      </c>
      <c r="CZ55" s="61">
        <f t="shared" si="57"/>
        <v>2.3293953997141417</v>
      </c>
      <c r="DA55" s="61">
        <f t="shared" si="58"/>
        <v>1.8363263580118356</v>
      </c>
      <c r="DB55" s="61">
        <f t="shared" si="58"/>
        <v>2.3618163830882977</v>
      </c>
      <c r="DC55" s="61">
        <f t="shared" si="58"/>
        <v>2.3618163830882977</v>
      </c>
      <c r="DD55" s="61">
        <f t="shared" si="58"/>
        <v>1.9704221126864807</v>
      </c>
      <c r="DE55" s="61">
        <f t="shared" si="58"/>
        <v>2.2025206129006052</v>
      </c>
      <c r="DF55" s="61">
        <f t="shared" si="58"/>
        <v>2.5740057151230906</v>
      </c>
      <c r="DG55" s="61">
        <f t="shared" si="58"/>
        <v>2.671445692975071</v>
      </c>
      <c r="DH55" s="61">
        <f t="shared" si="58"/>
        <v>2.671445692975071</v>
      </c>
      <c r="DI55" s="61">
        <f t="shared" si="58"/>
        <v>2.671445692975071</v>
      </c>
      <c r="DJ55" s="61">
        <f t="shared" si="58"/>
        <v>2.671445692975071</v>
      </c>
      <c r="DK55" s="61">
        <f t="shared" si="59"/>
        <v>2.8165818159944025</v>
      </c>
      <c r="DL55" s="61">
        <f t="shared" si="59"/>
        <v>2.8165818159944025</v>
      </c>
      <c r="DM55" s="61">
        <f t="shared" si="59"/>
        <v>2.8165818159944025</v>
      </c>
      <c r="DN55" s="61">
        <f t="shared" si="59"/>
        <v>2.8165818159944025</v>
      </c>
      <c r="DO55" s="61">
        <f t="shared" si="59"/>
        <v>2.8165818159944025</v>
      </c>
      <c r="DP55" s="61">
        <f t="shared" si="59"/>
        <v>3.0823789094685083</v>
      </c>
      <c r="DQ55" s="61">
        <f t="shared" si="59"/>
        <v>3.0823789094685083</v>
      </c>
    </row>
    <row r="56" spans="1:121" x14ac:dyDescent="0.25">
      <c r="A56" s="48" t="str">
        <f>KMeans_Data!A47</f>
        <v>Rahim Yar Khan</v>
      </c>
      <c r="B56" s="59">
        <f>KMeans_Data!H47</f>
        <v>0.26227803642067726</v>
      </c>
      <c r="C56" s="59">
        <f>KMeans_Data!I47</f>
        <v>-0.14698313392952958</v>
      </c>
      <c r="D56" s="59">
        <f>KMeans_Data!J47</f>
        <v>-0.63655717184154814</v>
      </c>
      <c r="E56" s="61">
        <f t="shared" si="48"/>
        <v>6.4590993672190296</v>
      </c>
      <c r="F56" s="61">
        <f t="shared" si="48"/>
        <v>6.2010679372729482</v>
      </c>
      <c r="G56" s="61">
        <f t="shared" si="48"/>
        <v>4.4081870354271695</v>
      </c>
      <c r="H56" s="61">
        <f t="shared" si="48"/>
        <v>4.8244955840600516</v>
      </c>
      <c r="I56" s="61">
        <f t="shared" si="48"/>
        <v>3.739423520395059</v>
      </c>
      <c r="J56" s="61">
        <f t="shared" si="48"/>
        <v>3.3907606661976515</v>
      </c>
      <c r="K56" s="61">
        <f t="shared" si="48"/>
        <v>1.1358785960923217</v>
      </c>
      <c r="L56" s="61">
        <f t="shared" si="48"/>
        <v>2.716006812875571</v>
      </c>
      <c r="M56" s="61">
        <f t="shared" si="48"/>
        <v>2.87726765437943</v>
      </c>
      <c r="N56" s="61">
        <f t="shared" si="48"/>
        <v>0.95786878997382763</v>
      </c>
      <c r="O56" s="61">
        <f t="shared" si="49"/>
        <v>2.4589945415847647</v>
      </c>
      <c r="P56" s="61">
        <f t="shared" si="49"/>
        <v>2.7693081167872893</v>
      </c>
      <c r="Q56" s="61">
        <f t="shared" si="49"/>
        <v>2.2041242440557109</v>
      </c>
      <c r="R56" s="61">
        <f t="shared" si="49"/>
        <v>2.3057169172843408</v>
      </c>
      <c r="S56" s="61">
        <f t="shared" si="49"/>
        <v>1.9514620638148361</v>
      </c>
      <c r="T56" s="61">
        <f t="shared" si="49"/>
        <v>2.1149674605612789</v>
      </c>
      <c r="U56" s="61">
        <f t="shared" si="49"/>
        <v>2.3633590817445143</v>
      </c>
      <c r="V56" s="61">
        <f t="shared" si="49"/>
        <v>2.0636502502913645</v>
      </c>
      <c r="W56" s="61">
        <f t="shared" si="49"/>
        <v>2.2692430530905638</v>
      </c>
      <c r="X56" s="61">
        <f t="shared" si="49"/>
        <v>2.0095298620027986</v>
      </c>
      <c r="Y56" s="61">
        <f t="shared" si="50"/>
        <v>2.1931139019830894</v>
      </c>
      <c r="Z56" s="61">
        <f t="shared" si="50"/>
        <v>1.658690991102977</v>
      </c>
      <c r="AA56" s="61">
        <f t="shared" si="50"/>
        <v>1.7071006806131004</v>
      </c>
      <c r="AB56" s="61">
        <f t="shared" si="50"/>
        <v>1.5665917770932882</v>
      </c>
      <c r="AC56" s="61">
        <f t="shared" si="50"/>
        <v>2.1085905125965168</v>
      </c>
      <c r="AD56" s="61">
        <f t="shared" si="50"/>
        <v>2.1837022146019591</v>
      </c>
      <c r="AE56" s="61">
        <f t="shared" si="50"/>
        <v>0.63730782210871562</v>
      </c>
      <c r="AF56" s="61">
        <f t="shared" si="50"/>
        <v>1.75762718358382</v>
      </c>
      <c r="AG56" s="61">
        <f t="shared" si="50"/>
        <v>0.65717849411192508</v>
      </c>
      <c r="AH56" s="61">
        <f t="shared" si="50"/>
        <v>1.4849547911111689</v>
      </c>
      <c r="AI56" s="61">
        <f t="shared" si="51"/>
        <v>0.65566552387715771</v>
      </c>
      <c r="AJ56" s="61">
        <f t="shared" si="51"/>
        <v>1.9076403688820682</v>
      </c>
      <c r="AK56" s="61">
        <f t="shared" si="51"/>
        <v>1.0960376626030996</v>
      </c>
      <c r="AL56" s="61">
        <f t="shared" si="51"/>
        <v>1.2092155918529992</v>
      </c>
      <c r="AM56" s="61">
        <f t="shared" si="51"/>
        <v>1.8097926153596864</v>
      </c>
      <c r="AN56" s="61">
        <f t="shared" si="51"/>
        <v>1.8834590188654294</v>
      </c>
      <c r="AO56" s="61">
        <f t="shared" si="51"/>
        <v>1.2999228669919221</v>
      </c>
      <c r="AP56" s="61">
        <f t="shared" si="51"/>
        <v>1.2277396109382914</v>
      </c>
      <c r="AQ56" s="61">
        <f t="shared" si="51"/>
        <v>1.9069902732541815</v>
      </c>
      <c r="AR56" s="61">
        <f t="shared" si="51"/>
        <v>0.6496873220042283</v>
      </c>
      <c r="AS56" s="61">
        <f t="shared" si="52"/>
        <v>1.7302144857568327</v>
      </c>
      <c r="AT56" s="61">
        <f t="shared" si="52"/>
        <v>1.4108503893969537</v>
      </c>
      <c r="AU56" s="61">
        <f t="shared" si="52"/>
        <v>0</v>
      </c>
      <c r="AV56" s="61">
        <f t="shared" si="52"/>
        <v>1.2658094169447616</v>
      </c>
      <c r="AW56" s="61">
        <f t="shared" si="52"/>
        <v>0.55873815521658521</v>
      </c>
      <c r="AX56" s="61">
        <f t="shared" si="52"/>
        <v>1.064009729999104</v>
      </c>
      <c r="AY56" s="61">
        <f t="shared" si="52"/>
        <v>0.73433898559554767</v>
      </c>
      <c r="AZ56" s="61">
        <f t="shared" si="52"/>
        <v>1.7509679096102129</v>
      </c>
      <c r="BA56" s="61">
        <f t="shared" si="52"/>
        <v>1.4339670419206536</v>
      </c>
      <c r="BB56" s="61">
        <f t="shared" si="52"/>
        <v>0.73491447665382348</v>
      </c>
      <c r="BC56" s="61">
        <f t="shared" si="53"/>
        <v>0.73555623172283469</v>
      </c>
      <c r="BD56" s="61">
        <f t="shared" si="53"/>
        <v>0.55054722641252118</v>
      </c>
      <c r="BE56" s="61">
        <f t="shared" si="53"/>
        <v>0.66509926769407157</v>
      </c>
      <c r="BF56" s="61">
        <f t="shared" si="53"/>
        <v>2.0838515359044498</v>
      </c>
      <c r="BG56" s="61">
        <f t="shared" si="53"/>
        <v>1.2652260390011465</v>
      </c>
      <c r="BH56" s="61">
        <f t="shared" si="53"/>
        <v>0.75298169404157722</v>
      </c>
      <c r="BI56" s="61">
        <f t="shared" si="53"/>
        <v>0.75704601895989176</v>
      </c>
      <c r="BJ56" s="61">
        <f t="shared" si="53"/>
        <v>0.97573888695350564</v>
      </c>
      <c r="BK56" s="61">
        <f t="shared" si="53"/>
        <v>0.63091863938292159</v>
      </c>
      <c r="BL56" s="61">
        <f t="shared" si="53"/>
        <v>1.1611993690947362</v>
      </c>
      <c r="BM56" s="61">
        <f t="shared" si="54"/>
        <v>1.3661220348236092</v>
      </c>
      <c r="BN56" s="61">
        <f t="shared" si="54"/>
        <v>0.80613080371242951</v>
      </c>
      <c r="BO56" s="61">
        <f t="shared" si="54"/>
        <v>0.64704708995142357</v>
      </c>
      <c r="BP56" s="61">
        <f t="shared" si="54"/>
        <v>1.0187230960514329</v>
      </c>
      <c r="BQ56" s="61">
        <f t="shared" si="54"/>
        <v>1.0841603228964218</v>
      </c>
      <c r="BR56" s="61">
        <f t="shared" si="54"/>
        <v>1.1383455116379975</v>
      </c>
      <c r="BS56" s="61">
        <f t="shared" si="54"/>
        <v>1.4099897658895748</v>
      </c>
      <c r="BT56" s="61">
        <f t="shared" si="54"/>
        <v>1.0923071275999252</v>
      </c>
      <c r="BU56" s="61">
        <f t="shared" si="54"/>
        <v>1.029552133021419</v>
      </c>
      <c r="BV56" s="61">
        <f t="shared" si="54"/>
        <v>0.89898651139485974</v>
      </c>
      <c r="BW56" s="61">
        <f t="shared" si="55"/>
        <v>1.1909765370517271</v>
      </c>
      <c r="BX56" s="61">
        <f t="shared" si="55"/>
        <v>0.90838302056631648</v>
      </c>
      <c r="BY56" s="61">
        <f t="shared" si="55"/>
        <v>0.89991800138905853</v>
      </c>
      <c r="BZ56" s="61">
        <f t="shared" si="55"/>
        <v>0.88199975271413433</v>
      </c>
      <c r="CA56" s="61">
        <f t="shared" si="55"/>
        <v>0.93964603271034364</v>
      </c>
      <c r="CB56" s="61">
        <f t="shared" si="55"/>
        <v>0.89430876042751017</v>
      </c>
      <c r="CC56" s="61">
        <f t="shared" si="55"/>
        <v>0.9512093681087691</v>
      </c>
      <c r="CD56" s="61">
        <f t="shared" si="55"/>
        <v>0.97630242074083085</v>
      </c>
      <c r="CE56" s="61">
        <f t="shared" si="55"/>
        <v>1.0874288972086592</v>
      </c>
      <c r="CF56" s="61">
        <f t="shared" si="55"/>
        <v>1.0228349787827351</v>
      </c>
      <c r="CG56" s="61">
        <f t="shared" si="56"/>
        <v>0.77048408522751266</v>
      </c>
      <c r="CH56" s="61">
        <f t="shared" si="56"/>
        <v>0.93272287044899682</v>
      </c>
      <c r="CI56" s="61">
        <f t="shared" si="56"/>
        <v>0.95232137084372281</v>
      </c>
      <c r="CJ56" s="61">
        <f t="shared" si="56"/>
        <v>0.98333984243708539</v>
      </c>
      <c r="CK56" s="61">
        <f t="shared" si="56"/>
        <v>1.1795031499662187</v>
      </c>
      <c r="CL56" s="61">
        <f t="shared" si="56"/>
        <v>1.1591535287383627</v>
      </c>
      <c r="CM56" s="61">
        <f t="shared" si="56"/>
        <v>1.0897869543435115</v>
      </c>
      <c r="CN56" s="61">
        <f t="shared" si="56"/>
        <v>1.5932136692806931</v>
      </c>
      <c r="CO56" s="61">
        <f t="shared" si="56"/>
        <v>1.1048529385361197</v>
      </c>
      <c r="CP56" s="61">
        <f t="shared" si="56"/>
        <v>1.2448368659857765</v>
      </c>
      <c r="CQ56" s="61">
        <f t="shared" si="57"/>
        <v>1.196713564375864</v>
      </c>
      <c r="CR56" s="61">
        <f t="shared" si="57"/>
        <v>1.2555055467595371</v>
      </c>
      <c r="CS56" s="61">
        <f t="shared" si="57"/>
        <v>1.3161669632965476</v>
      </c>
      <c r="CT56" s="61">
        <f t="shared" si="57"/>
        <v>1.3576791675329927</v>
      </c>
      <c r="CU56" s="61">
        <f t="shared" si="57"/>
        <v>1.1589215655739136</v>
      </c>
      <c r="CV56" s="61">
        <f t="shared" si="57"/>
        <v>1.5482948285143214</v>
      </c>
      <c r="CW56" s="61">
        <f t="shared" si="57"/>
        <v>1.3576791675329927</v>
      </c>
      <c r="CX56" s="61">
        <f t="shared" si="57"/>
        <v>1.4405025949281043</v>
      </c>
      <c r="CY56" s="61">
        <f t="shared" si="57"/>
        <v>1.4041801271934329</v>
      </c>
      <c r="CZ56" s="61">
        <f t="shared" si="57"/>
        <v>1.4041801271934329</v>
      </c>
      <c r="DA56" s="61">
        <f t="shared" si="58"/>
        <v>1.315417679061939</v>
      </c>
      <c r="DB56" s="61">
        <f t="shared" si="58"/>
        <v>1.4568503715076455</v>
      </c>
      <c r="DC56" s="61">
        <f t="shared" si="58"/>
        <v>1.4568503715076455</v>
      </c>
      <c r="DD56" s="61">
        <f t="shared" si="58"/>
        <v>1.365006772111317</v>
      </c>
      <c r="DE56" s="61">
        <f t="shared" si="58"/>
        <v>1.5159824988529307</v>
      </c>
      <c r="DF56" s="61">
        <f t="shared" si="58"/>
        <v>1.7780573717907084</v>
      </c>
      <c r="DG56" s="61">
        <f t="shared" si="58"/>
        <v>1.9155101298386772</v>
      </c>
      <c r="DH56" s="61">
        <f t="shared" si="58"/>
        <v>1.9155101298386772</v>
      </c>
      <c r="DI56" s="61">
        <f t="shared" si="58"/>
        <v>1.9155101298386772</v>
      </c>
      <c r="DJ56" s="61">
        <f t="shared" si="58"/>
        <v>1.9155101298386772</v>
      </c>
      <c r="DK56" s="61">
        <f t="shared" si="59"/>
        <v>2.1120752686489537</v>
      </c>
      <c r="DL56" s="61">
        <f t="shared" si="59"/>
        <v>2.1120752686489537</v>
      </c>
      <c r="DM56" s="61">
        <f t="shared" si="59"/>
        <v>2.1120752686489537</v>
      </c>
      <c r="DN56" s="61">
        <f t="shared" si="59"/>
        <v>2.1120752686489537</v>
      </c>
      <c r="DO56" s="61">
        <f t="shared" si="59"/>
        <v>2.1120752686489537</v>
      </c>
      <c r="DP56" s="61">
        <f t="shared" si="59"/>
        <v>2.4536778056908317</v>
      </c>
      <c r="DQ56" s="61">
        <f t="shared" si="59"/>
        <v>2.4536778056908317</v>
      </c>
    </row>
    <row r="57" spans="1:121" x14ac:dyDescent="0.25">
      <c r="A57" s="48" t="str">
        <f>KMeans_Data!A48</f>
        <v>Jamshoro</v>
      </c>
      <c r="B57" s="59">
        <f>KMeans_Data!H48</f>
        <v>0.25646266846194293</v>
      </c>
      <c r="C57" s="59">
        <f>KMeans_Data!I48</f>
        <v>-0.67265054538827607</v>
      </c>
      <c r="D57" s="59">
        <f>KMeans_Data!J48</f>
        <v>0.514925973520034</v>
      </c>
      <c r="E57" s="61">
        <f t="shared" si="48"/>
        <v>6.2290550244489014</v>
      </c>
      <c r="F57" s="61">
        <f t="shared" si="48"/>
        <v>6.08078349184626</v>
      </c>
      <c r="G57" s="61">
        <f t="shared" si="48"/>
        <v>4.0860556890237891</v>
      </c>
      <c r="H57" s="61">
        <f t="shared" si="48"/>
        <v>4.8537326671123102</v>
      </c>
      <c r="I57" s="61">
        <f t="shared" si="48"/>
        <v>3.54416945642711</v>
      </c>
      <c r="J57" s="61">
        <f t="shared" si="48"/>
        <v>3.2899327573202539</v>
      </c>
      <c r="K57" s="61">
        <f t="shared" si="48"/>
        <v>1.9133752780069195</v>
      </c>
      <c r="L57" s="61">
        <f t="shared" si="48"/>
        <v>2.1050519094051388</v>
      </c>
      <c r="M57" s="61">
        <f t="shared" si="48"/>
        <v>2.4393542996147444</v>
      </c>
      <c r="N57" s="61">
        <f t="shared" si="48"/>
        <v>1.7214563789533268</v>
      </c>
      <c r="O57" s="61">
        <f t="shared" si="49"/>
        <v>2.3713574976551861</v>
      </c>
      <c r="P57" s="61">
        <f t="shared" si="49"/>
        <v>2.6724401129362381</v>
      </c>
      <c r="Q57" s="61">
        <f t="shared" si="49"/>
        <v>1.9272809578982977</v>
      </c>
      <c r="R57" s="61">
        <f t="shared" si="49"/>
        <v>1.6211134796330222</v>
      </c>
      <c r="S57" s="61">
        <f t="shared" si="49"/>
        <v>1.1251225793806512</v>
      </c>
      <c r="T57" s="61">
        <f t="shared" si="49"/>
        <v>1.8760529931299192</v>
      </c>
      <c r="U57" s="61">
        <f t="shared" si="49"/>
        <v>1.623432564860219</v>
      </c>
      <c r="V57" s="61">
        <f t="shared" si="49"/>
        <v>2.141106447503685</v>
      </c>
      <c r="W57" s="61">
        <f t="shared" si="49"/>
        <v>2.1788396668294459</v>
      </c>
      <c r="X57" s="61">
        <f t="shared" si="49"/>
        <v>1.6711031968149732</v>
      </c>
      <c r="Y57" s="61">
        <f t="shared" si="50"/>
        <v>1.7406840261309713</v>
      </c>
      <c r="Z57" s="61">
        <f t="shared" si="50"/>
        <v>1.5711446498807555</v>
      </c>
      <c r="AA57" s="61">
        <f t="shared" si="50"/>
        <v>1.0815429013148983</v>
      </c>
      <c r="AB57" s="61">
        <f t="shared" si="50"/>
        <v>1.3381758303026146</v>
      </c>
      <c r="AC57" s="61">
        <f t="shared" si="50"/>
        <v>2.1256787039953418</v>
      </c>
      <c r="AD57" s="61">
        <f t="shared" si="50"/>
        <v>1.7218488006468653</v>
      </c>
      <c r="AE57" s="61">
        <f t="shared" si="50"/>
        <v>1.7847419921699987</v>
      </c>
      <c r="AF57" s="61">
        <f t="shared" si="50"/>
        <v>1.4472253797102845</v>
      </c>
      <c r="AG57" s="61">
        <f t="shared" si="50"/>
        <v>0.96955359397018359</v>
      </c>
      <c r="AH57" s="61">
        <f t="shared" si="50"/>
        <v>0.93191956232936735</v>
      </c>
      <c r="AI57" s="61">
        <f t="shared" si="51"/>
        <v>0.96850972037507566</v>
      </c>
      <c r="AJ57" s="61">
        <f t="shared" si="51"/>
        <v>1.3947107988289118</v>
      </c>
      <c r="AK57" s="61">
        <f t="shared" si="51"/>
        <v>1.1104449676068231</v>
      </c>
      <c r="AL57" s="61">
        <f t="shared" si="51"/>
        <v>0.57429696385230999</v>
      </c>
      <c r="AM57" s="61">
        <f t="shared" si="51"/>
        <v>2.0767772701745622</v>
      </c>
      <c r="AN57" s="61">
        <f t="shared" si="51"/>
        <v>1.8405947808807939</v>
      </c>
      <c r="AO57" s="61">
        <f t="shared" si="51"/>
        <v>1.0663901708687509</v>
      </c>
      <c r="AP57" s="61">
        <f t="shared" si="51"/>
        <v>1.0668076350005806</v>
      </c>
      <c r="AQ57" s="61">
        <f t="shared" si="51"/>
        <v>1.9543709322376557</v>
      </c>
      <c r="AR57" s="61">
        <f t="shared" si="51"/>
        <v>1.0316413416985097</v>
      </c>
      <c r="AS57" s="61">
        <f t="shared" si="52"/>
        <v>0.4997271888519767</v>
      </c>
      <c r="AT57" s="61">
        <f t="shared" si="52"/>
        <v>0.58640537635096257</v>
      </c>
      <c r="AU57" s="61">
        <f t="shared" si="52"/>
        <v>1.2658094169447616</v>
      </c>
      <c r="AV57" s="61">
        <f t="shared" si="52"/>
        <v>0</v>
      </c>
      <c r="AW57" s="61">
        <f t="shared" si="52"/>
        <v>1.3394908813688611</v>
      </c>
      <c r="AX57" s="61">
        <f t="shared" si="52"/>
        <v>0.84410011114996253</v>
      </c>
      <c r="AY57" s="61">
        <f t="shared" si="52"/>
        <v>1.661496870122368</v>
      </c>
      <c r="AZ57" s="61">
        <f t="shared" si="52"/>
        <v>0.52055546732440083</v>
      </c>
      <c r="BA57" s="61">
        <f t="shared" si="52"/>
        <v>0.59922182896800191</v>
      </c>
      <c r="BB57" s="61">
        <f t="shared" si="52"/>
        <v>1.6617283913550978</v>
      </c>
      <c r="BC57" s="61">
        <f t="shared" si="53"/>
        <v>1.6619891135682896</v>
      </c>
      <c r="BD57" s="61">
        <f t="shared" si="53"/>
        <v>1.0220630487464135</v>
      </c>
      <c r="BE57" s="61">
        <f t="shared" si="53"/>
        <v>0.76583081050715551</v>
      </c>
      <c r="BF57" s="61">
        <f t="shared" si="53"/>
        <v>2.0738021902755568</v>
      </c>
      <c r="BG57" s="61">
        <f t="shared" si="53"/>
        <v>0.55788271099219566</v>
      </c>
      <c r="BH57" s="61">
        <f t="shared" si="53"/>
        <v>1.6694156903066493</v>
      </c>
      <c r="BI57" s="61">
        <f t="shared" si="53"/>
        <v>1.6711953210701809</v>
      </c>
      <c r="BJ57" s="61">
        <f t="shared" si="53"/>
        <v>1.3426559137383725</v>
      </c>
      <c r="BK57" s="61">
        <f t="shared" si="53"/>
        <v>0.94845059658272646</v>
      </c>
      <c r="BL57" s="61">
        <f t="shared" si="53"/>
        <v>0.3006128432222086</v>
      </c>
      <c r="BM57" s="61">
        <f t="shared" si="54"/>
        <v>1.2545627873874718</v>
      </c>
      <c r="BN57" s="61">
        <f t="shared" si="54"/>
        <v>1.0034973416066739</v>
      </c>
      <c r="BO57" s="61">
        <f t="shared" si="54"/>
        <v>1.3773842547747088</v>
      </c>
      <c r="BP57" s="61">
        <f t="shared" si="54"/>
        <v>0.9394313414676746</v>
      </c>
      <c r="BQ57" s="61">
        <f t="shared" si="54"/>
        <v>0.65461818773702163</v>
      </c>
      <c r="BR57" s="61">
        <f t="shared" si="54"/>
        <v>0.66047884034784066</v>
      </c>
      <c r="BS57" s="61">
        <f t="shared" si="54"/>
        <v>0.43724872057337294</v>
      </c>
      <c r="BT57" s="61">
        <f t="shared" si="54"/>
        <v>0.5701672530228169</v>
      </c>
      <c r="BU57" s="61">
        <f t="shared" si="54"/>
        <v>0.6216930021858339</v>
      </c>
      <c r="BV57" s="61">
        <f t="shared" si="54"/>
        <v>1.7390038546514752</v>
      </c>
      <c r="BW57" s="61">
        <f t="shared" si="55"/>
        <v>0.57923870518446063</v>
      </c>
      <c r="BX57" s="61">
        <f t="shared" si="55"/>
        <v>1.7438265671217175</v>
      </c>
      <c r="BY57" s="61">
        <f t="shared" si="55"/>
        <v>0.89783512899983131</v>
      </c>
      <c r="BZ57" s="61">
        <f t="shared" si="55"/>
        <v>0.9573270256717662</v>
      </c>
      <c r="CA57" s="61">
        <f t="shared" si="55"/>
        <v>1.7601449227100743</v>
      </c>
      <c r="CB57" s="61">
        <f t="shared" si="55"/>
        <v>0.96856967005210104</v>
      </c>
      <c r="CC57" s="61">
        <f t="shared" si="55"/>
        <v>1.7662848922541738</v>
      </c>
      <c r="CD57" s="61">
        <f t="shared" si="55"/>
        <v>1.7797979847493</v>
      </c>
      <c r="CE57" s="61">
        <f t="shared" si="55"/>
        <v>0.81211594003413035</v>
      </c>
      <c r="CF57" s="61">
        <f t="shared" si="55"/>
        <v>0.92427662858694049</v>
      </c>
      <c r="CG57" s="61">
        <f t="shared" si="56"/>
        <v>1.2815036736783432</v>
      </c>
      <c r="CH57" s="61">
        <f t="shared" si="56"/>
        <v>1.1687281284290845</v>
      </c>
      <c r="CI57" s="61">
        <f t="shared" si="56"/>
        <v>1.2807909425301958</v>
      </c>
      <c r="CJ57" s="61">
        <f t="shared" si="56"/>
        <v>1.5620065900671254</v>
      </c>
      <c r="CK57" s="61">
        <f t="shared" si="56"/>
        <v>1.021860803262409</v>
      </c>
      <c r="CL57" s="61">
        <f t="shared" si="56"/>
        <v>1.8855270764428056</v>
      </c>
      <c r="CM57" s="61">
        <f t="shared" si="56"/>
        <v>1.2194640579007183</v>
      </c>
      <c r="CN57" s="61">
        <f t="shared" si="56"/>
        <v>1.102689535974404</v>
      </c>
      <c r="CO57" s="61">
        <f t="shared" si="56"/>
        <v>1.3283620723785274</v>
      </c>
      <c r="CP57" s="61">
        <f t="shared" si="56"/>
        <v>1.9390557860351978</v>
      </c>
      <c r="CQ57" s="61">
        <f t="shared" si="57"/>
        <v>1.3872302000430436</v>
      </c>
      <c r="CR57" s="61">
        <f t="shared" si="57"/>
        <v>1.3687523416560166</v>
      </c>
      <c r="CS57" s="61">
        <f t="shared" si="57"/>
        <v>1.9853470075218829</v>
      </c>
      <c r="CT57" s="61">
        <f t="shared" si="57"/>
        <v>2.0129637432433016</v>
      </c>
      <c r="CU57" s="61">
        <f t="shared" si="57"/>
        <v>1.8343319115702983</v>
      </c>
      <c r="CV57" s="61">
        <f t="shared" si="57"/>
        <v>1.1648661303303669</v>
      </c>
      <c r="CW57" s="61">
        <f t="shared" si="57"/>
        <v>2.0129637432433016</v>
      </c>
      <c r="CX57" s="61">
        <f t="shared" si="57"/>
        <v>1.3130763956016829</v>
      </c>
      <c r="CY57" s="61">
        <f t="shared" si="57"/>
        <v>2.0444594260393929</v>
      </c>
      <c r="CZ57" s="61">
        <f t="shared" si="57"/>
        <v>2.0444594260393929</v>
      </c>
      <c r="DA57" s="61">
        <f t="shared" si="58"/>
        <v>1.568119698751915</v>
      </c>
      <c r="DB57" s="61">
        <f t="shared" si="58"/>
        <v>2.0808153513563727</v>
      </c>
      <c r="DC57" s="61">
        <f t="shared" si="58"/>
        <v>2.0808153513563727</v>
      </c>
      <c r="DD57" s="61">
        <f t="shared" si="58"/>
        <v>1.7024138560220285</v>
      </c>
      <c r="DE57" s="61">
        <f t="shared" si="58"/>
        <v>1.9401372609980791</v>
      </c>
      <c r="DF57" s="61">
        <f t="shared" si="58"/>
        <v>2.3161760743785629</v>
      </c>
      <c r="DG57" s="61">
        <f t="shared" si="58"/>
        <v>2.42293647849278</v>
      </c>
      <c r="DH57" s="61">
        <f t="shared" si="58"/>
        <v>2.42293647849278</v>
      </c>
      <c r="DI57" s="61">
        <f t="shared" si="58"/>
        <v>2.42293647849278</v>
      </c>
      <c r="DJ57" s="61">
        <f t="shared" si="58"/>
        <v>2.42293647849278</v>
      </c>
      <c r="DK57" s="61">
        <f t="shared" si="59"/>
        <v>2.5806684403946556</v>
      </c>
      <c r="DL57" s="61">
        <f t="shared" si="59"/>
        <v>2.5806684403946556</v>
      </c>
      <c r="DM57" s="61">
        <f t="shared" si="59"/>
        <v>2.5806684403946556</v>
      </c>
      <c r="DN57" s="61">
        <f t="shared" si="59"/>
        <v>2.5806684403946556</v>
      </c>
      <c r="DO57" s="61">
        <f t="shared" si="59"/>
        <v>2.5806684403946556</v>
      </c>
      <c r="DP57" s="61">
        <f t="shared" si="59"/>
        <v>2.8662390866109257</v>
      </c>
      <c r="DQ57" s="61">
        <f t="shared" si="59"/>
        <v>2.8662390866109257</v>
      </c>
    </row>
    <row r="58" spans="1:121" x14ac:dyDescent="0.25">
      <c r="A58" s="48" t="str">
        <f>KMeans_Data!A49</f>
        <v>Gujranwala</v>
      </c>
      <c r="B58" s="59">
        <f>KMeans_Data!H49</f>
        <v>0.23861623378571303</v>
      </c>
      <c r="C58" s="59">
        <f>KMeans_Data!I49</f>
        <v>-0.67265054538827607</v>
      </c>
      <c r="D58" s="59">
        <f>KMeans_Data!J49</f>
        <v>-0.82444601589876665</v>
      </c>
      <c r="E58" s="61">
        <f t="shared" si="48"/>
        <v>6.9308663269636464</v>
      </c>
      <c r="F58" s="61">
        <f t="shared" si="48"/>
        <v>6.684165615349305</v>
      </c>
      <c r="G58" s="61">
        <f t="shared" si="48"/>
        <v>4.8518973911591621</v>
      </c>
      <c r="H58" s="61">
        <f t="shared" si="48"/>
        <v>5.333018689646214</v>
      </c>
      <c r="I58" s="61">
        <f t="shared" si="48"/>
        <v>4.193911291733686</v>
      </c>
      <c r="J58" s="61">
        <f t="shared" si="48"/>
        <v>3.8922097472200665</v>
      </c>
      <c r="K58" s="61">
        <f t="shared" si="48"/>
        <v>1.3806020876375551</v>
      </c>
      <c r="L58" s="61">
        <f t="shared" si="48"/>
        <v>3.0824797958591015</v>
      </c>
      <c r="M58" s="61">
        <f t="shared" si="48"/>
        <v>3.3080140361203445</v>
      </c>
      <c r="N58" s="61">
        <f t="shared" si="48"/>
        <v>1.0970623070198045</v>
      </c>
      <c r="O58" s="61">
        <f t="shared" si="49"/>
        <v>2.9525121032304287</v>
      </c>
      <c r="P58" s="61">
        <f t="shared" si="49"/>
        <v>3.2731717393346709</v>
      </c>
      <c r="Q58" s="61">
        <f t="shared" si="49"/>
        <v>2.6555076280060801</v>
      </c>
      <c r="R58" s="61">
        <f t="shared" si="49"/>
        <v>2.6475647490986587</v>
      </c>
      <c r="S58" s="61">
        <f t="shared" si="49"/>
        <v>2.1984914035232515</v>
      </c>
      <c r="T58" s="61">
        <f t="shared" si="49"/>
        <v>2.5752793448333127</v>
      </c>
      <c r="U58" s="61">
        <f t="shared" si="49"/>
        <v>2.704382702740169</v>
      </c>
      <c r="V58" s="61">
        <f t="shared" si="49"/>
        <v>2.583960941622927</v>
      </c>
      <c r="W58" s="61">
        <f t="shared" si="49"/>
        <v>2.7724233359190098</v>
      </c>
      <c r="X58" s="61">
        <f t="shared" si="49"/>
        <v>2.4505990212392765</v>
      </c>
      <c r="Y58" s="61">
        <f t="shared" si="50"/>
        <v>2.6194611179371585</v>
      </c>
      <c r="Z58" s="61">
        <f t="shared" si="50"/>
        <v>2.1350896673858393</v>
      </c>
      <c r="AA58" s="61">
        <f t="shared" si="50"/>
        <v>2.0430755111925105</v>
      </c>
      <c r="AB58" s="61">
        <f t="shared" si="50"/>
        <v>2.0028818880558763</v>
      </c>
      <c r="AC58" s="61">
        <f t="shared" si="50"/>
        <v>2.6270141257333073</v>
      </c>
      <c r="AD58" s="61">
        <f t="shared" si="50"/>
        <v>2.6115676085871988</v>
      </c>
      <c r="AE58" s="61">
        <f t="shared" si="50"/>
        <v>0.73836962685343654</v>
      </c>
      <c r="AF58" s="61">
        <f t="shared" si="50"/>
        <v>2.2047243377323769</v>
      </c>
      <c r="AG58" s="61">
        <f t="shared" si="50"/>
        <v>0.54341508243294989</v>
      </c>
      <c r="AH58" s="61">
        <f t="shared" si="50"/>
        <v>1.8407553941321477</v>
      </c>
      <c r="AI58" s="61">
        <f t="shared" si="51"/>
        <v>0.54144614491352527</v>
      </c>
      <c r="AJ58" s="61">
        <f t="shared" si="51"/>
        <v>2.3138601011168087</v>
      </c>
      <c r="AK58" s="61">
        <f t="shared" si="51"/>
        <v>1.5575078407028637</v>
      </c>
      <c r="AL58" s="61">
        <f t="shared" si="51"/>
        <v>1.4938401886276196</v>
      </c>
      <c r="AM58" s="61">
        <f t="shared" si="51"/>
        <v>2.3578066667060678</v>
      </c>
      <c r="AN58" s="61">
        <f t="shared" si="51"/>
        <v>2.3953106801267134</v>
      </c>
      <c r="AO58" s="61">
        <f t="shared" si="51"/>
        <v>1.7334497316219959</v>
      </c>
      <c r="AP58" s="61">
        <f t="shared" si="51"/>
        <v>1.6710088584354399</v>
      </c>
      <c r="AQ58" s="61">
        <f t="shared" si="51"/>
        <v>2.433817955656989</v>
      </c>
      <c r="AR58" s="61">
        <f t="shared" si="51"/>
        <v>1.1283840419373659</v>
      </c>
      <c r="AS58" s="61">
        <f t="shared" si="52"/>
        <v>1.8370827039399493</v>
      </c>
      <c r="AT58" s="61">
        <f t="shared" si="52"/>
        <v>1.6832638442866785</v>
      </c>
      <c r="AU58" s="61">
        <f t="shared" si="52"/>
        <v>0.55873815521658521</v>
      </c>
      <c r="AV58" s="61">
        <f t="shared" si="52"/>
        <v>1.3394908813688611</v>
      </c>
      <c r="AW58" s="61">
        <f t="shared" si="52"/>
        <v>0</v>
      </c>
      <c r="AX58" s="61">
        <f t="shared" si="52"/>
        <v>1.4658735219921566</v>
      </c>
      <c r="AY58" s="61">
        <f t="shared" si="52"/>
        <v>0.32339611118537048</v>
      </c>
      <c r="AZ58" s="61">
        <f t="shared" si="52"/>
        <v>1.8573432088236097</v>
      </c>
      <c r="BA58" s="61">
        <f t="shared" si="52"/>
        <v>1.7039625043692936</v>
      </c>
      <c r="BB58" s="61">
        <f t="shared" si="52"/>
        <v>0.32422332587633607</v>
      </c>
      <c r="BC58" s="61">
        <f t="shared" si="53"/>
        <v>0.32519329370972178</v>
      </c>
      <c r="BD58" s="61">
        <f t="shared" si="53"/>
        <v>0.32900165578009083</v>
      </c>
      <c r="BE58" s="61">
        <f t="shared" si="53"/>
        <v>0.58675219871714157</v>
      </c>
      <c r="BF58" s="61">
        <f t="shared" si="53"/>
        <v>2.6048194638976745</v>
      </c>
      <c r="BG58" s="61">
        <f t="shared" si="53"/>
        <v>1.5417211415946637</v>
      </c>
      <c r="BH58" s="61">
        <f t="shared" si="53"/>
        <v>0.35611316929196818</v>
      </c>
      <c r="BI58" s="61">
        <f t="shared" si="53"/>
        <v>0.36355446047288759</v>
      </c>
      <c r="BJ58" s="61">
        <f t="shared" si="53"/>
        <v>1.4916331559117364</v>
      </c>
      <c r="BK58" s="61">
        <f t="shared" si="53"/>
        <v>0.48416455759193255</v>
      </c>
      <c r="BL58" s="61">
        <f t="shared" si="53"/>
        <v>1.2130017226175909</v>
      </c>
      <c r="BM58" s="61">
        <f t="shared" si="54"/>
        <v>1.822868901015684</v>
      </c>
      <c r="BN58" s="61">
        <f t="shared" si="54"/>
        <v>1.2353844843207102</v>
      </c>
      <c r="BO58" s="61">
        <f t="shared" si="54"/>
        <v>0.30351015738561699</v>
      </c>
      <c r="BP58" s="61">
        <f t="shared" si="54"/>
        <v>1.4124583590123208</v>
      </c>
      <c r="BQ58" s="61">
        <f t="shared" si="54"/>
        <v>1.3610925280777373</v>
      </c>
      <c r="BR58" s="61">
        <f t="shared" si="54"/>
        <v>1.4107446932460881</v>
      </c>
      <c r="BS58" s="61">
        <f t="shared" si="54"/>
        <v>1.4800849421188451</v>
      </c>
      <c r="BT58" s="61">
        <f t="shared" si="54"/>
        <v>1.1144974705041684</v>
      </c>
      <c r="BU58" s="61">
        <f t="shared" si="54"/>
        <v>1.0378821391054638</v>
      </c>
      <c r="BV58" s="61">
        <f t="shared" si="54"/>
        <v>0.59304068448741709</v>
      </c>
      <c r="BW58" s="61">
        <f t="shared" si="55"/>
        <v>1.2245150009933032</v>
      </c>
      <c r="BX58" s="61">
        <f t="shared" si="55"/>
        <v>0.60656598648305426</v>
      </c>
      <c r="BY58" s="61">
        <f t="shared" si="55"/>
        <v>0.84446587543155704</v>
      </c>
      <c r="BZ58" s="61">
        <f t="shared" si="55"/>
        <v>0.81062116488896252</v>
      </c>
      <c r="CA58" s="61">
        <f t="shared" si="55"/>
        <v>0.65059405218670485</v>
      </c>
      <c r="CB58" s="61">
        <f t="shared" si="55"/>
        <v>0.8234724954623388</v>
      </c>
      <c r="CC58" s="61">
        <f t="shared" si="55"/>
        <v>0.66653799483431542</v>
      </c>
      <c r="CD58" s="61">
        <f t="shared" si="55"/>
        <v>0.7005817122983512</v>
      </c>
      <c r="CE58" s="61">
        <f t="shared" si="55"/>
        <v>1.0797330998926113</v>
      </c>
      <c r="CF58" s="61">
        <f t="shared" si="55"/>
        <v>1.2721330353338629</v>
      </c>
      <c r="CG58" s="61">
        <f t="shared" si="56"/>
        <v>0.97984001488835071</v>
      </c>
      <c r="CH58" s="61">
        <f t="shared" si="56"/>
        <v>0.8268979545909303</v>
      </c>
      <c r="CI58" s="61">
        <f t="shared" si="56"/>
        <v>0.82431808411153729</v>
      </c>
      <c r="CJ58" s="61">
        <f t="shared" si="56"/>
        <v>0.78586200833868158</v>
      </c>
      <c r="CK58" s="61">
        <f t="shared" si="56"/>
        <v>1.1558378428500371</v>
      </c>
      <c r="CL58" s="61">
        <f t="shared" si="56"/>
        <v>0.93237702310551596</v>
      </c>
      <c r="CM58" s="61">
        <f t="shared" si="56"/>
        <v>1.0125849152265676</v>
      </c>
      <c r="CN58" s="61">
        <f t="shared" si="56"/>
        <v>1.8110969487800221</v>
      </c>
      <c r="CO58" s="61">
        <f t="shared" si="56"/>
        <v>1.2868665255347151</v>
      </c>
      <c r="CP58" s="61">
        <f t="shared" si="56"/>
        <v>1.0345020869497088</v>
      </c>
      <c r="CQ58" s="61">
        <f t="shared" si="57"/>
        <v>1.1094963680836987</v>
      </c>
      <c r="CR58" s="61">
        <f t="shared" si="57"/>
        <v>1.1852248263536134</v>
      </c>
      <c r="CS58" s="61">
        <f t="shared" si="57"/>
        <v>1.1174777812894814</v>
      </c>
      <c r="CT58" s="61">
        <f t="shared" si="57"/>
        <v>1.1650778082548783</v>
      </c>
      <c r="CU58" s="61">
        <f t="shared" si="57"/>
        <v>1.2371597742550529</v>
      </c>
      <c r="CV58" s="61">
        <f t="shared" si="57"/>
        <v>1.5625233193828716</v>
      </c>
      <c r="CW58" s="61">
        <f t="shared" si="57"/>
        <v>1.1650778082548783</v>
      </c>
      <c r="CX58" s="61">
        <f t="shared" si="57"/>
        <v>1.4156681926299028</v>
      </c>
      <c r="CY58" s="61">
        <f t="shared" si="57"/>
        <v>1.2178835424200389</v>
      </c>
      <c r="CZ58" s="61">
        <f t="shared" si="57"/>
        <v>1.2178835424200389</v>
      </c>
      <c r="DA58" s="61">
        <f t="shared" si="58"/>
        <v>1.2178835424200389</v>
      </c>
      <c r="DB58" s="61">
        <f t="shared" si="58"/>
        <v>1.2771180216072431</v>
      </c>
      <c r="DC58" s="61">
        <f t="shared" si="58"/>
        <v>1.2771180216072431</v>
      </c>
      <c r="DD58" s="61">
        <f t="shared" si="58"/>
        <v>1.2502657473962246</v>
      </c>
      <c r="DE58" s="61">
        <f t="shared" si="58"/>
        <v>1.3857971331405619</v>
      </c>
      <c r="DF58" s="61">
        <f t="shared" si="58"/>
        <v>1.6288133348099916</v>
      </c>
      <c r="DG58" s="61">
        <f t="shared" si="58"/>
        <v>1.7758485750260933</v>
      </c>
      <c r="DH58" s="61">
        <f t="shared" si="58"/>
        <v>1.7758485750260933</v>
      </c>
      <c r="DI58" s="61">
        <f t="shared" si="58"/>
        <v>1.7758485750260933</v>
      </c>
      <c r="DJ58" s="61">
        <f t="shared" si="58"/>
        <v>1.7758485750260933</v>
      </c>
      <c r="DK58" s="61">
        <f t="shared" si="59"/>
        <v>1.9837676851984569</v>
      </c>
      <c r="DL58" s="61">
        <f t="shared" si="59"/>
        <v>1.9837676851984569</v>
      </c>
      <c r="DM58" s="61">
        <f t="shared" si="59"/>
        <v>1.9837676851984569</v>
      </c>
      <c r="DN58" s="61">
        <f t="shared" si="59"/>
        <v>1.9837676851984569</v>
      </c>
      <c r="DO58" s="61">
        <f t="shared" si="59"/>
        <v>1.9837676851984569</v>
      </c>
      <c r="DP58" s="61">
        <f t="shared" si="59"/>
        <v>2.3404987692076227</v>
      </c>
      <c r="DQ58" s="61">
        <f t="shared" si="59"/>
        <v>2.3404987692076227</v>
      </c>
    </row>
    <row r="59" spans="1:121" x14ac:dyDescent="0.25">
      <c r="A59" s="48" t="str">
        <f>KMeans_Data!A50</f>
        <v>Bannu</v>
      </c>
      <c r="B59" s="59">
        <f>KMeans_Data!H50</f>
        <v>0.23252879576454735</v>
      </c>
      <c r="C59" s="59">
        <f>KMeans_Data!I50</f>
        <v>0.16051258962499582</v>
      </c>
      <c r="D59" s="59">
        <f>KMeans_Data!J50</f>
        <v>0.38161671714246476</v>
      </c>
      <c r="E59" s="61">
        <f t="shared" si="48"/>
        <v>5.7041330215925905</v>
      </c>
      <c r="F59" s="61">
        <f t="shared" si="48"/>
        <v>5.5101371010775004</v>
      </c>
      <c r="G59" s="61">
        <f t="shared" si="48"/>
        <v>3.6139794536730636</v>
      </c>
      <c r="H59" s="61">
        <f t="shared" si="48"/>
        <v>4.197054250367775</v>
      </c>
      <c r="I59" s="61">
        <f t="shared" si="48"/>
        <v>3.0194688836474497</v>
      </c>
      <c r="J59" s="61">
        <f t="shared" si="48"/>
        <v>2.6466345252970642</v>
      </c>
      <c r="K59" s="61">
        <f t="shared" si="48"/>
        <v>1.637048737586966</v>
      </c>
      <c r="L59" s="61">
        <f t="shared" si="48"/>
        <v>1.8034817995866055</v>
      </c>
      <c r="M59" s="61">
        <f t="shared" si="48"/>
        <v>1.9711740009852654</v>
      </c>
      <c r="N59" s="61">
        <f t="shared" si="48"/>
        <v>1.5773778657519006</v>
      </c>
      <c r="O59" s="61">
        <f t="shared" si="49"/>
        <v>1.7099893923872689</v>
      </c>
      <c r="P59" s="61">
        <f t="shared" si="49"/>
        <v>2.0005560509463112</v>
      </c>
      <c r="Q59" s="61">
        <f t="shared" si="49"/>
        <v>1.3559838403813895</v>
      </c>
      <c r="R59" s="61">
        <f t="shared" si="49"/>
        <v>1.3714131638754321</v>
      </c>
      <c r="S59" s="61">
        <f t="shared" si="49"/>
        <v>1.145539295633774</v>
      </c>
      <c r="T59" s="61">
        <f t="shared" si="49"/>
        <v>1.2721211108591699</v>
      </c>
      <c r="U59" s="61">
        <f t="shared" si="49"/>
        <v>1.3823351301932811</v>
      </c>
      <c r="V59" s="61">
        <f t="shared" si="49"/>
        <v>1.3895286279642269</v>
      </c>
      <c r="W59" s="61">
        <f t="shared" si="49"/>
        <v>1.4757923497336956</v>
      </c>
      <c r="X59" s="61">
        <f t="shared" si="49"/>
        <v>1.1014387366075495</v>
      </c>
      <c r="Y59" s="61">
        <f t="shared" si="50"/>
        <v>1.2287584170210228</v>
      </c>
      <c r="Z59" s="61">
        <f t="shared" si="50"/>
        <v>0.88025181399692587</v>
      </c>
      <c r="AA59" s="61">
        <f t="shared" si="50"/>
        <v>0.79857721336699083</v>
      </c>
      <c r="AB59" s="61">
        <f t="shared" si="50"/>
        <v>0.73155966218066182</v>
      </c>
      <c r="AC59" s="61">
        <f t="shared" si="50"/>
        <v>1.3747012240999255</v>
      </c>
      <c r="AD59" s="61">
        <f t="shared" si="50"/>
        <v>1.2014131493752773</v>
      </c>
      <c r="AE59" s="61">
        <f t="shared" si="50"/>
        <v>1.6117591183014166</v>
      </c>
      <c r="AF59" s="61">
        <f t="shared" si="50"/>
        <v>0.80919517016859888</v>
      </c>
      <c r="AG59" s="61">
        <f t="shared" si="50"/>
        <v>1.1933246429100492</v>
      </c>
      <c r="AH59" s="61">
        <f t="shared" si="50"/>
        <v>0.52832031061168816</v>
      </c>
      <c r="AI59" s="61">
        <f t="shared" si="51"/>
        <v>1.1924131660489456</v>
      </c>
      <c r="AJ59" s="61">
        <f t="shared" si="51"/>
        <v>0.89351898314152345</v>
      </c>
      <c r="AK59" s="61">
        <f t="shared" si="51"/>
        <v>0.38216735975536587</v>
      </c>
      <c r="AL59" s="61">
        <f t="shared" si="51"/>
        <v>0.43267232299437641</v>
      </c>
      <c r="AM59" s="61">
        <f t="shared" si="51"/>
        <v>1.2485621992104114</v>
      </c>
      <c r="AN59" s="61">
        <f t="shared" si="51"/>
        <v>1.0649366013892887</v>
      </c>
      <c r="AO59" s="61">
        <f t="shared" si="51"/>
        <v>0.33610819433304362</v>
      </c>
      <c r="AP59" s="61">
        <f t="shared" si="51"/>
        <v>0.30401855676631967</v>
      </c>
      <c r="AQ59" s="61">
        <f t="shared" si="51"/>
        <v>1.152498843158638</v>
      </c>
      <c r="AR59" s="61">
        <f t="shared" si="51"/>
        <v>0.48641026178328695</v>
      </c>
      <c r="AS59" s="61">
        <f t="shared" si="52"/>
        <v>1.047562448866546</v>
      </c>
      <c r="AT59" s="61">
        <f t="shared" si="52"/>
        <v>0.50040836827737389</v>
      </c>
      <c r="AU59" s="61">
        <f t="shared" si="52"/>
        <v>1.064009729999104</v>
      </c>
      <c r="AV59" s="61">
        <f t="shared" si="52"/>
        <v>0.84410011114996253</v>
      </c>
      <c r="AW59" s="61">
        <f t="shared" si="52"/>
        <v>1.4658735219921566</v>
      </c>
      <c r="AX59" s="61">
        <f t="shared" si="52"/>
        <v>0</v>
      </c>
      <c r="AY59" s="61">
        <f t="shared" si="52"/>
        <v>1.7400235842161986</v>
      </c>
      <c r="AZ59" s="61">
        <f t="shared" si="52"/>
        <v>1.0577456975754957</v>
      </c>
      <c r="BA59" s="61">
        <f t="shared" si="52"/>
        <v>0.51725832749874634</v>
      </c>
      <c r="BB59" s="61">
        <f t="shared" si="52"/>
        <v>1.7401546156881675</v>
      </c>
      <c r="BC59" s="61">
        <f t="shared" si="53"/>
        <v>1.7403124078404313</v>
      </c>
      <c r="BD59" s="61">
        <f t="shared" si="53"/>
        <v>1.2171236274264723</v>
      </c>
      <c r="BE59" s="61">
        <f t="shared" si="53"/>
        <v>1.0448637414420188</v>
      </c>
      <c r="BF59" s="61">
        <f t="shared" si="53"/>
        <v>1.2861342956273603</v>
      </c>
      <c r="BG59" s="61">
        <f t="shared" si="53"/>
        <v>0.40978656093508858</v>
      </c>
      <c r="BH59" s="61">
        <f t="shared" si="53"/>
        <v>1.7459953132480064</v>
      </c>
      <c r="BI59" s="61">
        <f t="shared" si="53"/>
        <v>1.7474706605917762</v>
      </c>
      <c r="BJ59" s="61">
        <f t="shared" si="53"/>
        <v>0.57839631816140447</v>
      </c>
      <c r="BK59" s="61">
        <f t="shared" si="53"/>
        <v>1.164550359623169</v>
      </c>
      <c r="BL59" s="61">
        <f t="shared" si="53"/>
        <v>0.8661520638957152</v>
      </c>
      <c r="BM59" s="61">
        <f t="shared" si="54"/>
        <v>0.48500069318178946</v>
      </c>
      <c r="BN59" s="61">
        <f t="shared" si="54"/>
        <v>0.43701472017622406</v>
      </c>
      <c r="BO59" s="61">
        <f t="shared" si="54"/>
        <v>1.4957300557153264</v>
      </c>
      <c r="BP59" s="61">
        <f t="shared" si="54"/>
        <v>0.35090148657131892</v>
      </c>
      <c r="BQ59" s="61">
        <f t="shared" si="54"/>
        <v>0.46043831673428032</v>
      </c>
      <c r="BR59" s="61">
        <f t="shared" si="54"/>
        <v>0.4812160918149132</v>
      </c>
      <c r="BS59" s="61">
        <f t="shared" si="54"/>
        <v>0.95136113813145062</v>
      </c>
      <c r="BT59" s="61">
        <f t="shared" si="54"/>
        <v>0.96405834174324112</v>
      </c>
      <c r="BU59" s="61">
        <f t="shared" si="54"/>
        <v>0.98401951544158639</v>
      </c>
      <c r="BV59" s="61">
        <f t="shared" si="54"/>
        <v>1.8080882309453024</v>
      </c>
      <c r="BW59" s="61">
        <f t="shared" si="55"/>
        <v>0.9806596940271497</v>
      </c>
      <c r="BX59" s="61">
        <f t="shared" si="55"/>
        <v>1.8125156837689191</v>
      </c>
      <c r="BY59" s="61">
        <f t="shared" si="55"/>
        <v>1.1426697296408266</v>
      </c>
      <c r="BZ59" s="61">
        <f t="shared" si="55"/>
        <v>1.1826745099193499</v>
      </c>
      <c r="CA59" s="61">
        <f t="shared" si="55"/>
        <v>1.8275501764988822</v>
      </c>
      <c r="CB59" s="61">
        <f t="shared" si="55"/>
        <v>1.1914264192720536</v>
      </c>
      <c r="CC59" s="61">
        <f t="shared" si="55"/>
        <v>1.8332259990921871</v>
      </c>
      <c r="CD59" s="61">
        <f t="shared" si="55"/>
        <v>1.8457491172762199</v>
      </c>
      <c r="CE59" s="61">
        <f t="shared" si="55"/>
        <v>1.1020707740674685</v>
      </c>
      <c r="CF59" s="61">
        <f t="shared" si="55"/>
        <v>0.74768650635695133</v>
      </c>
      <c r="CG59" s="61">
        <f t="shared" si="56"/>
        <v>1.0954948827299413</v>
      </c>
      <c r="CH59" s="61">
        <f t="shared" si="56"/>
        <v>1.3415350266125405</v>
      </c>
      <c r="CI59" s="61">
        <f t="shared" si="56"/>
        <v>1.4297806209620372</v>
      </c>
      <c r="CJ59" s="61">
        <f t="shared" si="56"/>
        <v>1.6603603542875547</v>
      </c>
      <c r="CK59" s="61">
        <f t="shared" si="56"/>
        <v>1.2525891606640491</v>
      </c>
      <c r="CL59" s="61">
        <f t="shared" si="56"/>
        <v>1.9447944581817826</v>
      </c>
      <c r="CM59" s="61">
        <f t="shared" si="56"/>
        <v>1.3912135281575297</v>
      </c>
      <c r="CN59" s="61">
        <f t="shared" si="56"/>
        <v>1.0181848665947619</v>
      </c>
      <c r="CO59" s="61">
        <f t="shared" si="56"/>
        <v>1.1693436261900985</v>
      </c>
      <c r="CP59" s="61">
        <f t="shared" si="56"/>
        <v>1.9954391495687551</v>
      </c>
      <c r="CQ59" s="61">
        <f t="shared" si="57"/>
        <v>1.5307179086479099</v>
      </c>
      <c r="CR59" s="61">
        <f t="shared" si="57"/>
        <v>1.5207006461380534</v>
      </c>
      <c r="CS59" s="61">
        <f t="shared" si="57"/>
        <v>2.0394315038291295</v>
      </c>
      <c r="CT59" s="61">
        <f t="shared" si="57"/>
        <v>2.0657508606835218</v>
      </c>
      <c r="CU59" s="61">
        <f t="shared" si="57"/>
        <v>1.6702637789986672</v>
      </c>
      <c r="CV59" s="61">
        <f t="shared" si="57"/>
        <v>1.3958377971846756</v>
      </c>
      <c r="CW59" s="61">
        <f t="shared" si="57"/>
        <v>2.0657508606835218</v>
      </c>
      <c r="CX59" s="61">
        <f t="shared" si="57"/>
        <v>1.4943576796736169</v>
      </c>
      <c r="CY59" s="61">
        <f t="shared" si="57"/>
        <v>2.0958275235513484</v>
      </c>
      <c r="CZ59" s="61">
        <f t="shared" si="57"/>
        <v>2.0958275235513484</v>
      </c>
      <c r="DA59" s="61">
        <f t="shared" si="58"/>
        <v>1.6861058012601842</v>
      </c>
      <c r="DB59" s="61">
        <f t="shared" si="58"/>
        <v>2.1306188715682555</v>
      </c>
      <c r="DC59" s="61">
        <f t="shared" si="58"/>
        <v>2.1306188715682555</v>
      </c>
      <c r="DD59" s="61">
        <f t="shared" si="58"/>
        <v>1.8010244836264027</v>
      </c>
      <c r="DE59" s="61">
        <f t="shared" si="58"/>
        <v>2.0130442042793013</v>
      </c>
      <c r="DF59" s="61">
        <f t="shared" si="58"/>
        <v>2.3573601714275552</v>
      </c>
      <c r="DG59" s="61">
        <f t="shared" si="58"/>
        <v>2.4608797850991166</v>
      </c>
      <c r="DH59" s="61">
        <f t="shared" si="58"/>
        <v>2.4608797850991166</v>
      </c>
      <c r="DI59" s="61">
        <f t="shared" si="58"/>
        <v>2.4608797850991166</v>
      </c>
      <c r="DJ59" s="61">
        <f t="shared" si="58"/>
        <v>2.4608797850991166</v>
      </c>
      <c r="DK59" s="61">
        <f t="shared" si="59"/>
        <v>2.6143940197347968</v>
      </c>
      <c r="DL59" s="61">
        <f t="shared" si="59"/>
        <v>2.6143940197347968</v>
      </c>
      <c r="DM59" s="61">
        <f t="shared" si="59"/>
        <v>2.6143940197347968</v>
      </c>
      <c r="DN59" s="61">
        <f t="shared" si="59"/>
        <v>2.6143940197347968</v>
      </c>
      <c r="DO59" s="61">
        <f t="shared" si="59"/>
        <v>2.6143940197347968</v>
      </c>
      <c r="DP59" s="61">
        <f t="shared" si="59"/>
        <v>2.8936592946750208</v>
      </c>
      <c r="DQ59" s="61">
        <f t="shared" si="59"/>
        <v>2.8936592946750208</v>
      </c>
    </row>
    <row r="60" spans="1:121" x14ac:dyDescent="0.25">
      <c r="A60" s="48" t="str">
        <f>KMeans_Data!A51</f>
        <v>Lodhran</v>
      </c>
      <c r="B60" s="59">
        <f>KMeans_Data!H51</f>
        <v>0.20097549778195881</v>
      </c>
      <c r="C60" s="59">
        <f>KMeans_Data!I51</f>
        <v>-0.67265054538827607</v>
      </c>
      <c r="D60" s="59">
        <f>KMeans_Data!J51</f>
        <v>-1.1456441163335547</v>
      </c>
      <c r="E60" s="61">
        <f t="shared" si="48"/>
        <v>7.1406705471015224</v>
      </c>
      <c r="F60" s="61">
        <f t="shared" si="48"/>
        <v>6.8746592722253723</v>
      </c>
      <c r="G60" s="61">
        <f t="shared" si="48"/>
        <v>5.0851891402756753</v>
      </c>
      <c r="H60" s="61">
        <f t="shared" si="48"/>
        <v>5.5033956416830128</v>
      </c>
      <c r="I60" s="61">
        <f t="shared" si="48"/>
        <v>4.4111694478667314</v>
      </c>
      <c r="J60" s="61">
        <f t="shared" si="48"/>
        <v>4.0994205837921003</v>
      </c>
      <c r="K60" s="61">
        <f t="shared" si="48"/>
        <v>1.4469007649449999</v>
      </c>
      <c r="L60" s="61">
        <f t="shared" si="48"/>
        <v>3.3651759500344176</v>
      </c>
      <c r="M60" s="61">
        <f t="shared" si="48"/>
        <v>3.5697588142588814</v>
      </c>
      <c r="N60" s="61">
        <f t="shared" si="48"/>
        <v>1.1749982821954199</v>
      </c>
      <c r="O60" s="61">
        <f t="shared" si="49"/>
        <v>3.1708648424984593</v>
      </c>
      <c r="P60" s="61">
        <f t="shared" si="49"/>
        <v>3.4877405807297857</v>
      </c>
      <c r="Q60" s="61">
        <f t="shared" si="49"/>
        <v>2.9052629384717337</v>
      </c>
      <c r="R60" s="61">
        <f t="shared" si="49"/>
        <v>2.9408359957094516</v>
      </c>
      <c r="S60" s="61">
        <f t="shared" si="49"/>
        <v>2.505009867798468</v>
      </c>
      <c r="T60" s="61">
        <f t="shared" si="49"/>
        <v>2.8217341359264791</v>
      </c>
      <c r="U60" s="61">
        <f t="shared" si="49"/>
        <v>3.0022050908946447</v>
      </c>
      <c r="V60" s="61">
        <f t="shared" si="49"/>
        <v>2.7846945902955871</v>
      </c>
      <c r="W60" s="61">
        <f t="shared" si="49"/>
        <v>2.9944734339660521</v>
      </c>
      <c r="X60" s="61">
        <f t="shared" si="49"/>
        <v>2.7112769694513235</v>
      </c>
      <c r="Y60" s="61">
        <f t="shared" si="50"/>
        <v>2.8899973290381107</v>
      </c>
      <c r="Z60" s="61">
        <f t="shared" si="50"/>
        <v>2.3730160782561658</v>
      </c>
      <c r="AA60" s="61">
        <f t="shared" si="50"/>
        <v>2.3379214007609703</v>
      </c>
      <c r="AB60" s="61">
        <f t="shared" si="50"/>
        <v>2.26171117839122</v>
      </c>
      <c r="AC60" s="61">
        <f t="shared" si="50"/>
        <v>2.8359084207509837</v>
      </c>
      <c r="AD60" s="61">
        <f t="shared" si="50"/>
        <v>2.8828951788915895</v>
      </c>
      <c r="AE60" s="61">
        <f t="shared" si="50"/>
        <v>0.68853623587289314</v>
      </c>
      <c r="AF60" s="61">
        <f t="shared" si="50"/>
        <v>2.4664450906311686</v>
      </c>
      <c r="AG60" s="61">
        <f t="shared" si="50"/>
        <v>0.83557027779349835</v>
      </c>
      <c r="AH60" s="61">
        <f t="shared" si="50"/>
        <v>2.1331147224820288</v>
      </c>
      <c r="AI60" s="61">
        <f t="shared" si="51"/>
        <v>0.83414835461093395</v>
      </c>
      <c r="AJ60" s="61">
        <f t="shared" si="51"/>
        <v>2.5938890564199508</v>
      </c>
      <c r="AK60" s="61">
        <f t="shared" si="51"/>
        <v>1.8072850364063244</v>
      </c>
      <c r="AL60" s="61">
        <f t="shared" si="51"/>
        <v>1.7996964990743989</v>
      </c>
      <c r="AM60" s="61">
        <f t="shared" si="51"/>
        <v>2.5316804399314528</v>
      </c>
      <c r="AN60" s="61">
        <f t="shared" si="51"/>
        <v>2.6172925308836064</v>
      </c>
      <c r="AO60" s="61">
        <f t="shared" si="51"/>
        <v>2.0001469731466899</v>
      </c>
      <c r="AP60" s="61">
        <f t="shared" si="51"/>
        <v>1.9330130243215531</v>
      </c>
      <c r="AQ60" s="61">
        <f t="shared" si="51"/>
        <v>2.6408627100020379</v>
      </c>
      <c r="AR60" s="61">
        <f t="shared" si="51"/>
        <v>1.3668648757463795</v>
      </c>
      <c r="AS60" s="61">
        <f t="shared" si="52"/>
        <v>2.159727872834361</v>
      </c>
      <c r="AT60" s="61">
        <f t="shared" si="52"/>
        <v>1.9918832543834357</v>
      </c>
      <c r="AU60" s="61">
        <f t="shared" si="52"/>
        <v>0.73433898559554767</v>
      </c>
      <c r="AV60" s="61">
        <f t="shared" si="52"/>
        <v>1.661496870122368</v>
      </c>
      <c r="AW60" s="61">
        <f t="shared" si="52"/>
        <v>0.32339611118537048</v>
      </c>
      <c r="AX60" s="61">
        <f t="shared" si="52"/>
        <v>1.7400235842161986</v>
      </c>
      <c r="AY60" s="61">
        <f t="shared" si="52"/>
        <v>0</v>
      </c>
      <c r="AZ60" s="61">
        <f t="shared" si="52"/>
        <v>2.178159858349118</v>
      </c>
      <c r="BA60" s="61">
        <f t="shared" si="52"/>
        <v>2.0113649778383103</v>
      </c>
      <c r="BB60" s="61">
        <f t="shared" si="52"/>
        <v>6.5468789963408214E-3</v>
      </c>
      <c r="BC60" s="61">
        <f t="shared" si="53"/>
        <v>1.3177159966673374E-2</v>
      </c>
      <c r="BD60" s="61">
        <f t="shared" si="53"/>
        <v>0.64327380758742303</v>
      </c>
      <c r="BE60" s="61">
        <f t="shared" si="53"/>
        <v>0.90297561099340118</v>
      </c>
      <c r="BF60" s="61">
        <f t="shared" si="53"/>
        <v>2.8122229744881606</v>
      </c>
      <c r="BG60" s="61">
        <f t="shared" si="53"/>
        <v>1.8433531892566355</v>
      </c>
      <c r="BH60" s="61">
        <f t="shared" si="53"/>
        <v>0.11613952807539807</v>
      </c>
      <c r="BI60" s="61">
        <f t="shared" si="53"/>
        <v>0.13266377364533349</v>
      </c>
      <c r="BJ60" s="61">
        <f t="shared" si="53"/>
        <v>1.6872495895006956</v>
      </c>
      <c r="BK60" s="61">
        <f t="shared" si="53"/>
        <v>0.77087450673668845</v>
      </c>
      <c r="BL60" s="61">
        <f t="shared" si="53"/>
        <v>1.523568191305376</v>
      </c>
      <c r="BM60" s="61">
        <f t="shared" si="54"/>
        <v>2.0637306794982035</v>
      </c>
      <c r="BN60" s="61">
        <f t="shared" si="54"/>
        <v>1.4719747861079946</v>
      </c>
      <c r="BO60" s="61">
        <f t="shared" si="54"/>
        <v>0.41695895355399515</v>
      </c>
      <c r="BP60" s="61">
        <f t="shared" si="54"/>
        <v>1.6655944691318909</v>
      </c>
      <c r="BQ60" s="61">
        <f t="shared" si="54"/>
        <v>1.6448921189789949</v>
      </c>
      <c r="BR60" s="61">
        <f t="shared" si="54"/>
        <v>1.6949450858713768</v>
      </c>
      <c r="BS60" s="61">
        <f t="shared" si="54"/>
        <v>1.7825688837303884</v>
      </c>
      <c r="BT60" s="61">
        <f t="shared" si="54"/>
        <v>1.4023694650159364</v>
      </c>
      <c r="BU60" s="61">
        <f t="shared" si="54"/>
        <v>1.3219157524485183</v>
      </c>
      <c r="BV60" s="61">
        <f t="shared" si="54"/>
        <v>0.46088612759979131</v>
      </c>
      <c r="BW60" s="61">
        <f t="shared" si="55"/>
        <v>1.5096666226515127</v>
      </c>
      <c r="BX60" s="61">
        <f t="shared" si="55"/>
        <v>0.47690185332704615</v>
      </c>
      <c r="BY60" s="61">
        <f t="shared" si="55"/>
        <v>1.0904660850822592</v>
      </c>
      <c r="BZ60" s="61">
        <f t="shared" si="55"/>
        <v>1.0449987173974464</v>
      </c>
      <c r="CA60" s="61">
        <f t="shared" si="55"/>
        <v>0.52813695975474828</v>
      </c>
      <c r="CB60" s="61">
        <f t="shared" si="55"/>
        <v>1.0543470291570702</v>
      </c>
      <c r="CC60" s="61">
        <f t="shared" si="55"/>
        <v>0.54640093959382996</v>
      </c>
      <c r="CD60" s="61">
        <f t="shared" si="55"/>
        <v>0.58497191716350483</v>
      </c>
      <c r="CE60" s="61">
        <f t="shared" si="55"/>
        <v>1.3338664831800977</v>
      </c>
      <c r="CF60" s="61">
        <f t="shared" si="55"/>
        <v>1.5144335209884381</v>
      </c>
      <c r="CG60" s="61">
        <f t="shared" si="56"/>
        <v>1.1331446366475797</v>
      </c>
      <c r="CH60" s="61">
        <f t="shared" si="56"/>
        <v>1.0038379052882176</v>
      </c>
      <c r="CI60" s="61">
        <f t="shared" si="56"/>
        <v>0.96605936679666238</v>
      </c>
      <c r="CJ60" s="61">
        <f t="shared" si="56"/>
        <v>0.81425014098703941</v>
      </c>
      <c r="CK60" s="61">
        <f t="shared" si="56"/>
        <v>1.3727700693261837</v>
      </c>
      <c r="CL60" s="61">
        <f t="shared" si="56"/>
        <v>0.83766417857869435</v>
      </c>
      <c r="CM60" s="61">
        <f t="shared" si="56"/>
        <v>1.1794297486086265</v>
      </c>
      <c r="CN60" s="61">
        <f t="shared" si="56"/>
        <v>2.0608024248561629</v>
      </c>
      <c r="CO60" s="61">
        <f t="shared" si="56"/>
        <v>1.4488800717286945</v>
      </c>
      <c r="CP60" s="61">
        <f t="shared" si="56"/>
        <v>0.94573424241515303</v>
      </c>
      <c r="CQ60" s="61">
        <f t="shared" si="57"/>
        <v>1.2374017304927281</v>
      </c>
      <c r="CR60" s="61">
        <f t="shared" si="57"/>
        <v>1.3250671928824682</v>
      </c>
      <c r="CS60" s="61">
        <f t="shared" si="57"/>
        <v>1.0326808847966227</v>
      </c>
      <c r="CT60" s="61">
        <f t="shared" si="57"/>
        <v>1.0822869757549445</v>
      </c>
      <c r="CU60" s="61">
        <f t="shared" si="57"/>
        <v>1.2453270835734036</v>
      </c>
      <c r="CV60" s="61">
        <f t="shared" si="57"/>
        <v>1.7781206539906464</v>
      </c>
      <c r="CW60" s="61">
        <f t="shared" si="57"/>
        <v>1.0822869757549445</v>
      </c>
      <c r="CX60" s="61">
        <f t="shared" si="57"/>
        <v>1.5898848460298964</v>
      </c>
      <c r="CY60" s="61">
        <f t="shared" si="57"/>
        <v>1.1371239651916243</v>
      </c>
      <c r="CZ60" s="61">
        <f t="shared" si="57"/>
        <v>1.1371239651916243</v>
      </c>
      <c r="DA60" s="61">
        <f t="shared" si="58"/>
        <v>1.3060336102508185</v>
      </c>
      <c r="DB60" s="61">
        <f t="shared" si="58"/>
        <v>1.1984265038303428</v>
      </c>
      <c r="DC60" s="61">
        <f t="shared" si="58"/>
        <v>1.1984265038303428</v>
      </c>
      <c r="DD60" s="61">
        <f t="shared" si="58"/>
        <v>1.3020735778500485</v>
      </c>
      <c r="DE60" s="61">
        <f t="shared" si="58"/>
        <v>1.3858910097348256</v>
      </c>
      <c r="DF60" s="61">
        <f t="shared" si="58"/>
        <v>1.5591888290819911</v>
      </c>
      <c r="DG60" s="61">
        <f t="shared" si="58"/>
        <v>1.7089187223884559</v>
      </c>
      <c r="DH60" s="61">
        <f t="shared" si="58"/>
        <v>1.7089187223884559</v>
      </c>
      <c r="DI60" s="61">
        <f t="shared" si="58"/>
        <v>1.7089187223884559</v>
      </c>
      <c r="DJ60" s="61">
        <f t="shared" si="58"/>
        <v>1.7089187223884559</v>
      </c>
      <c r="DK60" s="61">
        <f t="shared" si="59"/>
        <v>1.9199511543336392</v>
      </c>
      <c r="DL60" s="61">
        <f t="shared" si="59"/>
        <v>1.9199511543336392</v>
      </c>
      <c r="DM60" s="61">
        <f t="shared" si="59"/>
        <v>1.9199511543336392</v>
      </c>
      <c r="DN60" s="61">
        <f t="shared" si="59"/>
        <v>1.9199511543336392</v>
      </c>
      <c r="DO60" s="61">
        <f t="shared" si="59"/>
        <v>1.9199511543336392</v>
      </c>
      <c r="DP60" s="61">
        <f t="shared" si="59"/>
        <v>2.2807134795852875</v>
      </c>
      <c r="DQ60" s="61">
        <f t="shared" si="59"/>
        <v>2.2807134795852875</v>
      </c>
    </row>
    <row r="61" spans="1:121" x14ac:dyDescent="0.25">
      <c r="A61" s="48" t="str">
        <f>KMeans_Data!A52</f>
        <v>Jacobabad</v>
      </c>
      <c r="B61" s="59">
        <f>KMeans_Data!H52</f>
        <v>0.20097549778195881</v>
      </c>
      <c r="C61" s="59">
        <f>KMeans_Data!I52</f>
        <v>-0.67265054538827607</v>
      </c>
      <c r="D61" s="59">
        <f>KMeans_Data!J52</f>
        <v>1.0325157420155633</v>
      </c>
      <c r="E61" s="61">
        <f t="shared" si="48"/>
        <v>6.0475538042601258</v>
      </c>
      <c r="F61" s="61">
        <f t="shared" si="48"/>
        <v>5.9445232974074473</v>
      </c>
      <c r="G61" s="61">
        <f t="shared" si="48"/>
        <v>3.9087079166722605</v>
      </c>
      <c r="H61" s="61">
        <f t="shared" si="48"/>
        <v>4.7850731959801669</v>
      </c>
      <c r="I61" s="61">
        <f t="shared" si="48"/>
        <v>3.4382313457722198</v>
      </c>
      <c r="J61" s="61">
        <f t="shared" si="48"/>
        <v>3.2048039369932257</v>
      </c>
      <c r="K61" s="61">
        <f t="shared" si="48"/>
        <v>2.3320936032311801</v>
      </c>
      <c r="L61" s="61">
        <f t="shared" si="48"/>
        <v>1.8890203221375319</v>
      </c>
      <c r="M61" s="61">
        <f t="shared" si="48"/>
        <v>2.2606593176744592</v>
      </c>
      <c r="N61" s="61">
        <f t="shared" si="48"/>
        <v>2.1738812556797003</v>
      </c>
      <c r="O61" s="61">
        <f t="shared" si="49"/>
        <v>2.3457203869828085</v>
      </c>
      <c r="P61" s="61">
        <f t="shared" si="49"/>
        <v>2.614313207503157</v>
      </c>
      <c r="Q61" s="61">
        <f t="shared" si="49"/>
        <v>1.8673930986265685</v>
      </c>
      <c r="R61" s="61">
        <f t="shared" si="49"/>
        <v>1.4129939650691847</v>
      </c>
      <c r="S61" s="61">
        <f t="shared" si="49"/>
        <v>0.97230325836325371</v>
      </c>
      <c r="T61" s="61">
        <f t="shared" si="49"/>
        <v>1.8358182566978669</v>
      </c>
      <c r="U61" s="61">
        <f t="shared" si="49"/>
        <v>1.3674289170322316</v>
      </c>
      <c r="V61" s="61">
        <f t="shared" si="49"/>
        <v>2.1941911762701856</v>
      </c>
      <c r="W61" s="61">
        <f t="shared" si="49"/>
        <v>2.1564173511362652</v>
      </c>
      <c r="X61" s="61">
        <f t="shared" si="49"/>
        <v>1.608842355282458</v>
      </c>
      <c r="Y61" s="61">
        <f t="shared" si="50"/>
        <v>1.6062954052956877</v>
      </c>
      <c r="Z61" s="61">
        <f t="shared" si="50"/>
        <v>1.6404744022576843</v>
      </c>
      <c r="AA61" s="61">
        <f t="shared" si="50"/>
        <v>1.019217020675109</v>
      </c>
      <c r="AB61" s="61">
        <f t="shared" si="50"/>
        <v>1.4009280341487513</v>
      </c>
      <c r="AC61" s="61">
        <f t="shared" si="50"/>
        <v>2.1506125822692903</v>
      </c>
      <c r="AD61" s="61">
        <f t="shared" si="50"/>
        <v>1.579726611442914</v>
      </c>
      <c r="AE61" s="61">
        <f t="shared" si="50"/>
        <v>2.2843954378858013</v>
      </c>
      <c r="AF61" s="61">
        <f t="shared" si="50"/>
        <v>1.4258104305311039</v>
      </c>
      <c r="AG61" s="61">
        <f t="shared" si="50"/>
        <v>1.4810873146241965</v>
      </c>
      <c r="AH61" s="61">
        <f t="shared" si="50"/>
        <v>0.94821362595805025</v>
      </c>
      <c r="AI61" s="61">
        <f t="shared" si="51"/>
        <v>1.4802855879555601</v>
      </c>
      <c r="AJ61" s="61">
        <f t="shared" si="51"/>
        <v>1.2771776014172911</v>
      </c>
      <c r="AK61" s="61">
        <f t="shared" si="51"/>
        <v>1.3307280933419112</v>
      </c>
      <c r="AL61" s="61">
        <f t="shared" si="51"/>
        <v>0.766637531942855</v>
      </c>
      <c r="AM61" s="61">
        <f t="shared" si="51"/>
        <v>2.1964130004249438</v>
      </c>
      <c r="AN61" s="61">
        <f t="shared" si="51"/>
        <v>1.8624467412360339</v>
      </c>
      <c r="AO61" s="61">
        <f t="shared" si="51"/>
        <v>1.183997338776829</v>
      </c>
      <c r="AP61" s="61">
        <f t="shared" si="51"/>
        <v>1.2184874358276221</v>
      </c>
      <c r="AQ61" s="61">
        <f t="shared" si="51"/>
        <v>1.9974329660074728</v>
      </c>
      <c r="AR61" s="61">
        <f t="shared" si="51"/>
        <v>1.4016133258027652</v>
      </c>
      <c r="AS61" s="61">
        <f t="shared" si="52"/>
        <v>0.11812320758714862</v>
      </c>
      <c r="AT61" s="61">
        <f t="shared" si="52"/>
        <v>0.59018678134692293</v>
      </c>
      <c r="AU61" s="61">
        <f t="shared" si="52"/>
        <v>1.7509679096102129</v>
      </c>
      <c r="AV61" s="61">
        <f t="shared" si="52"/>
        <v>0.52055546732440083</v>
      </c>
      <c r="AW61" s="61">
        <f t="shared" si="52"/>
        <v>1.8573432088236097</v>
      </c>
      <c r="AX61" s="61">
        <f t="shared" si="52"/>
        <v>1.0577456975754957</v>
      </c>
      <c r="AY61" s="61">
        <f t="shared" si="52"/>
        <v>2.178159858349118</v>
      </c>
      <c r="AZ61" s="61">
        <f t="shared" si="52"/>
        <v>0</v>
      </c>
      <c r="BA61" s="61">
        <f t="shared" si="52"/>
        <v>0.57654283089941227</v>
      </c>
      <c r="BB61" s="61">
        <f t="shared" si="52"/>
        <v>2.1781696972798152</v>
      </c>
      <c r="BC61" s="61">
        <f t="shared" si="53"/>
        <v>2.1781997167542366</v>
      </c>
      <c r="BD61" s="61">
        <f t="shared" si="53"/>
        <v>1.5361309593492662</v>
      </c>
      <c r="BE61" s="61">
        <f t="shared" si="53"/>
        <v>1.2773321727102844</v>
      </c>
      <c r="BF61" s="61">
        <f t="shared" si="53"/>
        <v>2.0710672601396922</v>
      </c>
      <c r="BG61" s="61">
        <f t="shared" si="53"/>
        <v>0.67668451817892428</v>
      </c>
      <c r="BH61" s="61">
        <f t="shared" si="53"/>
        <v>2.1812539417740946</v>
      </c>
      <c r="BI61" s="61">
        <f t="shared" si="53"/>
        <v>2.1821961518986486</v>
      </c>
      <c r="BJ61" s="61">
        <f t="shared" si="53"/>
        <v>1.604669067505619</v>
      </c>
      <c r="BK61" s="61">
        <f t="shared" si="53"/>
        <v>1.4455758193693413</v>
      </c>
      <c r="BL61" s="61">
        <f t="shared" si="53"/>
        <v>0.69899179256585009</v>
      </c>
      <c r="BM61" s="61">
        <f t="shared" si="54"/>
        <v>1.3513912900338481</v>
      </c>
      <c r="BN61" s="61">
        <f t="shared" si="54"/>
        <v>1.3165412569853814</v>
      </c>
      <c r="BO61" s="61">
        <f t="shared" si="54"/>
        <v>1.8758980568203074</v>
      </c>
      <c r="BP61" s="61">
        <f t="shared" si="54"/>
        <v>1.1716108428955525</v>
      </c>
      <c r="BQ61" s="61">
        <f t="shared" si="54"/>
        <v>0.89264436938239466</v>
      </c>
      <c r="BR61" s="61">
        <f t="shared" si="54"/>
        <v>0.86677198664589017</v>
      </c>
      <c r="BS61" s="61">
        <f t="shared" si="54"/>
        <v>0.57382638428180877</v>
      </c>
      <c r="BT61" s="61">
        <f t="shared" si="54"/>
        <v>0.93610249408602197</v>
      </c>
      <c r="BU61" s="61">
        <f t="shared" si="54"/>
        <v>1.0125007195929068</v>
      </c>
      <c r="BV61" s="61">
        <f t="shared" si="54"/>
        <v>2.2263863975369103</v>
      </c>
      <c r="BW61" s="61">
        <f t="shared" si="55"/>
        <v>0.88524085261538521</v>
      </c>
      <c r="BX61" s="61">
        <f t="shared" si="55"/>
        <v>2.2297568805208834</v>
      </c>
      <c r="BY61" s="61">
        <f t="shared" si="55"/>
        <v>1.3174869250082974</v>
      </c>
      <c r="BZ61" s="61">
        <f t="shared" si="55"/>
        <v>1.3813887377397349</v>
      </c>
      <c r="CA61" s="61">
        <f t="shared" si="55"/>
        <v>2.241273971825497</v>
      </c>
      <c r="CB61" s="61">
        <f t="shared" si="55"/>
        <v>1.3884740484734346</v>
      </c>
      <c r="CC61" s="61">
        <f t="shared" si="55"/>
        <v>2.245647869839007</v>
      </c>
      <c r="CD61" s="61">
        <f t="shared" si="55"/>
        <v>2.2553431030318638</v>
      </c>
      <c r="CE61" s="61">
        <f t="shared" si="55"/>
        <v>1.1600736637637341</v>
      </c>
      <c r="CF61" s="61">
        <f t="shared" si="55"/>
        <v>1.2003844327783251</v>
      </c>
      <c r="CG61" s="61">
        <f t="shared" si="56"/>
        <v>1.6671708706584294</v>
      </c>
      <c r="CH61" s="61">
        <f t="shared" si="56"/>
        <v>1.5821290985574616</v>
      </c>
      <c r="CI61" s="61">
        <f t="shared" si="56"/>
        <v>1.6968110775566161</v>
      </c>
      <c r="CJ61" s="61">
        <f t="shared" si="56"/>
        <v>2.0020344759096376</v>
      </c>
      <c r="CK61" s="61">
        <f t="shared" si="56"/>
        <v>1.3372723494932104</v>
      </c>
      <c r="CL61" s="61">
        <f t="shared" si="56"/>
        <v>2.3336798504930725</v>
      </c>
      <c r="CM61" s="61">
        <f t="shared" si="56"/>
        <v>1.5869618107352748</v>
      </c>
      <c r="CN61" s="61">
        <f t="shared" si="56"/>
        <v>1.1236054622985525</v>
      </c>
      <c r="CO61" s="61">
        <f t="shared" si="56"/>
        <v>1.6266250265828746</v>
      </c>
      <c r="CP61" s="61">
        <f t="shared" si="56"/>
        <v>2.374614416236879</v>
      </c>
      <c r="CQ61" s="61">
        <f t="shared" si="57"/>
        <v>1.7397140532384074</v>
      </c>
      <c r="CR61" s="61">
        <f t="shared" si="57"/>
        <v>1.6979977392454322</v>
      </c>
      <c r="CS61" s="61">
        <f t="shared" si="57"/>
        <v>2.4105622120882475</v>
      </c>
      <c r="CT61" s="61">
        <f t="shared" si="57"/>
        <v>2.4322264422566073</v>
      </c>
      <c r="CU61" s="61">
        <f t="shared" si="57"/>
        <v>2.212685765244311</v>
      </c>
      <c r="CV61" s="61">
        <f t="shared" si="57"/>
        <v>1.3267177890326962</v>
      </c>
      <c r="CW61" s="61">
        <f t="shared" si="57"/>
        <v>2.4322264422566073</v>
      </c>
      <c r="CX61" s="61">
        <f t="shared" si="57"/>
        <v>1.559337518665149</v>
      </c>
      <c r="CY61" s="61">
        <f t="shared" si="57"/>
        <v>2.457118491391201</v>
      </c>
      <c r="CZ61" s="61">
        <f t="shared" si="57"/>
        <v>2.457118491391201</v>
      </c>
      <c r="DA61" s="61">
        <f t="shared" si="58"/>
        <v>1.9109214855268291</v>
      </c>
      <c r="DB61" s="61">
        <f t="shared" si="58"/>
        <v>2.4860825516475651</v>
      </c>
      <c r="DC61" s="61">
        <f t="shared" si="58"/>
        <v>2.4860825516475651</v>
      </c>
      <c r="DD61" s="61">
        <f t="shared" si="58"/>
        <v>2.0547580093175175</v>
      </c>
      <c r="DE61" s="61">
        <f t="shared" si="58"/>
        <v>2.2947402122020648</v>
      </c>
      <c r="DF61" s="61">
        <f t="shared" si="58"/>
        <v>2.6787030767252871</v>
      </c>
      <c r="DG61" s="61">
        <f t="shared" si="58"/>
        <v>2.7685345524759559</v>
      </c>
      <c r="DH61" s="61">
        <f t="shared" si="58"/>
        <v>2.7685345524759559</v>
      </c>
      <c r="DI61" s="61">
        <f t="shared" si="58"/>
        <v>2.7685345524759559</v>
      </c>
      <c r="DJ61" s="61">
        <f t="shared" si="58"/>
        <v>2.7685345524759559</v>
      </c>
      <c r="DK61" s="61">
        <f t="shared" si="59"/>
        <v>2.9035483125910826</v>
      </c>
      <c r="DL61" s="61">
        <f t="shared" si="59"/>
        <v>2.9035483125910826</v>
      </c>
      <c r="DM61" s="61">
        <f t="shared" si="59"/>
        <v>2.9035483125910826</v>
      </c>
      <c r="DN61" s="61">
        <f t="shared" si="59"/>
        <v>2.9035483125910826</v>
      </c>
      <c r="DO61" s="61">
        <f t="shared" si="59"/>
        <v>2.9035483125910826</v>
      </c>
      <c r="DP61" s="61">
        <f t="shared" si="59"/>
        <v>3.1537333978136894</v>
      </c>
      <c r="DQ61" s="61">
        <f t="shared" si="59"/>
        <v>3.1537333978136894</v>
      </c>
    </row>
    <row r="62" spans="1:121" x14ac:dyDescent="0.25">
      <c r="A62" s="48" t="str">
        <f>KMeans_Data!A53</f>
        <v>Skardu</v>
      </c>
      <c r="B62" s="59">
        <f>KMeans_Data!H53</f>
        <v>0.19442861878561798</v>
      </c>
      <c r="C62" s="59">
        <f>KMeans_Data!I53</f>
        <v>-0.14698313392952958</v>
      </c>
      <c r="D62" s="59">
        <f>KMeans_Data!J53</f>
        <v>0.79580379308358284</v>
      </c>
      <c r="E62" s="61">
        <f t="shared" si="48"/>
        <v>5.748328281005314</v>
      </c>
      <c r="F62" s="61">
        <f t="shared" si="48"/>
        <v>5.6046830954629137</v>
      </c>
      <c r="G62" s="61">
        <f t="shared" si="48"/>
        <v>3.62683739800657</v>
      </c>
      <c r="H62" s="61">
        <f t="shared" si="48"/>
        <v>4.3695758094786683</v>
      </c>
      <c r="I62" s="61">
        <f t="shared" si="48"/>
        <v>3.1008014817248166</v>
      </c>
      <c r="J62" s="61">
        <f t="shared" si="48"/>
        <v>2.7860413967094519</v>
      </c>
      <c r="K62" s="61">
        <f t="shared" si="48"/>
        <v>2.0077116385516454</v>
      </c>
      <c r="L62" s="61">
        <f t="shared" si="48"/>
        <v>1.6775301792461965</v>
      </c>
      <c r="M62" s="61">
        <f t="shared" si="48"/>
        <v>1.9466578033637711</v>
      </c>
      <c r="N62" s="61">
        <f t="shared" si="48"/>
        <v>1.9077421084051156</v>
      </c>
      <c r="O62" s="61">
        <f t="shared" si="49"/>
        <v>1.8887190263714908</v>
      </c>
      <c r="P62" s="61">
        <f t="shared" si="49"/>
        <v>2.1624826996610631</v>
      </c>
      <c r="Q62" s="61">
        <f t="shared" si="49"/>
        <v>1.4496294933556364</v>
      </c>
      <c r="R62" s="61">
        <f t="shared" si="49"/>
        <v>1.2007942594917329</v>
      </c>
      <c r="S62" s="61">
        <f t="shared" si="49"/>
        <v>0.89403423780812452</v>
      </c>
      <c r="T62" s="61">
        <f t="shared" si="49"/>
        <v>1.3943730537256114</v>
      </c>
      <c r="U62" s="61">
        <f t="shared" si="49"/>
        <v>1.1690007400900111</v>
      </c>
      <c r="V62" s="61">
        <f t="shared" si="49"/>
        <v>1.6733724271801165</v>
      </c>
      <c r="W62" s="61">
        <f t="shared" si="49"/>
        <v>1.6689587850248353</v>
      </c>
      <c r="X62" s="61">
        <f t="shared" si="49"/>
        <v>1.1745888515444338</v>
      </c>
      <c r="Y62" s="61">
        <f t="shared" si="50"/>
        <v>1.216746166767378</v>
      </c>
      <c r="Z62" s="61">
        <f t="shared" si="50"/>
        <v>1.1329763770230215</v>
      </c>
      <c r="AA62" s="61">
        <f t="shared" si="50"/>
        <v>0.68440893458820506</v>
      </c>
      <c r="AB62" s="61">
        <f t="shared" si="50"/>
        <v>0.92002019341888452</v>
      </c>
      <c r="AC62" s="61">
        <f t="shared" si="50"/>
        <v>1.6314103987583004</v>
      </c>
      <c r="AD62" s="61">
        <f t="shared" si="50"/>
        <v>1.1830034439340458</v>
      </c>
      <c r="AE62" s="61">
        <f t="shared" si="50"/>
        <v>1.993198818353793</v>
      </c>
      <c r="AF62" s="61">
        <f t="shared" si="50"/>
        <v>0.93090844575573473</v>
      </c>
      <c r="AG62" s="61">
        <f t="shared" si="50"/>
        <v>1.3611909487120661</v>
      </c>
      <c r="AH62" s="61">
        <f t="shared" si="50"/>
        <v>0.49162480589927837</v>
      </c>
      <c r="AI62" s="61">
        <f t="shared" si="51"/>
        <v>1.3603033334816867</v>
      </c>
      <c r="AJ62" s="61">
        <f t="shared" si="51"/>
        <v>0.8505897108185253</v>
      </c>
      <c r="AK62" s="61">
        <f t="shared" si="51"/>
        <v>0.80571965202629614</v>
      </c>
      <c r="AL62" s="61">
        <f t="shared" si="51"/>
        <v>0.37910208204221113</v>
      </c>
      <c r="AM62" s="61">
        <f t="shared" si="51"/>
        <v>1.6302967585843235</v>
      </c>
      <c r="AN62" s="61">
        <f t="shared" si="51"/>
        <v>1.3207743423311256</v>
      </c>
      <c r="AO62" s="61">
        <f t="shared" si="51"/>
        <v>0.63151385501013468</v>
      </c>
      <c r="AP62" s="61">
        <f t="shared" si="51"/>
        <v>0.66627049885671341</v>
      </c>
      <c r="AQ62" s="61">
        <f t="shared" si="51"/>
        <v>1.4451729493598735</v>
      </c>
      <c r="AR62" s="61">
        <f t="shared" si="51"/>
        <v>0.94731739515675872</v>
      </c>
      <c r="AS62" s="61">
        <f t="shared" si="52"/>
        <v>0.58109367107136534</v>
      </c>
      <c r="AT62" s="61">
        <f t="shared" si="52"/>
        <v>8.2166980958139749E-2</v>
      </c>
      <c r="AU62" s="61">
        <f t="shared" si="52"/>
        <v>1.4339670419206536</v>
      </c>
      <c r="AV62" s="61">
        <f t="shared" si="52"/>
        <v>0.59922182896800191</v>
      </c>
      <c r="AW62" s="61">
        <f t="shared" si="52"/>
        <v>1.7039625043692936</v>
      </c>
      <c r="AX62" s="61">
        <f t="shared" si="52"/>
        <v>0.51725832749874634</v>
      </c>
      <c r="AY62" s="61">
        <f t="shared" si="52"/>
        <v>2.0113649778383103</v>
      </c>
      <c r="AZ62" s="61">
        <f t="shared" si="52"/>
        <v>0.57654283089941227</v>
      </c>
      <c r="BA62" s="61">
        <f t="shared" si="52"/>
        <v>0</v>
      </c>
      <c r="BB62" s="61">
        <f t="shared" si="52"/>
        <v>2.0113543229500648</v>
      </c>
      <c r="BC62" s="61">
        <f t="shared" si="53"/>
        <v>2.0113652510361359</v>
      </c>
      <c r="BD62" s="61">
        <f t="shared" si="53"/>
        <v>1.4016393684174993</v>
      </c>
      <c r="BE62" s="61">
        <f t="shared" si="53"/>
        <v>1.1657858174440441</v>
      </c>
      <c r="BF62" s="61">
        <f t="shared" si="53"/>
        <v>1.5295057629650812</v>
      </c>
      <c r="BG62" s="61">
        <f t="shared" si="53"/>
        <v>0.20063414786844919</v>
      </c>
      <c r="BH62" s="61">
        <f t="shared" si="53"/>
        <v>2.0143377971884653</v>
      </c>
      <c r="BI62" s="61">
        <f t="shared" si="53"/>
        <v>2.0153043649944835</v>
      </c>
      <c r="BJ62" s="61">
        <f t="shared" si="53"/>
        <v>1.0657306474137762</v>
      </c>
      <c r="BK62" s="61">
        <f t="shared" si="53"/>
        <v>1.3196301272281046</v>
      </c>
      <c r="BL62" s="61">
        <f t="shared" si="53"/>
        <v>0.70843628762901489</v>
      </c>
      <c r="BM62" s="61">
        <f t="shared" si="54"/>
        <v>0.78813273770018222</v>
      </c>
      <c r="BN62" s="61">
        <f t="shared" si="54"/>
        <v>0.84737982790785538</v>
      </c>
      <c r="BO62" s="61">
        <f t="shared" si="54"/>
        <v>1.7230159175023223</v>
      </c>
      <c r="BP62" s="61">
        <f t="shared" si="54"/>
        <v>0.67965766130642491</v>
      </c>
      <c r="BQ62" s="61">
        <f t="shared" si="54"/>
        <v>0.51413791263735709</v>
      </c>
      <c r="BR62" s="61">
        <f t="shared" si="54"/>
        <v>0.49154297352615284</v>
      </c>
      <c r="BS62" s="61">
        <f t="shared" si="54"/>
        <v>0.67135867575047525</v>
      </c>
      <c r="BT62" s="61">
        <f t="shared" si="54"/>
        <v>0.89785607758545016</v>
      </c>
      <c r="BU62" s="61">
        <f t="shared" si="54"/>
        <v>0.95656552344271162</v>
      </c>
      <c r="BV62" s="61">
        <f t="shared" si="54"/>
        <v>2.0620306412057658</v>
      </c>
      <c r="BW62" s="61">
        <f t="shared" si="55"/>
        <v>0.86990203264481714</v>
      </c>
      <c r="BX62" s="61">
        <f t="shared" si="55"/>
        <v>2.0656185548952526</v>
      </c>
      <c r="BY62" s="61">
        <f t="shared" si="55"/>
        <v>1.2192148340776288</v>
      </c>
      <c r="BZ62" s="61">
        <f t="shared" si="55"/>
        <v>1.2764884104331706</v>
      </c>
      <c r="CA62" s="61">
        <f t="shared" si="55"/>
        <v>2.0778841220807949</v>
      </c>
      <c r="CB62" s="61">
        <f t="shared" si="55"/>
        <v>1.2840595221282531</v>
      </c>
      <c r="CC62" s="61">
        <f t="shared" si="55"/>
        <v>2.0825437856605826</v>
      </c>
      <c r="CD62" s="61">
        <f t="shared" si="55"/>
        <v>2.0928740375924679</v>
      </c>
      <c r="CE62" s="61">
        <f t="shared" si="55"/>
        <v>1.0962446256148994</v>
      </c>
      <c r="CF62" s="61">
        <f t="shared" si="55"/>
        <v>0.88870900612069126</v>
      </c>
      <c r="CG62" s="61">
        <f t="shared" si="56"/>
        <v>1.368318691943329</v>
      </c>
      <c r="CH62" s="61">
        <f t="shared" si="56"/>
        <v>1.4658179526091368</v>
      </c>
      <c r="CI62" s="61">
        <f t="shared" si="56"/>
        <v>1.5732306832436018</v>
      </c>
      <c r="CJ62" s="61">
        <f t="shared" si="56"/>
        <v>1.8578526789579521</v>
      </c>
      <c r="CK62" s="61">
        <f t="shared" si="56"/>
        <v>1.2668867652450462</v>
      </c>
      <c r="CL62" s="61">
        <f t="shared" si="56"/>
        <v>2.1763047070929606</v>
      </c>
      <c r="CM62" s="61">
        <f t="shared" si="56"/>
        <v>1.4838345947433587</v>
      </c>
      <c r="CN62" s="61">
        <f t="shared" si="56"/>
        <v>0.91602178982553417</v>
      </c>
      <c r="CO62" s="61">
        <f t="shared" si="56"/>
        <v>1.3558283750182951</v>
      </c>
      <c r="CP62" s="61">
        <f t="shared" si="56"/>
        <v>2.2198241182705205</v>
      </c>
      <c r="CQ62" s="61">
        <f t="shared" si="57"/>
        <v>1.6333903430328598</v>
      </c>
      <c r="CR62" s="61">
        <f t="shared" si="57"/>
        <v>1.6012370645072693</v>
      </c>
      <c r="CS62" s="61">
        <f t="shared" si="57"/>
        <v>2.2579852103832847</v>
      </c>
      <c r="CT62" s="61">
        <f t="shared" si="57"/>
        <v>2.2809565906049425</v>
      </c>
      <c r="CU62" s="61">
        <f t="shared" si="57"/>
        <v>1.9448460605614908</v>
      </c>
      <c r="CV62" s="61">
        <f t="shared" si="57"/>
        <v>1.3096281641610119</v>
      </c>
      <c r="CW62" s="61">
        <f t="shared" si="57"/>
        <v>2.2809565906049425</v>
      </c>
      <c r="CX62" s="61">
        <f t="shared" si="57"/>
        <v>1.4979666321813194</v>
      </c>
      <c r="CY62" s="61">
        <f t="shared" si="57"/>
        <v>2.3073254560810725</v>
      </c>
      <c r="CZ62" s="61">
        <f t="shared" si="57"/>
        <v>2.3073254560810725</v>
      </c>
      <c r="DA62" s="61">
        <f t="shared" si="58"/>
        <v>1.8005738298608851</v>
      </c>
      <c r="DB62" s="61">
        <f t="shared" si="58"/>
        <v>2.3379741770482312</v>
      </c>
      <c r="DC62" s="61">
        <f t="shared" si="58"/>
        <v>2.3379741770482312</v>
      </c>
      <c r="DD62" s="61">
        <f t="shared" si="58"/>
        <v>1.9361201412633029</v>
      </c>
      <c r="DE62" s="61">
        <f t="shared" si="58"/>
        <v>2.1682831388317751</v>
      </c>
      <c r="DF62" s="61">
        <f t="shared" si="58"/>
        <v>2.5409138587554838</v>
      </c>
      <c r="DG62" s="61">
        <f t="shared" si="58"/>
        <v>2.6350742125458591</v>
      </c>
      <c r="DH62" s="61">
        <f t="shared" si="58"/>
        <v>2.6350742125458591</v>
      </c>
      <c r="DI62" s="61">
        <f t="shared" si="58"/>
        <v>2.6350742125458591</v>
      </c>
      <c r="DJ62" s="61">
        <f t="shared" si="58"/>
        <v>2.6350742125458591</v>
      </c>
      <c r="DK62" s="61">
        <f t="shared" si="59"/>
        <v>2.7760875586567808</v>
      </c>
      <c r="DL62" s="61">
        <f t="shared" si="59"/>
        <v>2.7760875586567808</v>
      </c>
      <c r="DM62" s="61">
        <f t="shared" si="59"/>
        <v>2.7760875586567808</v>
      </c>
      <c r="DN62" s="61">
        <f t="shared" si="59"/>
        <v>2.7760875586567808</v>
      </c>
      <c r="DO62" s="61">
        <f t="shared" si="59"/>
        <v>2.7760875586567808</v>
      </c>
      <c r="DP62" s="61">
        <f t="shared" si="59"/>
        <v>3.0360138240271897</v>
      </c>
      <c r="DQ62" s="61">
        <f t="shared" si="59"/>
        <v>3.0360138240271897</v>
      </c>
    </row>
    <row r="63" spans="1:121" x14ac:dyDescent="0.25">
      <c r="A63" s="48" t="str">
        <f>KMeans_Data!A54</f>
        <v>Sialkot</v>
      </c>
      <c r="B63" s="59">
        <f>KMeans_Data!H54</f>
        <v>0.19442861878561798</v>
      </c>
      <c r="C63" s="59">
        <f>KMeans_Data!I54</f>
        <v>-0.67265054538827607</v>
      </c>
      <c r="D63" s="59">
        <f>KMeans_Data!J54</f>
        <v>-1.1456441163335547</v>
      </c>
      <c r="E63" s="61">
        <f t="shared" si="48"/>
        <v>7.1434907577509605</v>
      </c>
      <c r="F63" s="61">
        <f t="shared" si="48"/>
        <v>6.8775655679978485</v>
      </c>
      <c r="G63" s="61">
        <f t="shared" si="48"/>
        <v>5.0879780402530388</v>
      </c>
      <c r="H63" s="61">
        <f t="shared" si="48"/>
        <v>5.5059497682147871</v>
      </c>
      <c r="I63" s="61">
        <f t="shared" si="48"/>
        <v>4.4140973488537174</v>
      </c>
      <c r="J63" s="61">
        <f t="shared" si="48"/>
        <v>4.1014898870059104</v>
      </c>
      <c r="K63" s="61">
        <f t="shared" si="48"/>
        <v>1.4520578464138856</v>
      </c>
      <c r="L63" s="61">
        <f t="shared" si="48"/>
        <v>3.367351541750768</v>
      </c>
      <c r="M63" s="61">
        <f t="shared" si="48"/>
        <v>3.5717049208666163</v>
      </c>
      <c r="N63" s="61">
        <f t="shared" si="48"/>
        <v>1.1805782294567824</v>
      </c>
      <c r="O63" s="61">
        <f t="shared" si="49"/>
        <v>3.1728120105270348</v>
      </c>
      <c r="P63" s="61">
        <f t="shared" si="49"/>
        <v>3.4894845140216186</v>
      </c>
      <c r="Q63" s="61">
        <f t="shared" si="49"/>
        <v>2.9071660937092219</v>
      </c>
      <c r="R63" s="61">
        <f t="shared" si="49"/>
        <v>2.9427045941981942</v>
      </c>
      <c r="S63" s="61">
        <f t="shared" si="49"/>
        <v>2.507126222772007</v>
      </c>
      <c r="T63" s="61">
        <f t="shared" si="49"/>
        <v>2.8235268737340591</v>
      </c>
      <c r="U63" s="61">
        <f t="shared" si="49"/>
        <v>3.0036929562609855</v>
      </c>
      <c r="V63" s="61">
        <f t="shared" si="49"/>
        <v>2.7862347869103306</v>
      </c>
      <c r="W63" s="61">
        <f t="shared" si="49"/>
        <v>2.9959017158063181</v>
      </c>
      <c r="X63" s="61">
        <f t="shared" si="49"/>
        <v>2.7128316406528787</v>
      </c>
      <c r="Y63" s="61">
        <f t="shared" si="50"/>
        <v>2.8913384141751624</v>
      </c>
      <c r="Z63" s="61">
        <f t="shared" si="50"/>
        <v>2.3746375279931344</v>
      </c>
      <c r="AA63" s="61">
        <f t="shared" si="50"/>
        <v>2.3395612405935426</v>
      </c>
      <c r="AB63" s="61">
        <f t="shared" si="50"/>
        <v>2.2634062332712745</v>
      </c>
      <c r="AC63" s="61">
        <f t="shared" si="50"/>
        <v>2.8372104077115696</v>
      </c>
      <c r="AD63" s="61">
        <f t="shared" si="50"/>
        <v>2.8840542659300277</v>
      </c>
      <c r="AE63" s="61">
        <f t="shared" si="50"/>
        <v>0.69278262967291682</v>
      </c>
      <c r="AF63" s="61">
        <f t="shared" si="50"/>
        <v>2.4675190671638418</v>
      </c>
      <c r="AG63" s="61">
        <f t="shared" si="50"/>
        <v>0.83854277849908687</v>
      </c>
      <c r="AH63" s="61">
        <f t="shared" si="50"/>
        <v>2.1342808441043197</v>
      </c>
      <c r="AI63" s="61">
        <f t="shared" si="51"/>
        <v>0.83710115971649646</v>
      </c>
      <c r="AJ63" s="61">
        <f t="shared" si="51"/>
        <v>2.5948240193808982</v>
      </c>
      <c r="AK63" s="61">
        <f t="shared" si="51"/>
        <v>1.8084941959706811</v>
      </c>
      <c r="AL63" s="61">
        <f t="shared" si="51"/>
        <v>1.8007404096204951</v>
      </c>
      <c r="AM63" s="61">
        <f t="shared" si="51"/>
        <v>2.5324226313929228</v>
      </c>
      <c r="AN63" s="61">
        <f t="shared" si="51"/>
        <v>2.6179327235743282</v>
      </c>
      <c r="AO63" s="61">
        <f t="shared" si="51"/>
        <v>2.0009178347849428</v>
      </c>
      <c r="AP63" s="61">
        <f t="shared" si="51"/>
        <v>1.9337964942192247</v>
      </c>
      <c r="AQ63" s="61">
        <f t="shared" si="51"/>
        <v>2.6413831402204759</v>
      </c>
      <c r="AR63" s="61">
        <f t="shared" si="51"/>
        <v>1.3677849311533636</v>
      </c>
      <c r="AS63" s="61">
        <f t="shared" si="52"/>
        <v>2.1600898243351434</v>
      </c>
      <c r="AT63" s="61">
        <f t="shared" si="52"/>
        <v>1.9921330842993872</v>
      </c>
      <c r="AU63" s="61">
        <f t="shared" si="52"/>
        <v>0.73491447665382348</v>
      </c>
      <c r="AV63" s="61">
        <f t="shared" si="52"/>
        <v>1.6617283913550978</v>
      </c>
      <c r="AW63" s="61">
        <f t="shared" si="52"/>
        <v>0.32422332587633607</v>
      </c>
      <c r="AX63" s="61">
        <f t="shared" si="52"/>
        <v>1.7401546156881675</v>
      </c>
      <c r="AY63" s="61">
        <f t="shared" si="52"/>
        <v>6.5468789963408214E-3</v>
      </c>
      <c r="AZ63" s="61">
        <f t="shared" si="52"/>
        <v>2.1781696972798152</v>
      </c>
      <c r="BA63" s="61">
        <f t="shared" si="52"/>
        <v>2.0113543229500648</v>
      </c>
      <c r="BB63" s="61">
        <f t="shared" si="52"/>
        <v>0</v>
      </c>
      <c r="BC63" s="61">
        <f t="shared" si="53"/>
        <v>6.6302809703325527E-3</v>
      </c>
      <c r="BD63" s="61">
        <f t="shared" si="53"/>
        <v>0.64296518493569477</v>
      </c>
      <c r="BE63" s="61">
        <f t="shared" si="53"/>
        <v>0.90265375068868869</v>
      </c>
      <c r="BF63" s="61">
        <f t="shared" si="53"/>
        <v>2.8120687963930293</v>
      </c>
      <c r="BG63" s="61">
        <f t="shared" si="53"/>
        <v>1.8430091820525334</v>
      </c>
      <c r="BH63" s="61">
        <f t="shared" si="53"/>
        <v>0.10959264907905725</v>
      </c>
      <c r="BI63" s="61">
        <f t="shared" si="53"/>
        <v>0.12611689464899267</v>
      </c>
      <c r="BJ63" s="61">
        <f t="shared" si="53"/>
        <v>1.6865775857641854</v>
      </c>
      <c r="BK63" s="61">
        <f t="shared" si="53"/>
        <v>0.76924434687905119</v>
      </c>
      <c r="BL63" s="61">
        <f t="shared" si="53"/>
        <v>1.522702973638054</v>
      </c>
      <c r="BM63" s="61">
        <f t="shared" si="54"/>
        <v>2.0629976007046489</v>
      </c>
      <c r="BN63" s="61">
        <f t="shared" si="54"/>
        <v>1.470900948689799</v>
      </c>
      <c r="BO63" s="61">
        <f t="shared" si="54"/>
        <v>0.41281521376059649</v>
      </c>
      <c r="BP63" s="61">
        <f t="shared" si="54"/>
        <v>1.6644298553116885</v>
      </c>
      <c r="BQ63" s="61">
        <f t="shared" si="54"/>
        <v>1.6436662496608152</v>
      </c>
      <c r="BR63" s="61">
        <f t="shared" si="54"/>
        <v>1.6936618528108269</v>
      </c>
      <c r="BS63" s="61">
        <f t="shared" si="54"/>
        <v>1.7812070103570325</v>
      </c>
      <c r="BT63" s="61">
        <f t="shared" si="54"/>
        <v>1.4004432231208888</v>
      </c>
      <c r="BU63" s="61">
        <f t="shared" si="54"/>
        <v>1.3198721003747567</v>
      </c>
      <c r="BV63" s="61">
        <f t="shared" si="54"/>
        <v>0.45433924860345043</v>
      </c>
      <c r="BW63" s="61">
        <f t="shared" si="55"/>
        <v>1.5076112681055724</v>
      </c>
      <c r="BX63" s="61">
        <f t="shared" si="55"/>
        <v>0.47035497433070528</v>
      </c>
      <c r="BY63" s="61">
        <f t="shared" si="55"/>
        <v>1.0874166095716371</v>
      </c>
      <c r="BZ63" s="61">
        <f t="shared" si="55"/>
        <v>1.0417052766732449</v>
      </c>
      <c r="CA63" s="61">
        <f t="shared" si="55"/>
        <v>0.52159008075840751</v>
      </c>
      <c r="CB63" s="61">
        <f t="shared" si="55"/>
        <v>1.0509691136503094</v>
      </c>
      <c r="CC63" s="61">
        <f t="shared" si="55"/>
        <v>0.53985406059748908</v>
      </c>
      <c r="CD63" s="61">
        <f t="shared" si="55"/>
        <v>0.57842503816716395</v>
      </c>
      <c r="CE63" s="61">
        <f t="shared" si="55"/>
        <v>1.3309079195385358</v>
      </c>
      <c r="CF63" s="61">
        <f t="shared" si="55"/>
        <v>1.5118283582578378</v>
      </c>
      <c r="CG63" s="61">
        <f t="shared" si="56"/>
        <v>1.1292748514769535</v>
      </c>
      <c r="CH63" s="61">
        <f t="shared" si="56"/>
        <v>0.99946758962387372</v>
      </c>
      <c r="CI63" s="61">
        <f t="shared" si="56"/>
        <v>0.96117953195056993</v>
      </c>
      <c r="CJ63" s="61">
        <f t="shared" si="56"/>
        <v>0.80823828507258699</v>
      </c>
      <c r="CK63" s="61">
        <f t="shared" si="56"/>
        <v>1.3689359021066745</v>
      </c>
      <c r="CL63" s="61">
        <f t="shared" si="56"/>
        <v>0.83111729958235359</v>
      </c>
      <c r="CM63" s="61">
        <f t="shared" si="56"/>
        <v>1.1747890114799988</v>
      </c>
      <c r="CN63" s="61">
        <f t="shared" si="56"/>
        <v>2.0579288908190914</v>
      </c>
      <c r="CO63" s="61">
        <f t="shared" si="56"/>
        <v>1.4446152112523125</v>
      </c>
      <c r="CP63" s="61">
        <f t="shared" si="56"/>
        <v>0.93918736341881226</v>
      </c>
      <c r="CQ63" s="61">
        <f t="shared" si="57"/>
        <v>1.2321839169662612</v>
      </c>
      <c r="CR63" s="61">
        <f t="shared" si="57"/>
        <v>1.3199713079036308</v>
      </c>
      <c r="CS63" s="61">
        <f t="shared" si="57"/>
        <v>1.0261340058002819</v>
      </c>
      <c r="CT63" s="61">
        <f t="shared" si="57"/>
        <v>1.0757400967586035</v>
      </c>
      <c r="CU63" s="61">
        <f t="shared" si="57"/>
        <v>1.2396415622940629</v>
      </c>
      <c r="CV63" s="61">
        <f t="shared" si="57"/>
        <v>1.7741433758390415</v>
      </c>
      <c r="CW63" s="61">
        <f t="shared" si="57"/>
        <v>1.0757400967586035</v>
      </c>
      <c r="CX63" s="61">
        <f t="shared" si="57"/>
        <v>1.5852089639073463</v>
      </c>
      <c r="CY63" s="61">
        <f t="shared" si="57"/>
        <v>1.1305770861952833</v>
      </c>
      <c r="CZ63" s="61">
        <f t="shared" si="57"/>
        <v>1.1305770861952833</v>
      </c>
      <c r="DA63" s="61">
        <f t="shared" si="58"/>
        <v>1.3003374280245421</v>
      </c>
      <c r="DB63" s="61">
        <f t="shared" si="58"/>
        <v>1.1918796248340018</v>
      </c>
      <c r="DC63" s="61">
        <f t="shared" si="58"/>
        <v>1.1918796248340018</v>
      </c>
      <c r="DD63" s="61">
        <f t="shared" si="58"/>
        <v>1.2960503682907729</v>
      </c>
      <c r="DE63" s="61">
        <f t="shared" si="58"/>
        <v>1.3795232215834614</v>
      </c>
      <c r="DF63" s="61">
        <f t="shared" si="58"/>
        <v>1.5526419500856501</v>
      </c>
      <c r="DG63" s="61">
        <f t="shared" si="58"/>
        <v>1.7023718433921149</v>
      </c>
      <c r="DH63" s="61">
        <f t="shared" si="58"/>
        <v>1.7023718433921149</v>
      </c>
      <c r="DI63" s="61">
        <f t="shared" si="58"/>
        <v>1.7023718433921149</v>
      </c>
      <c r="DJ63" s="61">
        <f t="shared" si="58"/>
        <v>1.7023718433921149</v>
      </c>
      <c r="DK63" s="61">
        <f t="shared" si="59"/>
        <v>1.9134042753372982</v>
      </c>
      <c r="DL63" s="61">
        <f t="shared" si="59"/>
        <v>1.9134042753372982</v>
      </c>
      <c r="DM63" s="61">
        <f t="shared" si="59"/>
        <v>1.9134042753372982</v>
      </c>
      <c r="DN63" s="61">
        <f t="shared" si="59"/>
        <v>1.9134042753372982</v>
      </c>
      <c r="DO63" s="61">
        <f t="shared" si="59"/>
        <v>1.9134042753372982</v>
      </c>
      <c r="DP63" s="61">
        <f t="shared" si="59"/>
        <v>2.2741666005889467</v>
      </c>
      <c r="DQ63" s="61">
        <f t="shared" si="59"/>
        <v>2.2741666005889467</v>
      </c>
    </row>
    <row r="64" spans="1:121" x14ac:dyDescent="0.25">
      <c r="A64" s="48" t="str">
        <f>KMeans_Data!A55</f>
        <v>Faisalabad</v>
      </c>
      <c r="B64" s="59">
        <f>KMeans_Data!H55</f>
        <v>0.18779833781528543</v>
      </c>
      <c r="C64" s="59">
        <f>KMeans_Data!I55</f>
        <v>-0.67265054538827607</v>
      </c>
      <c r="D64" s="59">
        <f>KMeans_Data!J55</f>
        <v>-1.1456441163335547</v>
      </c>
      <c r="E64" s="61">
        <f t="shared" ref="E64:N73" si="60">SQRT(($B64-E$5)^2+($C64-E$6)^2+($D64-E$7)^2)</f>
        <v>7.1463518740909944</v>
      </c>
      <c r="F64" s="61">
        <f t="shared" si="60"/>
        <v>6.8805139854445745</v>
      </c>
      <c r="G64" s="61">
        <f t="shared" si="60"/>
        <v>5.0908094923954756</v>
      </c>
      <c r="H64" s="61">
        <f t="shared" si="60"/>
        <v>5.5085431555324238</v>
      </c>
      <c r="I64" s="61">
        <f t="shared" si="60"/>
        <v>4.4170704607625293</v>
      </c>
      <c r="J64" s="61">
        <f t="shared" si="60"/>
        <v>4.1035951333194429</v>
      </c>
      <c r="K64" s="61">
        <f t="shared" si="60"/>
        <v>1.4572920010857984</v>
      </c>
      <c r="L64" s="61">
        <f t="shared" si="60"/>
        <v>3.3695663814489434</v>
      </c>
      <c r="M64" s="61">
        <f t="shared" si="60"/>
        <v>3.5736869630338366</v>
      </c>
      <c r="N64" s="61">
        <f t="shared" si="60"/>
        <v>1.1862393353548981</v>
      </c>
      <c r="O64" s="61">
        <f t="shared" ref="O64:X73" si="61">SQRT(($B64-O$5)^2+($C64-O$6)^2+($D64-O$7)^2)</f>
        <v>3.1747965264447089</v>
      </c>
      <c r="P64" s="61">
        <f t="shared" si="61"/>
        <v>3.4912622882243394</v>
      </c>
      <c r="Q64" s="61">
        <f t="shared" si="61"/>
        <v>2.9091072410361849</v>
      </c>
      <c r="R64" s="61">
        <f t="shared" si="61"/>
        <v>2.9446106239101808</v>
      </c>
      <c r="S64" s="61">
        <f t="shared" si="61"/>
        <v>2.5092851282441457</v>
      </c>
      <c r="T64" s="61">
        <f t="shared" si="61"/>
        <v>2.8253567517223619</v>
      </c>
      <c r="U64" s="61">
        <f t="shared" si="61"/>
        <v>3.0052135612142314</v>
      </c>
      <c r="V64" s="61">
        <f t="shared" si="61"/>
        <v>2.78780940688041</v>
      </c>
      <c r="W64" s="61">
        <f t="shared" si="61"/>
        <v>2.9973620733795547</v>
      </c>
      <c r="X64" s="61">
        <f t="shared" si="61"/>
        <v>2.7144213029920752</v>
      </c>
      <c r="Y64" s="61">
        <f t="shared" ref="Y64:AH73" si="62">SQRT(($B64-Y$5)^2+($C64-Y$6)^2+($D64-Y$7)^2)</f>
        <v>2.8927110514769958</v>
      </c>
      <c r="Z64" s="61">
        <f t="shared" si="62"/>
        <v>2.3762968894243861</v>
      </c>
      <c r="AA64" s="61">
        <f t="shared" si="62"/>
        <v>2.3412394586737566</v>
      </c>
      <c r="AB64" s="61">
        <f t="shared" si="62"/>
        <v>2.2651408744655703</v>
      </c>
      <c r="AC64" s="61">
        <f t="shared" si="62"/>
        <v>2.8385437619497038</v>
      </c>
      <c r="AD64" s="61">
        <f t="shared" si="62"/>
        <v>2.8852427848085007</v>
      </c>
      <c r="AE64" s="61">
        <f t="shared" si="62"/>
        <v>0.69711942122382753</v>
      </c>
      <c r="AF64" s="61">
        <f t="shared" si="62"/>
        <v>2.4686239448972267</v>
      </c>
      <c r="AG64" s="61">
        <f t="shared" si="62"/>
        <v>0.84159435357899837</v>
      </c>
      <c r="AH64" s="61">
        <f t="shared" si="62"/>
        <v>2.1354816286059992</v>
      </c>
      <c r="AI64" s="61">
        <f t="shared" ref="AI64:AR73" si="63">SQRT(($B64-AI$5)^2+($C64-AI$6)^2+($D64-AI$7)^2)</f>
        <v>0.84013300155277459</v>
      </c>
      <c r="AJ64" s="61">
        <f t="shared" si="63"/>
        <v>2.5957873787064623</v>
      </c>
      <c r="AK64" s="61">
        <f t="shared" si="63"/>
        <v>1.8097420743373651</v>
      </c>
      <c r="AL64" s="61">
        <f t="shared" si="63"/>
        <v>1.8018212469261028</v>
      </c>
      <c r="AM64" s="61">
        <f t="shared" si="63"/>
        <v>2.5331913009137708</v>
      </c>
      <c r="AN64" s="61">
        <f t="shared" si="63"/>
        <v>2.6185975946040121</v>
      </c>
      <c r="AO64" s="61">
        <f t="shared" si="63"/>
        <v>2.001720037440867</v>
      </c>
      <c r="AP64" s="61">
        <f t="shared" si="63"/>
        <v>1.9346122019533813</v>
      </c>
      <c r="AQ64" s="61">
        <f t="shared" si="63"/>
        <v>2.6419266308206408</v>
      </c>
      <c r="AR64" s="61">
        <f t="shared" si="63"/>
        <v>1.3687479927637756</v>
      </c>
      <c r="AS64" s="61">
        <f t="shared" ref="AS64:BB73" si="64">SQRT(($B64-AS$5)^2+($C64-AS$6)^2+($D64-AS$7)^2)</f>
        <v>2.1604765447748395</v>
      </c>
      <c r="AT64" s="61">
        <f t="shared" si="64"/>
        <v>1.9924079903370793</v>
      </c>
      <c r="AU64" s="61">
        <f t="shared" si="64"/>
        <v>0.73555623172283469</v>
      </c>
      <c r="AV64" s="61">
        <f t="shared" si="64"/>
        <v>1.6619891135682896</v>
      </c>
      <c r="AW64" s="61">
        <f t="shared" si="64"/>
        <v>0.32519329370972178</v>
      </c>
      <c r="AX64" s="61">
        <f t="shared" si="64"/>
        <v>1.7403124078404313</v>
      </c>
      <c r="AY64" s="61">
        <f t="shared" si="64"/>
        <v>1.3177159966673374E-2</v>
      </c>
      <c r="AZ64" s="61">
        <f t="shared" si="64"/>
        <v>2.1781997167542366</v>
      </c>
      <c r="BA64" s="61">
        <f t="shared" si="64"/>
        <v>2.0113652510361359</v>
      </c>
      <c r="BB64" s="61">
        <f t="shared" si="64"/>
        <v>6.6302809703325527E-3</v>
      </c>
      <c r="BC64" s="61">
        <f t="shared" ref="BC64:BL73" si="65">SQRT(($B64-BC$5)^2+($C64-BC$6)^2+($D64-BC$7)^2)</f>
        <v>0</v>
      </c>
      <c r="BD64" s="61">
        <f t="shared" si="65"/>
        <v>0.6427204507722083</v>
      </c>
      <c r="BE64" s="61">
        <f t="shared" si="65"/>
        <v>0.90237608455254936</v>
      </c>
      <c r="BF64" s="61">
        <f t="shared" si="65"/>
        <v>2.8119281809159484</v>
      </c>
      <c r="BG64" s="61">
        <f t="shared" si="65"/>
        <v>1.8426844339624109</v>
      </c>
      <c r="BH64" s="61">
        <f t="shared" si="65"/>
        <v>0.10296236810872469</v>
      </c>
      <c r="BI64" s="61">
        <f t="shared" si="65"/>
        <v>0.11948661367866012</v>
      </c>
      <c r="BJ64" s="61">
        <f t="shared" si="65"/>
        <v>1.6859226595518486</v>
      </c>
      <c r="BK64" s="61">
        <f t="shared" si="65"/>
        <v>0.76764680030161347</v>
      </c>
      <c r="BL64" s="61">
        <f t="shared" si="65"/>
        <v>1.5218549372482064</v>
      </c>
      <c r="BM64" s="61">
        <f t="shared" ref="BM64:BV73" si="66">SQRT(($B64-BM$5)^2+($C64-BM$6)^2+($D64-BM$7)^2)</f>
        <v>2.0622761000810002</v>
      </c>
      <c r="BN64" s="61">
        <f t="shared" si="66"/>
        <v>1.4698423524387543</v>
      </c>
      <c r="BO64" s="61">
        <f t="shared" si="66"/>
        <v>0.40868276046591273</v>
      </c>
      <c r="BP64" s="61">
        <f t="shared" si="66"/>
        <v>1.6632758382553279</v>
      </c>
      <c r="BQ64" s="61">
        <f t="shared" si="66"/>
        <v>1.6424504283771164</v>
      </c>
      <c r="BR64" s="61">
        <f t="shared" si="66"/>
        <v>1.6923870930488021</v>
      </c>
      <c r="BS64" s="61">
        <f t="shared" si="66"/>
        <v>1.7798512696176148</v>
      </c>
      <c r="BT64" s="61">
        <f t="shared" si="66"/>
        <v>1.3985209746909395</v>
      </c>
      <c r="BU64" s="61">
        <f t="shared" si="66"/>
        <v>1.3178323325874746</v>
      </c>
      <c r="BV64" s="61">
        <f t="shared" si="66"/>
        <v>0.4477089676331179</v>
      </c>
      <c r="BW64" s="61">
        <f t="shared" ref="BW64:CF73" si="67">SQRT(($B64-BW$5)^2+($C64-BW$6)^2+($D64-BW$7)^2)</f>
        <v>1.5055558857357059</v>
      </c>
      <c r="BX64" s="61">
        <f t="shared" si="67"/>
        <v>0.46372469336037275</v>
      </c>
      <c r="BY64" s="61">
        <f t="shared" si="67"/>
        <v>1.0843598318861003</v>
      </c>
      <c r="BZ64" s="61">
        <f t="shared" si="67"/>
        <v>1.0384013032065655</v>
      </c>
      <c r="CA64" s="61">
        <f t="shared" si="67"/>
        <v>0.51495979978807493</v>
      </c>
      <c r="CB64" s="61">
        <f t="shared" si="67"/>
        <v>1.0475787656606974</v>
      </c>
      <c r="CC64" s="61">
        <f t="shared" si="67"/>
        <v>0.53322377962715661</v>
      </c>
      <c r="CD64" s="61">
        <f t="shared" si="67"/>
        <v>0.57179475719683137</v>
      </c>
      <c r="CE64" s="61">
        <f t="shared" si="67"/>
        <v>1.327937844666186</v>
      </c>
      <c r="CF64" s="61">
        <f t="shared" si="67"/>
        <v>1.5092143697430367</v>
      </c>
      <c r="CG64" s="61">
        <f t="shared" ref="CG64:CP73" si="68">SQRT(($B64-CG$5)^2+($C64-CG$6)^2+($D64-CG$7)^2)</f>
        <v>1.1253810236629018</v>
      </c>
      <c r="CH64" s="61">
        <f t="shared" si="68"/>
        <v>0.99506593799145893</v>
      </c>
      <c r="CI64" s="61">
        <f t="shared" si="68"/>
        <v>0.95625783460382452</v>
      </c>
      <c r="CJ64" s="61">
        <f t="shared" si="68"/>
        <v>0.80215838015329033</v>
      </c>
      <c r="CK64" s="61">
        <f t="shared" si="68"/>
        <v>1.3650739162161221</v>
      </c>
      <c r="CL64" s="61">
        <f t="shared" si="68"/>
        <v>0.82448701861202101</v>
      </c>
      <c r="CM64" s="61">
        <f t="shared" si="68"/>
        <v>1.1701077299500366</v>
      </c>
      <c r="CN64" s="61">
        <f t="shared" si="68"/>
        <v>2.055035912319858</v>
      </c>
      <c r="CO64" s="61">
        <f t="shared" si="68"/>
        <v>1.4403134787263514</v>
      </c>
      <c r="CP64" s="61">
        <f t="shared" si="68"/>
        <v>0.93255708244847968</v>
      </c>
      <c r="CQ64" s="61">
        <f t="shared" ref="CQ64:CZ73" si="69">SQRT(($B64-CQ$5)^2+($C64-CQ$6)^2+($D64-CQ$7)^2)</f>
        <v>1.2269126215425588</v>
      </c>
      <c r="CR64" s="61">
        <f t="shared" si="69"/>
        <v>1.3148236006290843</v>
      </c>
      <c r="CS64" s="61">
        <f t="shared" si="69"/>
        <v>1.0195037248299492</v>
      </c>
      <c r="CT64" s="61">
        <f t="shared" si="69"/>
        <v>1.069109815788271</v>
      </c>
      <c r="CU64" s="61">
        <f t="shared" si="69"/>
        <v>1.2338923151586147</v>
      </c>
      <c r="CV64" s="61">
        <f t="shared" si="69"/>
        <v>1.7701310009358551</v>
      </c>
      <c r="CW64" s="61">
        <f t="shared" si="69"/>
        <v>1.069109815788271</v>
      </c>
      <c r="CX64" s="61">
        <f t="shared" si="69"/>
        <v>1.5804870554350512</v>
      </c>
      <c r="CY64" s="61">
        <f t="shared" si="69"/>
        <v>1.1239468052249508</v>
      </c>
      <c r="CZ64" s="61">
        <f t="shared" si="69"/>
        <v>1.1239468052249508</v>
      </c>
      <c r="DA64" s="61">
        <f t="shared" ref="DA64:DJ73" si="70">SQRT(($B64-DA$5)^2+($C64-DA$6)^2+($D64-DA$7)^2)</f>
        <v>1.2945768806320612</v>
      </c>
      <c r="DB64" s="61">
        <f t="shared" si="70"/>
        <v>1.1852493438636693</v>
      </c>
      <c r="DC64" s="61">
        <f t="shared" si="70"/>
        <v>1.1852493438636693</v>
      </c>
      <c r="DD64" s="61">
        <f t="shared" si="70"/>
        <v>1.2899556287645968</v>
      </c>
      <c r="DE64" s="61">
        <f t="shared" si="70"/>
        <v>1.3730760297224149</v>
      </c>
      <c r="DF64" s="61">
        <f t="shared" si="70"/>
        <v>1.5460116691153176</v>
      </c>
      <c r="DG64" s="61">
        <f t="shared" si="70"/>
        <v>1.6957415624217824</v>
      </c>
      <c r="DH64" s="61">
        <f t="shared" si="70"/>
        <v>1.6957415624217824</v>
      </c>
      <c r="DI64" s="61">
        <f t="shared" si="70"/>
        <v>1.6957415624217824</v>
      </c>
      <c r="DJ64" s="61">
        <f t="shared" si="70"/>
        <v>1.6957415624217824</v>
      </c>
      <c r="DK64" s="61">
        <f t="shared" ref="DK64:DQ73" si="71">SQRT(($B64-DK$5)^2+($C64-DK$6)^2+($D64-DK$7)^2)</f>
        <v>1.9067739943669657</v>
      </c>
      <c r="DL64" s="61">
        <f t="shared" si="71"/>
        <v>1.9067739943669657</v>
      </c>
      <c r="DM64" s="61">
        <f t="shared" si="71"/>
        <v>1.9067739943669657</v>
      </c>
      <c r="DN64" s="61">
        <f t="shared" si="71"/>
        <v>1.9067739943669657</v>
      </c>
      <c r="DO64" s="61">
        <f t="shared" si="71"/>
        <v>1.9067739943669657</v>
      </c>
      <c r="DP64" s="61">
        <f t="shared" si="71"/>
        <v>2.267536319618614</v>
      </c>
      <c r="DQ64" s="61">
        <f t="shared" si="71"/>
        <v>2.267536319618614</v>
      </c>
    </row>
    <row r="65" spans="1:121" x14ac:dyDescent="0.25">
      <c r="A65" s="48" t="str">
        <f>KMeans_Data!A56</f>
        <v>Jhelum</v>
      </c>
      <c r="B65" s="59">
        <f>KMeans_Data!H56</f>
        <v>0.16738513255089196</v>
      </c>
      <c r="C65" s="59">
        <f>KMeans_Data!I56</f>
        <v>-0.67265054538827607</v>
      </c>
      <c r="D65" s="59">
        <f>KMeans_Data!J56</f>
        <v>-0.50324791546397885</v>
      </c>
      <c r="E65" s="61">
        <f t="shared" si="60"/>
        <v>6.7792676747337426</v>
      </c>
      <c r="F65" s="61">
        <f t="shared" si="60"/>
        <v>6.5546754079781362</v>
      </c>
      <c r="G65" s="61">
        <f t="shared" si="60"/>
        <v>4.6795726110399798</v>
      </c>
      <c r="H65" s="61">
        <f t="shared" si="60"/>
        <v>5.2217183846093604</v>
      </c>
      <c r="I65" s="61">
        <f t="shared" si="60"/>
        <v>4.0438825887654444</v>
      </c>
      <c r="J65" s="61">
        <f t="shared" si="60"/>
        <v>3.7389128659864967</v>
      </c>
      <c r="K65" s="61">
        <f t="shared" si="60"/>
        <v>1.4734774205822698</v>
      </c>
      <c r="L65" s="61">
        <f t="shared" si="60"/>
        <v>2.8506928660679085</v>
      </c>
      <c r="M65" s="61">
        <f t="shared" si="60"/>
        <v>3.0947976950339653</v>
      </c>
      <c r="N65" s="61">
        <f t="shared" si="60"/>
        <v>1.2037307986807793</v>
      </c>
      <c r="O65" s="61">
        <f t="shared" si="61"/>
        <v>2.7909858254979913</v>
      </c>
      <c r="P65" s="61">
        <f t="shared" si="61"/>
        <v>3.1095395283321849</v>
      </c>
      <c r="Q65" s="61">
        <f t="shared" si="61"/>
        <v>2.4598298229355828</v>
      </c>
      <c r="R65" s="61">
        <f t="shared" si="61"/>
        <v>2.3994635543365552</v>
      </c>
      <c r="S65" s="61">
        <f t="shared" si="61"/>
        <v>1.9421561135088738</v>
      </c>
      <c r="T65" s="61">
        <f t="shared" si="61"/>
        <v>2.3820498318632848</v>
      </c>
      <c r="U65" s="61">
        <f t="shared" si="61"/>
        <v>2.4426739250846468</v>
      </c>
      <c r="V65" s="61">
        <f t="shared" si="61"/>
        <v>2.4383990400921776</v>
      </c>
      <c r="W65" s="61">
        <f t="shared" si="61"/>
        <v>2.5984593961686961</v>
      </c>
      <c r="X65" s="61">
        <f t="shared" si="61"/>
        <v>2.2369619996903585</v>
      </c>
      <c r="Y65" s="61">
        <f t="shared" si="62"/>
        <v>2.3882881668829317</v>
      </c>
      <c r="Z65" s="61">
        <f t="shared" si="62"/>
        <v>1.9539561540290944</v>
      </c>
      <c r="AA65" s="61">
        <f t="shared" si="62"/>
        <v>1.792738455713683</v>
      </c>
      <c r="AB65" s="61">
        <f t="shared" si="62"/>
        <v>1.7997796582933387</v>
      </c>
      <c r="AC65" s="61">
        <f t="shared" si="62"/>
        <v>2.4671399825133355</v>
      </c>
      <c r="AD65" s="61">
        <f t="shared" si="62"/>
        <v>2.3758289416926197</v>
      </c>
      <c r="AE65" s="61">
        <f t="shared" si="62"/>
        <v>0.95799710156750895</v>
      </c>
      <c r="AF65" s="61">
        <f t="shared" si="62"/>
        <v>1.9824997493298682</v>
      </c>
      <c r="AG65" s="61">
        <f t="shared" si="62"/>
        <v>0.42319540858825627</v>
      </c>
      <c r="AH65" s="61">
        <f t="shared" si="62"/>
        <v>1.5853247497388285</v>
      </c>
      <c r="AI65" s="61">
        <f t="shared" si="63"/>
        <v>0.42012805784975854</v>
      </c>
      <c r="AJ65" s="61">
        <f t="shared" si="63"/>
        <v>2.0650010525149258</v>
      </c>
      <c r="AK65" s="61">
        <f t="shared" si="63"/>
        <v>1.3645533670230201</v>
      </c>
      <c r="AL65" s="61">
        <f t="shared" si="63"/>
        <v>1.2209138780018525</v>
      </c>
      <c r="AM65" s="61">
        <f t="shared" si="63"/>
        <v>2.2305873381591241</v>
      </c>
      <c r="AN65" s="61">
        <f t="shared" si="63"/>
        <v>2.2100813469236709</v>
      </c>
      <c r="AO65" s="61">
        <f t="shared" si="63"/>
        <v>1.5047645753378214</v>
      </c>
      <c r="AP65" s="61">
        <f t="shared" si="63"/>
        <v>1.4499310247666002</v>
      </c>
      <c r="AQ65" s="61">
        <f t="shared" si="63"/>
        <v>2.2632758433058715</v>
      </c>
      <c r="AR65" s="61">
        <f t="shared" si="63"/>
        <v>0.96121815527922649</v>
      </c>
      <c r="AS65" s="61">
        <f t="shared" si="64"/>
        <v>1.5215915967159375</v>
      </c>
      <c r="AT65" s="61">
        <f t="shared" si="64"/>
        <v>1.385505550572411</v>
      </c>
      <c r="AU65" s="61">
        <f t="shared" si="64"/>
        <v>0.55054722641252118</v>
      </c>
      <c r="AV65" s="61">
        <f t="shared" si="64"/>
        <v>1.0220630487464135</v>
      </c>
      <c r="AW65" s="61">
        <f t="shared" si="64"/>
        <v>0.32900165578009083</v>
      </c>
      <c r="AX65" s="61">
        <f t="shared" si="64"/>
        <v>1.2171236274264723</v>
      </c>
      <c r="AY65" s="61">
        <f t="shared" si="64"/>
        <v>0.64327380758742303</v>
      </c>
      <c r="AZ65" s="61">
        <f t="shared" si="64"/>
        <v>1.5361309593492662</v>
      </c>
      <c r="BA65" s="61">
        <f t="shared" si="64"/>
        <v>1.4016393684174993</v>
      </c>
      <c r="BB65" s="61">
        <f t="shared" si="64"/>
        <v>0.64296518493569477</v>
      </c>
      <c r="BC65" s="61">
        <f t="shared" si="65"/>
        <v>0.6427204507722083</v>
      </c>
      <c r="BD65" s="61">
        <f t="shared" si="65"/>
        <v>0</v>
      </c>
      <c r="BE65" s="61">
        <f t="shared" si="65"/>
        <v>0.25970215630792892</v>
      </c>
      <c r="BF65" s="61">
        <f t="shared" si="65"/>
        <v>2.4188982898032623</v>
      </c>
      <c r="BG65" s="61">
        <f t="shared" si="65"/>
        <v>1.2404382104642566</v>
      </c>
      <c r="BH65" s="61">
        <f t="shared" si="65"/>
        <v>0.64767834854807704</v>
      </c>
      <c r="BI65" s="61">
        <f t="shared" si="65"/>
        <v>0.64999109159009594</v>
      </c>
      <c r="BJ65" s="61">
        <f t="shared" si="65"/>
        <v>1.3301665725566705</v>
      </c>
      <c r="BK65" s="61">
        <f t="shared" si="65"/>
        <v>0.19170440890054771</v>
      </c>
      <c r="BL65" s="61">
        <f t="shared" si="65"/>
        <v>0.88406689901415403</v>
      </c>
      <c r="BM65" s="61">
        <f t="shared" si="66"/>
        <v>1.5938406417983948</v>
      </c>
      <c r="BN65" s="61">
        <f t="shared" si="66"/>
        <v>1.0183348725313117</v>
      </c>
      <c r="BO65" s="61">
        <f t="shared" si="66"/>
        <v>0.39638589738942609</v>
      </c>
      <c r="BP65" s="61">
        <f t="shared" si="66"/>
        <v>1.164172634989308</v>
      </c>
      <c r="BQ65" s="61">
        <f t="shared" si="66"/>
        <v>1.0659992763486112</v>
      </c>
      <c r="BR65" s="61">
        <f t="shared" si="66"/>
        <v>1.1131797095857956</v>
      </c>
      <c r="BS65" s="61">
        <f t="shared" si="66"/>
        <v>1.1519371471807549</v>
      </c>
      <c r="BT65" s="61">
        <f t="shared" si="66"/>
        <v>0.79479940065984833</v>
      </c>
      <c r="BU65" s="61">
        <f t="shared" si="66"/>
        <v>0.72185482817162916</v>
      </c>
      <c r="BV65" s="61">
        <f t="shared" si="66"/>
        <v>0.77152741197570807</v>
      </c>
      <c r="BW65" s="61">
        <f t="shared" si="67"/>
        <v>0.90585285997628839</v>
      </c>
      <c r="BX65" s="61">
        <f t="shared" si="67"/>
        <v>0.78051134160211666</v>
      </c>
      <c r="BY65" s="61">
        <f t="shared" si="67"/>
        <v>0.57498138876809524</v>
      </c>
      <c r="BZ65" s="61">
        <f t="shared" si="67"/>
        <v>0.55841171763651154</v>
      </c>
      <c r="CA65" s="61">
        <f t="shared" si="67"/>
        <v>0.81070908040223344</v>
      </c>
      <c r="CB65" s="61">
        <f t="shared" si="67"/>
        <v>0.57464945611829787</v>
      </c>
      <c r="CC65" s="61">
        <f t="shared" si="67"/>
        <v>0.82197783672671576</v>
      </c>
      <c r="CD65" s="61">
        <f t="shared" si="67"/>
        <v>0.84657810903843256</v>
      </c>
      <c r="CE65" s="61">
        <f t="shared" si="67"/>
        <v>0.79073362145118409</v>
      </c>
      <c r="CF65" s="61">
        <f t="shared" si="67"/>
        <v>1.0079426326528642</v>
      </c>
      <c r="CG65" s="61">
        <f t="shared" si="68"/>
        <v>0.83335540314639756</v>
      </c>
      <c r="CH65" s="61">
        <f t="shared" si="68"/>
        <v>0.64664905511688153</v>
      </c>
      <c r="CI65" s="61">
        <f t="shared" si="68"/>
        <v>0.68793428527222944</v>
      </c>
      <c r="CJ65" s="61">
        <f t="shared" si="68"/>
        <v>0.78349572628764375</v>
      </c>
      <c r="CK65" s="61">
        <f t="shared" si="68"/>
        <v>0.90362056837038174</v>
      </c>
      <c r="CL65" s="61">
        <f t="shared" si="68"/>
        <v>1.0291781071335806</v>
      </c>
      <c r="CM65" s="61">
        <f t="shared" si="68"/>
        <v>0.82573416729147953</v>
      </c>
      <c r="CN65" s="61">
        <f t="shared" si="68"/>
        <v>1.5232661359387623</v>
      </c>
      <c r="CO65" s="61">
        <f t="shared" si="68"/>
        <v>1.1006820157870629</v>
      </c>
      <c r="CP65" s="61">
        <f t="shared" si="68"/>
        <v>1.1156519760104768</v>
      </c>
      <c r="CQ65" s="61">
        <f t="shared" si="69"/>
        <v>0.95939232207402414</v>
      </c>
      <c r="CR65" s="61">
        <f t="shared" si="69"/>
        <v>1.0166041924008233</v>
      </c>
      <c r="CS65" s="61">
        <f t="shared" si="69"/>
        <v>1.187794066821954</v>
      </c>
      <c r="CT65" s="61">
        <f t="shared" si="69"/>
        <v>1.2298119611615159</v>
      </c>
      <c r="CU65" s="61">
        <f t="shared" si="69"/>
        <v>1.216247930364909</v>
      </c>
      <c r="CV65" s="61">
        <f t="shared" si="69"/>
        <v>1.3000827459093316</v>
      </c>
      <c r="CW65" s="61">
        <f t="shared" si="69"/>
        <v>1.2298119611615159</v>
      </c>
      <c r="CX65" s="61">
        <f t="shared" si="69"/>
        <v>1.1989698041085328</v>
      </c>
      <c r="CY65" s="61">
        <f t="shared" si="69"/>
        <v>1.2768943907518633</v>
      </c>
      <c r="CZ65" s="61">
        <f t="shared" si="69"/>
        <v>1.2768943907518633</v>
      </c>
      <c r="DA65" s="61">
        <f t="shared" si="70"/>
        <v>1.1035335999605573</v>
      </c>
      <c r="DB65" s="61">
        <f t="shared" si="70"/>
        <v>1.3302315996391514</v>
      </c>
      <c r="DC65" s="61">
        <f t="shared" si="70"/>
        <v>1.3302315996391514</v>
      </c>
      <c r="DD65" s="61">
        <f t="shared" si="70"/>
        <v>1.1724395880482763</v>
      </c>
      <c r="DE65" s="61">
        <f t="shared" si="70"/>
        <v>1.3532376258304826</v>
      </c>
      <c r="DF65" s="61">
        <f t="shared" si="70"/>
        <v>1.6553318554887912</v>
      </c>
      <c r="DG65" s="61">
        <f t="shared" si="70"/>
        <v>1.7942680912247591</v>
      </c>
      <c r="DH65" s="61">
        <f t="shared" si="70"/>
        <v>1.7942680912247591</v>
      </c>
      <c r="DI65" s="61">
        <f t="shared" si="70"/>
        <v>1.7942680912247591</v>
      </c>
      <c r="DJ65" s="61">
        <f t="shared" si="70"/>
        <v>1.7942680912247591</v>
      </c>
      <c r="DK65" s="61">
        <f t="shared" si="71"/>
        <v>1.9927443151481685</v>
      </c>
      <c r="DL65" s="61">
        <f t="shared" si="71"/>
        <v>1.9927443151481685</v>
      </c>
      <c r="DM65" s="61">
        <f t="shared" si="71"/>
        <v>1.9927443151481685</v>
      </c>
      <c r="DN65" s="61">
        <f t="shared" si="71"/>
        <v>1.9927443151481685</v>
      </c>
      <c r="DO65" s="61">
        <f t="shared" si="71"/>
        <v>1.9927443151481685</v>
      </c>
      <c r="DP65" s="61">
        <f t="shared" si="71"/>
        <v>2.3371425223885418</v>
      </c>
      <c r="DQ65" s="61">
        <f t="shared" si="71"/>
        <v>2.3371425223885418</v>
      </c>
    </row>
    <row r="66" spans="1:121" x14ac:dyDescent="0.25">
      <c r="A66" s="48" t="str">
        <f>KMeans_Data!A57</f>
        <v>Vehari</v>
      </c>
      <c r="B66" s="59">
        <f>KMeans_Data!H57</f>
        <v>0.15331751895798426</v>
      </c>
      <c r="C66" s="59">
        <f>KMeans_Data!I57</f>
        <v>-0.67265054538827607</v>
      </c>
      <c r="D66" s="59">
        <f>KMeans_Data!J57</f>
        <v>-0.24392704812240026</v>
      </c>
      <c r="E66" s="61">
        <f t="shared" si="60"/>
        <v>6.645700219429111</v>
      </c>
      <c r="F66" s="61">
        <f t="shared" si="60"/>
        <v>6.4394656619626085</v>
      </c>
      <c r="G66" s="61">
        <f t="shared" si="60"/>
        <v>4.5316944157217627</v>
      </c>
      <c r="H66" s="61">
        <f t="shared" si="60"/>
        <v>5.1267460226072084</v>
      </c>
      <c r="I66" s="61">
        <f t="shared" si="60"/>
        <v>3.9161099929290688</v>
      </c>
      <c r="J66" s="61">
        <f t="shared" si="60"/>
        <v>3.6158817318045742</v>
      </c>
      <c r="K66" s="61">
        <f t="shared" si="60"/>
        <v>1.5614559929564493</v>
      </c>
      <c r="L66" s="61">
        <f t="shared" si="60"/>
        <v>2.65916534500855</v>
      </c>
      <c r="M66" s="61">
        <f t="shared" si="60"/>
        <v>2.9215691906246501</v>
      </c>
      <c r="N66" s="61">
        <f t="shared" si="60"/>
        <v>1.3084708358781738</v>
      </c>
      <c r="O66" s="61">
        <f t="shared" si="61"/>
        <v>2.6666152725733481</v>
      </c>
      <c r="P66" s="61">
        <f t="shared" si="61"/>
        <v>2.9828649656554975</v>
      </c>
      <c r="Q66" s="61">
        <f t="shared" si="61"/>
        <v>2.3068235455473363</v>
      </c>
      <c r="R66" s="61">
        <f t="shared" si="61"/>
        <v>2.1967540288821787</v>
      </c>
      <c r="S66" s="61">
        <f t="shared" si="61"/>
        <v>1.7311455391278376</v>
      </c>
      <c r="T66" s="61">
        <f t="shared" si="61"/>
        <v>2.2328998761483487</v>
      </c>
      <c r="U66" s="61">
        <f t="shared" si="61"/>
        <v>2.2298053605957975</v>
      </c>
      <c r="V66" s="61">
        <f t="shared" si="61"/>
        <v>2.3347009711785645</v>
      </c>
      <c r="W66" s="61">
        <f t="shared" si="61"/>
        <v>2.4684157206952242</v>
      </c>
      <c r="X66" s="61">
        <f t="shared" si="61"/>
        <v>2.0716493061401566</v>
      </c>
      <c r="Y66" s="61">
        <f t="shared" si="62"/>
        <v>2.206815789858513</v>
      </c>
      <c r="Z66" s="61">
        <f t="shared" si="62"/>
        <v>1.8223851605241648</v>
      </c>
      <c r="AA66" s="61">
        <f t="shared" si="62"/>
        <v>1.5937242105090201</v>
      </c>
      <c r="AB66" s="61">
        <f t="shared" si="62"/>
        <v>1.6483229332021014</v>
      </c>
      <c r="AC66" s="61">
        <f t="shared" si="62"/>
        <v>2.3521140709134971</v>
      </c>
      <c r="AD66" s="61">
        <f t="shared" si="62"/>
        <v>2.1916170702962368</v>
      </c>
      <c r="AE66" s="61">
        <f t="shared" si="62"/>
        <v>1.1540510716760239</v>
      </c>
      <c r="AF66" s="61">
        <f t="shared" si="62"/>
        <v>1.8155160160261443</v>
      </c>
      <c r="AG66" s="61">
        <f t="shared" si="62"/>
        <v>0.45216857544923555</v>
      </c>
      <c r="AH66" s="61">
        <f t="shared" si="62"/>
        <v>1.3877674952237802</v>
      </c>
      <c r="AI66" s="61">
        <f t="shared" si="63"/>
        <v>0.44919999220674245</v>
      </c>
      <c r="AJ66" s="61">
        <f t="shared" si="63"/>
        <v>1.8720176655987082</v>
      </c>
      <c r="AK66" s="61">
        <f t="shared" si="63"/>
        <v>1.2369275789225349</v>
      </c>
      <c r="AL66" s="61">
        <f t="shared" si="63"/>
        <v>1.0098022530064428</v>
      </c>
      <c r="AM66" s="61">
        <f t="shared" si="63"/>
        <v>2.1520925285884673</v>
      </c>
      <c r="AN66" s="61">
        <f t="shared" si="63"/>
        <v>2.0798328183568269</v>
      </c>
      <c r="AO66" s="61">
        <f t="shared" si="63"/>
        <v>1.3409624445069788</v>
      </c>
      <c r="AP66" s="61">
        <f t="shared" si="63"/>
        <v>1.295124566881364</v>
      </c>
      <c r="AQ66" s="61">
        <f t="shared" si="63"/>
        <v>2.1470081580281493</v>
      </c>
      <c r="AR66" s="61">
        <f t="shared" si="63"/>
        <v>0.88171943081104931</v>
      </c>
      <c r="AS66" s="61">
        <f t="shared" si="64"/>
        <v>1.2655307540587759</v>
      </c>
      <c r="AT66" s="61">
        <f t="shared" si="64"/>
        <v>1.152172047328474</v>
      </c>
      <c r="AU66" s="61">
        <f t="shared" si="64"/>
        <v>0.66509926769407157</v>
      </c>
      <c r="AV66" s="61">
        <f t="shared" si="64"/>
        <v>0.76583081050715551</v>
      </c>
      <c r="AW66" s="61">
        <f t="shared" si="64"/>
        <v>0.58675219871714157</v>
      </c>
      <c r="AX66" s="61">
        <f t="shared" si="64"/>
        <v>1.0448637414420188</v>
      </c>
      <c r="AY66" s="61">
        <f t="shared" si="64"/>
        <v>0.90297561099340118</v>
      </c>
      <c r="AZ66" s="61">
        <f t="shared" si="64"/>
        <v>1.2773321727102844</v>
      </c>
      <c r="BA66" s="61">
        <f t="shared" si="64"/>
        <v>1.1657858174440441</v>
      </c>
      <c r="BB66" s="61">
        <f t="shared" si="64"/>
        <v>0.90265375068868869</v>
      </c>
      <c r="BC66" s="61">
        <f t="shared" si="65"/>
        <v>0.90237608455254936</v>
      </c>
      <c r="BD66" s="61">
        <f t="shared" si="65"/>
        <v>0.25970215630792892</v>
      </c>
      <c r="BE66" s="61">
        <f t="shared" si="65"/>
        <v>0</v>
      </c>
      <c r="BF66" s="61">
        <f t="shared" si="65"/>
        <v>2.2923659720713228</v>
      </c>
      <c r="BG66" s="61">
        <f t="shared" si="65"/>
        <v>1.0112189707342916</v>
      </c>
      <c r="BH66" s="61">
        <f t="shared" si="65"/>
        <v>0.90431376949109588</v>
      </c>
      <c r="BI66" s="61">
        <f t="shared" si="65"/>
        <v>0.90571499725715632</v>
      </c>
      <c r="BJ66" s="61">
        <f t="shared" si="65"/>
        <v>1.2524918591409224</v>
      </c>
      <c r="BK66" s="61">
        <f t="shared" si="65"/>
        <v>0.21453454679404732</v>
      </c>
      <c r="BL66" s="61">
        <f t="shared" si="65"/>
        <v>0.62797418703704777</v>
      </c>
      <c r="BM66" s="61">
        <f t="shared" si="66"/>
        <v>1.4425077747947934</v>
      </c>
      <c r="BN66" s="61">
        <f t="shared" si="66"/>
        <v>0.90290806176455418</v>
      </c>
      <c r="BO66" s="61">
        <f t="shared" si="66"/>
        <v>0.62017618916831407</v>
      </c>
      <c r="BP66" s="61">
        <f t="shared" si="66"/>
        <v>1.008332523031533</v>
      </c>
      <c r="BQ66" s="61">
        <f t="shared" si="66"/>
        <v>0.85852347688742647</v>
      </c>
      <c r="BR66" s="61">
        <f t="shared" si="66"/>
        <v>0.90214979432920539</v>
      </c>
      <c r="BS66" s="61">
        <f t="shared" si="66"/>
        <v>0.90225180820896744</v>
      </c>
      <c r="BT66" s="61">
        <f t="shared" si="66"/>
        <v>0.57177150741788108</v>
      </c>
      <c r="BU66" s="61">
        <f t="shared" si="66"/>
        <v>0.51000882985736073</v>
      </c>
      <c r="BV66" s="61">
        <f t="shared" si="66"/>
        <v>0.99189272305225029</v>
      </c>
      <c r="BW66" s="61">
        <f t="shared" si="67"/>
        <v>0.68251977914065054</v>
      </c>
      <c r="BX66" s="61">
        <f t="shared" si="67"/>
        <v>0.99867110446919827</v>
      </c>
      <c r="BY66" s="61">
        <f t="shared" si="67"/>
        <v>0.46695216612148743</v>
      </c>
      <c r="BZ66" s="61">
        <f t="shared" si="67"/>
        <v>0.48047898093077379</v>
      </c>
      <c r="CA66" s="61">
        <f t="shared" si="67"/>
        <v>1.0217405356643117</v>
      </c>
      <c r="CB66" s="61">
        <f t="shared" si="67"/>
        <v>0.49874296076985536</v>
      </c>
      <c r="CC66" s="61">
        <f t="shared" si="67"/>
        <v>1.0304553420798017</v>
      </c>
      <c r="CD66" s="61">
        <f t="shared" si="67"/>
        <v>1.0496665848912483</v>
      </c>
      <c r="CE66" s="61">
        <f t="shared" si="67"/>
        <v>0.62717348915457782</v>
      </c>
      <c r="CF66" s="61">
        <f t="shared" si="67"/>
        <v>0.856815327442219</v>
      </c>
      <c r="CG66" s="61">
        <f t="shared" si="68"/>
        <v>0.8308657998382295</v>
      </c>
      <c r="CH66" s="61">
        <f t="shared" si="68"/>
        <v>0.64343744829709892</v>
      </c>
      <c r="CI66" s="61">
        <f t="shared" si="68"/>
        <v>0.722041275439954</v>
      </c>
      <c r="CJ66" s="61">
        <f t="shared" si="68"/>
        <v>0.90983031393939129</v>
      </c>
      <c r="CK66" s="61">
        <f t="shared" si="68"/>
        <v>0.78684073724330661</v>
      </c>
      <c r="CL66" s="61">
        <f t="shared" si="68"/>
        <v>1.198834211538115</v>
      </c>
      <c r="CM66" s="61">
        <f t="shared" si="68"/>
        <v>0.79322905241890351</v>
      </c>
      <c r="CN66" s="61">
        <f t="shared" si="68"/>
        <v>1.3327520622737807</v>
      </c>
      <c r="CO66" s="61">
        <f t="shared" si="68"/>
        <v>1.0424471184050068</v>
      </c>
      <c r="CP66" s="61">
        <f t="shared" si="68"/>
        <v>1.2726486735659654</v>
      </c>
      <c r="CQ66" s="61">
        <f t="shared" si="69"/>
        <v>0.9525830157161429</v>
      </c>
      <c r="CR66" s="61">
        <f t="shared" si="69"/>
        <v>0.98760956822081158</v>
      </c>
      <c r="CS66" s="61">
        <f t="shared" si="69"/>
        <v>1.3354264473920381</v>
      </c>
      <c r="CT66" s="61">
        <f t="shared" si="69"/>
        <v>1.372425164587747</v>
      </c>
      <c r="CU66" s="61">
        <f t="shared" si="69"/>
        <v>1.2976076682527202</v>
      </c>
      <c r="CV66" s="61">
        <f t="shared" si="69"/>
        <v>1.1530943926420734</v>
      </c>
      <c r="CW66" s="61">
        <f t="shared" si="69"/>
        <v>1.372425164587747</v>
      </c>
      <c r="CX66" s="61">
        <f t="shared" si="69"/>
        <v>1.1094159170622437</v>
      </c>
      <c r="CY66" s="61">
        <f t="shared" si="69"/>
        <v>1.4142241005425398</v>
      </c>
      <c r="CZ66" s="61">
        <f t="shared" si="69"/>
        <v>1.4142241005425398</v>
      </c>
      <c r="DA66" s="61">
        <f t="shared" si="70"/>
        <v>1.1199033206892568</v>
      </c>
      <c r="DB66" s="61">
        <f t="shared" si="70"/>
        <v>1.4619719112379184</v>
      </c>
      <c r="DC66" s="61">
        <f t="shared" si="70"/>
        <v>1.4619719112379184</v>
      </c>
      <c r="DD66" s="61">
        <f t="shared" si="70"/>
        <v>1.2159056756990017</v>
      </c>
      <c r="DE66" s="61">
        <f t="shared" si="70"/>
        <v>1.4241834179565211</v>
      </c>
      <c r="DF66" s="61">
        <f t="shared" si="70"/>
        <v>1.7600622666215653</v>
      </c>
      <c r="DG66" s="61">
        <f t="shared" si="70"/>
        <v>1.8902065837393893</v>
      </c>
      <c r="DH66" s="61">
        <f t="shared" si="70"/>
        <v>1.8902065837393893</v>
      </c>
      <c r="DI66" s="61">
        <f t="shared" si="70"/>
        <v>1.8902065837393893</v>
      </c>
      <c r="DJ66" s="61">
        <f t="shared" si="70"/>
        <v>1.8902065837393893</v>
      </c>
      <c r="DK66" s="61">
        <f t="shared" si="71"/>
        <v>2.0781182368102598</v>
      </c>
      <c r="DL66" s="61">
        <f t="shared" si="71"/>
        <v>2.0781182368102598</v>
      </c>
      <c r="DM66" s="61">
        <f t="shared" si="71"/>
        <v>2.0781182368102598</v>
      </c>
      <c r="DN66" s="61">
        <f t="shared" si="71"/>
        <v>2.0781182368102598</v>
      </c>
      <c r="DO66" s="61">
        <f t="shared" si="71"/>
        <v>2.0781182368102598</v>
      </c>
      <c r="DP66" s="61">
        <f t="shared" si="71"/>
        <v>2.4082422097006102</v>
      </c>
      <c r="DQ66" s="61">
        <f t="shared" si="71"/>
        <v>2.4082422097006102</v>
      </c>
    </row>
    <row r="67" spans="1:121" x14ac:dyDescent="0.25">
      <c r="A67" s="48" t="str">
        <f>KMeans_Data!A58</f>
        <v>Astore</v>
      </c>
      <c r="B67" s="59">
        <f>KMeans_Data!H58</f>
        <v>0.13147641151517545</v>
      </c>
      <c r="C67" s="59">
        <f>KMeans_Data!I58</f>
        <v>1.3810745208577742</v>
      </c>
      <c r="D67" s="59">
        <f>KMeans_Data!J58</f>
        <v>0.77424684086161255</v>
      </c>
      <c r="E67" s="61">
        <f t="shared" si="60"/>
        <v>4.8045779357516958</v>
      </c>
      <c r="F67" s="61">
        <f t="shared" si="60"/>
        <v>4.5896474479325082</v>
      </c>
      <c r="G67" s="61">
        <f t="shared" si="60"/>
        <v>2.8938172487317573</v>
      </c>
      <c r="H67" s="61">
        <f t="shared" si="60"/>
        <v>3.2257490512523606</v>
      </c>
      <c r="I67" s="61">
        <f t="shared" si="60"/>
        <v>2.3408498120192429</v>
      </c>
      <c r="J67" s="61">
        <f t="shared" si="60"/>
        <v>1.739489526802082</v>
      </c>
      <c r="K67" s="61">
        <f t="shared" si="60"/>
        <v>2.3462445010387252</v>
      </c>
      <c r="L67" s="61">
        <f t="shared" si="60"/>
        <v>1.6698856810709937</v>
      </c>
      <c r="M67" s="61">
        <f t="shared" si="60"/>
        <v>1.4659337713925351</v>
      </c>
      <c r="N67" s="61">
        <f t="shared" si="60"/>
        <v>2.4567889872554098</v>
      </c>
      <c r="O67" s="61">
        <f t="shared" si="61"/>
        <v>1.0364001053661747</v>
      </c>
      <c r="P67" s="61">
        <f t="shared" si="61"/>
        <v>1.138101483735396</v>
      </c>
      <c r="Q67" s="61">
        <f t="shared" si="61"/>
        <v>1.036282903302316</v>
      </c>
      <c r="R67" s="61">
        <f t="shared" si="61"/>
        <v>1.5198700784169752</v>
      </c>
      <c r="S67" s="61">
        <f t="shared" si="61"/>
        <v>1.8047417533004859</v>
      </c>
      <c r="T67" s="61">
        <f t="shared" si="61"/>
        <v>0.95084317862518464</v>
      </c>
      <c r="U67" s="61">
        <f t="shared" si="61"/>
        <v>1.4898776306388015</v>
      </c>
      <c r="V67" s="61">
        <f t="shared" si="61"/>
        <v>0.73817904231484743</v>
      </c>
      <c r="W67" s="61">
        <f t="shared" si="61"/>
        <v>0.73725631176330642</v>
      </c>
      <c r="X67" s="61">
        <f t="shared" si="61"/>
        <v>0.95258325247815911</v>
      </c>
      <c r="Y67" s="61">
        <f t="shared" si="62"/>
        <v>1.0058241825298266</v>
      </c>
      <c r="Z67" s="61">
        <f t="shared" si="62"/>
        <v>0.8867296522648348</v>
      </c>
      <c r="AA67" s="61">
        <f t="shared" si="62"/>
        <v>1.396170923008607</v>
      </c>
      <c r="AB67" s="61">
        <f t="shared" si="62"/>
        <v>1.0633755216115468</v>
      </c>
      <c r="AC67" s="61">
        <f t="shared" si="62"/>
        <v>0.63204002312002106</v>
      </c>
      <c r="AD67" s="61">
        <f t="shared" si="62"/>
        <v>0.95961574709458575</v>
      </c>
      <c r="AE67" s="61">
        <f t="shared" si="62"/>
        <v>2.5070579721650965</v>
      </c>
      <c r="AF67" s="61">
        <f t="shared" si="62"/>
        <v>0.84524444601813009</v>
      </c>
      <c r="AG67" s="61">
        <f t="shared" si="62"/>
        <v>2.4073724483689722</v>
      </c>
      <c r="AH67" s="61">
        <f t="shared" si="62"/>
        <v>1.2996106981829125</v>
      </c>
      <c r="AI67" s="61">
        <f t="shared" si="63"/>
        <v>2.4067879235003113</v>
      </c>
      <c r="AJ67" s="61">
        <f t="shared" si="63"/>
        <v>0.99998451048151349</v>
      </c>
      <c r="AK67" s="61">
        <f t="shared" si="63"/>
        <v>1.184303666823727</v>
      </c>
      <c r="AL67" s="61">
        <f t="shared" si="63"/>
        <v>1.584029163490464</v>
      </c>
      <c r="AM67" s="61">
        <f t="shared" si="63"/>
        <v>0.58551437827902686</v>
      </c>
      <c r="AN67" s="61">
        <f t="shared" si="63"/>
        <v>0.40263147539773891</v>
      </c>
      <c r="AO67" s="61">
        <f t="shared" si="63"/>
        <v>1.0727241449194826</v>
      </c>
      <c r="AP67" s="61">
        <f t="shared" si="63"/>
        <v>1.0917344226736032</v>
      </c>
      <c r="AQ67" s="61">
        <f t="shared" si="63"/>
        <v>0.33058888573394274</v>
      </c>
      <c r="AR67" s="61">
        <f t="shared" si="63"/>
        <v>1.511277615520966</v>
      </c>
      <c r="AS67" s="61">
        <f t="shared" si="64"/>
        <v>2.0756398747445099</v>
      </c>
      <c r="AT67" s="61">
        <f t="shared" si="64"/>
        <v>1.5346637073640408</v>
      </c>
      <c r="AU67" s="61">
        <f t="shared" si="64"/>
        <v>2.0838515359044498</v>
      </c>
      <c r="AV67" s="61">
        <f t="shared" si="64"/>
        <v>2.0738021902755568</v>
      </c>
      <c r="AW67" s="61">
        <f t="shared" si="64"/>
        <v>2.6048194638976745</v>
      </c>
      <c r="AX67" s="61">
        <f t="shared" si="64"/>
        <v>1.2861342956273603</v>
      </c>
      <c r="AY67" s="61">
        <f t="shared" si="64"/>
        <v>2.8122229744881606</v>
      </c>
      <c r="AZ67" s="61">
        <f t="shared" si="64"/>
        <v>2.0710672601396922</v>
      </c>
      <c r="BA67" s="61">
        <f t="shared" si="64"/>
        <v>1.5295057629650812</v>
      </c>
      <c r="BB67" s="61">
        <f t="shared" si="64"/>
        <v>2.8120687963930293</v>
      </c>
      <c r="BC67" s="61">
        <f t="shared" si="65"/>
        <v>2.8119281809159484</v>
      </c>
      <c r="BD67" s="61">
        <f t="shared" si="65"/>
        <v>2.4188982898032623</v>
      </c>
      <c r="BE67" s="61">
        <f t="shared" si="65"/>
        <v>2.2923659720713228</v>
      </c>
      <c r="BF67" s="61">
        <f t="shared" si="65"/>
        <v>0</v>
      </c>
      <c r="BG67" s="61">
        <f t="shared" si="65"/>
        <v>1.536297024282121</v>
      </c>
      <c r="BH67" s="61">
        <f t="shared" si="65"/>
        <v>2.8117509253237958</v>
      </c>
      <c r="BI67" s="61">
        <f t="shared" si="65"/>
        <v>2.8120735610895298</v>
      </c>
      <c r="BJ67" s="61">
        <f t="shared" si="65"/>
        <v>1.1384396557907894</v>
      </c>
      <c r="BK67" s="61">
        <f t="shared" si="65"/>
        <v>2.3689730886728144</v>
      </c>
      <c r="BL67" s="61">
        <f t="shared" si="65"/>
        <v>2.0986250887750795</v>
      </c>
      <c r="BM67" s="61">
        <f t="shared" si="66"/>
        <v>0.89191569303415708</v>
      </c>
      <c r="BN67" s="61">
        <f t="shared" si="66"/>
        <v>1.433619171676781</v>
      </c>
      <c r="BO67" s="61">
        <f t="shared" si="66"/>
        <v>2.6100127981481651</v>
      </c>
      <c r="BP67" s="61">
        <f t="shared" si="66"/>
        <v>1.3423199576593454</v>
      </c>
      <c r="BQ67" s="61">
        <f t="shared" si="66"/>
        <v>1.5960942289219988</v>
      </c>
      <c r="BR67" s="61">
        <f t="shared" si="66"/>
        <v>1.5886629635598186</v>
      </c>
      <c r="BS67" s="61">
        <f t="shared" si="66"/>
        <v>2.0836972677196846</v>
      </c>
      <c r="BT67" s="61">
        <f t="shared" si="66"/>
        <v>2.162076383430735</v>
      </c>
      <c r="BU67" s="61">
        <f t="shared" si="66"/>
        <v>2.1862762461565319</v>
      </c>
      <c r="BV67" s="61">
        <f t="shared" si="66"/>
        <v>2.8384770126549421</v>
      </c>
      <c r="BW67" s="61">
        <f t="shared" si="67"/>
        <v>2.1497556037137162</v>
      </c>
      <c r="BX67" s="61">
        <f t="shared" si="67"/>
        <v>2.8407296509621394</v>
      </c>
      <c r="BY67" s="61">
        <f t="shared" si="67"/>
        <v>2.3079785277431411</v>
      </c>
      <c r="BZ67" s="61">
        <f t="shared" si="67"/>
        <v>2.3376940379215019</v>
      </c>
      <c r="CA67" s="61">
        <f t="shared" si="67"/>
        <v>2.8485288543816232</v>
      </c>
      <c r="CB67" s="61">
        <f t="shared" si="67"/>
        <v>2.3413457868591183</v>
      </c>
      <c r="CC67" s="61">
        <f t="shared" si="67"/>
        <v>2.851526488208358</v>
      </c>
      <c r="CD67" s="61">
        <f t="shared" si="67"/>
        <v>2.8582302522084886</v>
      </c>
      <c r="CE67" s="61">
        <f t="shared" si="67"/>
        <v>2.2449464757052993</v>
      </c>
      <c r="CF67" s="61">
        <f t="shared" si="67"/>
        <v>1.7393919096192394</v>
      </c>
      <c r="CG67" s="61">
        <f t="shared" si="68"/>
        <v>2.0190001466937333</v>
      </c>
      <c r="CH67" s="61">
        <f t="shared" si="68"/>
        <v>2.4411448223574501</v>
      </c>
      <c r="CI67" s="61">
        <f t="shared" si="68"/>
        <v>2.5049784104029058</v>
      </c>
      <c r="CJ67" s="61">
        <f t="shared" si="68"/>
        <v>2.6896597003794231</v>
      </c>
      <c r="CK67" s="61">
        <f t="shared" si="68"/>
        <v>2.3268916414827721</v>
      </c>
      <c r="CL67" s="61">
        <f t="shared" si="68"/>
        <v>2.9144202758513891</v>
      </c>
      <c r="CM67" s="61">
        <f t="shared" si="68"/>
        <v>2.4484904126469647</v>
      </c>
      <c r="CN67" s="61">
        <f t="shared" si="68"/>
        <v>1.74867941073232</v>
      </c>
      <c r="CO67" s="61">
        <f t="shared" si="68"/>
        <v>2.0043082445802507</v>
      </c>
      <c r="CP67" s="61">
        <f t="shared" si="68"/>
        <v>2.9447505809690364</v>
      </c>
      <c r="CQ67" s="61">
        <f t="shared" si="69"/>
        <v>2.5374810396456509</v>
      </c>
      <c r="CR67" s="61">
        <f t="shared" si="69"/>
        <v>2.5164949570378066</v>
      </c>
      <c r="CS67" s="61">
        <f t="shared" si="69"/>
        <v>2.971781807647778</v>
      </c>
      <c r="CT67" s="61">
        <f t="shared" si="69"/>
        <v>2.9882281111623663</v>
      </c>
      <c r="CU67" s="61">
        <f t="shared" si="69"/>
        <v>2.4323894333976663</v>
      </c>
      <c r="CV67" s="61">
        <f t="shared" si="69"/>
        <v>2.3457824864793912</v>
      </c>
      <c r="CW67" s="61">
        <f t="shared" si="69"/>
        <v>2.9882281111623663</v>
      </c>
      <c r="CX67" s="61">
        <f t="shared" si="69"/>
        <v>2.4518667699849859</v>
      </c>
      <c r="CY67" s="61">
        <f t="shared" si="69"/>
        <v>3.007256360429952</v>
      </c>
      <c r="CZ67" s="61">
        <f t="shared" si="69"/>
        <v>3.007256360429952</v>
      </c>
      <c r="DA67" s="61">
        <f t="shared" si="70"/>
        <v>2.6437856157914936</v>
      </c>
      <c r="DB67" s="61">
        <f t="shared" si="70"/>
        <v>3.0295618576576127</v>
      </c>
      <c r="DC67" s="61">
        <f t="shared" si="70"/>
        <v>3.0295618576576127</v>
      </c>
      <c r="DD67" s="61">
        <f t="shared" si="70"/>
        <v>2.7354399507416374</v>
      </c>
      <c r="DE67" s="61">
        <f t="shared" si="70"/>
        <v>2.8997534406610104</v>
      </c>
      <c r="DF67" s="61">
        <f t="shared" si="70"/>
        <v>3.18165734564487</v>
      </c>
      <c r="DG67" s="61">
        <f t="shared" si="70"/>
        <v>3.2544530536709906</v>
      </c>
      <c r="DH67" s="61">
        <f t="shared" si="70"/>
        <v>3.2544530536709906</v>
      </c>
      <c r="DI67" s="61">
        <f t="shared" si="70"/>
        <v>3.2544530536709906</v>
      </c>
      <c r="DJ67" s="61">
        <f t="shared" si="70"/>
        <v>3.2544530536709906</v>
      </c>
      <c r="DK67" s="61">
        <f t="shared" si="71"/>
        <v>3.3657006390141153</v>
      </c>
      <c r="DL67" s="61">
        <f t="shared" si="71"/>
        <v>3.3657006390141153</v>
      </c>
      <c r="DM67" s="61">
        <f t="shared" si="71"/>
        <v>3.3657006390141153</v>
      </c>
      <c r="DN67" s="61">
        <f t="shared" si="71"/>
        <v>3.3657006390141153</v>
      </c>
      <c r="DO67" s="61">
        <f t="shared" si="71"/>
        <v>3.3657006390141153</v>
      </c>
      <c r="DP67" s="61">
        <f t="shared" si="71"/>
        <v>3.5767634851169623</v>
      </c>
      <c r="DQ67" s="61">
        <f t="shared" si="71"/>
        <v>3.5767634851169623</v>
      </c>
    </row>
    <row r="68" spans="1:121" x14ac:dyDescent="0.25">
      <c r="A68" s="48" t="str">
        <f>KMeans_Data!A59</f>
        <v>Sanghar</v>
      </c>
      <c r="B68" s="59">
        <f>KMeans_Data!H59</f>
        <v>0.10085169543381561</v>
      </c>
      <c r="C68" s="59">
        <f>KMeans_Data!I59</f>
        <v>-0.14698313392952958</v>
      </c>
      <c r="D68" s="59">
        <f>KMeans_Data!J59</f>
        <v>0.61832866607444492</v>
      </c>
      <c r="E68" s="61">
        <f t="shared" si="60"/>
        <v>5.8763954941776619</v>
      </c>
      <c r="F68" s="61">
        <f t="shared" si="60"/>
        <v>5.717831311777112</v>
      </c>
      <c r="G68" s="61">
        <f t="shared" si="60"/>
        <v>3.762970130701333</v>
      </c>
      <c r="H68" s="61">
        <f t="shared" si="60"/>
        <v>4.4537173695723435</v>
      </c>
      <c r="I68" s="61">
        <f t="shared" si="60"/>
        <v>3.2163454889690364</v>
      </c>
      <c r="J68" s="61">
        <f t="shared" si="60"/>
        <v>2.8766875804253216</v>
      </c>
      <c r="K68" s="61">
        <f t="shared" si="60"/>
        <v>1.9262276081308707</v>
      </c>
      <c r="L68" s="61">
        <f t="shared" si="60"/>
        <v>1.8422104154586556</v>
      </c>
      <c r="M68" s="61">
        <f t="shared" si="60"/>
        <v>2.0852684004894875</v>
      </c>
      <c r="N68" s="61">
        <f t="shared" si="60"/>
        <v>1.8146929323497936</v>
      </c>
      <c r="O68" s="61">
        <f t="shared" si="61"/>
        <v>1.962912401129743</v>
      </c>
      <c r="P68" s="61">
        <f t="shared" si="61"/>
        <v>2.2411670284379772</v>
      </c>
      <c r="Q68" s="61">
        <f t="shared" si="61"/>
        <v>1.5496632930237104</v>
      </c>
      <c r="R68" s="61">
        <f t="shared" si="61"/>
        <v>1.3708990403778827</v>
      </c>
      <c r="S68" s="61">
        <f t="shared" si="61"/>
        <v>1.0599493882425699</v>
      </c>
      <c r="T68" s="61">
        <f t="shared" si="61"/>
        <v>1.483711542453489</v>
      </c>
      <c r="U68" s="61">
        <f t="shared" si="61"/>
        <v>1.3470871998003948</v>
      </c>
      <c r="V68" s="61">
        <f t="shared" si="61"/>
        <v>1.7031408826071242</v>
      </c>
      <c r="W68" s="61">
        <f t="shared" si="61"/>
        <v>1.7314040714359538</v>
      </c>
      <c r="X68" s="61">
        <f t="shared" si="61"/>
        <v>1.2753693132080977</v>
      </c>
      <c r="Y68" s="61">
        <f t="shared" si="62"/>
        <v>1.341603798537744</v>
      </c>
      <c r="Z68" s="61">
        <f t="shared" si="62"/>
        <v>1.1711271535817491</v>
      </c>
      <c r="AA68" s="61">
        <f t="shared" si="62"/>
        <v>0.82285111911550302</v>
      </c>
      <c r="AB68" s="61">
        <f t="shared" si="62"/>
        <v>0.97533250453353837</v>
      </c>
      <c r="AC68" s="61">
        <f t="shared" si="62"/>
        <v>1.6684809251628789</v>
      </c>
      <c r="AD68" s="61">
        <f t="shared" si="62"/>
        <v>1.3066007188903526</v>
      </c>
      <c r="AE68" s="61">
        <f t="shared" si="62"/>
        <v>1.8461934608515069</v>
      </c>
      <c r="AF68" s="61">
        <f t="shared" si="62"/>
        <v>1.0053230308116643</v>
      </c>
      <c r="AG68" s="61">
        <f t="shared" si="62"/>
        <v>1.2411445014120392</v>
      </c>
      <c r="AH68" s="61">
        <f t="shared" si="62"/>
        <v>0.59044762822361219</v>
      </c>
      <c r="AI68" s="61">
        <f t="shared" si="63"/>
        <v>1.2399322102833923</v>
      </c>
      <c r="AJ68" s="61">
        <f t="shared" si="63"/>
        <v>0.97286630001622709</v>
      </c>
      <c r="AK68" s="61">
        <f t="shared" si="63"/>
        <v>0.75620213866226405</v>
      </c>
      <c r="AL68" s="61">
        <f t="shared" si="63"/>
        <v>0.38958312361892178</v>
      </c>
      <c r="AM68" s="61">
        <f t="shared" si="63"/>
        <v>1.6059474560243554</v>
      </c>
      <c r="AN68" s="61">
        <f t="shared" si="63"/>
        <v>1.3439463690256086</v>
      </c>
      <c r="AO68" s="61">
        <f t="shared" si="63"/>
        <v>0.62686231733767439</v>
      </c>
      <c r="AP68" s="61">
        <f t="shared" si="63"/>
        <v>0.63954244735834209</v>
      </c>
      <c r="AQ68" s="61">
        <f t="shared" si="63"/>
        <v>1.4523446046542812</v>
      </c>
      <c r="AR68" s="61">
        <f t="shared" si="63"/>
        <v>0.81477168175508763</v>
      </c>
      <c r="AS68" s="61">
        <f t="shared" si="64"/>
        <v>0.69083606565330269</v>
      </c>
      <c r="AT68" s="61">
        <f t="shared" si="64"/>
        <v>0.23279396144757916</v>
      </c>
      <c r="AU68" s="61">
        <f t="shared" si="64"/>
        <v>1.2652260390011465</v>
      </c>
      <c r="AV68" s="61">
        <f t="shared" si="64"/>
        <v>0.55788271099219566</v>
      </c>
      <c r="AW68" s="61">
        <f t="shared" si="64"/>
        <v>1.5417211415946637</v>
      </c>
      <c r="AX68" s="61">
        <f t="shared" si="64"/>
        <v>0.40978656093508858</v>
      </c>
      <c r="AY68" s="61">
        <f t="shared" si="64"/>
        <v>1.8433531892566355</v>
      </c>
      <c r="AZ68" s="61">
        <f t="shared" si="64"/>
        <v>0.67668451817892428</v>
      </c>
      <c r="BA68" s="61">
        <f t="shared" si="64"/>
        <v>0.20063414786844919</v>
      </c>
      <c r="BB68" s="61">
        <f t="shared" si="64"/>
        <v>1.8430091820525334</v>
      </c>
      <c r="BC68" s="61">
        <f t="shared" si="65"/>
        <v>1.8426844339624109</v>
      </c>
      <c r="BD68" s="61">
        <f t="shared" si="65"/>
        <v>1.2404382104642566</v>
      </c>
      <c r="BE68" s="61">
        <f t="shared" si="65"/>
        <v>1.0112189707342916</v>
      </c>
      <c r="BF68" s="61">
        <f t="shared" si="65"/>
        <v>1.536297024282121</v>
      </c>
      <c r="BG68" s="61">
        <f t="shared" si="65"/>
        <v>0</v>
      </c>
      <c r="BH68" s="61">
        <f t="shared" si="65"/>
        <v>1.840701689035062</v>
      </c>
      <c r="BI68" s="61">
        <f t="shared" si="65"/>
        <v>1.8409196218949868</v>
      </c>
      <c r="BJ68" s="61">
        <f t="shared" si="65"/>
        <v>0.92943211321771135</v>
      </c>
      <c r="BK68" s="61">
        <f t="shared" si="65"/>
        <v>1.149786484041019</v>
      </c>
      <c r="BL68" s="61">
        <f t="shared" si="65"/>
        <v>0.59317153114267185</v>
      </c>
      <c r="BM68" s="61">
        <f t="shared" si="66"/>
        <v>0.71725041913239351</v>
      </c>
      <c r="BN68" s="61">
        <f t="shared" si="66"/>
        <v>0.66821934921461701</v>
      </c>
      <c r="BO68" s="61">
        <f t="shared" si="66"/>
        <v>1.5444729264838255</v>
      </c>
      <c r="BP68" s="61">
        <f t="shared" si="66"/>
        <v>0.5089367686873898</v>
      </c>
      <c r="BQ68" s="61">
        <f t="shared" si="66"/>
        <v>0.31712337362590409</v>
      </c>
      <c r="BR68" s="61">
        <f t="shared" si="66"/>
        <v>0.30106857872099246</v>
      </c>
      <c r="BS68" s="61">
        <f t="shared" si="66"/>
        <v>0.59308099603305753</v>
      </c>
      <c r="BT68" s="61">
        <f t="shared" si="66"/>
        <v>0.74574584126436638</v>
      </c>
      <c r="BU68" s="61">
        <f t="shared" si="66"/>
        <v>0.7968817625019714</v>
      </c>
      <c r="BV68" s="61">
        <f t="shared" si="66"/>
        <v>1.8756533954510186</v>
      </c>
      <c r="BW68" s="61">
        <f t="shared" si="67"/>
        <v>0.72681106531442607</v>
      </c>
      <c r="BX68" s="61">
        <f t="shared" si="67"/>
        <v>1.8787995912937121</v>
      </c>
      <c r="BY68" s="61">
        <f t="shared" si="67"/>
        <v>1.041793730786561</v>
      </c>
      <c r="BZ68" s="61">
        <f t="shared" si="67"/>
        <v>1.0968164874070878</v>
      </c>
      <c r="CA68" s="61">
        <f t="shared" si="67"/>
        <v>1.8897411112263844</v>
      </c>
      <c r="CB68" s="61">
        <f t="shared" si="67"/>
        <v>1.1040717491916259</v>
      </c>
      <c r="CC68" s="61">
        <f t="shared" si="67"/>
        <v>1.8939613216151392</v>
      </c>
      <c r="CD68" s="61">
        <f t="shared" si="67"/>
        <v>1.9034190024757998</v>
      </c>
      <c r="CE68" s="61">
        <f t="shared" si="67"/>
        <v>0.92881577731680887</v>
      </c>
      <c r="CF68" s="61">
        <f t="shared" si="67"/>
        <v>0.69634965267936977</v>
      </c>
      <c r="CG68" s="61">
        <f t="shared" si="68"/>
        <v>1.1677445407993188</v>
      </c>
      <c r="CH68" s="61">
        <f t="shared" si="68"/>
        <v>1.2806067077898473</v>
      </c>
      <c r="CI68" s="61">
        <f t="shared" si="68"/>
        <v>1.3857847126495151</v>
      </c>
      <c r="CJ68" s="61">
        <f t="shared" si="68"/>
        <v>1.6667199347868591</v>
      </c>
      <c r="CK68" s="61">
        <f t="shared" si="68"/>
        <v>1.0958580067939876</v>
      </c>
      <c r="CL68" s="61">
        <f t="shared" si="68"/>
        <v>1.9828998994190963</v>
      </c>
      <c r="CM68" s="61">
        <f t="shared" si="68"/>
        <v>1.3007939210969637</v>
      </c>
      <c r="CN68" s="61">
        <f t="shared" si="68"/>
        <v>0.80710372610878489</v>
      </c>
      <c r="CO68" s="61">
        <f t="shared" si="68"/>
        <v>1.1643293045200254</v>
      </c>
      <c r="CP68" s="61">
        <f t="shared" si="68"/>
        <v>2.0255821930734581</v>
      </c>
      <c r="CQ68" s="61">
        <f t="shared" si="69"/>
        <v>1.4492249055556756</v>
      </c>
      <c r="CR68" s="61">
        <f t="shared" si="69"/>
        <v>1.4204794016870963</v>
      </c>
      <c r="CS68" s="61">
        <f t="shared" si="69"/>
        <v>2.0633925745167301</v>
      </c>
      <c r="CT68" s="61">
        <f t="shared" si="69"/>
        <v>2.0862815494900198</v>
      </c>
      <c r="CU68" s="61">
        <f t="shared" si="69"/>
        <v>1.7453490430682972</v>
      </c>
      <c r="CV68" s="61">
        <f t="shared" si="69"/>
        <v>1.168631210673875</v>
      </c>
      <c r="CW68" s="61">
        <f t="shared" si="69"/>
        <v>2.0862815494900198</v>
      </c>
      <c r="CX68" s="61">
        <f t="shared" si="69"/>
        <v>1.3333627991431298</v>
      </c>
      <c r="CY68" s="61">
        <f t="shared" si="69"/>
        <v>2.1126513063644379</v>
      </c>
      <c r="CZ68" s="61">
        <f t="shared" si="69"/>
        <v>2.1126513063644379</v>
      </c>
      <c r="DA68" s="61">
        <f t="shared" si="70"/>
        <v>1.6154348001273717</v>
      </c>
      <c r="DB68" s="61">
        <f t="shared" si="70"/>
        <v>2.143407340807868</v>
      </c>
      <c r="DC68" s="61">
        <f t="shared" si="70"/>
        <v>2.143407340807868</v>
      </c>
      <c r="DD68" s="61">
        <f t="shared" si="70"/>
        <v>1.7485232391235068</v>
      </c>
      <c r="DE68" s="61">
        <f t="shared" si="70"/>
        <v>1.9787648592158615</v>
      </c>
      <c r="DF68" s="61">
        <f t="shared" si="70"/>
        <v>2.3487862731172036</v>
      </c>
      <c r="DG68" s="61">
        <f t="shared" si="70"/>
        <v>2.4446159819680218</v>
      </c>
      <c r="DH68" s="61">
        <f t="shared" si="70"/>
        <v>2.4446159819680218</v>
      </c>
      <c r="DI68" s="61">
        <f t="shared" si="70"/>
        <v>2.4446159819680218</v>
      </c>
      <c r="DJ68" s="61">
        <f t="shared" si="70"/>
        <v>2.4446159819680218</v>
      </c>
      <c r="DK68" s="61">
        <f t="shared" si="71"/>
        <v>2.5883774445742067</v>
      </c>
      <c r="DL68" s="61">
        <f t="shared" si="71"/>
        <v>2.5883774445742067</v>
      </c>
      <c r="DM68" s="61">
        <f t="shared" si="71"/>
        <v>2.5883774445742067</v>
      </c>
      <c r="DN68" s="61">
        <f t="shared" si="71"/>
        <v>2.5883774445742067</v>
      </c>
      <c r="DO68" s="61">
        <f t="shared" si="71"/>
        <v>2.5883774445742067</v>
      </c>
      <c r="DP68" s="61">
        <f t="shared" si="71"/>
        <v>2.8535762728581746</v>
      </c>
      <c r="DQ68" s="61">
        <f t="shared" si="71"/>
        <v>2.8535762728581746</v>
      </c>
    </row>
    <row r="69" spans="1:121" x14ac:dyDescent="0.25">
      <c r="A69" s="48" t="str">
        <f>KMeans_Data!A60</f>
        <v>Bhakkar</v>
      </c>
      <c r="B69" s="59">
        <f>KMeans_Data!H60</f>
        <v>8.4835969706560738E-2</v>
      </c>
      <c r="C69" s="59">
        <f>KMeans_Data!I60</f>
        <v>-0.67265054538827607</v>
      </c>
      <c r="D69" s="59">
        <f>KMeans_Data!J60</f>
        <v>-1.1456441163335547</v>
      </c>
      <c r="E69" s="61">
        <f t="shared" si="60"/>
        <v>7.1914209448379909</v>
      </c>
      <c r="F69" s="61">
        <f t="shared" si="60"/>
        <v>6.9269537459761095</v>
      </c>
      <c r="G69" s="61">
        <f t="shared" si="60"/>
        <v>5.1356777375772937</v>
      </c>
      <c r="H69" s="61">
        <f t="shared" si="60"/>
        <v>5.549677313033988</v>
      </c>
      <c r="I69" s="61">
        <f t="shared" si="60"/>
        <v>4.4642500476134686</v>
      </c>
      <c r="J69" s="61">
        <f t="shared" si="60"/>
        <v>4.1375140515701947</v>
      </c>
      <c r="K69" s="61">
        <f t="shared" si="60"/>
        <v>1.5399548677293187</v>
      </c>
      <c r="L69" s="61">
        <f t="shared" si="60"/>
        <v>3.4054330681584131</v>
      </c>
      <c r="M69" s="61">
        <f t="shared" si="60"/>
        <v>3.6058914243295574</v>
      </c>
      <c r="N69" s="61">
        <f t="shared" si="60"/>
        <v>1.2753506206145802</v>
      </c>
      <c r="O69" s="61">
        <f t="shared" si="61"/>
        <v>3.2072162427970392</v>
      </c>
      <c r="P69" s="61">
        <f t="shared" si="61"/>
        <v>3.5203573006862228</v>
      </c>
      <c r="Q69" s="61">
        <f t="shared" si="61"/>
        <v>2.9410060014045905</v>
      </c>
      <c r="R69" s="61">
        <f t="shared" si="61"/>
        <v>2.975949255998326</v>
      </c>
      <c r="S69" s="61">
        <f t="shared" si="61"/>
        <v>2.5447937815095898</v>
      </c>
      <c r="T69" s="61">
        <f t="shared" si="61"/>
        <v>2.8555989750274127</v>
      </c>
      <c r="U69" s="61">
        <f t="shared" si="61"/>
        <v>3.0305914669763352</v>
      </c>
      <c r="V69" s="61">
        <f t="shared" si="61"/>
        <v>2.8141542661784076</v>
      </c>
      <c r="W69" s="61">
        <f t="shared" si="61"/>
        <v>3.0218171488700909</v>
      </c>
      <c r="X69" s="61">
        <f t="shared" si="61"/>
        <v>2.7410480343387915</v>
      </c>
      <c r="Y69" s="61">
        <f t="shared" si="62"/>
        <v>2.9158794557576773</v>
      </c>
      <c r="Z69" s="61">
        <f t="shared" si="62"/>
        <v>2.4042659669611282</v>
      </c>
      <c r="AA69" s="61">
        <f t="shared" si="62"/>
        <v>2.369530241757503</v>
      </c>
      <c r="AB69" s="61">
        <f t="shared" si="62"/>
        <v>2.2943701848060685</v>
      </c>
      <c r="AC69" s="61">
        <f t="shared" si="62"/>
        <v>2.8611423715959345</v>
      </c>
      <c r="AD69" s="61">
        <f t="shared" si="62"/>
        <v>2.9055794074122234</v>
      </c>
      <c r="AE69" s="61">
        <f t="shared" si="62"/>
        <v>0.76867708942190494</v>
      </c>
      <c r="AF69" s="61">
        <f t="shared" si="62"/>
        <v>2.487987399588353</v>
      </c>
      <c r="AG69" s="61">
        <f t="shared" si="62"/>
        <v>0.89397076527881858</v>
      </c>
      <c r="AH69" s="61">
        <f t="shared" si="62"/>
        <v>2.156660487724221</v>
      </c>
      <c r="AI69" s="61">
        <f t="shared" si="63"/>
        <v>0.89223012480858832</v>
      </c>
      <c r="AJ69" s="61">
        <f t="shared" si="63"/>
        <v>2.6128620650671794</v>
      </c>
      <c r="AK69" s="61">
        <f t="shared" si="63"/>
        <v>1.8320933584590511</v>
      </c>
      <c r="AL69" s="61">
        <f t="shared" si="63"/>
        <v>1.8216230984720221</v>
      </c>
      <c r="AM69" s="61">
        <f t="shared" si="63"/>
        <v>2.5473140901815929</v>
      </c>
      <c r="AN69" s="61">
        <f t="shared" si="63"/>
        <v>2.6310461231568749</v>
      </c>
      <c r="AO69" s="61">
        <f t="shared" si="63"/>
        <v>2.0169357610235745</v>
      </c>
      <c r="AP69" s="61">
        <f t="shared" si="63"/>
        <v>1.9501308311123158</v>
      </c>
      <c r="AQ69" s="61">
        <f t="shared" si="63"/>
        <v>2.6524801570632719</v>
      </c>
      <c r="AR69" s="61">
        <f t="shared" si="63"/>
        <v>1.3876891505337374</v>
      </c>
      <c r="AS69" s="61">
        <f t="shared" si="64"/>
        <v>2.1690757604662783</v>
      </c>
      <c r="AT69" s="61">
        <f t="shared" si="64"/>
        <v>1.9994958637341251</v>
      </c>
      <c r="AU69" s="61">
        <f t="shared" si="64"/>
        <v>0.75298169404157722</v>
      </c>
      <c r="AV69" s="61">
        <f t="shared" si="64"/>
        <v>1.6694156903066493</v>
      </c>
      <c r="AW69" s="61">
        <f t="shared" si="64"/>
        <v>0.35611316929196818</v>
      </c>
      <c r="AX69" s="61">
        <f t="shared" si="64"/>
        <v>1.7459953132480064</v>
      </c>
      <c r="AY69" s="61">
        <f t="shared" si="64"/>
        <v>0.11613952807539807</v>
      </c>
      <c r="AZ69" s="61">
        <f t="shared" si="64"/>
        <v>2.1812539417740946</v>
      </c>
      <c r="BA69" s="61">
        <f t="shared" si="64"/>
        <v>2.0143377971884653</v>
      </c>
      <c r="BB69" s="61">
        <f t="shared" si="64"/>
        <v>0.10959264907905725</v>
      </c>
      <c r="BC69" s="61">
        <f t="shared" si="65"/>
        <v>0.10296236810872469</v>
      </c>
      <c r="BD69" s="61">
        <f t="shared" si="65"/>
        <v>0.64767834854807704</v>
      </c>
      <c r="BE69" s="61">
        <f t="shared" si="65"/>
        <v>0.90431376949109588</v>
      </c>
      <c r="BF69" s="61">
        <f t="shared" si="65"/>
        <v>2.8117509253237958</v>
      </c>
      <c r="BG69" s="61">
        <f t="shared" si="65"/>
        <v>1.840701689035062</v>
      </c>
      <c r="BH69" s="61">
        <f t="shared" si="65"/>
        <v>0</v>
      </c>
      <c r="BI69" s="61">
        <f t="shared" si="65"/>
        <v>1.6524245569935425E-2</v>
      </c>
      <c r="BJ69" s="61">
        <f t="shared" si="65"/>
        <v>1.6790828993339164</v>
      </c>
      <c r="BK69" s="61">
        <f t="shared" si="65"/>
        <v>0.74995839795562758</v>
      </c>
      <c r="BL69" s="61">
        <f t="shared" si="65"/>
        <v>1.5123596864158417</v>
      </c>
      <c r="BM69" s="61">
        <f t="shared" si="66"/>
        <v>2.0537882022008982</v>
      </c>
      <c r="BN69" s="61">
        <f t="shared" si="66"/>
        <v>1.4571813231297559</v>
      </c>
      <c r="BO69" s="61">
        <f t="shared" si="66"/>
        <v>0.35438292943154226</v>
      </c>
      <c r="BP69" s="61">
        <f t="shared" si="66"/>
        <v>1.6486767691075022</v>
      </c>
      <c r="BQ69" s="61">
        <f t="shared" si="66"/>
        <v>1.6269245208809455</v>
      </c>
      <c r="BR69" s="61">
        <f t="shared" si="66"/>
        <v>1.6758365533911044</v>
      </c>
      <c r="BS69" s="61">
        <f t="shared" si="66"/>
        <v>1.7618688670106388</v>
      </c>
      <c r="BT69" s="61">
        <f t="shared" si="66"/>
        <v>1.3724407053996677</v>
      </c>
      <c r="BU69" s="61">
        <f t="shared" si="66"/>
        <v>1.2901219438488698</v>
      </c>
      <c r="BV69" s="61">
        <f t="shared" si="66"/>
        <v>0.34474659952439324</v>
      </c>
      <c r="BW69" s="61">
        <f t="shared" si="67"/>
        <v>1.4770942384161647</v>
      </c>
      <c r="BX69" s="61">
        <f t="shared" si="67"/>
        <v>0.36076232525164809</v>
      </c>
      <c r="BY69" s="61">
        <f t="shared" si="67"/>
        <v>1.0411666638906572</v>
      </c>
      <c r="BZ69" s="61">
        <f t="shared" si="67"/>
        <v>0.99138063064279225</v>
      </c>
      <c r="CA69" s="61">
        <f t="shared" si="67"/>
        <v>0.41199743167935021</v>
      </c>
      <c r="CB69" s="61">
        <f t="shared" si="67"/>
        <v>0.99910887962481498</v>
      </c>
      <c r="CC69" s="61">
        <f t="shared" si="67"/>
        <v>0.43026141151843189</v>
      </c>
      <c r="CD69" s="61">
        <f t="shared" si="67"/>
        <v>0.46883238908810676</v>
      </c>
      <c r="CE69" s="61">
        <f t="shared" si="67"/>
        <v>1.2853287128542379</v>
      </c>
      <c r="CF69" s="61">
        <f t="shared" si="67"/>
        <v>1.4718624238119973</v>
      </c>
      <c r="CG69" s="61">
        <f t="shared" si="68"/>
        <v>1.0683784669879128</v>
      </c>
      <c r="CH69" s="61">
        <f t="shared" si="68"/>
        <v>0.9301109187907125</v>
      </c>
      <c r="CI69" s="61">
        <f t="shared" si="68"/>
        <v>0.88270268230514959</v>
      </c>
      <c r="CJ69" s="61">
        <f t="shared" si="68"/>
        <v>0.709010261666984</v>
      </c>
      <c r="CK69" s="61">
        <f t="shared" si="68"/>
        <v>1.3079538901359025</v>
      </c>
      <c r="CL69" s="61">
        <f t="shared" si="68"/>
        <v>0.72152465050329628</v>
      </c>
      <c r="CM69" s="61">
        <f t="shared" si="68"/>
        <v>1.0999868531546151</v>
      </c>
      <c r="CN69" s="61">
        <f t="shared" si="68"/>
        <v>2.0123816728795845</v>
      </c>
      <c r="CO69" s="61">
        <f t="shared" si="68"/>
        <v>1.3758879296790285</v>
      </c>
      <c r="CP69" s="61">
        <f t="shared" si="68"/>
        <v>0.82959471433975496</v>
      </c>
      <c r="CQ69" s="61">
        <f t="shared" si="69"/>
        <v>1.1468654975809491</v>
      </c>
      <c r="CR69" s="61">
        <f t="shared" si="69"/>
        <v>1.2366977457768216</v>
      </c>
      <c r="CS69" s="61">
        <f t="shared" si="69"/>
        <v>0.91654135672122461</v>
      </c>
      <c r="CT69" s="61">
        <f t="shared" si="69"/>
        <v>0.9661474476795463</v>
      </c>
      <c r="CU69" s="61">
        <f t="shared" si="69"/>
        <v>1.1458339050012254</v>
      </c>
      <c r="CV69" s="61">
        <f t="shared" si="69"/>
        <v>1.7099148671548072</v>
      </c>
      <c r="CW69" s="61">
        <f t="shared" si="69"/>
        <v>0.9661474476795463</v>
      </c>
      <c r="CX69" s="61">
        <f t="shared" si="69"/>
        <v>1.5090036886157445</v>
      </c>
      <c r="CY69" s="61">
        <f t="shared" si="69"/>
        <v>1.0209844371162262</v>
      </c>
      <c r="CZ69" s="61">
        <f t="shared" si="69"/>
        <v>1.0209844371162262</v>
      </c>
      <c r="DA69" s="61">
        <f t="shared" si="70"/>
        <v>1.2062678391324217</v>
      </c>
      <c r="DB69" s="61">
        <f t="shared" si="70"/>
        <v>1.0822869757549447</v>
      </c>
      <c r="DC69" s="61">
        <f t="shared" si="70"/>
        <v>1.0822869757549447</v>
      </c>
      <c r="DD69" s="61">
        <f t="shared" si="70"/>
        <v>1.1960412262714826</v>
      </c>
      <c r="DE69" s="61">
        <f t="shared" si="70"/>
        <v>1.2731982506172379</v>
      </c>
      <c r="DF69" s="61">
        <f t="shared" si="70"/>
        <v>1.443049301006593</v>
      </c>
      <c r="DG69" s="61">
        <f t="shared" si="70"/>
        <v>1.5927791943130578</v>
      </c>
      <c r="DH69" s="61">
        <f t="shared" si="70"/>
        <v>1.5927791943130578</v>
      </c>
      <c r="DI69" s="61">
        <f t="shared" si="70"/>
        <v>1.5927791943130578</v>
      </c>
      <c r="DJ69" s="61">
        <f t="shared" si="70"/>
        <v>1.5927791943130578</v>
      </c>
      <c r="DK69" s="61">
        <f t="shared" si="71"/>
        <v>1.8038116262582411</v>
      </c>
      <c r="DL69" s="61">
        <f t="shared" si="71"/>
        <v>1.8038116262582411</v>
      </c>
      <c r="DM69" s="61">
        <f t="shared" si="71"/>
        <v>1.8038116262582411</v>
      </c>
      <c r="DN69" s="61">
        <f t="shared" si="71"/>
        <v>1.8038116262582411</v>
      </c>
      <c r="DO69" s="61">
        <f t="shared" si="71"/>
        <v>1.8038116262582411</v>
      </c>
      <c r="DP69" s="61">
        <f t="shared" si="71"/>
        <v>2.1645739515098894</v>
      </c>
      <c r="DQ69" s="61">
        <f t="shared" si="71"/>
        <v>2.1645739515098894</v>
      </c>
    </row>
    <row r="70" spans="1:121" x14ac:dyDescent="0.25">
      <c r="A70" s="48" t="str">
        <f>KMeans_Data!A61</f>
        <v>Muzaffargar</v>
      </c>
      <c r="B70" s="59">
        <f>KMeans_Data!H61</f>
        <v>6.8311724136625313E-2</v>
      </c>
      <c r="C70" s="59">
        <f>KMeans_Data!I61</f>
        <v>-0.67265054538827607</v>
      </c>
      <c r="D70" s="59">
        <f>KMeans_Data!J61</f>
        <v>-1.1456441163335547</v>
      </c>
      <c r="E70" s="61">
        <f t="shared" si="60"/>
        <v>7.1987648607522274</v>
      </c>
      <c r="F70" s="61">
        <f t="shared" si="60"/>
        <v>6.9345201815562314</v>
      </c>
      <c r="G70" s="61">
        <f t="shared" si="60"/>
        <v>5.143034064256069</v>
      </c>
      <c r="H70" s="61">
        <f t="shared" si="60"/>
        <v>5.5564281753589881</v>
      </c>
      <c r="I70" s="61">
        <f t="shared" si="60"/>
        <v>4.4719962214710742</v>
      </c>
      <c r="J70" s="61">
        <f t="shared" si="60"/>
        <v>4.1431700595073746</v>
      </c>
      <c r="K70" s="61">
        <f t="shared" si="60"/>
        <v>1.5534471802101395</v>
      </c>
      <c r="L70" s="61">
        <f t="shared" si="60"/>
        <v>3.4114435251321851</v>
      </c>
      <c r="M70" s="61">
        <f t="shared" si="60"/>
        <v>3.6113064925013032</v>
      </c>
      <c r="N70" s="61">
        <f t="shared" si="60"/>
        <v>1.2898440188972871</v>
      </c>
      <c r="O70" s="61">
        <f t="shared" si="61"/>
        <v>3.2126960566111231</v>
      </c>
      <c r="P70" s="61">
        <f t="shared" si="61"/>
        <v>3.525284392975303</v>
      </c>
      <c r="Q70" s="61">
        <f t="shared" si="61"/>
        <v>2.9464282866867832</v>
      </c>
      <c r="R70" s="61">
        <f t="shared" si="61"/>
        <v>2.9812792124527978</v>
      </c>
      <c r="S70" s="61">
        <f t="shared" si="61"/>
        <v>2.5508335102712127</v>
      </c>
      <c r="T70" s="61">
        <f t="shared" si="61"/>
        <v>2.8607678279098177</v>
      </c>
      <c r="U70" s="61">
        <f t="shared" si="61"/>
        <v>3.0349698551514535</v>
      </c>
      <c r="V70" s="61">
        <f t="shared" si="61"/>
        <v>2.8187096306269317</v>
      </c>
      <c r="W70" s="61">
        <f t="shared" si="61"/>
        <v>3.0260497497460475</v>
      </c>
      <c r="X70" s="61">
        <f t="shared" si="61"/>
        <v>2.7456568395426695</v>
      </c>
      <c r="Y70" s="61">
        <f t="shared" si="62"/>
        <v>2.9199187062035459</v>
      </c>
      <c r="Z70" s="61">
        <f t="shared" si="62"/>
        <v>2.4091342453537794</v>
      </c>
      <c r="AA70" s="61">
        <f t="shared" si="62"/>
        <v>2.3744549847502978</v>
      </c>
      <c r="AB70" s="61">
        <f t="shared" si="62"/>
        <v>2.299455903671388</v>
      </c>
      <c r="AC70" s="61">
        <f t="shared" si="62"/>
        <v>2.8650971671066672</v>
      </c>
      <c r="AD70" s="61">
        <f t="shared" si="62"/>
        <v>2.909169320468973</v>
      </c>
      <c r="AE70" s="61">
        <f t="shared" si="62"/>
        <v>0.78081517535110789</v>
      </c>
      <c r="AF70" s="61">
        <f t="shared" si="62"/>
        <v>2.4914772570046675</v>
      </c>
      <c r="AG70" s="61">
        <f t="shared" si="62"/>
        <v>0.90318711356446768</v>
      </c>
      <c r="AH70" s="61">
        <f t="shared" si="62"/>
        <v>2.1604970937834174</v>
      </c>
      <c r="AI70" s="61">
        <f t="shared" si="63"/>
        <v>0.90140627045044419</v>
      </c>
      <c r="AJ70" s="61">
        <f t="shared" si="63"/>
        <v>2.6159693777027599</v>
      </c>
      <c r="AK70" s="61">
        <f t="shared" si="63"/>
        <v>1.8361928525342655</v>
      </c>
      <c r="AL70" s="61">
        <f t="shared" si="63"/>
        <v>1.8253219752301408</v>
      </c>
      <c r="AM70" s="61">
        <f t="shared" si="63"/>
        <v>2.5499605240883492</v>
      </c>
      <c r="AN70" s="61">
        <f t="shared" si="63"/>
        <v>2.6334133908290127</v>
      </c>
      <c r="AO70" s="61">
        <f t="shared" si="63"/>
        <v>2.0198558422028952</v>
      </c>
      <c r="AP70" s="61">
        <f t="shared" si="63"/>
        <v>1.9531154236943691</v>
      </c>
      <c r="AQ70" s="61">
        <f t="shared" si="63"/>
        <v>2.6545418877402982</v>
      </c>
      <c r="AR70" s="61">
        <f t="shared" si="63"/>
        <v>1.3914146440179223</v>
      </c>
      <c r="AS70" s="61">
        <f t="shared" si="64"/>
        <v>2.1709074548822191</v>
      </c>
      <c r="AT70" s="61">
        <f t="shared" si="64"/>
        <v>2.0011244354121915</v>
      </c>
      <c r="AU70" s="61">
        <f t="shared" si="64"/>
        <v>0.75704601895989176</v>
      </c>
      <c r="AV70" s="61">
        <f t="shared" si="64"/>
        <v>1.6711953210701809</v>
      </c>
      <c r="AW70" s="61">
        <f t="shared" si="64"/>
        <v>0.36355446047288759</v>
      </c>
      <c r="AX70" s="61">
        <f t="shared" si="64"/>
        <v>1.7474706605917762</v>
      </c>
      <c r="AY70" s="61">
        <f t="shared" si="64"/>
        <v>0.13266377364533349</v>
      </c>
      <c r="AZ70" s="61">
        <f t="shared" si="64"/>
        <v>2.1821961518986486</v>
      </c>
      <c r="BA70" s="61">
        <f t="shared" si="64"/>
        <v>2.0153043649944835</v>
      </c>
      <c r="BB70" s="61">
        <f t="shared" si="64"/>
        <v>0.12611689464899267</v>
      </c>
      <c r="BC70" s="61">
        <f t="shared" si="65"/>
        <v>0.11948661367866012</v>
      </c>
      <c r="BD70" s="61">
        <f t="shared" si="65"/>
        <v>0.64999109159009594</v>
      </c>
      <c r="BE70" s="61">
        <f t="shared" si="65"/>
        <v>0.90571499725715632</v>
      </c>
      <c r="BF70" s="61">
        <f t="shared" si="65"/>
        <v>2.8120735610895298</v>
      </c>
      <c r="BG70" s="61">
        <f t="shared" si="65"/>
        <v>1.8409196218949868</v>
      </c>
      <c r="BH70" s="61">
        <f t="shared" si="65"/>
        <v>1.6524245569935425E-2</v>
      </c>
      <c r="BI70" s="61">
        <f t="shared" si="65"/>
        <v>0</v>
      </c>
      <c r="BJ70" s="61">
        <f t="shared" si="65"/>
        <v>1.6785708324552333</v>
      </c>
      <c r="BK70" s="61">
        <f t="shared" si="65"/>
        <v>0.74840088029935248</v>
      </c>
      <c r="BL70" s="61">
        <f t="shared" si="65"/>
        <v>1.5114835365098158</v>
      </c>
      <c r="BM70" s="61">
        <f t="shared" si="66"/>
        <v>2.0529036684724766</v>
      </c>
      <c r="BN70" s="61">
        <f t="shared" si="66"/>
        <v>1.455817392734865</v>
      </c>
      <c r="BO70" s="61">
        <f t="shared" si="66"/>
        <v>0.3477239771885518</v>
      </c>
      <c r="BP70" s="61">
        <f t="shared" si="66"/>
        <v>1.6469212736941528</v>
      </c>
      <c r="BQ70" s="61">
        <f t="shared" si="66"/>
        <v>1.6250265965355088</v>
      </c>
      <c r="BR70" s="61">
        <f t="shared" si="66"/>
        <v>1.673755064931665</v>
      </c>
      <c r="BS70" s="61">
        <f t="shared" si="66"/>
        <v>1.7595269408660701</v>
      </c>
      <c r="BT70" s="61">
        <f t="shared" si="66"/>
        <v>1.3689301831813658</v>
      </c>
      <c r="BU70" s="61">
        <f t="shared" si="66"/>
        <v>1.2863867950921357</v>
      </c>
      <c r="BV70" s="61">
        <f t="shared" si="66"/>
        <v>0.32822235395445776</v>
      </c>
      <c r="BW70" s="61">
        <f t="shared" si="67"/>
        <v>1.4731455424852655</v>
      </c>
      <c r="BX70" s="61">
        <f t="shared" si="67"/>
        <v>0.34423807968171261</v>
      </c>
      <c r="BY70" s="61">
        <f t="shared" si="67"/>
        <v>1.0350209231177183</v>
      </c>
      <c r="BZ70" s="61">
        <f t="shared" si="67"/>
        <v>0.9846282100543593</v>
      </c>
      <c r="CA70" s="61">
        <f t="shared" si="67"/>
        <v>0.39547318610941484</v>
      </c>
      <c r="CB70" s="61">
        <f t="shared" si="67"/>
        <v>0.99210489041754724</v>
      </c>
      <c r="CC70" s="61">
        <f t="shared" si="67"/>
        <v>0.41373716594849641</v>
      </c>
      <c r="CD70" s="61">
        <f t="shared" si="67"/>
        <v>0.45230814351817128</v>
      </c>
      <c r="CE70" s="61">
        <f t="shared" si="67"/>
        <v>1.2791302209270985</v>
      </c>
      <c r="CF70" s="61">
        <f t="shared" si="67"/>
        <v>1.466452596107765</v>
      </c>
      <c r="CG70" s="61">
        <f t="shared" si="68"/>
        <v>1.0598763800641327</v>
      </c>
      <c r="CH70" s="61">
        <f t="shared" si="68"/>
        <v>0.92033239296903524</v>
      </c>
      <c r="CI70" s="61">
        <f t="shared" si="68"/>
        <v>0.87145281638514049</v>
      </c>
      <c r="CJ70" s="61">
        <f t="shared" si="68"/>
        <v>0.69431927376093017</v>
      </c>
      <c r="CK70" s="61">
        <f t="shared" si="68"/>
        <v>1.299312863510075</v>
      </c>
      <c r="CL70" s="61">
        <f t="shared" si="68"/>
        <v>0.70500040493336091</v>
      </c>
      <c r="CM70" s="61">
        <f t="shared" si="68"/>
        <v>1.0892193657777536</v>
      </c>
      <c r="CN70" s="61">
        <f t="shared" si="68"/>
        <v>2.0059438942994432</v>
      </c>
      <c r="CO70" s="61">
        <f t="shared" si="68"/>
        <v>1.3659882108428161</v>
      </c>
      <c r="CP70" s="61">
        <f t="shared" si="68"/>
        <v>0.81307046876981959</v>
      </c>
      <c r="CQ70" s="61">
        <f t="shared" si="69"/>
        <v>1.1343632011668858</v>
      </c>
      <c r="CR70" s="61">
        <f t="shared" si="69"/>
        <v>1.2245015541820277</v>
      </c>
      <c r="CS70" s="61">
        <f t="shared" si="69"/>
        <v>0.90001711115128924</v>
      </c>
      <c r="CT70" s="61">
        <f t="shared" si="69"/>
        <v>0.94962320210961093</v>
      </c>
      <c r="CU70" s="61">
        <f t="shared" si="69"/>
        <v>1.1319358078873405</v>
      </c>
      <c r="CV70" s="61">
        <f t="shared" si="69"/>
        <v>1.7006328787378691</v>
      </c>
      <c r="CW70" s="61">
        <f t="shared" si="69"/>
        <v>0.94962320210961093</v>
      </c>
      <c r="CX70" s="61">
        <f t="shared" si="69"/>
        <v>1.4978728877390084</v>
      </c>
      <c r="CY70" s="61">
        <f t="shared" si="69"/>
        <v>1.0044601915462907</v>
      </c>
      <c r="CZ70" s="61">
        <f t="shared" si="69"/>
        <v>1.0044601915462907</v>
      </c>
      <c r="DA70" s="61">
        <f t="shared" si="70"/>
        <v>1.1923142015814772</v>
      </c>
      <c r="DB70" s="61">
        <f t="shared" si="70"/>
        <v>1.0657627301850092</v>
      </c>
      <c r="DC70" s="61">
        <f t="shared" si="70"/>
        <v>1.0657627301850092</v>
      </c>
      <c r="DD70" s="61">
        <f t="shared" si="70"/>
        <v>1.1811095267178282</v>
      </c>
      <c r="DE70" s="61">
        <f t="shared" si="70"/>
        <v>1.2572153902514489</v>
      </c>
      <c r="DF70" s="61">
        <f t="shared" si="70"/>
        <v>1.4265250554366575</v>
      </c>
      <c r="DG70" s="61">
        <f t="shared" si="70"/>
        <v>1.5762549487431223</v>
      </c>
      <c r="DH70" s="61">
        <f t="shared" si="70"/>
        <v>1.5762549487431223</v>
      </c>
      <c r="DI70" s="61">
        <f t="shared" si="70"/>
        <v>1.5762549487431223</v>
      </c>
      <c r="DJ70" s="61">
        <f t="shared" si="70"/>
        <v>1.5762549487431223</v>
      </c>
      <c r="DK70" s="61">
        <f t="shared" si="71"/>
        <v>1.7872873806883056</v>
      </c>
      <c r="DL70" s="61">
        <f t="shared" si="71"/>
        <v>1.7872873806883056</v>
      </c>
      <c r="DM70" s="61">
        <f t="shared" si="71"/>
        <v>1.7872873806883056</v>
      </c>
      <c r="DN70" s="61">
        <f t="shared" si="71"/>
        <v>1.7872873806883056</v>
      </c>
      <c r="DO70" s="61">
        <f t="shared" si="71"/>
        <v>1.7872873806883056</v>
      </c>
      <c r="DP70" s="61">
        <f t="shared" si="71"/>
        <v>2.1480497059399539</v>
      </c>
      <c r="DQ70" s="61">
        <f t="shared" si="71"/>
        <v>2.1480497059399539</v>
      </c>
    </row>
    <row r="71" spans="1:121" x14ac:dyDescent="0.25">
      <c r="A71" s="48" t="str">
        <f>KMeans_Data!A62</f>
        <v>Badin</v>
      </c>
      <c r="B71" s="59">
        <f>KMeans_Data!H62</f>
        <v>2.4548982643863189E-2</v>
      </c>
      <c r="C71" s="59">
        <f>KMeans_Data!I62</f>
        <v>0.54791138584450239</v>
      </c>
      <c r="D71" s="59">
        <f>KMeans_Data!J62</f>
        <v>5.8390290280275915E-3</v>
      </c>
      <c r="E71" s="61">
        <f t="shared" si="60"/>
        <v>5.7697307870114276</v>
      </c>
      <c r="F71" s="61">
        <f t="shared" si="60"/>
        <v>5.530168574969256</v>
      </c>
      <c r="G71" s="61">
        <f t="shared" si="60"/>
        <v>3.7583556978917345</v>
      </c>
      <c r="H71" s="61">
        <f t="shared" si="60"/>
        <v>4.1399303589756524</v>
      </c>
      <c r="I71" s="61">
        <f t="shared" si="60"/>
        <v>3.1257204433097372</v>
      </c>
      <c r="J71" s="61">
        <f t="shared" si="60"/>
        <v>2.656636030985486</v>
      </c>
      <c r="K71" s="61">
        <f t="shared" si="60"/>
        <v>1.6026524893667038</v>
      </c>
      <c r="L71" s="61">
        <f t="shared" si="60"/>
        <v>2.1539224559439925</v>
      </c>
      <c r="M71" s="61">
        <f t="shared" si="60"/>
        <v>2.1954464585817224</v>
      </c>
      <c r="N71" s="61">
        <f t="shared" si="60"/>
        <v>1.5992361308686802</v>
      </c>
      <c r="O71" s="61">
        <f t="shared" si="61"/>
        <v>1.7530779305955355</v>
      </c>
      <c r="P71" s="61">
        <f t="shared" si="61"/>
        <v>2.0132429645383705</v>
      </c>
      <c r="Q71" s="61">
        <f t="shared" si="61"/>
        <v>1.5459220746661761</v>
      </c>
      <c r="R71" s="61">
        <f t="shared" si="61"/>
        <v>1.7886669762678886</v>
      </c>
      <c r="S71" s="61">
        <f t="shared" si="61"/>
        <v>1.6726341500202953</v>
      </c>
      <c r="T71" s="61">
        <f t="shared" si="61"/>
        <v>1.4412529880743079</v>
      </c>
      <c r="U71" s="61">
        <f t="shared" si="61"/>
        <v>1.8024444041058025</v>
      </c>
      <c r="V71" s="61">
        <f t="shared" si="61"/>
        <v>1.3250046086163279</v>
      </c>
      <c r="W71" s="61">
        <f t="shared" si="61"/>
        <v>1.4965102029159127</v>
      </c>
      <c r="X71" s="61">
        <f t="shared" si="61"/>
        <v>1.339995026432852</v>
      </c>
      <c r="Y71" s="61">
        <f t="shared" si="62"/>
        <v>1.4982652923719297</v>
      </c>
      <c r="Z71" s="61">
        <f t="shared" si="62"/>
        <v>1.0096974870393927</v>
      </c>
      <c r="AA71" s="61">
        <f t="shared" si="62"/>
        <v>1.2790211325462444</v>
      </c>
      <c r="AB71" s="61">
        <f t="shared" si="62"/>
        <v>1.0066499830500342</v>
      </c>
      <c r="AC71" s="61">
        <f t="shared" si="62"/>
        <v>1.3262902474772034</v>
      </c>
      <c r="AD71" s="61">
        <f t="shared" si="62"/>
        <v>1.4669423928747281</v>
      </c>
      <c r="AE71" s="61">
        <f t="shared" si="62"/>
        <v>1.4814138332876035</v>
      </c>
      <c r="AF71" s="61">
        <f t="shared" si="62"/>
        <v>1.0513640898008285</v>
      </c>
      <c r="AG71" s="61">
        <f t="shared" si="62"/>
        <v>1.4001380047043768</v>
      </c>
      <c r="AH71" s="61">
        <f t="shared" si="62"/>
        <v>1.0285096381113896</v>
      </c>
      <c r="AI71" s="61">
        <f t="shared" si="63"/>
        <v>1.3988909204374169</v>
      </c>
      <c r="AJ71" s="61">
        <f t="shared" si="63"/>
        <v>1.2338655380947019</v>
      </c>
      <c r="AK71" s="61">
        <f t="shared" si="63"/>
        <v>0.60385157282521607</v>
      </c>
      <c r="AL71" s="61">
        <f t="shared" si="63"/>
        <v>0.996480621768704</v>
      </c>
      <c r="AM71" s="61">
        <f t="shared" si="63"/>
        <v>0.99841555811050109</v>
      </c>
      <c r="AN71" s="61">
        <f t="shared" si="63"/>
        <v>1.025298057119292</v>
      </c>
      <c r="AO71" s="61">
        <f t="shared" si="63"/>
        <v>0.69353073696959688</v>
      </c>
      <c r="AP71" s="61">
        <f t="shared" si="63"/>
        <v>0.63154990397424515</v>
      </c>
      <c r="AQ71" s="61">
        <f t="shared" si="63"/>
        <v>1.0293653142537456</v>
      </c>
      <c r="AR71" s="61">
        <f t="shared" si="63"/>
        <v>0.53913414928475534</v>
      </c>
      <c r="AS71" s="61">
        <f t="shared" si="64"/>
        <v>1.6079900656091495</v>
      </c>
      <c r="AT71" s="61">
        <f t="shared" si="64"/>
        <v>1.0655580032559469</v>
      </c>
      <c r="AU71" s="61">
        <f t="shared" si="64"/>
        <v>0.97573888695350564</v>
      </c>
      <c r="AV71" s="61">
        <f t="shared" si="64"/>
        <v>1.3426559137383725</v>
      </c>
      <c r="AW71" s="61">
        <f t="shared" si="64"/>
        <v>1.4916331559117364</v>
      </c>
      <c r="AX71" s="61">
        <f t="shared" si="64"/>
        <v>0.57839631816140447</v>
      </c>
      <c r="AY71" s="61">
        <f t="shared" si="64"/>
        <v>1.6872495895006956</v>
      </c>
      <c r="AZ71" s="61">
        <f t="shared" si="64"/>
        <v>1.604669067505619</v>
      </c>
      <c r="BA71" s="61">
        <f t="shared" si="64"/>
        <v>1.0657306474137762</v>
      </c>
      <c r="BB71" s="61">
        <f t="shared" si="64"/>
        <v>1.6865775857641854</v>
      </c>
      <c r="BC71" s="61">
        <f t="shared" si="65"/>
        <v>1.6859226595518486</v>
      </c>
      <c r="BD71" s="61">
        <f t="shared" si="65"/>
        <v>1.3301665725566705</v>
      </c>
      <c r="BE71" s="61">
        <f t="shared" si="65"/>
        <v>1.2524918591409224</v>
      </c>
      <c r="BF71" s="61">
        <f t="shared" si="65"/>
        <v>1.1384396557907894</v>
      </c>
      <c r="BG71" s="61">
        <f t="shared" si="65"/>
        <v>0.92943211321771135</v>
      </c>
      <c r="BH71" s="61">
        <f t="shared" si="65"/>
        <v>1.6790828993339164</v>
      </c>
      <c r="BI71" s="61">
        <f t="shared" si="65"/>
        <v>1.6785708324552333</v>
      </c>
      <c r="BJ71" s="61">
        <f t="shared" si="65"/>
        <v>0</v>
      </c>
      <c r="BK71" s="61">
        <f t="shared" si="65"/>
        <v>1.2863501605119971</v>
      </c>
      <c r="BL71" s="61">
        <f t="shared" si="65"/>
        <v>1.2723735429548872</v>
      </c>
      <c r="BM71" s="61">
        <f t="shared" si="66"/>
        <v>0.49939940084556661</v>
      </c>
      <c r="BN71" s="61">
        <f t="shared" si="66"/>
        <v>0.39510037603326548</v>
      </c>
      <c r="BO71" s="61">
        <f t="shared" si="66"/>
        <v>1.4788998334170946</v>
      </c>
      <c r="BP71" s="61">
        <f t="shared" si="66"/>
        <v>0.48214346976902184</v>
      </c>
      <c r="BQ71" s="61">
        <f t="shared" si="66"/>
        <v>0.80139837891042742</v>
      </c>
      <c r="BR71" s="61">
        <f t="shared" si="66"/>
        <v>0.8297148811503039</v>
      </c>
      <c r="BS71" s="61">
        <f t="shared" si="66"/>
        <v>1.370607060205564</v>
      </c>
      <c r="BT71" s="61">
        <f t="shared" si="66"/>
        <v>1.2578860336853028</v>
      </c>
      <c r="BU71" s="61">
        <f t="shared" si="66"/>
        <v>1.2480653720245936</v>
      </c>
      <c r="BV71" s="61">
        <f t="shared" si="66"/>
        <v>1.7019406961314341</v>
      </c>
      <c r="BW71" s="61">
        <f t="shared" si="67"/>
        <v>1.2880020210998224</v>
      </c>
      <c r="BX71" s="61">
        <f t="shared" si="67"/>
        <v>1.7046906730800921</v>
      </c>
      <c r="BY71" s="61">
        <f t="shared" si="67"/>
        <v>1.2793254237672911</v>
      </c>
      <c r="BZ71" s="61">
        <f t="shared" si="67"/>
        <v>1.2945480903088331</v>
      </c>
      <c r="CA71" s="61">
        <f t="shared" si="67"/>
        <v>1.714463501763434</v>
      </c>
      <c r="CB71" s="61">
        <f t="shared" si="67"/>
        <v>1.2996290224603155</v>
      </c>
      <c r="CC71" s="61">
        <f t="shared" si="67"/>
        <v>1.718303214446695</v>
      </c>
      <c r="CD71" s="61">
        <f t="shared" si="67"/>
        <v>1.7270188787452776</v>
      </c>
      <c r="CE71" s="61">
        <f t="shared" si="67"/>
        <v>1.2942768875662483</v>
      </c>
      <c r="CF71" s="61">
        <f t="shared" si="67"/>
        <v>0.82743896343834944</v>
      </c>
      <c r="CG71" s="61">
        <f t="shared" si="68"/>
        <v>0.9449711487408794</v>
      </c>
      <c r="CH71" s="61">
        <f t="shared" si="68"/>
        <v>1.378355362856533</v>
      </c>
      <c r="CI71" s="61">
        <f t="shared" si="68"/>
        <v>1.4304100538676019</v>
      </c>
      <c r="CJ71" s="61">
        <f t="shared" si="68"/>
        <v>1.5830647264599014</v>
      </c>
      <c r="CK71" s="61">
        <f t="shared" si="68"/>
        <v>1.374008570979993</v>
      </c>
      <c r="CL71" s="61">
        <f t="shared" si="68"/>
        <v>1.803585348570695</v>
      </c>
      <c r="CM71" s="61">
        <f t="shared" si="68"/>
        <v>1.424842059756094</v>
      </c>
      <c r="CN71" s="61">
        <f t="shared" si="68"/>
        <v>1.185148968402929</v>
      </c>
      <c r="CO71" s="61">
        <f t="shared" si="68"/>
        <v>1.0535724894763208</v>
      </c>
      <c r="CP71" s="61">
        <f t="shared" si="68"/>
        <v>1.8459467059681556</v>
      </c>
      <c r="CQ71" s="61">
        <f t="shared" si="69"/>
        <v>1.5205326429712578</v>
      </c>
      <c r="CR71" s="61">
        <f t="shared" si="69"/>
        <v>1.5251593992946859</v>
      </c>
      <c r="CS71" s="61">
        <f t="shared" si="69"/>
        <v>1.8838408657808161</v>
      </c>
      <c r="CT71" s="61">
        <f t="shared" si="69"/>
        <v>1.9069001117351327</v>
      </c>
      <c r="CU71" s="61">
        <f t="shared" si="69"/>
        <v>1.4116780169535972</v>
      </c>
      <c r="CV71" s="61">
        <f t="shared" si="69"/>
        <v>1.5419474421401165</v>
      </c>
      <c r="CW71" s="61">
        <f t="shared" si="69"/>
        <v>1.9069001117351327</v>
      </c>
      <c r="CX71" s="61">
        <f t="shared" si="69"/>
        <v>1.5538136128775477</v>
      </c>
      <c r="CY71" s="61">
        <f t="shared" si="69"/>
        <v>1.9335522885523022</v>
      </c>
      <c r="CZ71" s="61">
        <f t="shared" si="69"/>
        <v>1.9335522885523022</v>
      </c>
      <c r="DA71" s="61">
        <f t="shared" si="70"/>
        <v>1.6345887970882</v>
      </c>
      <c r="DB71" s="61">
        <f t="shared" si="70"/>
        <v>1.964731238341124</v>
      </c>
      <c r="DC71" s="61">
        <f t="shared" si="70"/>
        <v>1.964731238341124</v>
      </c>
      <c r="DD71" s="61">
        <f t="shared" si="70"/>
        <v>1.7166619596627948</v>
      </c>
      <c r="DE71" s="61">
        <f t="shared" si="70"/>
        <v>1.8847004006399781</v>
      </c>
      <c r="DF71" s="61">
        <f t="shared" si="70"/>
        <v>2.1743312716534176</v>
      </c>
      <c r="DG71" s="61">
        <f t="shared" si="70"/>
        <v>2.2724914141333019</v>
      </c>
      <c r="DH71" s="61">
        <f t="shared" si="70"/>
        <v>2.2724914141333019</v>
      </c>
      <c r="DI71" s="61">
        <f t="shared" si="70"/>
        <v>2.2724914141333019</v>
      </c>
      <c r="DJ71" s="61">
        <f t="shared" si="70"/>
        <v>2.2724914141333019</v>
      </c>
      <c r="DK71" s="61">
        <f t="shared" si="71"/>
        <v>2.4198270660335304</v>
      </c>
      <c r="DL71" s="61">
        <f t="shared" si="71"/>
        <v>2.4198270660335304</v>
      </c>
      <c r="DM71" s="61">
        <f t="shared" si="71"/>
        <v>2.4198270660335304</v>
      </c>
      <c r="DN71" s="61">
        <f t="shared" si="71"/>
        <v>2.4198270660335304</v>
      </c>
      <c r="DO71" s="61">
        <f t="shared" si="71"/>
        <v>2.4198270660335304</v>
      </c>
      <c r="DP71" s="61">
        <f t="shared" si="71"/>
        <v>2.6914138460610011</v>
      </c>
      <c r="DQ71" s="61">
        <f t="shared" si="71"/>
        <v>2.6914138460610011</v>
      </c>
    </row>
    <row r="72" spans="1:121" x14ac:dyDescent="0.25">
      <c r="A72" s="48" t="str">
        <f>KMeans_Data!A63</f>
        <v>Bahawalpur</v>
      </c>
      <c r="B72" s="59">
        <f>KMeans_Data!H63</f>
        <v>5.9587915640307559E-3</v>
      </c>
      <c r="C72" s="59">
        <f>KMeans_Data!I63</f>
        <v>-0.67265054538827607</v>
      </c>
      <c r="D72" s="59">
        <f>KMeans_Data!J63</f>
        <v>-0.39984522290956798</v>
      </c>
      <c r="E72" s="61">
        <f t="shared" si="60"/>
        <v>6.798642989836301</v>
      </c>
      <c r="F72" s="61">
        <f t="shared" si="60"/>
        <v>6.5831133029260647</v>
      </c>
      <c r="G72" s="61">
        <f t="shared" si="60"/>
        <v>4.695723037758774</v>
      </c>
      <c r="H72" s="61">
        <f t="shared" si="60"/>
        <v>5.2500474846068821</v>
      </c>
      <c r="I72" s="61">
        <f t="shared" si="60"/>
        <v>4.0720665772515732</v>
      </c>
      <c r="J72" s="61">
        <f t="shared" si="60"/>
        <v>3.7472465240982431</v>
      </c>
      <c r="K72" s="61">
        <f t="shared" si="60"/>
        <v>1.6287190669994995</v>
      </c>
      <c r="L72" s="61">
        <f t="shared" si="60"/>
        <v>2.8414030170034423</v>
      </c>
      <c r="M72" s="61">
        <f t="shared" si="60"/>
        <v>3.0841984816138037</v>
      </c>
      <c r="N72" s="61">
        <f t="shared" si="60"/>
        <v>1.3733255741389456</v>
      </c>
      <c r="O72" s="61">
        <f t="shared" si="61"/>
        <v>2.7986136057781876</v>
      </c>
      <c r="P72" s="61">
        <f t="shared" si="61"/>
        <v>3.1097275534807967</v>
      </c>
      <c r="Q72" s="61">
        <f t="shared" si="61"/>
        <v>2.458155627273471</v>
      </c>
      <c r="R72" s="61">
        <f t="shared" si="61"/>
        <v>2.3805209943410395</v>
      </c>
      <c r="S72" s="61">
        <f t="shared" si="61"/>
        <v>1.9325284120371931</v>
      </c>
      <c r="T72" s="61">
        <f t="shared" si="61"/>
        <v>2.3790485750840702</v>
      </c>
      <c r="U72" s="61">
        <f t="shared" si="61"/>
        <v>2.408742009647082</v>
      </c>
      <c r="V72" s="61">
        <f t="shared" si="61"/>
        <v>2.4437563961804352</v>
      </c>
      <c r="W72" s="61">
        <f t="shared" si="61"/>
        <v>2.5907895975738962</v>
      </c>
      <c r="X72" s="61">
        <f t="shared" si="61"/>
        <v>2.2226090887414727</v>
      </c>
      <c r="Y72" s="61">
        <f t="shared" si="62"/>
        <v>2.3611962855936315</v>
      </c>
      <c r="Z72" s="61">
        <f t="shared" si="62"/>
        <v>1.955082246972913</v>
      </c>
      <c r="AA72" s="61">
        <f t="shared" si="62"/>
        <v>1.7739886974760455</v>
      </c>
      <c r="AB72" s="61">
        <f t="shared" si="62"/>
        <v>1.7980065117109649</v>
      </c>
      <c r="AC72" s="61">
        <f t="shared" si="62"/>
        <v>2.4618775655865788</v>
      </c>
      <c r="AD72" s="61">
        <f t="shared" si="62"/>
        <v>2.3425335699091256</v>
      </c>
      <c r="AE72" s="61">
        <f t="shared" si="62"/>
        <v>1.1143502862264891</v>
      </c>
      <c r="AF72" s="61">
        <f t="shared" si="62"/>
        <v>1.9552084852236222</v>
      </c>
      <c r="AG72" s="61">
        <f t="shared" si="62"/>
        <v>0.57179475719683115</v>
      </c>
      <c r="AH72" s="61">
        <f t="shared" si="62"/>
        <v>1.5546033895725726</v>
      </c>
      <c r="AI72" s="61">
        <f t="shared" si="63"/>
        <v>0.56863079597858646</v>
      </c>
      <c r="AJ72" s="61">
        <f t="shared" si="63"/>
        <v>2.0238669786275758</v>
      </c>
      <c r="AK72" s="61">
        <f t="shared" si="63"/>
        <v>1.3612410166933924</v>
      </c>
      <c r="AL72" s="61">
        <f t="shared" si="63"/>
        <v>1.1881114623511007</v>
      </c>
      <c r="AM72" s="61">
        <f t="shared" si="63"/>
        <v>2.2242085425181211</v>
      </c>
      <c r="AN72" s="61">
        <f t="shared" si="63"/>
        <v>2.181910129180356</v>
      </c>
      <c r="AO72" s="61">
        <f t="shared" si="63"/>
        <v>1.4734851422720971</v>
      </c>
      <c r="AP72" s="61">
        <f t="shared" si="63"/>
        <v>1.422765277565651</v>
      </c>
      <c r="AQ72" s="61">
        <f t="shared" si="63"/>
        <v>2.2366682221049259</v>
      </c>
      <c r="AR72" s="61">
        <f t="shared" si="63"/>
        <v>0.97196029098235137</v>
      </c>
      <c r="AS72" s="61">
        <f t="shared" si="64"/>
        <v>1.444709716309454</v>
      </c>
      <c r="AT72" s="61">
        <f t="shared" si="64"/>
        <v>1.3139684445252029</v>
      </c>
      <c r="AU72" s="61">
        <f t="shared" si="64"/>
        <v>0.63091863938292159</v>
      </c>
      <c r="AV72" s="61">
        <f t="shared" si="64"/>
        <v>0.94845059658272646</v>
      </c>
      <c r="AW72" s="61">
        <f t="shared" si="64"/>
        <v>0.48416455759193255</v>
      </c>
      <c r="AX72" s="61">
        <f t="shared" si="64"/>
        <v>1.164550359623169</v>
      </c>
      <c r="AY72" s="61">
        <f t="shared" si="64"/>
        <v>0.77087450673668845</v>
      </c>
      <c r="AZ72" s="61">
        <f t="shared" si="64"/>
        <v>1.4455758193693413</v>
      </c>
      <c r="BA72" s="61">
        <f t="shared" si="64"/>
        <v>1.3196301272281046</v>
      </c>
      <c r="BB72" s="61">
        <f t="shared" si="64"/>
        <v>0.76924434687905119</v>
      </c>
      <c r="BC72" s="61">
        <f t="shared" si="65"/>
        <v>0.76764680030161347</v>
      </c>
      <c r="BD72" s="61">
        <f t="shared" si="65"/>
        <v>0.19170440890054771</v>
      </c>
      <c r="BE72" s="61">
        <f t="shared" si="65"/>
        <v>0.21453454679404732</v>
      </c>
      <c r="BF72" s="61">
        <f t="shared" si="65"/>
        <v>2.3689730886728144</v>
      </c>
      <c r="BG72" s="61">
        <f t="shared" si="65"/>
        <v>1.149786484041019</v>
      </c>
      <c r="BH72" s="61">
        <f t="shared" si="65"/>
        <v>0.74995839795562758</v>
      </c>
      <c r="BI72" s="61">
        <f t="shared" si="65"/>
        <v>0.74840088029935248</v>
      </c>
      <c r="BJ72" s="61">
        <f t="shared" si="65"/>
        <v>1.2863501605119971</v>
      </c>
      <c r="BK72" s="61">
        <f t="shared" si="65"/>
        <v>0</v>
      </c>
      <c r="BL72" s="61">
        <f t="shared" si="65"/>
        <v>0.76403310470305341</v>
      </c>
      <c r="BM72" s="61">
        <f t="shared" si="66"/>
        <v>1.5180281760457555</v>
      </c>
      <c r="BN72" s="61">
        <f t="shared" si="66"/>
        <v>0.94481297261206565</v>
      </c>
      <c r="BO72" s="61">
        <f t="shared" si="66"/>
        <v>0.43047176522178315</v>
      </c>
      <c r="BP72" s="61">
        <f t="shared" si="66"/>
        <v>1.0711213634574976</v>
      </c>
      <c r="BQ72" s="61">
        <f t="shared" si="66"/>
        <v>0.94894540475266664</v>
      </c>
      <c r="BR72" s="61">
        <f t="shared" si="66"/>
        <v>0.992672207460084</v>
      </c>
      <c r="BS72" s="61">
        <f t="shared" si="66"/>
        <v>1.0130329740724575</v>
      </c>
      <c r="BT72" s="61">
        <f t="shared" si="66"/>
        <v>0.63323432270248459</v>
      </c>
      <c r="BU72" s="61">
        <f t="shared" si="66"/>
        <v>0.55482087578948669</v>
      </c>
      <c r="BV72" s="61">
        <f t="shared" si="66"/>
        <v>0.79177177182466529</v>
      </c>
      <c r="BW72" s="61">
        <f t="shared" si="67"/>
        <v>0.74217701000817315</v>
      </c>
      <c r="BX72" s="61">
        <f t="shared" si="67"/>
        <v>0.79729243417529827</v>
      </c>
      <c r="BY72" s="61">
        <f t="shared" si="67"/>
        <v>0.38335315125883845</v>
      </c>
      <c r="BZ72" s="61">
        <f t="shared" si="67"/>
        <v>0.36780372557302515</v>
      </c>
      <c r="CA72" s="61">
        <f t="shared" si="67"/>
        <v>0.81681398907516178</v>
      </c>
      <c r="CB72" s="61">
        <f t="shared" si="67"/>
        <v>0.38442340809858605</v>
      </c>
      <c r="CC72" s="61">
        <f t="shared" si="67"/>
        <v>0.82443123964198084</v>
      </c>
      <c r="CD72" s="61">
        <f t="shared" si="67"/>
        <v>0.84159435357899848</v>
      </c>
      <c r="CE72" s="61">
        <f t="shared" si="67"/>
        <v>0.60369877955269913</v>
      </c>
      <c r="CF72" s="61">
        <f t="shared" si="67"/>
        <v>0.85746280764725191</v>
      </c>
      <c r="CG72" s="61">
        <f t="shared" si="68"/>
        <v>0.70976165377999301</v>
      </c>
      <c r="CH72" s="61">
        <f t="shared" si="68"/>
        <v>0.47690185332704632</v>
      </c>
      <c r="CI72" s="61">
        <f t="shared" si="68"/>
        <v>0.53656568304645291</v>
      </c>
      <c r="CJ72" s="61">
        <f t="shared" si="68"/>
        <v>0.69736728155237815</v>
      </c>
      <c r="CK72" s="61">
        <f t="shared" si="68"/>
        <v>0.71198800643853866</v>
      </c>
      <c r="CL72" s="61">
        <f t="shared" si="68"/>
        <v>0.98448553222692159</v>
      </c>
      <c r="CM72" s="61">
        <f t="shared" si="68"/>
        <v>0.64817720071554297</v>
      </c>
      <c r="CN72" s="61">
        <f t="shared" si="68"/>
        <v>1.3568347703804642</v>
      </c>
      <c r="CO72" s="61">
        <f t="shared" si="68"/>
        <v>0.94198613913239226</v>
      </c>
      <c r="CP72" s="61">
        <f t="shared" si="68"/>
        <v>1.0582026311564694</v>
      </c>
      <c r="CQ72" s="61">
        <f t="shared" si="69"/>
        <v>0.79237736566723127</v>
      </c>
      <c r="CR72" s="61">
        <f t="shared" si="69"/>
        <v>0.84191400146907802</v>
      </c>
      <c r="CS72" s="61">
        <f t="shared" si="69"/>
        <v>1.1215601925471332</v>
      </c>
      <c r="CT72" s="61">
        <f t="shared" si="69"/>
        <v>1.1590791692704743</v>
      </c>
      <c r="CU72" s="61">
        <f t="shared" si="69"/>
        <v>1.1152849824511604</v>
      </c>
      <c r="CV72" s="61">
        <f t="shared" si="69"/>
        <v>1.10881934501153</v>
      </c>
      <c r="CW72" s="61">
        <f t="shared" si="69"/>
        <v>1.1590791692704743</v>
      </c>
      <c r="CX72" s="61">
        <f t="shared" si="69"/>
        <v>1.0104736111172368</v>
      </c>
      <c r="CY72" s="61">
        <f t="shared" si="69"/>
        <v>1.2015748319781727</v>
      </c>
      <c r="CZ72" s="61">
        <f t="shared" si="69"/>
        <v>1.2015748319781727</v>
      </c>
      <c r="DA72" s="61">
        <f t="shared" si="70"/>
        <v>0.94776484648800574</v>
      </c>
      <c r="DB72" s="61">
        <f t="shared" si="70"/>
        <v>1.2502188653899884</v>
      </c>
      <c r="DC72" s="61">
        <f t="shared" si="70"/>
        <v>1.2502188653899884</v>
      </c>
      <c r="DD72" s="61">
        <f t="shared" si="70"/>
        <v>1.0309528450476109</v>
      </c>
      <c r="DE72" s="61">
        <f t="shared" si="70"/>
        <v>1.2288274818620981</v>
      </c>
      <c r="DF72" s="61">
        <f t="shared" si="70"/>
        <v>1.5547287770643106</v>
      </c>
      <c r="DG72" s="61">
        <f t="shared" si="70"/>
        <v>1.6876360105181543</v>
      </c>
      <c r="DH72" s="61">
        <f t="shared" si="70"/>
        <v>1.6876360105181543</v>
      </c>
      <c r="DI72" s="61">
        <f t="shared" si="70"/>
        <v>1.6876360105181543</v>
      </c>
      <c r="DJ72" s="61">
        <f t="shared" si="70"/>
        <v>1.6876360105181543</v>
      </c>
      <c r="DK72" s="61">
        <f t="shared" si="71"/>
        <v>1.8792591199003652</v>
      </c>
      <c r="DL72" s="61">
        <f t="shared" si="71"/>
        <v>1.8792591199003652</v>
      </c>
      <c r="DM72" s="61">
        <f t="shared" si="71"/>
        <v>1.8792591199003652</v>
      </c>
      <c r="DN72" s="61">
        <f t="shared" si="71"/>
        <v>1.8792591199003652</v>
      </c>
      <c r="DO72" s="61">
        <f t="shared" si="71"/>
        <v>1.8792591199003652</v>
      </c>
      <c r="DP72" s="61">
        <f t="shared" si="71"/>
        <v>2.215027543816884</v>
      </c>
      <c r="DQ72" s="61">
        <f t="shared" si="71"/>
        <v>2.215027543816884</v>
      </c>
    </row>
    <row r="73" spans="1:121" x14ac:dyDescent="0.25">
      <c r="A73" s="48" t="str">
        <f>KMeans_Data!A64</f>
        <v>Dadu</v>
      </c>
      <c r="B73" s="59">
        <f>KMeans_Data!H64</f>
        <v>-3.5913849611856918E-3</v>
      </c>
      <c r="C73" s="59">
        <f>KMeans_Data!I64</f>
        <v>-0.67265054538827607</v>
      </c>
      <c r="D73" s="59">
        <f>KMeans_Data!J64</f>
        <v>0.36412819234159388</v>
      </c>
      <c r="E73" s="61">
        <f t="shared" si="60"/>
        <v>6.425480929982732</v>
      </c>
      <c r="F73" s="61">
        <f t="shared" si="60"/>
        <v>6.2670941543467187</v>
      </c>
      <c r="G73" s="61">
        <f t="shared" si="60"/>
        <v>4.2945122658508694</v>
      </c>
      <c r="H73" s="61">
        <f t="shared" si="60"/>
        <v>5.0074713813432279</v>
      </c>
      <c r="I73" s="61">
        <f t="shared" si="60"/>
        <v>3.7421515948478818</v>
      </c>
      <c r="J73" s="61">
        <f t="shared" si="60"/>
        <v>3.4405791109988879</v>
      </c>
      <c r="K73" s="61">
        <f t="shared" si="60"/>
        <v>1.9775516550784871</v>
      </c>
      <c r="L73" s="61">
        <f t="shared" si="60"/>
        <v>2.3318378745735115</v>
      </c>
      <c r="M73" s="61">
        <f t="shared" si="60"/>
        <v>2.6302795884192305</v>
      </c>
      <c r="N73" s="61">
        <f t="shared" si="60"/>
        <v>1.7723919289849486</v>
      </c>
      <c r="O73" s="61">
        <f t="shared" si="61"/>
        <v>2.5132802054007235</v>
      </c>
      <c r="P73" s="61">
        <f t="shared" si="61"/>
        <v>2.8074358142369111</v>
      </c>
      <c r="Q73" s="61">
        <f t="shared" si="61"/>
        <v>2.0938463480523315</v>
      </c>
      <c r="R73" s="61">
        <f t="shared" si="61"/>
        <v>1.8473451558485976</v>
      </c>
      <c r="S73" s="61">
        <f t="shared" si="61"/>
        <v>1.3941593553298748</v>
      </c>
      <c r="T73" s="61">
        <f t="shared" si="61"/>
        <v>2.0314858853161462</v>
      </c>
      <c r="U73" s="61">
        <f t="shared" si="61"/>
        <v>1.8364318066369092</v>
      </c>
      <c r="V73" s="61">
        <f t="shared" si="61"/>
        <v>2.2396774653498541</v>
      </c>
      <c r="W73" s="61">
        <f t="shared" si="61"/>
        <v>2.2964107827466402</v>
      </c>
      <c r="X73" s="61">
        <f t="shared" si="61"/>
        <v>1.828858168517179</v>
      </c>
      <c r="Y73" s="61">
        <f t="shared" si="62"/>
        <v>1.9039434511788687</v>
      </c>
      <c r="Z73" s="61">
        <f t="shared" si="62"/>
        <v>1.6927106822641838</v>
      </c>
      <c r="AA73" s="61">
        <f t="shared" si="62"/>
        <v>1.2916484016028615</v>
      </c>
      <c r="AB73" s="61">
        <f t="shared" si="62"/>
        <v>1.4836140588593587</v>
      </c>
      <c r="AC73" s="61">
        <f t="shared" si="62"/>
        <v>2.2216969456324622</v>
      </c>
      <c r="AD73" s="61">
        <f t="shared" si="62"/>
        <v>1.8762589370095883</v>
      </c>
      <c r="AE73" s="61">
        <f t="shared" si="62"/>
        <v>1.7254805038734196</v>
      </c>
      <c r="AF73" s="61">
        <f t="shared" si="62"/>
        <v>1.5725172244562244</v>
      </c>
      <c r="AG73" s="61">
        <f t="shared" si="62"/>
        <v>0.96000901619454404</v>
      </c>
      <c r="AH73" s="61">
        <f t="shared" si="62"/>
        <v>1.0983438004334884</v>
      </c>
      <c r="AI73" s="61">
        <f t="shared" si="63"/>
        <v>0.9580963501527221</v>
      </c>
      <c r="AJ73" s="61">
        <f t="shared" si="63"/>
        <v>1.5421562156777067</v>
      </c>
      <c r="AK73" s="61">
        <f t="shared" si="63"/>
        <v>1.1822577518760347</v>
      </c>
      <c r="AL73" s="61">
        <f t="shared" si="63"/>
        <v>0.74169103253652202</v>
      </c>
      <c r="AM73" s="61">
        <f t="shared" si="63"/>
        <v>2.1117508102663671</v>
      </c>
      <c r="AN73" s="61">
        <f t="shared" si="63"/>
        <v>1.9085267241240813</v>
      </c>
      <c r="AO73" s="61">
        <f t="shared" si="63"/>
        <v>1.1519823020041797</v>
      </c>
      <c r="AP73" s="61">
        <f t="shared" si="63"/>
        <v>1.1409479518014543</v>
      </c>
      <c r="AQ73" s="61">
        <f t="shared" si="63"/>
        <v>2.0056984753946114</v>
      </c>
      <c r="AR73" s="61">
        <f t="shared" si="63"/>
        <v>1.022258461798162</v>
      </c>
      <c r="AS73" s="61">
        <f t="shared" si="64"/>
        <v>0.72197120700220585</v>
      </c>
      <c r="AT73" s="61">
        <f t="shared" si="64"/>
        <v>0.72209673497092564</v>
      </c>
      <c r="AU73" s="61">
        <f t="shared" si="64"/>
        <v>1.1611993690947362</v>
      </c>
      <c r="AV73" s="61">
        <f t="shared" si="64"/>
        <v>0.3006128432222086</v>
      </c>
      <c r="AW73" s="61">
        <f t="shared" si="64"/>
        <v>1.2130017226175909</v>
      </c>
      <c r="AX73" s="61">
        <f t="shared" si="64"/>
        <v>0.8661520638957152</v>
      </c>
      <c r="AY73" s="61">
        <f t="shared" si="64"/>
        <v>1.523568191305376</v>
      </c>
      <c r="AZ73" s="61">
        <f t="shared" si="64"/>
        <v>0.69899179256585009</v>
      </c>
      <c r="BA73" s="61">
        <f t="shared" si="64"/>
        <v>0.70843628762901489</v>
      </c>
      <c r="BB73" s="61">
        <f t="shared" si="64"/>
        <v>1.522702973638054</v>
      </c>
      <c r="BC73" s="61">
        <f t="shared" si="65"/>
        <v>1.5218549372482064</v>
      </c>
      <c r="BD73" s="61">
        <f t="shared" si="65"/>
        <v>0.88406689901415403</v>
      </c>
      <c r="BE73" s="61">
        <f t="shared" si="65"/>
        <v>0.62797418703704777</v>
      </c>
      <c r="BF73" s="61">
        <f t="shared" si="65"/>
        <v>2.0986250887750795</v>
      </c>
      <c r="BG73" s="61">
        <f t="shared" si="65"/>
        <v>0.59317153114267185</v>
      </c>
      <c r="BH73" s="61">
        <f t="shared" si="65"/>
        <v>1.5123596864158417</v>
      </c>
      <c r="BI73" s="61">
        <f t="shared" si="65"/>
        <v>1.5114835365098158</v>
      </c>
      <c r="BJ73" s="61">
        <f t="shared" si="65"/>
        <v>1.2723735429548872</v>
      </c>
      <c r="BK73" s="61">
        <f t="shared" si="65"/>
        <v>0.76403310470305341</v>
      </c>
      <c r="BL73" s="61">
        <f t="shared" si="65"/>
        <v>0</v>
      </c>
      <c r="BM73" s="61">
        <f t="shared" si="66"/>
        <v>1.2286699146740223</v>
      </c>
      <c r="BN73" s="61">
        <f t="shared" si="66"/>
        <v>0.89383080364749778</v>
      </c>
      <c r="BO73" s="61">
        <f t="shared" si="66"/>
        <v>1.1901540445411896</v>
      </c>
      <c r="BP73" s="61">
        <f t="shared" si="66"/>
        <v>0.84436970360001828</v>
      </c>
      <c r="BQ73" s="61">
        <f t="shared" si="66"/>
        <v>0.53665013354450775</v>
      </c>
      <c r="BR73" s="61">
        <f t="shared" si="66"/>
        <v>0.54574034556545026</v>
      </c>
      <c r="BS73" s="61">
        <f t="shared" si="66"/>
        <v>0.28816378092729344</v>
      </c>
      <c r="BT73" s="61">
        <f t="shared" si="66"/>
        <v>0.27123966549043615</v>
      </c>
      <c r="BU73" s="61">
        <f t="shared" si="66"/>
        <v>0.3309105624013175</v>
      </c>
      <c r="BV73" s="61">
        <f t="shared" si="66"/>
        <v>1.5313758452209467</v>
      </c>
      <c r="BW73" s="61">
        <f t="shared" si="67"/>
        <v>0.28312338713733609</v>
      </c>
      <c r="BX73" s="61">
        <f t="shared" si="67"/>
        <v>1.5341377905016296</v>
      </c>
      <c r="BY73" s="61">
        <f t="shared" si="67"/>
        <v>0.6260197495518991</v>
      </c>
      <c r="BZ73" s="61">
        <f t="shared" si="67"/>
        <v>0.68878789927888617</v>
      </c>
      <c r="CA73" s="61">
        <f t="shared" si="67"/>
        <v>1.5440563522033719</v>
      </c>
      <c r="CB73" s="61">
        <f t="shared" si="67"/>
        <v>0.69755408240416983</v>
      </c>
      <c r="CC73" s="61">
        <f t="shared" si="67"/>
        <v>1.5479867397575746</v>
      </c>
      <c r="CD73" s="61">
        <f t="shared" si="67"/>
        <v>1.5569587066632959</v>
      </c>
      <c r="CE73" s="61">
        <f t="shared" si="67"/>
        <v>0.51363749959178484</v>
      </c>
      <c r="CF73" s="61">
        <f t="shared" si="67"/>
        <v>0.69828178213286773</v>
      </c>
      <c r="CG73" s="61">
        <f t="shared" si="68"/>
        <v>1.0384600119839693</v>
      </c>
      <c r="CH73" s="61">
        <f t="shared" si="68"/>
        <v>0.89558526619189438</v>
      </c>
      <c r="CI73" s="61">
        <f t="shared" si="68"/>
        <v>1.009745832395214</v>
      </c>
      <c r="CJ73" s="61">
        <f t="shared" si="68"/>
        <v>1.3070075530832306</v>
      </c>
      <c r="CK73" s="61">
        <f t="shared" si="68"/>
        <v>0.72162640635320641</v>
      </c>
      <c r="CL73" s="61">
        <f t="shared" si="68"/>
        <v>1.6371391541456009</v>
      </c>
      <c r="CM73" s="61">
        <f t="shared" si="68"/>
        <v>0.92871692543557705</v>
      </c>
      <c r="CN73" s="61">
        <f t="shared" si="68"/>
        <v>0.91644284604632387</v>
      </c>
      <c r="CO73" s="61">
        <f t="shared" si="68"/>
        <v>1.0601724851402421</v>
      </c>
      <c r="CP73" s="61">
        <f t="shared" si="68"/>
        <v>1.6818862860150399</v>
      </c>
      <c r="CQ73" s="61">
        <f t="shared" si="69"/>
        <v>1.0938344423497151</v>
      </c>
      <c r="CR73" s="61">
        <f t="shared" si="69"/>
        <v>1.0712029415536786</v>
      </c>
      <c r="CS73" s="61">
        <f t="shared" si="69"/>
        <v>1.7219713192847657</v>
      </c>
      <c r="CT73" s="61">
        <f t="shared" si="69"/>
        <v>1.7463690863385468</v>
      </c>
      <c r="CU73" s="61">
        <f t="shared" si="69"/>
        <v>1.5682561773003101</v>
      </c>
      <c r="CV73" s="61">
        <f t="shared" si="69"/>
        <v>0.88328210968197562</v>
      </c>
      <c r="CW73" s="61">
        <f t="shared" si="69"/>
        <v>1.7463690863385468</v>
      </c>
      <c r="CX73" s="61">
        <f t="shared" si="69"/>
        <v>1.0141756263183117</v>
      </c>
      <c r="CY73" s="61">
        <f t="shared" si="69"/>
        <v>1.7745633649061698</v>
      </c>
      <c r="CZ73" s="61">
        <f t="shared" si="69"/>
        <v>1.7745633649061698</v>
      </c>
      <c r="DA73" s="61">
        <f t="shared" si="70"/>
        <v>1.273579217958885</v>
      </c>
      <c r="DB73" s="61">
        <f t="shared" si="70"/>
        <v>1.8075312916986741</v>
      </c>
      <c r="DC73" s="61">
        <f t="shared" si="70"/>
        <v>1.8075312916986741</v>
      </c>
      <c r="DD73" s="61">
        <f t="shared" si="70"/>
        <v>1.4103645431298735</v>
      </c>
      <c r="DE73" s="61">
        <f t="shared" si="70"/>
        <v>1.6493955334986616</v>
      </c>
      <c r="DF73" s="61">
        <f t="shared" si="70"/>
        <v>2.0284015976983287</v>
      </c>
      <c r="DG73" s="61">
        <f t="shared" si="70"/>
        <v>2.1313110710279997</v>
      </c>
      <c r="DH73" s="61">
        <f t="shared" si="70"/>
        <v>2.1313110710279997</v>
      </c>
      <c r="DI73" s="61">
        <f t="shared" si="70"/>
        <v>2.1313110710279997</v>
      </c>
      <c r="DJ73" s="61">
        <f t="shared" si="70"/>
        <v>2.1313110710279997</v>
      </c>
      <c r="DK73" s="61">
        <f t="shared" si="71"/>
        <v>2.2851598682066729</v>
      </c>
      <c r="DL73" s="61">
        <f t="shared" si="71"/>
        <v>2.2851598682066729</v>
      </c>
      <c r="DM73" s="61">
        <f t="shared" si="71"/>
        <v>2.2851598682066729</v>
      </c>
      <c r="DN73" s="61">
        <f t="shared" si="71"/>
        <v>2.2851598682066729</v>
      </c>
      <c r="DO73" s="61">
        <f t="shared" si="71"/>
        <v>2.2851598682066729</v>
      </c>
      <c r="DP73" s="61">
        <f t="shared" si="71"/>
        <v>2.5670600140280122</v>
      </c>
      <c r="DQ73" s="61">
        <f t="shared" si="71"/>
        <v>2.5670600140280122</v>
      </c>
    </row>
    <row r="74" spans="1:121" x14ac:dyDescent="0.25">
      <c r="A74" s="48" t="str">
        <f>KMeans_Data!A65</f>
        <v>Other</v>
      </c>
      <c r="B74" s="59">
        <f>KMeans_Data!H65</f>
        <v>-3.3340625617315857E-2</v>
      </c>
      <c r="C74" s="59">
        <f>KMeans_Data!I65</f>
        <v>0.54791138584450239</v>
      </c>
      <c r="D74" s="59">
        <f>KMeans_Data!J65</f>
        <v>0.50187184530158635</v>
      </c>
      <c r="E74" s="61">
        <f t="shared" ref="E74:N83" si="72">SQRT(($B74-E$5)^2+($C74-E$6)^2+($D74-E$7)^2)</f>
        <v>5.5402469095381823</v>
      </c>
      <c r="F74" s="61">
        <f t="shared" si="72"/>
        <v>5.343423053146835</v>
      </c>
      <c r="G74" s="61">
        <f t="shared" si="72"/>
        <v>3.5068246288792948</v>
      </c>
      <c r="H74" s="61">
        <f t="shared" si="72"/>
        <v>4.0044965012911469</v>
      </c>
      <c r="I74" s="61">
        <f t="shared" si="72"/>
        <v>2.9310055495540719</v>
      </c>
      <c r="J74" s="61">
        <f t="shared" si="72"/>
        <v>2.4598836026033126</v>
      </c>
      <c r="K74" s="61">
        <f t="shared" si="72"/>
        <v>1.9477766092096704</v>
      </c>
      <c r="L74" s="61">
        <f t="shared" si="72"/>
        <v>1.8259174928308772</v>
      </c>
      <c r="M74" s="61">
        <f t="shared" si="72"/>
        <v>1.8804410339482871</v>
      </c>
      <c r="N74" s="61">
        <f t="shared" si="72"/>
        <v>1.9408565525462587</v>
      </c>
      <c r="O74" s="61">
        <f t="shared" ref="O74:X83" si="73">SQRT(($B74-O$5)^2+($C74-O$6)^2+($D74-O$7)^2)</f>
        <v>1.573923900278001</v>
      </c>
      <c r="P74" s="61">
        <f t="shared" si="73"/>
        <v>1.8106243181363419</v>
      </c>
      <c r="Q74" s="61">
        <f t="shared" si="73"/>
        <v>1.3003868297043206</v>
      </c>
      <c r="R74" s="61">
        <f t="shared" si="73"/>
        <v>1.4536312781079959</v>
      </c>
      <c r="S74" s="61">
        <f t="shared" si="73"/>
        <v>1.4174346608808577</v>
      </c>
      <c r="T74" s="61">
        <f t="shared" si="73"/>
        <v>1.2051253665646307</v>
      </c>
      <c r="U74" s="61">
        <f t="shared" si="73"/>
        <v>1.425627544103496</v>
      </c>
      <c r="V74" s="61">
        <f t="shared" si="73"/>
        <v>1.2220166070437508</v>
      </c>
      <c r="W74" s="61">
        <f t="shared" si="73"/>
        <v>1.2897679994988867</v>
      </c>
      <c r="X74" s="61">
        <f t="shared" si="73"/>
        <v>1.056838507632998</v>
      </c>
      <c r="Y74" s="61">
        <f t="shared" ref="Y74:AH83" si="74">SQRT(($B74-Y$5)^2+($C74-Y$6)^2+($D74-Y$7)^2)</f>
        <v>1.1533755482402679</v>
      </c>
      <c r="Z74" s="61">
        <f t="shared" si="74"/>
        <v>0.86566465655913782</v>
      </c>
      <c r="AA74" s="61">
        <f t="shared" si="74"/>
        <v>1.0133585559708078</v>
      </c>
      <c r="AB74" s="61">
        <f t="shared" si="74"/>
        <v>0.83339623783249983</v>
      </c>
      <c r="AC74" s="61">
        <f t="shared" si="74"/>
        <v>1.1736712440212693</v>
      </c>
      <c r="AD74" s="61">
        <f t="shared" si="74"/>
        <v>1.1036325625290027</v>
      </c>
      <c r="AE74" s="61">
        <f t="shared" si="74"/>
        <v>1.9126543913823548</v>
      </c>
      <c r="AF74" s="61">
        <f t="shared" si="74"/>
        <v>0.74911603499439372</v>
      </c>
      <c r="AG74" s="61">
        <f t="shared" si="74"/>
        <v>1.6359404601136791</v>
      </c>
      <c r="AH74" s="61">
        <f t="shared" si="74"/>
        <v>0.77571302901292682</v>
      </c>
      <c r="AI74" s="61">
        <f t="shared" ref="AI74:AR83" si="75">SQRT(($B74-AI$5)^2+($C74-AI$6)^2+($D74-AI$7)^2)</f>
        <v>1.634761219001323</v>
      </c>
      <c r="AJ74" s="61">
        <f t="shared" si="75"/>
        <v>0.8578561996009807</v>
      </c>
      <c r="AK74" s="61">
        <f t="shared" si="75"/>
        <v>0.62776897525197761</v>
      </c>
      <c r="AL74" s="61">
        <f t="shared" si="75"/>
        <v>0.86822269859069545</v>
      </c>
      <c r="AM74" s="61">
        <f t="shared" si="75"/>
        <v>1.0002153487838157</v>
      </c>
      <c r="AN74" s="61">
        <f t="shared" si="75"/>
        <v>0.80134540275502808</v>
      </c>
      <c r="AO74" s="61">
        <f t="shared" si="75"/>
        <v>0.49779626848784181</v>
      </c>
      <c r="AP74" s="61">
        <f t="shared" si="75"/>
        <v>0.49415534969556102</v>
      </c>
      <c r="AQ74" s="61">
        <f t="shared" si="75"/>
        <v>0.85767954566053195</v>
      </c>
      <c r="AR74" s="61">
        <f t="shared" si="75"/>
        <v>0.81619621865499636</v>
      </c>
      <c r="AS74" s="61">
        <f t="shared" ref="AS74:BB83" si="76">SQRT(($B74-AS$5)^2+($C74-AS$6)^2+($D74-AS$7)^2)</f>
        <v>1.36812284122349</v>
      </c>
      <c r="AT74" s="61">
        <f t="shared" si="76"/>
        <v>0.80706329486833672</v>
      </c>
      <c r="AU74" s="61">
        <f t="shared" si="76"/>
        <v>1.3661220348236092</v>
      </c>
      <c r="AV74" s="61">
        <f t="shared" si="76"/>
        <v>1.2545627873874718</v>
      </c>
      <c r="AW74" s="61">
        <f t="shared" si="76"/>
        <v>1.822868901015684</v>
      </c>
      <c r="AX74" s="61">
        <f t="shared" si="76"/>
        <v>0.48500069318178946</v>
      </c>
      <c r="AY74" s="61">
        <f t="shared" si="76"/>
        <v>2.0637306794982035</v>
      </c>
      <c r="AZ74" s="61">
        <f t="shared" si="76"/>
        <v>1.3513912900338481</v>
      </c>
      <c r="BA74" s="61">
        <f t="shared" si="76"/>
        <v>0.78813273770018222</v>
      </c>
      <c r="BB74" s="61">
        <f t="shared" si="76"/>
        <v>2.0629976007046489</v>
      </c>
      <c r="BC74" s="61">
        <f t="shared" ref="BC74:BL83" si="77">SQRT(($B74-BC$5)^2+($C74-BC$6)^2+($D74-BC$7)^2)</f>
        <v>2.0622761000810002</v>
      </c>
      <c r="BD74" s="61">
        <f t="shared" si="77"/>
        <v>1.5938406417983948</v>
      </c>
      <c r="BE74" s="61">
        <f t="shared" si="77"/>
        <v>1.4425077747947934</v>
      </c>
      <c r="BF74" s="61">
        <f t="shared" si="77"/>
        <v>0.89191569303415708</v>
      </c>
      <c r="BG74" s="61">
        <f t="shared" si="77"/>
        <v>0.71725041913239351</v>
      </c>
      <c r="BH74" s="61">
        <f t="shared" si="77"/>
        <v>2.0537882022008982</v>
      </c>
      <c r="BI74" s="61">
        <f t="shared" si="77"/>
        <v>2.0529036684724766</v>
      </c>
      <c r="BJ74" s="61">
        <f t="shared" si="77"/>
        <v>0.49939940084556661</v>
      </c>
      <c r="BK74" s="61">
        <f t="shared" si="77"/>
        <v>1.5180281760457555</v>
      </c>
      <c r="BL74" s="61">
        <f t="shared" si="77"/>
        <v>1.2286699146740223</v>
      </c>
      <c r="BM74" s="61">
        <f t="shared" ref="BM74:BV83" si="78">SQRT(($B74-BM$5)^2+($C74-BM$6)^2+($D74-BM$7)^2)</f>
        <v>0</v>
      </c>
      <c r="BN74" s="61">
        <f t="shared" si="78"/>
        <v>0.60067594245628242</v>
      </c>
      <c r="BO74" s="61">
        <f t="shared" si="78"/>
        <v>1.8027440493667832</v>
      </c>
      <c r="BP74" s="61">
        <f t="shared" si="78"/>
        <v>0.45864372985618507</v>
      </c>
      <c r="BQ74" s="61">
        <f t="shared" si="78"/>
        <v>0.70939699189012595</v>
      </c>
      <c r="BR74" s="61">
        <f t="shared" si="78"/>
        <v>0.70582753695570877</v>
      </c>
      <c r="BS74" s="61">
        <f t="shared" si="78"/>
        <v>1.2322196871998663</v>
      </c>
      <c r="BT74" s="61">
        <f t="shared" si="78"/>
        <v>1.2718442243576444</v>
      </c>
      <c r="BU74" s="61">
        <f t="shared" si="78"/>
        <v>1.2949105905313876</v>
      </c>
      <c r="BV74" s="61">
        <f t="shared" si="78"/>
        <v>2.0628655406062402</v>
      </c>
      <c r="BW74" s="61">
        <f t="shared" ref="BW74:CF83" si="79">SQRT(($B74-BW$5)^2+($C74-BW$6)^2+($D74-BW$7)^2)</f>
        <v>1.2628978331395473</v>
      </c>
      <c r="BX74" s="61">
        <f t="shared" si="79"/>
        <v>2.0646859587312165</v>
      </c>
      <c r="BY74" s="61">
        <f t="shared" si="79"/>
        <v>1.426111321384653</v>
      </c>
      <c r="BZ74" s="61">
        <f t="shared" si="79"/>
        <v>1.4602459043886282</v>
      </c>
      <c r="CA74" s="61">
        <f t="shared" si="79"/>
        <v>2.0713307209844314</v>
      </c>
      <c r="CB74" s="61">
        <f t="shared" si="79"/>
        <v>1.4640301738373844</v>
      </c>
      <c r="CC74" s="61">
        <f t="shared" si="79"/>
        <v>2.0740002903366341</v>
      </c>
      <c r="CD74" s="61">
        <f t="shared" si="79"/>
        <v>2.08015378217998</v>
      </c>
      <c r="CE74" s="61">
        <f t="shared" si="79"/>
        <v>1.3557622074035955</v>
      </c>
      <c r="CF74" s="61">
        <f t="shared" si="79"/>
        <v>0.86725946322637881</v>
      </c>
      <c r="CG74" s="61">
        <f t="shared" ref="CG74:CP83" si="80">SQRT(($B74-CG$5)^2+($C74-CG$6)^2+($D74-CG$7)^2)</f>
        <v>1.2196179552777802</v>
      </c>
      <c r="CH74" s="61">
        <f t="shared" si="80"/>
        <v>1.5793546122383852</v>
      </c>
      <c r="CI74" s="61">
        <f t="shared" si="80"/>
        <v>1.6545118042307789</v>
      </c>
      <c r="CJ74" s="61">
        <f t="shared" si="80"/>
        <v>1.8742969345907665</v>
      </c>
      <c r="CK74" s="61">
        <f t="shared" si="80"/>
        <v>1.4506534104152136</v>
      </c>
      <c r="CL74" s="61">
        <f t="shared" si="80"/>
        <v>2.137313535143134</v>
      </c>
      <c r="CM74" s="61">
        <f t="shared" si="80"/>
        <v>1.5879756531154507</v>
      </c>
      <c r="CN74" s="61">
        <f t="shared" si="80"/>
        <v>0.97552025911197282</v>
      </c>
      <c r="CO74" s="61">
        <f t="shared" si="80"/>
        <v>1.2069560767259429</v>
      </c>
      <c r="CP74" s="61">
        <f t="shared" si="80"/>
        <v>2.1702985997049677</v>
      </c>
      <c r="CQ74" s="61">
        <f t="shared" ref="CQ74:CZ83" si="81">SQRT(($B74-CQ$5)^2+($C74-CQ$6)^2+($D74-CQ$7)^2)</f>
        <v>1.694104924605828</v>
      </c>
      <c r="CR74" s="61">
        <f t="shared" si="81"/>
        <v>1.6718325548450417</v>
      </c>
      <c r="CS74" s="61">
        <f t="shared" si="81"/>
        <v>2.2003332847680821</v>
      </c>
      <c r="CT74" s="61">
        <f t="shared" si="81"/>
        <v>2.2188138358731346</v>
      </c>
      <c r="CU74" s="61">
        <f t="shared" si="81"/>
        <v>1.7207707659638638</v>
      </c>
      <c r="CV74" s="61">
        <f t="shared" si="81"/>
        <v>1.5049446970525753</v>
      </c>
      <c r="CW74" s="61">
        <f t="shared" si="81"/>
        <v>2.2188138358731346</v>
      </c>
      <c r="CX74" s="61">
        <f t="shared" si="81"/>
        <v>1.6101267254453193</v>
      </c>
      <c r="CY74" s="61">
        <f t="shared" si="81"/>
        <v>2.2403442304741952</v>
      </c>
      <c r="CZ74" s="61">
        <f t="shared" si="81"/>
        <v>2.2403442304741952</v>
      </c>
      <c r="DA74" s="61">
        <f t="shared" ref="DA74:DJ83" si="82">SQRT(($B74-DA$5)^2+($C74-DA$6)^2+($D74-DA$7)^2)</f>
        <v>1.8207413766534437</v>
      </c>
      <c r="DB74" s="61">
        <f t="shared" si="82"/>
        <v>2.2657425046708624</v>
      </c>
      <c r="DC74" s="61">
        <f t="shared" si="82"/>
        <v>2.2657425046708624</v>
      </c>
      <c r="DD74" s="61">
        <f t="shared" si="82"/>
        <v>1.9275115773201237</v>
      </c>
      <c r="DE74" s="61">
        <f t="shared" si="82"/>
        <v>2.1188512577133563</v>
      </c>
      <c r="DF74" s="61">
        <f t="shared" si="82"/>
        <v>2.4411816724857442</v>
      </c>
      <c r="DG74" s="61">
        <f t="shared" si="82"/>
        <v>2.5255757950936459</v>
      </c>
      <c r="DH74" s="61">
        <f t="shared" si="82"/>
        <v>2.5255757950936459</v>
      </c>
      <c r="DI74" s="61">
        <f t="shared" si="82"/>
        <v>2.5255757950936459</v>
      </c>
      <c r="DJ74" s="61">
        <f t="shared" si="82"/>
        <v>2.5255757950936459</v>
      </c>
      <c r="DK74" s="61">
        <f t="shared" ref="DK74:DQ83" si="83">SQRT(($B74-DK$5)^2+($C74-DK$6)^2+($D74-DK$7)^2)</f>
        <v>2.6543258521384199</v>
      </c>
      <c r="DL74" s="61">
        <f t="shared" si="83"/>
        <v>2.6543258521384199</v>
      </c>
      <c r="DM74" s="61">
        <f t="shared" si="83"/>
        <v>2.6543258521384199</v>
      </c>
      <c r="DN74" s="61">
        <f t="shared" si="83"/>
        <v>2.6543258521384199</v>
      </c>
      <c r="DO74" s="61">
        <f t="shared" si="83"/>
        <v>2.6543258521384199</v>
      </c>
      <c r="DP74" s="61">
        <f t="shared" si="83"/>
        <v>2.8968642376235647</v>
      </c>
      <c r="DQ74" s="61">
        <f t="shared" si="83"/>
        <v>2.8968642376235647</v>
      </c>
    </row>
    <row r="75" spans="1:121" x14ac:dyDescent="0.25">
      <c r="A75" s="48" t="str">
        <f>KMeans_Data!A66</f>
        <v>Thatta</v>
      </c>
      <c r="B75" s="59">
        <f>KMeans_Data!H66</f>
        <v>-4.3647299394291184E-2</v>
      </c>
      <c r="C75" s="59">
        <f>KMeans_Data!I66</f>
        <v>0.16051258962499582</v>
      </c>
      <c r="D75" s="59">
        <f>KMeans_Data!J66</f>
        <v>4.2930091906806002E-2</v>
      </c>
      <c r="E75" s="61">
        <f t="shared" si="72"/>
        <v>6.0293492978854237</v>
      </c>
      <c r="F75" s="61">
        <f t="shared" si="72"/>
        <v>5.8117634131380234</v>
      </c>
      <c r="G75" s="61">
        <f t="shared" si="72"/>
        <v>3.9721428969555554</v>
      </c>
      <c r="H75" s="61">
        <f t="shared" si="72"/>
        <v>4.452588699403476</v>
      </c>
      <c r="I75" s="61">
        <f t="shared" si="72"/>
        <v>3.3570283805904393</v>
      </c>
      <c r="J75" s="61">
        <f t="shared" si="72"/>
        <v>2.9345432154723992</v>
      </c>
      <c r="K75" s="61">
        <f t="shared" si="72"/>
        <v>1.6326000105306229</v>
      </c>
      <c r="L75" s="61">
        <f t="shared" si="72"/>
        <v>2.2251657761951789</v>
      </c>
      <c r="M75" s="61">
        <f t="shared" si="72"/>
        <v>2.3523497664136888</v>
      </c>
      <c r="N75" s="61">
        <f t="shared" si="72"/>
        <v>1.5483484264011522</v>
      </c>
      <c r="O75" s="61">
        <f t="shared" si="73"/>
        <v>2.0069539086009729</v>
      </c>
      <c r="P75" s="61">
        <f t="shared" si="73"/>
        <v>2.2845515743319669</v>
      </c>
      <c r="Q75" s="61">
        <f t="shared" si="73"/>
        <v>1.7176964383772315</v>
      </c>
      <c r="R75" s="61">
        <f t="shared" si="73"/>
        <v>1.8038318241503604</v>
      </c>
      <c r="S75" s="61">
        <f t="shared" si="73"/>
        <v>1.5695187146650651</v>
      </c>
      <c r="T75" s="61">
        <f t="shared" si="73"/>
        <v>1.6230107702640177</v>
      </c>
      <c r="U75" s="61">
        <f t="shared" si="73"/>
        <v>1.8092761114567211</v>
      </c>
      <c r="V75" s="61">
        <f t="shared" si="73"/>
        <v>1.6201337078010056</v>
      </c>
      <c r="W75" s="61">
        <f t="shared" si="73"/>
        <v>1.7564286920967416</v>
      </c>
      <c r="X75" s="61">
        <f t="shared" si="73"/>
        <v>1.4779659309818167</v>
      </c>
      <c r="Y75" s="61">
        <f t="shared" si="74"/>
        <v>1.6153426507697071</v>
      </c>
      <c r="Z75" s="61">
        <f t="shared" si="74"/>
        <v>1.1965240146116758</v>
      </c>
      <c r="AA75" s="61">
        <f t="shared" si="74"/>
        <v>1.2347475445825911</v>
      </c>
      <c r="AB75" s="61">
        <f t="shared" si="74"/>
        <v>1.1063030576082469</v>
      </c>
      <c r="AC75" s="61">
        <f t="shared" si="74"/>
        <v>1.6148307863079543</v>
      </c>
      <c r="AD75" s="61">
        <f t="shared" si="74"/>
        <v>1.582585140479021</v>
      </c>
      <c r="AE75" s="61">
        <f t="shared" si="74"/>
        <v>1.4079860881806245</v>
      </c>
      <c r="AF75" s="61">
        <f t="shared" si="74"/>
        <v>1.1760404543072656</v>
      </c>
      <c r="AG75" s="61">
        <f t="shared" si="74"/>
        <v>1.1297565237890093</v>
      </c>
      <c r="AH75" s="61">
        <f t="shared" si="74"/>
        <v>0.96524102568016268</v>
      </c>
      <c r="AI75" s="61">
        <f t="shared" si="75"/>
        <v>1.1280193426202063</v>
      </c>
      <c r="AJ75" s="61">
        <f t="shared" si="75"/>
        <v>1.2924828341656251</v>
      </c>
      <c r="AK75" s="61">
        <f t="shared" si="75"/>
        <v>0.66177558960733618</v>
      </c>
      <c r="AL75" s="61">
        <f t="shared" si="75"/>
        <v>0.79556688201539338</v>
      </c>
      <c r="AM75" s="61">
        <f t="shared" si="75"/>
        <v>1.3560510835268393</v>
      </c>
      <c r="AN75" s="61">
        <f t="shared" si="75"/>
        <v>1.2946832863161928</v>
      </c>
      <c r="AO75" s="61">
        <f t="shared" si="75"/>
        <v>0.72256010482117927</v>
      </c>
      <c r="AP75" s="61">
        <f t="shared" si="75"/>
        <v>0.66730856538712879</v>
      </c>
      <c r="AQ75" s="61">
        <f t="shared" si="75"/>
        <v>1.3353676216928747</v>
      </c>
      <c r="AR75" s="61">
        <f t="shared" si="75"/>
        <v>0.45022986672630361</v>
      </c>
      <c r="AS75" s="61">
        <f t="shared" si="76"/>
        <v>1.3271736227029634</v>
      </c>
      <c r="AT75" s="61">
        <f t="shared" si="76"/>
        <v>0.8544578156374677</v>
      </c>
      <c r="AU75" s="61">
        <f t="shared" si="76"/>
        <v>0.80613080371242951</v>
      </c>
      <c r="AV75" s="61">
        <f t="shared" si="76"/>
        <v>1.0034973416066739</v>
      </c>
      <c r="AW75" s="61">
        <f t="shared" si="76"/>
        <v>1.2353844843207102</v>
      </c>
      <c r="AX75" s="61">
        <f t="shared" si="76"/>
        <v>0.43701472017622406</v>
      </c>
      <c r="AY75" s="61">
        <f t="shared" si="76"/>
        <v>1.4719747861079946</v>
      </c>
      <c r="AZ75" s="61">
        <f t="shared" si="76"/>
        <v>1.3165412569853814</v>
      </c>
      <c r="BA75" s="61">
        <f t="shared" si="76"/>
        <v>0.84737982790785538</v>
      </c>
      <c r="BB75" s="61">
        <f t="shared" si="76"/>
        <v>1.470900948689799</v>
      </c>
      <c r="BC75" s="61">
        <f t="shared" si="77"/>
        <v>1.4698423524387543</v>
      </c>
      <c r="BD75" s="61">
        <f t="shared" si="77"/>
        <v>1.0183348725313117</v>
      </c>
      <c r="BE75" s="61">
        <f t="shared" si="77"/>
        <v>0.90290806176455418</v>
      </c>
      <c r="BF75" s="61">
        <f t="shared" si="77"/>
        <v>1.433619171676781</v>
      </c>
      <c r="BG75" s="61">
        <f t="shared" si="77"/>
        <v>0.66821934921461701</v>
      </c>
      <c r="BH75" s="61">
        <f t="shared" si="77"/>
        <v>1.4571813231297559</v>
      </c>
      <c r="BI75" s="61">
        <f t="shared" si="77"/>
        <v>1.455817392734865</v>
      </c>
      <c r="BJ75" s="61">
        <f t="shared" si="77"/>
        <v>0.39510037603326548</v>
      </c>
      <c r="BK75" s="61">
        <f t="shared" si="77"/>
        <v>0.94481297261206565</v>
      </c>
      <c r="BL75" s="61">
        <f t="shared" si="77"/>
        <v>0.89383080364749778</v>
      </c>
      <c r="BM75" s="61">
        <f t="shared" si="78"/>
        <v>0.60067594245628242</v>
      </c>
      <c r="BN75" s="61">
        <f t="shared" si="78"/>
        <v>0</v>
      </c>
      <c r="BO75" s="61">
        <f t="shared" si="78"/>
        <v>1.202893819494149</v>
      </c>
      <c r="BP75" s="61">
        <f t="shared" si="78"/>
        <v>0.22889556876893219</v>
      </c>
      <c r="BQ75" s="61">
        <f t="shared" si="78"/>
        <v>0.46226501962884081</v>
      </c>
      <c r="BR75" s="61">
        <f t="shared" si="78"/>
        <v>0.50294353053172081</v>
      </c>
      <c r="BS75" s="61">
        <f t="shared" si="78"/>
        <v>1.0090427517939802</v>
      </c>
      <c r="BT75" s="61">
        <f t="shared" si="78"/>
        <v>0.86379033908353131</v>
      </c>
      <c r="BU75" s="61">
        <f t="shared" si="78"/>
        <v>0.85310668225957509</v>
      </c>
      <c r="BV75" s="61">
        <f t="shared" si="78"/>
        <v>1.4675282914224264</v>
      </c>
      <c r="BW75" s="61">
        <f t="shared" si="79"/>
        <v>0.89863582846797718</v>
      </c>
      <c r="BX75" s="61">
        <f t="shared" si="79"/>
        <v>1.4699738154013657</v>
      </c>
      <c r="BY75" s="61">
        <f t="shared" si="79"/>
        <v>0.90303007552129744</v>
      </c>
      <c r="BZ75" s="61">
        <f t="shared" si="79"/>
        <v>0.92565010058524078</v>
      </c>
      <c r="CA75" s="61">
        <f t="shared" si="79"/>
        <v>1.4789353394999833</v>
      </c>
      <c r="CB75" s="61">
        <f t="shared" si="79"/>
        <v>0.93140639657019986</v>
      </c>
      <c r="CC75" s="61">
        <f t="shared" si="79"/>
        <v>1.4825449420777601</v>
      </c>
      <c r="CD75" s="61">
        <f t="shared" si="79"/>
        <v>1.4908745693435925</v>
      </c>
      <c r="CE75" s="61">
        <f t="shared" si="79"/>
        <v>0.90791534014252651</v>
      </c>
      <c r="CF75" s="61">
        <f t="shared" si="79"/>
        <v>0.48369516855708605</v>
      </c>
      <c r="CG75" s="61">
        <f t="shared" si="80"/>
        <v>0.68788463273526446</v>
      </c>
      <c r="CH75" s="61">
        <f t="shared" si="80"/>
        <v>1.0357569490445875</v>
      </c>
      <c r="CI75" s="61">
        <f t="shared" si="80"/>
        <v>1.1044938220684786</v>
      </c>
      <c r="CJ75" s="61">
        <f t="shared" si="80"/>
        <v>1.3038840232625111</v>
      </c>
      <c r="CK75" s="61">
        <f t="shared" si="80"/>
        <v>1.0076815933164751</v>
      </c>
      <c r="CL75" s="61">
        <f t="shared" si="80"/>
        <v>1.5679819954626595</v>
      </c>
      <c r="CM75" s="61">
        <f t="shared" si="80"/>
        <v>1.0836189432401033</v>
      </c>
      <c r="CN75" s="61">
        <f t="shared" si="80"/>
        <v>0.93617381360691332</v>
      </c>
      <c r="CO75" s="61">
        <f t="shared" si="80"/>
        <v>0.79795165090012476</v>
      </c>
      <c r="CP75" s="61">
        <f t="shared" si="80"/>
        <v>1.6119636213898647</v>
      </c>
      <c r="CQ75" s="61">
        <f t="shared" si="81"/>
        <v>1.2007997149768901</v>
      </c>
      <c r="CR75" s="61">
        <f t="shared" si="81"/>
        <v>1.2014855319798727</v>
      </c>
      <c r="CS75" s="61">
        <f t="shared" si="81"/>
        <v>1.6516370689419704</v>
      </c>
      <c r="CT75" s="61">
        <f t="shared" si="81"/>
        <v>1.6758731258998287</v>
      </c>
      <c r="CU75" s="61">
        <f t="shared" si="81"/>
        <v>1.2444180199877308</v>
      </c>
      <c r="CV75" s="61">
        <f t="shared" si="81"/>
        <v>1.202176431149204</v>
      </c>
      <c r="CW75" s="61">
        <f t="shared" si="81"/>
        <v>1.6758731258998287</v>
      </c>
      <c r="CX75" s="61">
        <f t="shared" si="81"/>
        <v>1.2234016759000841</v>
      </c>
      <c r="CY75" s="61">
        <f t="shared" si="81"/>
        <v>1.7039447740311748</v>
      </c>
      <c r="CZ75" s="61">
        <f t="shared" si="81"/>
        <v>1.7039447740311748</v>
      </c>
      <c r="DA75" s="61">
        <f t="shared" si="82"/>
        <v>1.3375460964727428</v>
      </c>
      <c r="DB75" s="61">
        <f t="shared" si="82"/>
        <v>1.7368393618485363</v>
      </c>
      <c r="DC75" s="61">
        <f t="shared" si="82"/>
        <v>1.7368393618485363</v>
      </c>
      <c r="DD75" s="61">
        <f t="shared" si="82"/>
        <v>1.4372213684636252</v>
      </c>
      <c r="DE75" s="61">
        <f t="shared" si="82"/>
        <v>1.6322648462118505</v>
      </c>
      <c r="DF75" s="61">
        <f t="shared" si="82"/>
        <v>1.9583036818327615</v>
      </c>
      <c r="DG75" s="61">
        <f t="shared" si="82"/>
        <v>2.0618030979296771</v>
      </c>
      <c r="DH75" s="61">
        <f t="shared" si="82"/>
        <v>2.0618030979296771</v>
      </c>
      <c r="DI75" s="61">
        <f t="shared" si="82"/>
        <v>2.0618030979296771</v>
      </c>
      <c r="DJ75" s="61">
        <f t="shared" si="82"/>
        <v>2.0618030979296771</v>
      </c>
      <c r="DK75" s="61">
        <f t="shared" si="83"/>
        <v>2.2166629338568868</v>
      </c>
      <c r="DL75" s="61">
        <f t="shared" si="83"/>
        <v>2.2166629338568868</v>
      </c>
      <c r="DM75" s="61">
        <f t="shared" si="83"/>
        <v>2.2166629338568868</v>
      </c>
      <c r="DN75" s="61">
        <f t="shared" si="83"/>
        <v>2.2166629338568868</v>
      </c>
      <c r="DO75" s="61">
        <f t="shared" si="83"/>
        <v>2.2166629338568868</v>
      </c>
      <c r="DP75" s="61">
        <f t="shared" si="83"/>
        <v>2.5005068936182209</v>
      </c>
      <c r="DQ75" s="61">
        <f t="shared" si="83"/>
        <v>2.5005068936182209</v>
      </c>
    </row>
    <row r="76" spans="1:121" x14ac:dyDescent="0.25">
      <c r="A76" s="48" t="str">
        <f>KMeans_Data!A67</f>
        <v>Hafizabad</v>
      </c>
      <c r="B76" s="59">
        <f>KMeans_Data!H67</f>
        <v>-6.4893923599903938E-2</v>
      </c>
      <c r="C76" s="59">
        <f>KMeans_Data!I67</f>
        <v>-0.67265054538827607</v>
      </c>
      <c r="D76" s="59">
        <f>KMeans_Data!J67</f>
        <v>-0.82444601589876665</v>
      </c>
      <c r="E76" s="61">
        <f t="shared" si="72"/>
        <v>7.0690702006543615</v>
      </c>
      <c r="F76" s="61">
        <f t="shared" si="72"/>
        <v>6.8262911900440226</v>
      </c>
      <c r="G76" s="61">
        <f t="shared" si="72"/>
        <v>4.9923442103192253</v>
      </c>
      <c r="H76" s="61">
        <f t="shared" si="72"/>
        <v>5.4600335559284243</v>
      </c>
      <c r="I76" s="61">
        <f t="shared" si="72"/>
        <v>4.3421287084047648</v>
      </c>
      <c r="J76" s="61">
        <f t="shared" si="72"/>
        <v>4.0004135190179833</v>
      </c>
      <c r="K76" s="61">
        <f t="shared" si="72"/>
        <v>1.63291986574935</v>
      </c>
      <c r="L76" s="61">
        <f t="shared" si="72"/>
        <v>3.2012502165552501</v>
      </c>
      <c r="M76" s="61">
        <f t="shared" si="72"/>
        <v>3.4138755743376974</v>
      </c>
      <c r="N76" s="61">
        <f t="shared" si="72"/>
        <v>1.3711956670277889</v>
      </c>
      <c r="O76" s="61">
        <f t="shared" si="73"/>
        <v>3.0589626776594381</v>
      </c>
      <c r="P76" s="61">
        <f t="shared" si="73"/>
        <v>3.3682384067311903</v>
      </c>
      <c r="Q76" s="61">
        <f t="shared" si="73"/>
        <v>2.7625767568537873</v>
      </c>
      <c r="R76" s="61">
        <f t="shared" si="73"/>
        <v>2.7543705577879942</v>
      </c>
      <c r="S76" s="61">
        <f t="shared" si="73"/>
        <v>2.3221549967200907</v>
      </c>
      <c r="T76" s="61">
        <f t="shared" si="73"/>
        <v>2.677410433818062</v>
      </c>
      <c r="U76" s="61">
        <f t="shared" si="73"/>
        <v>2.7919949215344362</v>
      </c>
      <c r="V76" s="61">
        <f t="shared" si="73"/>
        <v>2.672436460478266</v>
      </c>
      <c r="W76" s="61">
        <f t="shared" si="73"/>
        <v>2.8548665956389012</v>
      </c>
      <c r="X76" s="61">
        <f t="shared" si="73"/>
        <v>2.5423718072784136</v>
      </c>
      <c r="Y76" s="61">
        <f t="shared" si="74"/>
        <v>2.6996845718399021</v>
      </c>
      <c r="Z76" s="61">
        <f t="shared" si="74"/>
        <v>2.2322118912936073</v>
      </c>
      <c r="AA76" s="61">
        <f t="shared" si="74"/>
        <v>2.1440691860743031</v>
      </c>
      <c r="AB76" s="61">
        <f t="shared" si="74"/>
        <v>2.1058041190341181</v>
      </c>
      <c r="AC76" s="61">
        <f t="shared" si="74"/>
        <v>2.70386990206371</v>
      </c>
      <c r="AD76" s="61">
        <f t="shared" si="74"/>
        <v>2.6828070094533127</v>
      </c>
      <c r="AE76" s="61">
        <f t="shared" si="74"/>
        <v>0.94042537367600576</v>
      </c>
      <c r="AF76" s="61">
        <f t="shared" si="74"/>
        <v>2.2745877425808985</v>
      </c>
      <c r="AG76" s="61">
        <f t="shared" si="74"/>
        <v>0.77024775698390557</v>
      </c>
      <c r="AH76" s="61">
        <f t="shared" si="74"/>
        <v>1.919990124024008</v>
      </c>
      <c r="AI76" s="61">
        <f t="shared" si="75"/>
        <v>0.76760992335314648</v>
      </c>
      <c r="AJ76" s="61">
        <f t="shared" si="75"/>
        <v>2.3761593110948933</v>
      </c>
      <c r="AK76" s="61">
        <f t="shared" si="75"/>
        <v>1.6418890564336026</v>
      </c>
      <c r="AL76" s="61">
        <f t="shared" si="75"/>
        <v>1.5726045332653258</v>
      </c>
      <c r="AM76" s="61">
        <f t="shared" si="75"/>
        <v>2.408480597067626</v>
      </c>
      <c r="AN76" s="61">
        <f t="shared" si="75"/>
        <v>2.4413464142994177</v>
      </c>
      <c r="AO76" s="61">
        <f t="shared" si="75"/>
        <v>1.7930743994767235</v>
      </c>
      <c r="AP76" s="61">
        <f t="shared" si="75"/>
        <v>1.7320510338277166</v>
      </c>
      <c r="AQ76" s="61">
        <f t="shared" si="75"/>
        <v>2.473498879824088</v>
      </c>
      <c r="AR76" s="61">
        <f t="shared" si="75"/>
        <v>1.2071350937695267</v>
      </c>
      <c r="AS76" s="61">
        <f t="shared" si="76"/>
        <v>1.8747377518533221</v>
      </c>
      <c r="AT76" s="61">
        <f t="shared" si="76"/>
        <v>1.7166253828672446</v>
      </c>
      <c r="AU76" s="61">
        <f t="shared" si="76"/>
        <v>0.64704708995142357</v>
      </c>
      <c r="AV76" s="61">
        <f t="shared" si="76"/>
        <v>1.3773842547747088</v>
      </c>
      <c r="AW76" s="61">
        <f t="shared" si="76"/>
        <v>0.30351015738561699</v>
      </c>
      <c r="AX76" s="61">
        <f t="shared" si="76"/>
        <v>1.4957300557153264</v>
      </c>
      <c r="AY76" s="61">
        <f t="shared" si="76"/>
        <v>0.41695895355399515</v>
      </c>
      <c r="AZ76" s="61">
        <f t="shared" si="76"/>
        <v>1.8758980568203074</v>
      </c>
      <c r="BA76" s="61">
        <f t="shared" si="76"/>
        <v>1.7230159175023223</v>
      </c>
      <c r="BB76" s="61">
        <f t="shared" si="76"/>
        <v>0.41281521376059649</v>
      </c>
      <c r="BC76" s="61">
        <f t="shared" si="77"/>
        <v>0.40868276046591273</v>
      </c>
      <c r="BD76" s="61">
        <f t="shared" si="77"/>
        <v>0.39638589738942609</v>
      </c>
      <c r="BE76" s="61">
        <f t="shared" si="77"/>
        <v>0.62017618916831407</v>
      </c>
      <c r="BF76" s="61">
        <f t="shared" si="77"/>
        <v>2.6100127981481651</v>
      </c>
      <c r="BG76" s="61">
        <f t="shared" si="77"/>
        <v>1.5444729264838255</v>
      </c>
      <c r="BH76" s="61">
        <f t="shared" si="77"/>
        <v>0.35438292943154226</v>
      </c>
      <c r="BI76" s="61">
        <f t="shared" si="77"/>
        <v>0.3477239771885518</v>
      </c>
      <c r="BJ76" s="61">
        <f t="shared" si="77"/>
        <v>1.4788998334170946</v>
      </c>
      <c r="BK76" s="61">
        <f t="shared" si="77"/>
        <v>0.43047176522178315</v>
      </c>
      <c r="BL76" s="61">
        <f t="shared" si="77"/>
        <v>1.1901540445411896</v>
      </c>
      <c r="BM76" s="61">
        <f t="shared" si="78"/>
        <v>1.8027440493667832</v>
      </c>
      <c r="BN76" s="61">
        <f t="shared" si="78"/>
        <v>1.202893819494149</v>
      </c>
      <c r="BO76" s="61">
        <f t="shared" si="78"/>
        <v>0</v>
      </c>
      <c r="BP76" s="61">
        <f t="shared" si="78"/>
        <v>1.3720532665431373</v>
      </c>
      <c r="BQ76" s="61">
        <f t="shared" si="78"/>
        <v>1.316421072045074</v>
      </c>
      <c r="BR76" s="61">
        <f t="shared" si="78"/>
        <v>1.3623123051135451</v>
      </c>
      <c r="BS76" s="61">
        <f t="shared" si="78"/>
        <v>1.4258093477331915</v>
      </c>
      <c r="BT76" s="61">
        <f t="shared" si="78"/>
        <v>1.0291244381309745</v>
      </c>
      <c r="BU76" s="61">
        <f t="shared" si="78"/>
        <v>0.9456171699331275</v>
      </c>
      <c r="BV76" s="61">
        <f t="shared" si="78"/>
        <v>0.37576553251596406</v>
      </c>
      <c r="BW76" s="61">
        <f t="shared" si="79"/>
        <v>1.1310250212771968</v>
      </c>
      <c r="BX76" s="61">
        <f t="shared" si="79"/>
        <v>0.3843213590936817</v>
      </c>
      <c r="BY76" s="61">
        <f t="shared" si="79"/>
        <v>0.68739594979167362</v>
      </c>
      <c r="BZ76" s="61">
        <f t="shared" si="79"/>
        <v>0.63701376251405339</v>
      </c>
      <c r="CA76" s="61">
        <f t="shared" si="79"/>
        <v>0.41467153435832704</v>
      </c>
      <c r="CB76" s="61">
        <f t="shared" si="79"/>
        <v>0.64474817150454111</v>
      </c>
      <c r="CC76" s="61">
        <f t="shared" si="79"/>
        <v>0.42645767953365249</v>
      </c>
      <c r="CD76" s="61">
        <f t="shared" si="79"/>
        <v>0.45276331845345985</v>
      </c>
      <c r="CE76" s="61">
        <f t="shared" si="79"/>
        <v>0.93145704337276092</v>
      </c>
      <c r="CF76" s="61">
        <f t="shared" si="79"/>
        <v>1.1489608854233309</v>
      </c>
      <c r="CG76" s="61">
        <f t="shared" si="80"/>
        <v>0.78834507893421979</v>
      </c>
      <c r="CH76" s="61">
        <f t="shared" si="80"/>
        <v>0.58750466892618147</v>
      </c>
      <c r="CI76" s="61">
        <f t="shared" si="80"/>
        <v>0.55748534290026153</v>
      </c>
      <c r="CJ76" s="61">
        <f t="shared" si="80"/>
        <v>0.4823518509530646</v>
      </c>
      <c r="CK76" s="61">
        <f t="shared" si="80"/>
        <v>0.95702934265532547</v>
      </c>
      <c r="CL76" s="61">
        <f t="shared" si="80"/>
        <v>0.6558334118361917</v>
      </c>
      <c r="CM76" s="61">
        <f t="shared" si="80"/>
        <v>0.7655839349215674</v>
      </c>
      <c r="CN76" s="61">
        <f t="shared" si="80"/>
        <v>1.6729241918042566</v>
      </c>
      <c r="CO76" s="61">
        <f t="shared" si="80"/>
        <v>1.0729470076569629</v>
      </c>
      <c r="CP76" s="61">
        <f t="shared" si="80"/>
        <v>0.75192047092863745</v>
      </c>
      <c r="CQ76" s="61">
        <f t="shared" si="81"/>
        <v>0.83718794466413604</v>
      </c>
      <c r="CR76" s="61">
        <f t="shared" si="81"/>
        <v>0.92041802322449817</v>
      </c>
      <c r="CS76" s="61">
        <f t="shared" si="81"/>
        <v>0.83136516654668768</v>
      </c>
      <c r="CT76" s="61">
        <f t="shared" si="81"/>
        <v>0.87732881111441896</v>
      </c>
      <c r="CU76" s="61">
        <f t="shared" si="81"/>
        <v>0.97101176643656739</v>
      </c>
      <c r="CV76" s="61">
        <f t="shared" si="81"/>
        <v>1.3615354079636404</v>
      </c>
      <c r="CW76" s="61">
        <f t="shared" si="81"/>
        <v>0.87732881111441896</v>
      </c>
      <c r="CX76" s="61">
        <f t="shared" si="81"/>
        <v>1.1760649678306487</v>
      </c>
      <c r="CY76" s="61">
        <f t="shared" si="81"/>
        <v>0.92857562957040374</v>
      </c>
      <c r="CZ76" s="61">
        <f t="shared" si="81"/>
        <v>0.92857562957040374</v>
      </c>
      <c r="DA76" s="61">
        <f t="shared" si="82"/>
        <v>0.92857562957040363</v>
      </c>
      <c r="DB76" s="61">
        <f t="shared" si="82"/>
        <v>0.98632192095062809</v>
      </c>
      <c r="DC76" s="61">
        <f t="shared" si="82"/>
        <v>0.98632192095062809</v>
      </c>
      <c r="DD76" s="61">
        <f t="shared" si="82"/>
        <v>0.95129644682715953</v>
      </c>
      <c r="DE76" s="61">
        <f t="shared" si="82"/>
        <v>1.0822869757549449</v>
      </c>
      <c r="DF76" s="61">
        <f t="shared" si="82"/>
        <v>1.3326077104897474</v>
      </c>
      <c r="DG76" s="61">
        <f t="shared" si="82"/>
        <v>1.4783637931370386</v>
      </c>
      <c r="DH76" s="61">
        <f t="shared" si="82"/>
        <v>1.4783637931370386</v>
      </c>
      <c r="DI76" s="61">
        <f t="shared" si="82"/>
        <v>1.4783637931370386</v>
      </c>
      <c r="DJ76" s="61">
        <f t="shared" si="82"/>
        <v>1.4783637931370386</v>
      </c>
      <c r="DK76" s="61">
        <f t="shared" si="83"/>
        <v>1.6849791093683231</v>
      </c>
      <c r="DL76" s="61">
        <f t="shared" si="83"/>
        <v>1.6849791093683231</v>
      </c>
      <c r="DM76" s="61">
        <f t="shared" si="83"/>
        <v>1.6849791093683231</v>
      </c>
      <c r="DN76" s="61">
        <f t="shared" si="83"/>
        <v>1.6849791093683231</v>
      </c>
      <c r="DO76" s="61">
        <f t="shared" si="83"/>
        <v>1.6849791093683231</v>
      </c>
      <c r="DP76" s="61">
        <f t="shared" si="83"/>
        <v>2.0402854698792918</v>
      </c>
      <c r="DQ76" s="61">
        <f t="shared" si="83"/>
        <v>2.0402854698792918</v>
      </c>
    </row>
    <row r="77" spans="1:121" x14ac:dyDescent="0.25">
      <c r="A77" s="48" t="str">
        <f>KMeans_Data!A68</f>
        <v>Mirpurkhas</v>
      </c>
      <c r="B77" s="59">
        <f>KMeans_Data!H68</f>
        <v>-9.8484288830971004E-2</v>
      </c>
      <c r="C77" s="59">
        <f>KMeans_Data!I68</f>
        <v>0.16051258962499582</v>
      </c>
      <c r="D77" s="59">
        <f>KMeans_Data!J68</f>
        <v>0.26515989636960624</v>
      </c>
      <c r="E77" s="61">
        <f t="shared" si="72"/>
        <v>5.9449744144455829</v>
      </c>
      <c r="F77" s="61">
        <f t="shared" si="72"/>
        <v>5.7461232267828333</v>
      </c>
      <c r="G77" s="61">
        <f t="shared" si="72"/>
        <v>3.8806045193527359</v>
      </c>
      <c r="H77" s="61">
        <f t="shared" si="72"/>
        <v>4.4079631141046782</v>
      </c>
      <c r="I77" s="61">
        <f t="shared" si="72"/>
        <v>3.2908939527686227</v>
      </c>
      <c r="J77" s="61">
        <f t="shared" si="72"/>
        <v>2.8653239711091509</v>
      </c>
      <c r="K77" s="61">
        <f t="shared" si="72"/>
        <v>1.8041570634973154</v>
      </c>
      <c r="L77" s="61">
        <f t="shared" si="72"/>
        <v>2.0990033082794839</v>
      </c>
      <c r="M77" s="61">
        <f t="shared" si="72"/>
        <v>2.2347970559497004</v>
      </c>
      <c r="N77" s="61">
        <f t="shared" si="72"/>
        <v>1.7239066588208933</v>
      </c>
      <c r="O77" s="61">
        <f t="shared" si="73"/>
        <v>1.9467893319486917</v>
      </c>
      <c r="P77" s="61">
        <f t="shared" si="73"/>
        <v>2.2136865335187546</v>
      </c>
      <c r="Q77" s="61">
        <f t="shared" si="73"/>
        <v>1.6312092245274872</v>
      </c>
      <c r="R77" s="61">
        <f t="shared" si="73"/>
        <v>1.67042015284584</v>
      </c>
      <c r="S77" s="61">
        <f t="shared" si="73"/>
        <v>1.4599834067484985</v>
      </c>
      <c r="T77" s="61">
        <f t="shared" si="73"/>
        <v>1.5406222939573613</v>
      </c>
      <c r="U77" s="61">
        <f t="shared" si="73"/>
        <v>1.6560795889442192</v>
      </c>
      <c r="V77" s="61">
        <f t="shared" si="73"/>
        <v>1.5873953448182359</v>
      </c>
      <c r="W77" s="61">
        <f t="shared" si="73"/>
        <v>1.6850430040033884</v>
      </c>
      <c r="X77" s="61">
        <f t="shared" si="73"/>
        <v>1.375566880991786</v>
      </c>
      <c r="Y77" s="61">
        <f t="shared" si="74"/>
        <v>1.4860927263378887</v>
      </c>
      <c r="Z77" s="61">
        <f t="shared" si="74"/>
        <v>1.1485951155446368</v>
      </c>
      <c r="AA77" s="61">
        <f t="shared" si="74"/>
        <v>1.1226104822278482</v>
      </c>
      <c r="AB77" s="61">
        <f t="shared" si="74"/>
        <v>1.0438271243136079</v>
      </c>
      <c r="AC77" s="61">
        <f t="shared" si="74"/>
        <v>1.5633239994381789</v>
      </c>
      <c r="AD77" s="61">
        <f t="shared" si="74"/>
        <v>1.4457901724883053</v>
      </c>
      <c r="AE77" s="61">
        <f t="shared" si="74"/>
        <v>1.6244050418755513</v>
      </c>
      <c r="AF77" s="61">
        <f t="shared" si="74"/>
        <v>1.0664381279714961</v>
      </c>
      <c r="AG77" s="61">
        <f t="shared" si="74"/>
        <v>1.2624144451025308</v>
      </c>
      <c r="AH77" s="61">
        <f t="shared" si="74"/>
        <v>0.85085290014362536</v>
      </c>
      <c r="AI77" s="61">
        <f t="shared" si="75"/>
        <v>1.2607224362520169</v>
      </c>
      <c r="AJ77" s="61">
        <f t="shared" si="75"/>
        <v>1.1463829442825522</v>
      </c>
      <c r="AK77" s="61">
        <f t="shared" si="75"/>
        <v>0.66714094154885817</v>
      </c>
      <c r="AL77" s="61">
        <f t="shared" si="75"/>
        <v>0.71902898171496943</v>
      </c>
      <c r="AM77" s="61">
        <f t="shared" si="75"/>
        <v>1.3534070161895</v>
      </c>
      <c r="AN77" s="61">
        <f t="shared" si="75"/>
        <v>1.2175213264876035</v>
      </c>
      <c r="AO77" s="61">
        <f t="shared" si="75"/>
        <v>0.63708029265925681</v>
      </c>
      <c r="AP77" s="61">
        <f t="shared" si="75"/>
        <v>0.60333610143895255</v>
      </c>
      <c r="AQ77" s="61">
        <f t="shared" si="75"/>
        <v>1.2746872334221309</v>
      </c>
      <c r="AR77" s="61">
        <f t="shared" si="75"/>
        <v>0.59722726726168429</v>
      </c>
      <c r="AS77" s="61">
        <f t="shared" si="76"/>
        <v>1.1929373786360264</v>
      </c>
      <c r="AT77" s="61">
        <f t="shared" si="76"/>
        <v>0.70161045675248113</v>
      </c>
      <c r="AU77" s="61">
        <f t="shared" si="76"/>
        <v>1.0187230960514329</v>
      </c>
      <c r="AV77" s="61">
        <f t="shared" si="76"/>
        <v>0.9394313414676746</v>
      </c>
      <c r="AW77" s="61">
        <f t="shared" si="76"/>
        <v>1.4124583590123208</v>
      </c>
      <c r="AX77" s="61">
        <f t="shared" si="76"/>
        <v>0.35090148657131892</v>
      </c>
      <c r="AY77" s="61">
        <f t="shared" si="76"/>
        <v>1.6655944691318909</v>
      </c>
      <c r="AZ77" s="61">
        <f t="shared" si="76"/>
        <v>1.1716108428955525</v>
      </c>
      <c r="BA77" s="61">
        <f t="shared" si="76"/>
        <v>0.67965766130642491</v>
      </c>
      <c r="BB77" s="61">
        <f t="shared" si="76"/>
        <v>1.6644298553116885</v>
      </c>
      <c r="BC77" s="61">
        <f t="shared" si="77"/>
        <v>1.6632758382553279</v>
      </c>
      <c r="BD77" s="61">
        <f t="shared" si="77"/>
        <v>1.164172634989308</v>
      </c>
      <c r="BE77" s="61">
        <f t="shared" si="77"/>
        <v>1.008332523031533</v>
      </c>
      <c r="BF77" s="61">
        <f t="shared" si="77"/>
        <v>1.3423199576593454</v>
      </c>
      <c r="BG77" s="61">
        <f t="shared" si="77"/>
        <v>0.5089367686873898</v>
      </c>
      <c r="BH77" s="61">
        <f t="shared" si="77"/>
        <v>1.6486767691075022</v>
      </c>
      <c r="BI77" s="61">
        <f t="shared" si="77"/>
        <v>1.6469212736941528</v>
      </c>
      <c r="BJ77" s="61">
        <f t="shared" si="77"/>
        <v>0.48214346976902184</v>
      </c>
      <c r="BK77" s="61">
        <f t="shared" si="77"/>
        <v>1.0711213634574976</v>
      </c>
      <c r="BL77" s="61">
        <f t="shared" si="77"/>
        <v>0.84436970360001828</v>
      </c>
      <c r="BM77" s="61">
        <f t="shared" si="78"/>
        <v>0.45864372985618507</v>
      </c>
      <c r="BN77" s="61">
        <f t="shared" si="78"/>
        <v>0.22889556876893219</v>
      </c>
      <c r="BO77" s="61">
        <f t="shared" si="78"/>
        <v>1.3720532665431373</v>
      </c>
      <c r="BP77" s="61">
        <f t="shared" si="78"/>
        <v>0</v>
      </c>
      <c r="BQ77" s="61">
        <f t="shared" si="78"/>
        <v>0.32901765605690986</v>
      </c>
      <c r="BR77" s="61">
        <f t="shared" si="78"/>
        <v>0.35094231730132641</v>
      </c>
      <c r="BS77" s="61">
        <f t="shared" si="78"/>
        <v>0.89999984423813195</v>
      </c>
      <c r="BT77" s="61">
        <f t="shared" si="78"/>
        <v>0.84424625168088074</v>
      </c>
      <c r="BU77" s="61">
        <f t="shared" si="78"/>
        <v>0.8555464199888172</v>
      </c>
      <c r="BV77" s="61">
        <f t="shared" si="78"/>
        <v>1.6463861136953537</v>
      </c>
      <c r="BW77" s="61">
        <f t="shared" si="79"/>
        <v>0.85212158684897821</v>
      </c>
      <c r="BX77" s="61">
        <f t="shared" si="79"/>
        <v>1.6480335126581198</v>
      </c>
      <c r="BY77" s="61">
        <f t="shared" si="79"/>
        <v>0.96886119895846667</v>
      </c>
      <c r="BZ77" s="61">
        <f t="shared" si="79"/>
        <v>1.002807846057002</v>
      </c>
      <c r="CA77" s="61">
        <f t="shared" si="79"/>
        <v>1.654334313650242</v>
      </c>
      <c r="CB77" s="61">
        <f t="shared" si="79"/>
        <v>1.0071297134097907</v>
      </c>
      <c r="CC77" s="61">
        <f t="shared" si="79"/>
        <v>1.6569576653735063</v>
      </c>
      <c r="CD77" s="61">
        <f t="shared" si="79"/>
        <v>1.6631433938467279</v>
      </c>
      <c r="CE77" s="61">
        <f t="shared" si="79"/>
        <v>0.91495202422324806</v>
      </c>
      <c r="CF77" s="61">
        <f t="shared" si="79"/>
        <v>0.45168889425750464</v>
      </c>
      <c r="CG77" s="61">
        <f t="shared" si="80"/>
        <v>0.82189474156115283</v>
      </c>
      <c r="CH77" s="61">
        <f t="shared" si="80"/>
        <v>1.1292112980955762</v>
      </c>
      <c r="CI77" s="61">
        <f t="shared" si="80"/>
        <v>1.209442071437411</v>
      </c>
      <c r="CJ77" s="61">
        <f t="shared" si="80"/>
        <v>1.443187002665542</v>
      </c>
      <c r="CK77" s="61">
        <f t="shared" si="80"/>
        <v>1.0201181099665804</v>
      </c>
      <c r="CL77" s="61">
        <f t="shared" si="80"/>
        <v>1.724584802013436</v>
      </c>
      <c r="CM77" s="61">
        <f t="shared" si="80"/>
        <v>1.1492723998358787</v>
      </c>
      <c r="CN77" s="61">
        <f t="shared" si="80"/>
        <v>0.77193456498385016</v>
      </c>
      <c r="CO77" s="61">
        <f t="shared" si="80"/>
        <v>0.84393176157564809</v>
      </c>
      <c r="CP77" s="61">
        <f t="shared" si="80"/>
        <v>1.7613061755489714</v>
      </c>
      <c r="CQ77" s="61">
        <f t="shared" si="81"/>
        <v>1.268718329285766</v>
      </c>
      <c r="CR77" s="61">
        <f t="shared" si="81"/>
        <v>1.2525079881242203</v>
      </c>
      <c r="CS77" s="61">
        <f t="shared" si="81"/>
        <v>1.7950325764804895</v>
      </c>
      <c r="CT77" s="61">
        <f t="shared" si="81"/>
        <v>1.8158599009462353</v>
      </c>
      <c r="CU77" s="61">
        <f t="shared" si="81"/>
        <v>1.3764494440823105</v>
      </c>
      <c r="CV77" s="61">
        <f t="shared" si="81"/>
        <v>1.1432319176812424</v>
      </c>
      <c r="CW77" s="61">
        <f t="shared" si="81"/>
        <v>1.8158599009462353</v>
      </c>
      <c r="CX77" s="61">
        <f t="shared" si="81"/>
        <v>1.2188629551025651</v>
      </c>
      <c r="CY77" s="61">
        <f t="shared" si="81"/>
        <v>1.840165766413016</v>
      </c>
      <c r="CZ77" s="61">
        <f t="shared" si="81"/>
        <v>1.840165766413016</v>
      </c>
      <c r="DA77" s="61">
        <f t="shared" si="82"/>
        <v>1.4093589503408777</v>
      </c>
      <c r="DB77" s="61">
        <f t="shared" si="82"/>
        <v>1.8688686231164393</v>
      </c>
      <c r="DC77" s="61">
        <f t="shared" si="82"/>
        <v>1.8688686231164393</v>
      </c>
      <c r="DD77" s="61">
        <f t="shared" si="82"/>
        <v>1.5216424150611454</v>
      </c>
      <c r="DE77" s="61">
        <f t="shared" si="82"/>
        <v>1.7266054657968644</v>
      </c>
      <c r="DF77" s="61">
        <f t="shared" si="82"/>
        <v>2.066747694384707</v>
      </c>
      <c r="DG77" s="61">
        <f t="shared" si="82"/>
        <v>2.1612735281407494</v>
      </c>
      <c r="DH77" s="61">
        <f t="shared" si="82"/>
        <v>2.1612735281407494</v>
      </c>
      <c r="DI77" s="61">
        <f t="shared" si="82"/>
        <v>2.1612735281407494</v>
      </c>
      <c r="DJ77" s="61">
        <f t="shared" si="82"/>
        <v>2.1612735281407494</v>
      </c>
      <c r="DK77" s="61">
        <f t="shared" si="83"/>
        <v>2.304456778649107</v>
      </c>
      <c r="DL77" s="61">
        <f t="shared" si="83"/>
        <v>2.304456778649107</v>
      </c>
      <c r="DM77" s="61">
        <f t="shared" si="83"/>
        <v>2.304456778649107</v>
      </c>
      <c r="DN77" s="61">
        <f t="shared" si="83"/>
        <v>2.304456778649107</v>
      </c>
      <c r="DO77" s="61">
        <f t="shared" si="83"/>
        <v>2.304456778649107</v>
      </c>
      <c r="DP77" s="61">
        <f t="shared" si="83"/>
        <v>2.5709715999444818</v>
      </c>
      <c r="DQ77" s="61">
        <f t="shared" si="83"/>
        <v>2.5709715999444818</v>
      </c>
    </row>
    <row r="78" spans="1:121" x14ac:dyDescent="0.25">
      <c r="A78" s="48" t="str">
        <f>KMeans_Data!A69</f>
        <v>Kashmore</v>
      </c>
      <c r="B78" s="59">
        <f>KMeans_Data!H69</f>
        <v>-0.11018073651136755</v>
      </c>
      <c r="C78" s="59">
        <f>KMeans_Data!I69</f>
        <v>-0.14698313392952958</v>
      </c>
      <c r="D78" s="59">
        <f>KMeans_Data!J69</f>
        <v>0.38161671714246476</v>
      </c>
      <c r="E78" s="61">
        <f t="shared" si="72"/>
        <v>6.1007521178289013</v>
      </c>
      <c r="F78" s="61">
        <f t="shared" si="72"/>
        <v>5.9244964504303868</v>
      </c>
      <c r="G78" s="61">
        <f t="shared" si="72"/>
        <v>4.0057870105100246</v>
      </c>
      <c r="H78" s="61">
        <f t="shared" si="72"/>
        <v>4.6224546921433269</v>
      </c>
      <c r="I78" s="61">
        <f t="shared" si="72"/>
        <v>3.4394294127961564</v>
      </c>
      <c r="J78" s="61">
        <f t="shared" si="72"/>
        <v>3.0584994235458467</v>
      </c>
      <c r="K78" s="61">
        <f t="shared" si="72"/>
        <v>1.9106694009664418</v>
      </c>
      <c r="L78" s="61">
        <f t="shared" si="72"/>
        <v>2.1285438283154781</v>
      </c>
      <c r="M78" s="61">
        <f t="shared" si="72"/>
        <v>2.3340400024310464</v>
      </c>
      <c r="N78" s="61">
        <f t="shared" si="72"/>
        <v>1.7819076649848891</v>
      </c>
      <c r="O78" s="61">
        <f t="shared" si="73"/>
        <v>2.1372430708703005</v>
      </c>
      <c r="P78" s="61">
        <f t="shared" si="73"/>
        <v>2.4116773968742717</v>
      </c>
      <c r="Q78" s="61">
        <f t="shared" si="73"/>
        <v>1.765863288533791</v>
      </c>
      <c r="R78" s="61">
        <f t="shared" si="73"/>
        <v>1.6669079250150307</v>
      </c>
      <c r="S78" s="61">
        <f t="shared" si="73"/>
        <v>1.3662189899096517</v>
      </c>
      <c r="T78" s="61">
        <f t="shared" si="73"/>
        <v>1.6877764476770292</v>
      </c>
      <c r="U78" s="61">
        <f t="shared" si="73"/>
        <v>1.6434499832473424</v>
      </c>
      <c r="V78" s="61">
        <f t="shared" si="73"/>
        <v>1.8217332187069617</v>
      </c>
      <c r="W78" s="61">
        <f t="shared" si="73"/>
        <v>1.8880171661013758</v>
      </c>
      <c r="X78" s="61">
        <f t="shared" si="73"/>
        <v>1.4959622082115089</v>
      </c>
      <c r="Y78" s="61">
        <f t="shared" si="74"/>
        <v>1.580827671916063</v>
      </c>
      <c r="Z78" s="61">
        <f t="shared" si="74"/>
        <v>1.3270732977399444</v>
      </c>
      <c r="AA78" s="61">
        <f t="shared" si="74"/>
        <v>1.1078702680576</v>
      </c>
      <c r="AB78" s="61">
        <f t="shared" si="74"/>
        <v>1.1675090795202636</v>
      </c>
      <c r="AC78" s="61">
        <f t="shared" si="74"/>
        <v>1.7931043606872155</v>
      </c>
      <c r="AD78" s="61">
        <f t="shared" si="74"/>
        <v>1.541625908488764</v>
      </c>
      <c r="AE78" s="61">
        <f t="shared" si="74"/>
        <v>1.704065906333085</v>
      </c>
      <c r="AF78" s="61">
        <f t="shared" si="74"/>
        <v>1.201497030695176</v>
      </c>
      <c r="AG78" s="61">
        <f t="shared" si="74"/>
        <v>1.1663029503832352</v>
      </c>
      <c r="AH78" s="61">
        <f t="shared" si="74"/>
        <v>0.85308230633438797</v>
      </c>
      <c r="AI78" s="61">
        <f t="shared" si="75"/>
        <v>1.1644395166450789</v>
      </c>
      <c r="AJ78" s="61">
        <f t="shared" si="75"/>
        <v>1.2160198671260884</v>
      </c>
      <c r="AK78" s="61">
        <f t="shared" si="75"/>
        <v>0.83499826220883211</v>
      </c>
      <c r="AL78" s="61">
        <f t="shared" si="75"/>
        <v>0.61885268696794271</v>
      </c>
      <c r="AM78" s="61">
        <f t="shared" si="75"/>
        <v>1.6414698482649437</v>
      </c>
      <c r="AN78" s="61">
        <f t="shared" si="75"/>
        <v>1.4503952736271812</v>
      </c>
      <c r="AO78" s="61">
        <f t="shared" si="75"/>
        <v>0.77248116175895687</v>
      </c>
      <c r="AP78" s="61">
        <f t="shared" si="75"/>
        <v>0.75717918111810967</v>
      </c>
      <c r="AQ78" s="61">
        <f t="shared" si="75"/>
        <v>1.5310727178022872</v>
      </c>
      <c r="AR78" s="61">
        <f t="shared" si="75"/>
        <v>0.74594509614031601</v>
      </c>
      <c r="AS78" s="61">
        <f t="shared" si="76"/>
        <v>0.92465092895472001</v>
      </c>
      <c r="AT78" s="61">
        <f t="shared" si="76"/>
        <v>0.54912311190674812</v>
      </c>
      <c r="AU78" s="61">
        <f t="shared" si="76"/>
        <v>1.0841603228964218</v>
      </c>
      <c r="AV78" s="61">
        <f t="shared" si="76"/>
        <v>0.65461818773702163</v>
      </c>
      <c r="AW78" s="61">
        <f t="shared" si="76"/>
        <v>1.3610925280777373</v>
      </c>
      <c r="AX78" s="61">
        <f t="shared" si="76"/>
        <v>0.46043831673428032</v>
      </c>
      <c r="AY78" s="61">
        <f t="shared" si="76"/>
        <v>1.6448921189789949</v>
      </c>
      <c r="AZ78" s="61">
        <f t="shared" si="76"/>
        <v>0.89264436938239466</v>
      </c>
      <c r="BA78" s="61">
        <f t="shared" si="76"/>
        <v>0.51413791263735709</v>
      </c>
      <c r="BB78" s="61">
        <f t="shared" si="76"/>
        <v>1.6436662496608152</v>
      </c>
      <c r="BC78" s="61">
        <f t="shared" si="77"/>
        <v>1.6424504283771164</v>
      </c>
      <c r="BD78" s="61">
        <f t="shared" si="77"/>
        <v>1.0659992763486112</v>
      </c>
      <c r="BE78" s="61">
        <f t="shared" si="77"/>
        <v>0.85852347688742647</v>
      </c>
      <c r="BF78" s="61">
        <f t="shared" si="77"/>
        <v>1.5960942289219988</v>
      </c>
      <c r="BG78" s="61">
        <f t="shared" si="77"/>
        <v>0.31712337362590409</v>
      </c>
      <c r="BH78" s="61">
        <f t="shared" si="77"/>
        <v>1.6269245208809455</v>
      </c>
      <c r="BI78" s="61">
        <f t="shared" si="77"/>
        <v>1.6250265965355088</v>
      </c>
      <c r="BJ78" s="61">
        <f t="shared" si="77"/>
        <v>0.80139837891042742</v>
      </c>
      <c r="BK78" s="61">
        <f t="shared" si="77"/>
        <v>0.94894540475266664</v>
      </c>
      <c r="BL78" s="61">
        <f t="shared" si="77"/>
        <v>0.53665013354450775</v>
      </c>
      <c r="BM78" s="61">
        <f t="shared" si="78"/>
        <v>0.70939699189012595</v>
      </c>
      <c r="BN78" s="61">
        <f t="shared" si="78"/>
        <v>0.46226501962884081</v>
      </c>
      <c r="BO78" s="61">
        <f t="shared" si="78"/>
        <v>1.316421072045074</v>
      </c>
      <c r="BP78" s="61">
        <f t="shared" si="78"/>
        <v>0.32901765605690986</v>
      </c>
      <c r="BQ78" s="61">
        <f t="shared" si="78"/>
        <v>0</v>
      </c>
      <c r="BR78" s="61">
        <f t="shared" si="78"/>
        <v>5.4497061853321267E-2</v>
      </c>
      <c r="BS78" s="61">
        <f t="shared" si="78"/>
        <v>0.57163867297450699</v>
      </c>
      <c r="BT78" s="61">
        <f t="shared" si="78"/>
        <v>0.56792323621533014</v>
      </c>
      <c r="BU78" s="61">
        <f t="shared" si="78"/>
        <v>0.60118443319705162</v>
      </c>
      <c r="BV78" s="61">
        <f t="shared" si="78"/>
        <v>1.6221192687004151</v>
      </c>
      <c r="BW78" s="61">
        <f t="shared" si="79"/>
        <v>0.55928867568509366</v>
      </c>
      <c r="BX78" s="61">
        <f t="shared" si="79"/>
        <v>1.6236759193781483</v>
      </c>
      <c r="BY78" s="61">
        <f t="shared" si="79"/>
        <v>0.79610365002490135</v>
      </c>
      <c r="BZ78" s="61">
        <f t="shared" si="79"/>
        <v>0.84540633127109277</v>
      </c>
      <c r="CA78" s="61">
        <f t="shared" si="79"/>
        <v>1.6297031987946056</v>
      </c>
      <c r="CB78" s="61">
        <f t="shared" si="79"/>
        <v>0.85027719074629093</v>
      </c>
      <c r="CC78" s="61">
        <f t="shared" si="79"/>
        <v>1.6322352625499565</v>
      </c>
      <c r="CD78" s="61">
        <f t="shared" si="79"/>
        <v>1.6382389658182552</v>
      </c>
      <c r="CE78" s="61">
        <f t="shared" si="79"/>
        <v>0.69109007820700563</v>
      </c>
      <c r="CF78" s="61">
        <f t="shared" si="79"/>
        <v>0.38126313616955237</v>
      </c>
      <c r="CG78" s="61">
        <f t="shared" si="80"/>
        <v>0.8607161082905691</v>
      </c>
      <c r="CH78" s="61">
        <f t="shared" si="80"/>
        <v>1.0085427341172024</v>
      </c>
      <c r="CI78" s="61">
        <f t="shared" si="80"/>
        <v>1.1080225099383831</v>
      </c>
      <c r="CJ78" s="61">
        <f t="shared" si="80"/>
        <v>1.3863402868628358</v>
      </c>
      <c r="CK78" s="61">
        <f t="shared" si="80"/>
        <v>0.83333297616286217</v>
      </c>
      <c r="CL78" s="61">
        <f t="shared" si="80"/>
        <v>1.6988415159558612</v>
      </c>
      <c r="CM78" s="61">
        <f t="shared" si="80"/>
        <v>1.0194665726197978</v>
      </c>
      <c r="CN78" s="61">
        <f t="shared" si="80"/>
        <v>0.64512200218108073</v>
      </c>
      <c r="CO78" s="61">
        <f t="shared" si="80"/>
        <v>0.84876923122971748</v>
      </c>
      <c r="CP78" s="61">
        <f t="shared" si="80"/>
        <v>1.7353792465428037</v>
      </c>
      <c r="CQ78" s="61">
        <f t="shared" si="81"/>
        <v>1.1594423677831098</v>
      </c>
      <c r="CR78" s="61">
        <f t="shared" si="81"/>
        <v>1.1325631543439232</v>
      </c>
      <c r="CS78" s="61">
        <f t="shared" si="81"/>
        <v>1.7690250711121955</v>
      </c>
      <c r="CT78" s="61">
        <f t="shared" si="81"/>
        <v>1.7898308583122453</v>
      </c>
      <c r="CU78" s="61">
        <f t="shared" si="81"/>
        <v>1.4315131632150748</v>
      </c>
      <c r="CV78" s="61">
        <f t="shared" si="81"/>
        <v>0.94049510312462858</v>
      </c>
      <c r="CW78" s="61">
        <f t="shared" si="81"/>
        <v>1.7898308583122453</v>
      </c>
      <c r="CX78" s="61">
        <f t="shared" si="81"/>
        <v>1.0638075200660253</v>
      </c>
      <c r="CY78" s="61">
        <f t="shared" si="81"/>
        <v>1.8141319062915153</v>
      </c>
      <c r="CZ78" s="61">
        <f t="shared" si="81"/>
        <v>1.8141319062915153</v>
      </c>
      <c r="DA78" s="61">
        <f t="shared" si="82"/>
        <v>1.3196720569871738</v>
      </c>
      <c r="DB78" s="61">
        <f t="shared" si="82"/>
        <v>1.8428511638610141</v>
      </c>
      <c r="DC78" s="61">
        <f t="shared" si="82"/>
        <v>1.8428511638610141</v>
      </c>
      <c r="DD78" s="61">
        <f t="shared" si="82"/>
        <v>1.4492249055556761</v>
      </c>
      <c r="DE78" s="61">
        <f t="shared" si="82"/>
        <v>1.6751963709482034</v>
      </c>
      <c r="DF78" s="61">
        <f t="shared" si="82"/>
        <v>2.041185253374747</v>
      </c>
      <c r="DG78" s="61">
        <f t="shared" si="82"/>
        <v>2.1360224376315649</v>
      </c>
      <c r="DH78" s="61">
        <f t="shared" si="82"/>
        <v>2.1360224376315649</v>
      </c>
      <c r="DI78" s="61">
        <f t="shared" si="82"/>
        <v>2.1360224376315649</v>
      </c>
      <c r="DJ78" s="61">
        <f t="shared" si="82"/>
        <v>2.1360224376315649</v>
      </c>
      <c r="DK78" s="61">
        <f t="shared" si="83"/>
        <v>2.2797089673217328</v>
      </c>
      <c r="DL78" s="61">
        <f t="shared" si="83"/>
        <v>2.2797089673217328</v>
      </c>
      <c r="DM78" s="61">
        <f t="shared" si="83"/>
        <v>2.2797089673217328</v>
      </c>
      <c r="DN78" s="61">
        <f t="shared" si="83"/>
        <v>2.2797089673217328</v>
      </c>
      <c r="DO78" s="61">
        <f t="shared" si="83"/>
        <v>2.2797089673217328</v>
      </c>
      <c r="DP78" s="61">
        <f t="shared" si="83"/>
        <v>2.5471567724468125</v>
      </c>
      <c r="DQ78" s="61">
        <f t="shared" si="83"/>
        <v>2.5471567724468125</v>
      </c>
    </row>
    <row r="79" spans="1:121" x14ac:dyDescent="0.25">
      <c r="A79" s="48" t="str">
        <f>KMeans_Data!A70</f>
        <v>Naushero Feroz</v>
      </c>
      <c r="B79" s="59">
        <f>KMeans_Data!H70</f>
        <v>-0.13439300986668776</v>
      </c>
      <c r="C79" s="59">
        <f>KMeans_Data!I70</f>
        <v>-0.14698313392952958</v>
      </c>
      <c r="D79" s="59">
        <f>KMeans_Data!J70</f>
        <v>0.43043982201722641</v>
      </c>
      <c r="E79" s="61">
        <f t="shared" si="72"/>
        <v>6.091443757222688</v>
      </c>
      <c r="F79" s="61">
        <f t="shared" si="72"/>
        <v>5.9195331051094691</v>
      </c>
      <c r="G79" s="61">
        <f t="shared" si="72"/>
        <v>3.9968422833915187</v>
      </c>
      <c r="H79" s="61">
        <f t="shared" si="72"/>
        <v>4.6223469000244268</v>
      </c>
      <c r="I79" s="61">
        <f t="shared" si="72"/>
        <v>3.4372548276431862</v>
      </c>
      <c r="J79" s="61">
        <f t="shared" si="72"/>
        <v>3.0547300622517537</v>
      </c>
      <c r="K79" s="61">
        <f t="shared" si="72"/>
        <v>1.9599984985753305</v>
      </c>
      <c r="L79" s="61">
        <f t="shared" si="72"/>
        <v>2.1146357930906809</v>
      </c>
      <c r="M79" s="61">
        <f t="shared" si="72"/>
        <v>2.3213625425399975</v>
      </c>
      <c r="N79" s="61">
        <f t="shared" si="72"/>
        <v>1.8328807176223982</v>
      </c>
      <c r="O79" s="61">
        <f t="shared" si="73"/>
        <v>2.1382525182044367</v>
      </c>
      <c r="P79" s="61">
        <f t="shared" si="73"/>
        <v>2.4088149230418323</v>
      </c>
      <c r="Q79" s="61">
        <f t="shared" si="73"/>
        <v>1.7631845176234779</v>
      </c>
      <c r="R79" s="61">
        <f t="shared" si="73"/>
        <v>1.6525144375726144</v>
      </c>
      <c r="S79" s="61">
        <f t="shared" si="73"/>
        <v>1.3590383153037797</v>
      </c>
      <c r="T79" s="61">
        <f t="shared" si="73"/>
        <v>1.6863438531664674</v>
      </c>
      <c r="U79" s="61">
        <f t="shared" si="73"/>
        <v>1.6231216259312742</v>
      </c>
      <c r="V79" s="61">
        <f t="shared" si="73"/>
        <v>1.8289913797689663</v>
      </c>
      <c r="W79" s="61">
        <f t="shared" si="73"/>
        <v>1.8868380930590072</v>
      </c>
      <c r="X79" s="61">
        <f t="shared" si="73"/>
        <v>1.4909732529785449</v>
      </c>
      <c r="Y79" s="61">
        <f t="shared" si="74"/>
        <v>1.5681133492189263</v>
      </c>
      <c r="Z79" s="61">
        <f t="shared" si="74"/>
        <v>1.3357987442391117</v>
      </c>
      <c r="AA79" s="61">
        <f t="shared" si="74"/>
        <v>1.1032575442267483</v>
      </c>
      <c r="AB79" s="61">
        <f t="shared" si="74"/>
        <v>1.1753476698417866</v>
      </c>
      <c r="AC79" s="61">
        <f t="shared" si="74"/>
        <v>1.7962763787885565</v>
      </c>
      <c r="AD79" s="61">
        <f t="shared" si="74"/>
        <v>1.5269716517236926</v>
      </c>
      <c r="AE79" s="61">
        <f t="shared" si="74"/>
        <v>1.7585629508139276</v>
      </c>
      <c r="AF79" s="61">
        <f t="shared" si="74"/>
        <v>1.1971083982531243</v>
      </c>
      <c r="AG79" s="61">
        <f t="shared" si="74"/>
        <v>1.2136112245129782</v>
      </c>
      <c r="AH79" s="61">
        <f t="shared" si="74"/>
        <v>0.85145805899825044</v>
      </c>
      <c r="AI79" s="61">
        <f t="shared" si="75"/>
        <v>1.2117573217142419</v>
      </c>
      <c r="AJ79" s="61">
        <f t="shared" si="75"/>
        <v>1.2012748272033353</v>
      </c>
      <c r="AK79" s="61">
        <f t="shared" si="75"/>
        <v>0.86054451335813642</v>
      </c>
      <c r="AL79" s="61">
        <f t="shared" si="75"/>
        <v>0.63096662005711435</v>
      </c>
      <c r="AM79" s="61">
        <f t="shared" si="75"/>
        <v>1.6533171741682573</v>
      </c>
      <c r="AN79" s="61">
        <f t="shared" si="75"/>
        <v>1.4494520115480953</v>
      </c>
      <c r="AO79" s="61">
        <f t="shared" si="75"/>
        <v>0.78137640457148771</v>
      </c>
      <c r="AP79" s="61">
        <f t="shared" si="75"/>
        <v>0.77117816157803754</v>
      </c>
      <c r="AQ79" s="61">
        <f t="shared" si="75"/>
        <v>1.5323579551783271</v>
      </c>
      <c r="AR79" s="61">
        <f t="shared" si="75"/>
        <v>0.79281847405163863</v>
      </c>
      <c r="AS79" s="61">
        <f t="shared" si="76"/>
        <v>0.90398451631721133</v>
      </c>
      <c r="AT79" s="61">
        <f t="shared" si="76"/>
        <v>0.53362662183557508</v>
      </c>
      <c r="AU79" s="61">
        <f t="shared" si="76"/>
        <v>1.1383455116379975</v>
      </c>
      <c r="AV79" s="61">
        <f t="shared" si="76"/>
        <v>0.66047884034784066</v>
      </c>
      <c r="AW79" s="61">
        <f t="shared" si="76"/>
        <v>1.4107446932460881</v>
      </c>
      <c r="AX79" s="61">
        <f t="shared" si="76"/>
        <v>0.4812160918149132</v>
      </c>
      <c r="AY79" s="61">
        <f t="shared" si="76"/>
        <v>1.6949450858713768</v>
      </c>
      <c r="AZ79" s="61">
        <f t="shared" si="76"/>
        <v>0.86677198664589017</v>
      </c>
      <c r="BA79" s="61">
        <f t="shared" si="76"/>
        <v>0.49154297352615284</v>
      </c>
      <c r="BB79" s="61">
        <f t="shared" si="76"/>
        <v>1.6936618528108269</v>
      </c>
      <c r="BC79" s="61">
        <f t="shared" si="77"/>
        <v>1.6923870930488021</v>
      </c>
      <c r="BD79" s="61">
        <f t="shared" si="77"/>
        <v>1.1131797095857956</v>
      </c>
      <c r="BE79" s="61">
        <f t="shared" si="77"/>
        <v>0.90214979432920539</v>
      </c>
      <c r="BF79" s="61">
        <f t="shared" si="77"/>
        <v>1.5886629635598186</v>
      </c>
      <c r="BG79" s="61">
        <f t="shared" si="77"/>
        <v>0.30106857872099246</v>
      </c>
      <c r="BH79" s="61">
        <f t="shared" si="77"/>
        <v>1.6758365533911044</v>
      </c>
      <c r="BI79" s="61">
        <f t="shared" si="77"/>
        <v>1.673755064931665</v>
      </c>
      <c r="BJ79" s="61">
        <f t="shared" si="77"/>
        <v>0.8297148811503039</v>
      </c>
      <c r="BK79" s="61">
        <f t="shared" si="77"/>
        <v>0.992672207460084</v>
      </c>
      <c r="BL79" s="61">
        <f t="shared" si="77"/>
        <v>0.54574034556545026</v>
      </c>
      <c r="BM79" s="61">
        <f t="shared" si="78"/>
        <v>0.70582753695570877</v>
      </c>
      <c r="BN79" s="61">
        <f t="shared" si="78"/>
        <v>0.50294353053172081</v>
      </c>
      <c r="BO79" s="61">
        <f t="shared" si="78"/>
        <v>1.3623123051135451</v>
      </c>
      <c r="BP79" s="61">
        <f t="shared" si="78"/>
        <v>0.35094231730132641</v>
      </c>
      <c r="BQ79" s="61">
        <f t="shared" si="78"/>
        <v>5.4497061853321267E-2</v>
      </c>
      <c r="BR79" s="61">
        <f t="shared" si="78"/>
        <v>0</v>
      </c>
      <c r="BS79" s="61">
        <f t="shared" si="78"/>
        <v>0.55285036423454337</v>
      </c>
      <c r="BT79" s="61">
        <f t="shared" si="78"/>
        <v>0.58206164332925614</v>
      </c>
      <c r="BU79" s="61">
        <f t="shared" si="78"/>
        <v>0.62123379624010622</v>
      </c>
      <c r="BV79" s="61">
        <f t="shared" si="78"/>
        <v>1.666169703576214</v>
      </c>
      <c r="BW79" s="61">
        <f t="shared" si="79"/>
        <v>0.56304014821233705</v>
      </c>
      <c r="BX79" s="61">
        <f t="shared" si="79"/>
        <v>1.6674526968211032</v>
      </c>
      <c r="BY79" s="61">
        <f t="shared" si="79"/>
        <v>0.82591651943867406</v>
      </c>
      <c r="BZ79" s="61">
        <f t="shared" si="79"/>
        <v>0.87650246955672506</v>
      </c>
      <c r="CA79" s="61">
        <f t="shared" si="79"/>
        <v>1.6725807855898711</v>
      </c>
      <c r="CB79" s="61">
        <f t="shared" si="79"/>
        <v>0.88069948923815877</v>
      </c>
      <c r="CC79" s="61">
        <f t="shared" si="79"/>
        <v>1.6747840145910597</v>
      </c>
      <c r="CD79" s="61">
        <f t="shared" si="79"/>
        <v>1.6800799594776703</v>
      </c>
      <c r="CE79" s="61">
        <f t="shared" si="79"/>
        <v>0.7066816756198202</v>
      </c>
      <c r="CF79" s="61">
        <f t="shared" si="79"/>
        <v>0.39718979286785711</v>
      </c>
      <c r="CG79" s="61">
        <f t="shared" si="80"/>
        <v>0.89590133009194151</v>
      </c>
      <c r="CH79" s="61">
        <f t="shared" si="80"/>
        <v>1.0387326030939095</v>
      </c>
      <c r="CI79" s="61">
        <f t="shared" si="80"/>
        <v>1.138953723931263</v>
      </c>
      <c r="CJ79" s="61">
        <f t="shared" si="80"/>
        <v>1.4217988954071419</v>
      </c>
      <c r="CK79" s="61">
        <f t="shared" si="80"/>
        <v>0.84503030364448262</v>
      </c>
      <c r="CL79" s="61">
        <f t="shared" si="80"/>
        <v>1.735703819559119</v>
      </c>
      <c r="CM79" s="61">
        <f t="shared" si="80"/>
        <v>1.0415580434796945</v>
      </c>
      <c r="CN79" s="61">
        <f t="shared" si="80"/>
        <v>0.60513008761269804</v>
      </c>
      <c r="CO79" s="61">
        <f t="shared" si="80"/>
        <v>0.86469063003267788</v>
      </c>
      <c r="CP79" s="61">
        <f t="shared" si="80"/>
        <v>1.7700037114012235</v>
      </c>
      <c r="CQ79" s="61">
        <f t="shared" si="81"/>
        <v>1.1793374494676114</v>
      </c>
      <c r="CR79" s="61">
        <f t="shared" si="81"/>
        <v>1.148384416572231</v>
      </c>
      <c r="CS79" s="61">
        <f t="shared" si="81"/>
        <v>1.801835552851816</v>
      </c>
      <c r="CT79" s="61">
        <f t="shared" si="81"/>
        <v>1.821607533525075</v>
      </c>
      <c r="CU79" s="61">
        <f t="shared" si="81"/>
        <v>1.4603512126198899</v>
      </c>
      <c r="CV79" s="61">
        <f t="shared" si="81"/>
        <v>0.92818687735287475</v>
      </c>
      <c r="CW79" s="61">
        <f t="shared" si="81"/>
        <v>1.821607533525075</v>
      </c>
      <c r="CX79" s="61">
        <f t="shared" si="81"/>
        <v>1.0654997166068281</v>
      </c>
      <c r="CY79" s="61">
        <f t="shared" si="81"/>
        <v>1.8447706149808971</v>
      </c>
      <c r="CZ79" s="61">
        <f t="shared" si="81"/>
        <v>1.8447706149808971</v>
      </c>
      <c r="DA79" s="61">
        <f t="shared" si="82"/>
        <v>1.3382491667445418</v>
      </c>
      <c r="DB79" s="61">
        <f t="shared" si="82"/>
        <v>1.8722275270303588</v>
      </c>
      <c r="DC79" s="61">
        <f t="shared" si="82"/>
        <v>1.8722275270303588</v>
      </c>
      <c r="DD79" s="61">
        <f t="shared" si="82"/>
        <v>1.469584266772942</v>
      </c>
      <c r="DE79" s="61">
        <f t="shared" si="82"/>
        <v>1.6961143837506203</v>
      </c>
      <c r="DF79" s="61">
        <f t="shared" si="82"/>
        <v>2.0635171400669932</v>
      </c>
      <c r="DG79" s="61">
        <f t="shared" si="82"/>
        <v>2.1556917684606081</v>
      </c>
      <c r="DH79" s="61">
        <f t="shared" si="82"/>
        <v>2.1556917684606081</v>
      </c>
      <c r="DI79" s="61">
        <f t="shared" si="82"/>
        <v>2.1556917684606081</v>
      </c>
      <c r="DJ79" s="61">
        <f t="shared" si="82"/>
        <v>2.1556917684606081</v>
      </c>
      <c r="DK79" s="61">
        <f t="shared" si="83"/>
        <v>2.2959244265376562</v>
      </c>
      <c r="DL79" s="61">
        <f t="shared" si="83"/>
        <v>2.2959244265376562</v>
      </c>
      <c r="DM79" s="61">
        <f t="shared" si="83"/>
        <v>2.2959244265376562</v>
      </c>
      <c r="DN79" s="61">
        <f t="shared" si="83"/>
        <v>2.2959244265376562</v>
      </c>
      <c r="DO79" s="61">
        <f t="shared" si="83"/>
        <v>2.2959244265376562</v>
      </c>
      <c r="DP79" s="61">
        <f t="shared" si="83"/>
        <v>2.5582677475268727</v>
      </c>
      <c r="DQ79" s="61">
        <f t="shared" si="83"/>
        <v>2.5582677475268727</v>
      </c>
    </row>
    <row r="80" spans="1:121" x14ac:dyDescent="0.25">
      <c r="A80" s="48" t="str">
        <f>KMeans_Data!A71</f>
        <v>Tando M. Khan</v>
      </c>
      <c r="B80" s="59">
        <f>KMeans_Data!H71</f>
        <v>-0.17296398743636285</v>
      </c>
      <c r="C80" s="59">
        <f>KMeans_Data!I71</f>
        <v>-0.67265054538827607</v>
      </c>
      <c r="D80" s="59">
        <f>KMeans_Data!J71</f>
        <v>0.59726181533299938</v>
      </c>
      <c r="E80" s="61">
        <f t="shared" si="72"/>
        <v>6.4135297684832393</v>
      </c>
      <c r="F80" s="61">
        <f t="shared" si="72"/>
        <v>6.275479499736293</v>
      </c>
      <c r="G80" s="61">
        <f t="shared" si="72"/>
        <v>4.2885538040986111</v>
      </c>
      <c r="H80" s="61">
        <f t="shared" si="72"/>
        <v>5.0357323410399699</v>
      </c>
      <c r="I80" s="61">
        <f t="shared" si="72"/>
        <v>3.7685756104796688</v>
      </c>
      <c r="J80" s="61">
        <f t="shared" si="72"/>
        <v>3.4532007044944524</v>
      </c>
      <c r="K80" s="61">
        <f t="shared" si="72"/>
        <v>2.2367166049768556</v>
      </c>
      <c r="L80" s="61">
        <f t="shared" si="72"/>
        <v>2.3094672295785559</v>
      </c>
      <c r="M80" s="61">
        <f t="shared" si="72"/>
        <v>2.6092851778683226</v>
      </c>
      <c r="N80" s="61">
        <f t="shared" si="72"/>
        <v>2.0461761263634242</v>
      </c>
      <c r="O80" s="61">
        <f t="shared" si="73"/>
        <v>2.5487858864730817</v>
      </c>
      <c r="P80" s="61">
        <f t="shared" si="73"/>
        <v>2.8237238397594298</v>
      </c>
      <c r="Q80" s="61">
        <f t="shared" si="73"/>
        <v>2.1183909930251441</v>
      </c>
      <c r="R80" s="61">
        <f t="shared" si="73"/>
        <v>1.8255167686819782</v>
      </c>
      <c r="S80" s="61">
        <f t="shared" si="73"/>
        <v>1.412456447714638</v>
      </c>
      <c r="T80" s="61">
        <f t="shared" si="73"/>
        <v>2.0602552794011455</v>
      </c>
      <c r="U80" s="61">
        <f t="shared" si="73"/>
        <v>1.7850687007849759</v>
      </c>
      <c r="V80" s="61">
        <f t="shared" si="73"/>
        <v>2.2958298592514139</v>
      </c>
      <c r="W80" s="61">
        <f t="shared" si="73"/>
        <v>2.3195260889521006</v>
      </c>
      <c r="X80" s="61">
        <f t="shared" si="73"/>
        <v>1.8440459636297692</v>
      </c>
      <c r="Y80" s="61">
        <f t="shared" si="74"/>
        <v>1.8855195118621717</v>
      </c>
      <c r="Z80" s="61">
        <f t="shared" si="74"/>
        <v>1.7598649721255002</v>
      </c>
      <c r="AA80" s="61">
        <f t="shared" si="74"/>
        <v>1.3192168070355212</v>
      </c>
      <c r="AB80" s="61">
        <f t="shared" si="74"/>
        <v>1.5522510018060776</v>
      </c>
      <c r="AC80" s="61">
        <f t="shared" si="74"/>
        <v>2.2602327641047308</v>
      </c>
      <c r="AD80" s="61">
        <f t="shared" si="74"/>
        <v>1.8488392425489155</v>
      </c>
      <c r="AE80" s="61">
        <f t="shared" si="74"/>
        <v>1.996049580378717</v>
      </c>
      <c r="AF80" s="61">
        <f t="shared" si="74"/>
        <v>1.5886325775190715</v>
      </c>
      <c r="AG80" s="61">
        <f t="shared" si="74"/>
        <v>1.2481182896131664</v>
      </c>
      <c r="AH80" s="61">
        <f t="shared" si="74"/>
        <v>1.1365288080417304</v>
      </c>
      <c r="AI80" s="61">
        <f t="shared" si="75"/>
        <v>1.2462177952415534</v>
      </c>
      <c r="AJ80" s="61">
        <f t="shared" si="75"/>
        <v>1.5184135218585719</v>
      </c>
      <c r="AK80" s="61">
        <f t="shared" si="75"/>
        <v>1.3031352928190427</v>
      </c>
      <c r="AL80" s="61">
        <f t="shared" si="75"/>
        <v>0.84318490473573238</v>
      </c>
      <c r="AM80" s="61">
        <f t="shared" si="75"/>
        <v>2.1758775339404828</v>
      </c>
      <c r="AN80" s="61">
        <f t="shared" si="75"/>
        <v>1.9273377350895442</v>
      </c>
      <c r="AO80" s="61">
        <f t="shared" si="75"/>
        <v>1.2149432124772022</v>
      </c>
      <c r="AP80" s="61">
        <f t="shared" si="75"/>
        <v>1.2192212852865414</v>
      </c>
      <c r="AQ80" s="61">
        <f t="shared" si="75"/>
        <v>2.0302456575099925</v>
      </c>
      <c r="AR80" s="61">
        <f t="shared" si="75"/>
        <v>1.211520153722343</v>
      </c>
      <c r="AS80" s="61">
        <f t="shared" si="76"/>
        <v>0.64134438950441841</v>
      </c>
      <c r="AT80" s="61">
        <f t="shared" si="76"/>
        <v>0.71216162994939158</v>
      </c>
      <c r="AU80" s="61">
        <f t="shared" si="76"/>
        <v>1.4099897658895748</v>
      </c>
      <c r="AV80" s="61">
        <f t="shared" si="76"/>
        <v>0.43724872057337294</v>
      </c>
      <c r="AW80" s="61">
        <f t="shared" si="76"/>
        <v>1.4800849421188451</v>
      </c>
      <c r="AX80" s="61">
        <f t="shared" si="76"/>
        <v>0.95136113813145062</v>
      </c>
      <c r="AY80" s="61">
        <f t="shared" si="76"/>
        <v>1.7825688837303884</v>
      </c>
      <c r="AZ80" s="61">
        <f t="shared" si="76"/>
        <v>0.57382638428180877</v>
      </c>
      <c r="BA80" s="61">
        <f t="shared" si="76"/>
        <v>0.67135867575047525</v>
      </c>
      <c r="BB80" s="61">
        <f t="shared" si="76"/>
        <v>1.7812070103570325</v>
      </c>
      <c r="BC80" s="61">
        <f t="shared" si="77"/>
        <v>1.7798512696176148</v>
      </c>
      <c r="BD80" s="61">
        <f t="shared" si="77"/>
        <v>1.1519371471807549</v>
      </c>
      <c r="BE80" s="61">
        <f t="shared" si="77"/>
        <v>0.90225180820896744</v>
      </c>
      <c r="BF80" s="61">
        <f t="shared" si="77"/>
        <v>2.0836972677196846</v>
      </c>
      <c r="BG80" s="61">
        <f t="shared" si="77"/>
        <v>0.59308099603305753</v>
      </c>
      <c r="BH80" s="61">
        <f t="shared" si="77"/>
        <v>1.7618688670106388</v>
      </c>
      <c r="BI80" s="61">
        <f t="shared" si="77"/>
        <v>1.7595269408660701</v>
      </c>
      <c r="BJ80" s="61">
        <f t="shared" si="77"/>
        <v>1.370607060205564</v>
      </c>
      <c r="BK80" s="61">
        <f t="shared" si="77"/>
        <v>1.0130329740724575</v>
      </c>
      <c r="BL80" s="61">
        <f t="shared" si="77"/>
        <v>0.28816378092729344</v>
      </c>
      <c r="BM80" s="61">
        <f t="shared" si="78"/>
        <v>1.2322196871998663</v>
      </c>
      <c r="BN80" s="61">
        <f t="shared" si="78"/>
        <v>1.0090427517939802</v>
      </c>
      <c r="BO80" s="61">
        <f t="shared" si="78"/>
        <v>1.4258093477331915</v>
      </c>
      <c r="BP80" s="61">
        <f t="shared" si="78"/>
        <v>0.89999984423813195</v>
      </c>
      <c r="BQ80" s="61">
        <f t="shared" si="78"/>
        <v>0.57163867297450699</v>
      </c>
      <c r="BR80" s="61">
        <f t="shared" si="78"/>
        <v>0.55285036423454337</v>
      </c>
      <c r="BS80" s="61">
        <f t="shared" si="78"/>
        <v>0</v>
      </c>
      <c r="BT80" s="61">
        <f t="shared" si="78"/>
        <v>0.40567867079436543</v>
      </c>
      <c r="BU80" s="61">
        <f t="shared" si="78"/>
        <v>0.4897950115056055</v>
      </c>
      <c r="BV80" s="61">
        <f t="shared" si="78"/>
        <v>1.745073295096762</v>
      </c>
      <c r="BW80" s="61">
        <f t="shared" si="79"/>
        <v>0.32716880293663053</v>
      </c>
      <c r="BX80" s="61">
        <f t="shared" si="79"/>
        <v>1.7459445397506232</v>
      </c>
      <c r="BY80" s="61">
        <f t="shared" si="79"/>
        <v>0.79118472318437982</v>
      </c>
      <c r="BZ80" s="61">
        <f t="shared" si="79"/>
        <v>0.85520498429019864</v>
      </c>
      <c r="CA80" s="61">
        <f t="shared" si="79"/>
        <v>1.7497136759458305</v>
      </c>
      <c r="CB80" s="61">
        <f t="shared" si="79"/>
        <v>0.85868600620174462</v>
      </c>
      <c r="CC80" s="61">
        <f t="shared" si="79"/>
        <v>1.7514177228416341</v>
      </c>
      <c r="CD80" s="61">
        <f t="shared" si="79"/>
        <v>1.7556354331042527</v>
      </c>
      <c r="CE80" s="61">
        <f t="shared" si="79"/>
        <v>0.60070853379987932</v>
      </c>
      <c r="CF80" s="61">
        <f t="shared" si="79"/>
        <v>0.73468450150770925</v>
      </c>
      <c r="CG80" s="61">
        <f t="shared" si="80"/>
        <v>1.1659074585571414</v>
      </c>
      <c r="CH80" s="61">
        <f t="shared" si="80"/>
        <v>1.0406795733795458</v>
      </c>
      <c r="CI80" s="61">
        <f t="shared" si="80"/>
        <v>1.1540957996219467</v>
      </c>
      <c r="CJ80" s="61">
        <f t="shared" si="80"/>
        <v>1.4701496568557</v>
      </c>
      <c r="CK80" s="61">
        <f t="shared" si="80"/>
        <v>0.76542237876089525</v>
      </c>
      <c r="CL80" s="61">
        <f t="shared" si="80"/>
        <v>1.8035414267131851</v>
      </c>
      <c r="CM80" s="61">
        <f t="shared" si="80"/>
        <v>1.0236784036726754</v>
      </c>
      <c r="CN80" s="61">
        <f t="shared" si="80"/>
        <v>0.74942010508006818</v>
      </c>
      <c r="CO80" s="61">
        <f t="shared" si="80"/>
        <v>1.1002736428022339</v>
      </c>
      <c r="CP80" s="61">
        <f t="shared" si="80"/>
        <v>1.8343037728239677</v>
      </c>
      <c r="CQ80" s="61">
        <f t="shared" si="81"/>
        <v>1.1707044783443195</v>
      </c>
      <c r="CR80" s="61">
        <f t="shared" si="81"/>
        <v>1.1255297039314618</v>
      </c>
      <c r="CS80" s="61">
        <f t="shared" si="81"/>
        <v>1.8632394688168341</v>
      </c>
      <c r="CT80" s="61">
        <f t="shared" si="81"/>
        <v>1.8813498489084877</v>
      </c>
      <c r="CU80" s="61">
        <f t="shared" si="81"/>
        <v>1.673121499534628</v>
      </c>
      <c r="CV80" s="61">
        <f t="shared" si="81"/>
        <v>0.78233487198813967</v>
      </c>
      <c r="CW80" s="61">
        <f t="shared" si="81"/>
        <v>1.8813498489084877</v>
      </c>
      <c r="CX80" s="61">
        <f t="shared" si="81"/>
        <v>0.9907319785882186</v>
      </c>
      <c r="CY80" s="61">
        <f t="shared" si="81"/>
        <v>1.9026748637406705</v>
      </c>
      <c r="CZ80" s="61">
        <f t="shared" si="81"/>
        <v>1.9026748637406705</v>
      </c>
      <c r="DA80" s="61">
        <f t="shared" si="82"/>
        <v>1.3392431512055447</v>
      </c>
      <c r="DB80" s="61">
        <f t="shared" si="82"/>
        <v>1.9280819304423238</v>
      </c>
      <c r="DC80" s="61">
        <f t="shared" si="82"/>
        <v>1.9280819304423238</v>
      </c>
      <c r="DD80" s="61">
        <f t="shared" si="82"/>
        <v>1.4839434412982746</v>
      </c>
      <c r="DE80" s="61">
        <f t="shared" si="82"/>
        <v>1.7234708436331969</v>
      </c>
      <c r="DF80" s="61">
        <f t="shared" si="82"/>
        <v>2.1077326903020026</v>
      </c>
      <c r="DG80" s="61">
        <f t="shared" si="82"/>
        <v>2.195424936160153</v>
      </c>
      <c r="DH80" s="61">
        <f t="shared" si="82"/>
        <v>2.195424936160153</v>
      </c>
      <c r="DI80" s="61">
        <f t="shared" si="82"/>
        <v>2.195424936160153</v>
      </c>
      <c r="DJ80" s="61">
        <f t="shared" si="82"/>
        <v>2.195424936160153</v>
      </c>
      <c r="DK80" s="61">
        <f t="shared" si="83"/>
        <v>2.3297796392962122</v>
      </c>
      <c r="DL80" s="61">
        <f t="shared" si="83"/>
        <v>2.3297796392962122</v>
      </c>
      <c r="DM80" s="61">
        <f t="shared" si="83"/>
        <v>2.3297796392962122</v>
      </c>
      <c r="DN80" s="61">
        <f t="shared" si="83"/>
        <v>2.3297796392962122</v>
      </c>
      <c r="DO80" s="61">
        <f t="shared" si="83"/>
        <v>2.3297796392962122</v>
      </c>
      <c r="DP80" s="61">
        <f t="shared" si="83"/>
        <v>2.5833134057316025</v>
      </c>
      <c r="DQ80" s="61">
        <f t="shared" si="83"/>
        <v>2.5833134057316025</v>
      </c>
    </row>
    <row r="81" spans="1:121" x14ac:dyDescent="0.25">
      <c r="A81" s="48" t="str">
        <f>KMeans_Data!A72</f>
        <v>Chitral Lower</v>
      </c>
      <c r="B81" s="59">
        <f>KMeans_Data!H72</f>
        <v>-0.21462381690636909</v>
      </c>
      <c r="C81" s="59">
        <f>KMeans_Data!I72</f>
        <v>-0.67265054538827607</v>
      </c>
      <c r="D81" s="59">
        <f>KMeans_Data!J72</f>
        <v>0.19372787308524608</v>
      </c>
      <c r="E81" s="61">
        <f t="shared" si="72"/>
        <v>6.6127372640193443</v>
      </c>
      <c r="F81" s="61">
        <f t="shared" si="72"/>
        <v>6.4430393438691524</v>
      </c>
      <c r="G81" s="61">
        <f t="shared" si="72"/>
        <v>4.4944758722572846</v>
      </c>
      <c r="H81" s="61">
        <f t="shared" si="72"/>
        <v>5.1550449729854932</v>
      </c>
      <c r="I81" s="61">
        <f t="shared" si="72"/>
        <v>3.9305494883840879</v>
      </c>
      <c r="J81" s="61">
        <f t="shared" si="72"/>
        <v>3.5931825210980457</v>
      </c>
      <c r="K81" s="61">
        <f t="shared" si="72"/>
        <v>2.036192022159355</v>
      </c>
      <c r="L81" s="61">
        <f t="shared" si="72"/>
        <v>2.5556854432441103</v>
      </c>
      <c r="M81" s="61">
        <f t="shared" si="72"/>
        <v>2.8246463390359962</v>
      </c>
      <c r="N81" s="61">
        <f t="shared" si="72"/>
        <v>1.8216806193404063</v>
      </c>
      <c r="O81" s="61">
        <f t="shared" si="73"/>
        <v>2.6619549174171091</v>
      </c>
      <c r="P81" s="61">
        <f t="shared" si="73"/>
        <v>2.950596713436521</v>
      </c>
      <c r="Q81" s="61">
        <f t="shared" si="73"/>
        <v>2.267913676255469</v>
      </c>
      <c r="R81" s="61">
        <f t="shared" si="73"/>
        <v>2.0742743415084681</v>
      </c>
      <c r="S81" s="61">
        <f t="shared" si="73"/>
        <v>1.6485474903239354</v>
      </c>
      <c r="T81" s="61">
        <f t="shared" si="73"/>
        <v>2.1971688696958602</v>
      </c>
      <c r="U81" s="61">
        <f t="shared" si="73"/>
        <v>2.0577942977315944</v>
      </c>
      <c r="V81" s="61">
        <f t="shared" si="73"/>
        <v>2.3532733294782568</v>
      </c>
      <c r="W81" s="61">
        <f t="shared" si="73"/>
        <v>2.4294354768795232</v>
      </c>
      <c r="X81" s="61">
        <f t="shared" si="73"/>
        <v>2.001071811246407</v>
      </c>
      <c r="Y81" s="61">
        <f t="shared" si="74"/>
        <v>2.0836556078405026</v>
      </c>
      <c r="Z81" s="61">
        <f t="shared" si="74"/>
        <v>1.8326405380963944</v>
      </c>
      <c r="AA81" s="61">
        <f t="shared" si="74"/>
        <v>1.5090044871819628</v>
      </c>
      <c r="AB81" s="61">
        <f t="shared" si="74"/>
        <v>1.6462553608151655</v>
      </c>
      <c r="AC81" s="61">
        <f t="shared" si="74"/>
        <v>2.3359198451554763</v>
      </c>
      <c r="AD81" s="61">
        <f t="shared" si="74"/>
        <v>2.0508360279446176</v>
      </c>
      <c r="AE81" s="61">
        <f t="shared" si="74"/>
        <v>1.6764111272591082</v>
      </c>
      <c r="AF81" s="61">
        <f t="shared" si="74"/>
        <v>1.7250056305673163</v>
      </c>
      <c r="AG81" s="61">
        <f t="shared" si="74"/>
        <v>0.99004591303161771</v>
      </c>
      <c r="AH81" s="61">
        <f t="shared" si="74"/>
        <v>1.2913369312108129</v>
      </c>
      <c r="AI81" s="61">
        <f t="shared" si="75"/>
        <v>0.98751547737279943</v>
      </c>
      <c r="AJ81" s="61">
        <f t="shared" si="75"/>
        <v>1.7171284506459095</v>
      </c>
      <c r="AK81" s="61">
        <f t="shared" si="75"/>
        <v>1.2925983195194164</v>
      </c>
      <c r="AL81" s="61">
        <f t="shared" si="75"/>
        <v>0.94542099113009759</v>
      </c>
      <c r="AM81" s="61">
        <f t="shared" si="75"/>
        <v>2.1725128930433142</v>
      </c>
      <c r="AN81" s="61">
        <f t="shared" si="75"/>
        <v>2.0075373396835179</v>
      </c>
      <c r="AO81" s="61">
        <f t="shared" si="75"/>
        <v>1.28255291878168</v>
      </c>
      <c r="AP81" s="61">
        <f t="shared" si="75"/>
        <v>1.2612443396483466</v>
      </c>
      <c r="AQ81" s="61">
        <f t="shared" si="75"/>
        <v>2.0880784483060468</v>
      </c>
      <c r="AR81" s="61">
        <f t="shared" si="75"/>
        <v>1.0647750545796579</v>
      </c>
      <c r="AS81" s="61">
        <f t="shared" si="76"/>
        <v>0.9749936246600136</v>
      </c>
      <c r="AT81" s="61">
        <f t="shared" si="76"/>
        <v>0.92293317308030076</v>
      </c>
      <c r="AU81" s="61">
        <f t="shared" si="76"/>
        <v>1.0923071275999252</v>
      </c>
      <c r="AV81" s="61">
        <f t="shared" si="76"/>
        <v>0.5701672530228169</v>
      </c>
      <c r="AW81" s="61">
        <f t="shared" si="76"/>
        <v>1.1144974705041684</v>
      </c>
      <c r="AX81" s="61">
        <f t="shared" si="76"/>
        <v>0.96405834174324112</v>
      </c>
      <c r="AY81" s="61">
        <f t="shared" si="76"/>
        <v>1.4023694650159364</v>
      </c>
      <c r="AZ81" s="61">
        <f t="shared" si="76"/>
        <v>0.93610249408602197</v>
      </c>
      <c r="BA81" s="61">
        <f t="shared" si="76"/>
        <v>0.89785607758545016</v>
      </c>
      <c r="BB81" s="61">
        <f t="shared" si="76"/>
        <v>1.4004432231208888</v>
      </c>
      <c r="BC81" s="61">
        <f t="shared" si="77"/>
        <v>1.3985209746909395</v>
      </c>
      <c r="BD81" s="61">
        <f t="shared" si="77"/>
        <v>0.79479940065984833</v>
      </c>
      <c r="BE81" s="61">
        <f t="shared" si="77"/>
        <v>0.57177150741788108</v>
      </c>
      <c r="BF81" s="61">
        <f t="shared" si="77"/>
        <v>2.162076383430735</v>
      </c>
      <c r="BG81" s="61">
        <f t="shared" si="77"/>
        <v>0.74574584126436638</v>
      </c>
      <c r="BH81" s="61">
        <f t="shared" si="77"/>
        <v>1.3724407053996677</v>
      </c>
      <c r="BI81" s="61">
        <f t="shared" si="77"/>
        <v>1.3689301831813658</v>
      </c>
      <c r="BJ81" s="61">
        <f t="shared" si="77"/>
        <v>1.2578860336853028</v>
      </c>
      <c r="BK81" s="61">
        <f t="shared" si="77"/>
        <v>0.63323432270248459</v>
      </c>
      <c r="BL81" s="61">
        <f t="shared" si="77"/>
        <v>0.27123966549043615</v>
      </c>
      <c r="BM81" s="61">
        <f t="shared" si="78"/>
        <v>1.2718442243576444</v>
      </c>
      <c r="BN81" s="61">
        <f t="shared" si="78"/>
        <v>0.86379033908353131</v>
      </c>
      <c r="BO81" s="61">
        <f t="shared" si="78"/>
        <v>1.0291244381309745</v>
      </c>
      <c r="BP81" s="61">
        <f t="shared" si="78"/>
        <v>0.84424625168088074</v>
      </c>
      <c r="BQ81" s="61">
        <f t="shared" si="78"/>
        <v>0.56792323621533014</v>
      </c>
      <c r="BR81" s="61">
        <f t="shared" si="78"/>
        <v>0.58206164332925614</v>
      </c>
      <c r="BS81" s="61">
        <f t="shared" si="78"/>
        <v>0.40567867079436543</v>
      </c>
      <c r="BT81" s="61">
        <f t="shared" si="78"/>
        <v>0</v>
      </c>
      <c r="BU81" s="61">
        <f t="shared" si="78"/>
        <v>8.4486151502807583E-2</v>
      </c>
      <c r="BV81" s="61">
        <f t="shared" si="78"/>
        <v>1.3401373890252275</v>
      </c>
      <c r="BW81" s="61">
        <f t="shared" si="79"/>
        <v>0.11137751482803204</v>
      </c>
      <c r="BX81" s="61">
        <f t="shared" si="79"/>
        <v>1.3407741522281922</v>
      </c>
      <c r="BY81" s="61">
        <f t="shared" si="79"/>
        <v>0.38757390790592638</v>
      </c>
      <c r="BZ81" s="61">
        <f t="shared" si="79"/>
        <v>0.45189219025600208</v>
      </c>
      <c r="CA81" s="61">
        <f t="shared" si="79"/>
        <v>1.3440915324473894</v>
      </c>
      <c r="CB81" s="61">
        <f t="shared" si="79"/>
        <v>0.45678320364828523</v>
      </c>
      <c r="CC81" s="61">
        <f t="shared" si="79"/>
        <v>1.3457438058997693</v>
      </c>
      <c r="CD81" s="61">
        <f t="shared" si="79"/>
        <v>1.3500386677828493</v>
      </c>
      <c r="CE81" s="61">
        <f t="shared" si="79"/>
        <v>0.24240178140373037</v>
      </c>
      <c r="CF81" s="61">
        <f t="shared" si="79"/>
        <v>0.56153700829097708</v>
      </c>
      <c r="CG81" s="61">
        <f t="shared" si="80"/>
        <v>0.83327954675636273</v>
      </c>
      <c r="CH81" s="61">
        <f t="shared" si="80"/>
        <v>0.64655129384508248</v>
      </c>
      <c r="CI81" s="61">
        <f t="shared" si="80"/>
        <v>0.76116066695364337</v>
      </c>
      <c r="CJ81" s="61">
        <f t="shared" si="80"/>
        <v>1.0711281132140471</v>
      </c>
      <c r="CK81" s="61">
        <f t="shared" si="80"/>
        <v>0.45230375612895052</v>
      </c>
      <c r="CL81" s="61">
        <f t="shared" si="80"/>
        <v>1.4042991402726379</v>
      </c>
      <c r="CM81" s="61">
        <f t="shared" si="80"/>
        <v>0.66129287489205624</v>
      </c>
      <c r="CN81" s="61">
        <f t="shared" si="80"/>
        <v>0.84083284820394977</v>
      </c>
      <c r="CO81" s="61">
        <f t="shared" si="80"/>
        <v>0.83580987069446389</v>
      </c>
      <c r="CP81" s="61">
        <f t="shared" si="80"/>
        <v>1.4404722724285957</v>
      </c>
      <c r="CQ81" s="61">
        <f t="shared" si="81"/>
        <v>0.82418339260546369</v>
      </c>
      <c r="CR81" s="61">
        <f t="shared" si="81"/>
        <v>0.79997448785540992</v>
      </c>
      <c r="CS81" s="61">
        <f t="shared" si="81"/>
        <v>1.4746887774059294</v>
      </c>
      <c r="CT81" s="61">
        <f t="shared" si="81"/>
        <v>1.4961249157266756</v>
      </c>
      <c r="CU81" s="61">
        <f t="shared" si="81"/>
        <v>1.3256985830485915</v>
      </c>
      <c r="CV81" s="61">
        <f t="shared" si="81"/>
        <v>0.67050352077298825</v>
      </c>
      <c r="CW81" s="61">
        <f t="shared" si="81"/>
        <v>1.4961249157266756</v>
      </c>
      <c r="CX81" s="61">
        <f t="shared" si="81"/>
        <v>0.7567544026859151</v>
      </c>
      <c r="CY81" s="61">
        <f t="shared" si="81"/>
        <v>1.5213530646511939</v>
      </c>
      <c r="CZ81" s="61">
        <f t="shared" si="81"/>
        <v>1.5213530646511939</v>
      </c>
      <c r="DA81" s="61">
        <f t="shared" si="82"/>
        <v>1.0031814746633423</v>
      </c>
      <c r="DB81" s="61">
        <f t="shared" si="82"/>
        <v>1.5513657641251672</v>
      </c>
      <c r="DC81" s="61">
        <f t="shared" si="82"/>
        <v>1.5513657641251672</v>
      </c>
      <c r="DD81" s="61">
        <f t="shared" si="82"/>
        <v>1.1411361285530646</v>
      </c>
      <c r="DE81" s="61">
        <f t="shared" si="82"/>
        <v>1.3807030021817324</v>
      </c>
      <c r="DF81" s="61">
        <f t="shared" si="82"/>
        <v>1.7611684483520622</v>
      </c>
      <c r="DG81" s="61">
        <f t="shared" si="82"/>
        <v>1.8618787329935014</v>
      </c>
      <c r="DH81" s="61">
        <f t="shared" si="82"/>
        <v>1.8618787329935014</v>
      </c>
      <c r="DI81" s="61">
        <f t="shared" si="82"/>
        <v>1.8618787329935014</v>
      </c>
      <c r="DJ81" s="61">
        <f t="shared" si="82"/>
        <v>1.8618787329935014</v>
      </c>
      <c r="DK81" s="61">
        <f t="shared" si="83"/>
        <v>2.0141975532414662</v>
      </c>
      <c r="DL81" s="61">
        <f t="shared" si="83"/>
        <v>2.0141975532414662</v>
      </c>
      <c r="DM81" s="61">
        <f t="shared" si="83"/>
        <v>2.0141975532414662</v>
      </c>
      <c r="DN81" s="61">
        <f t="shared" si="83"/>
        <v>2.0141975532414662</v>
      </c>
      <c r="DO81" s="61">
        <f t="shared" si="83"/>
        <v>2.0141975532414662</v>
      </c>
      <c r="DP81" s="61">
        <f t="shared" si="83"/>
        <v>2.2962073456330026</v>
      </c>
      <c r="DQ81" s="61">
        <f t="shared" si="83"/>
        <v>2.2962073456330026</v>
      </c>
    </row>
    <row r="82" spans="1:121" x14ac:dyDescent="0.25">
      <c r="A82" s="48" t="str">
        <f>KMeans_Data!A73</f>
        <v>Sujawal</v>
      </c>
      <c r="B82" s="59">
        <f>KMeans_Data!H73</f>
        <v>-0.21462381690636909</v>
      </c>
      <c r="C82" s="59">
        <f>KMeans_Data!I73</f>
        <v>-0.67265054538827607</v>
      </c>
      <c r="D82" s="59">
        <f>KMeans_Data!J73</f>
        <v>0.1092417215824385</v>
      </c>
      <c r="E82" s="61">
        <f t="shared" si="72"/>
        <v>6.6522414095383775</v>
      </c>
      <c r="F82" s="61">
        <f t="shared" si="72"/>
        <v>6.4761170225158775</v>
      </c>
      <c r="G82" s="61">
        <f t="shared" si="72"/>
        <v>4.5360311964205255</v>
      </c>
      <c r="H82" s="61">
        <f t="shared" si="72"/>
        <v>5.1793815661832747</v>
      </c>
      <c r="I82" s="61">
        <f t="shared" si="72"/>
        <v>3.9636204271086597</v>
      </c>
      <c r="J82" s="61">
        <f t="shared" si="72"/>
        <v>3.6234327119142198</v>
      </c>
      <c r="K82" s="61">
        <f t="shared" si="72"/>
        <v>1.9952876168661366</v>
      </c>
      <c r="L82" s="61">
        <f t="shared" si="72"/>
        <v>2.6071464523517087</v>
      </c>
      <c r="M82" s="61">
        <f t="shared" si="72"/>
        <v>2.8704571965192862</v>
      </c>
      <c r="N82" s="61">
        <f t="shared" si="72"/>
        <v>1.7758420542926643</v>
      </c>
      <c r="O82" s="61">
        <f t="shared" si="73"/>
        <v>2.6883844593413992</v>
      </c>
      <c r="P82" s="61">
        <f t="shared" si="73"/>
        <v>2.9795291772855612</v>
      </c>
      <c r="Q82" s="61">
        <f t="shared" si="73"/>
        <v>2.3022618290559698</v>
      </c>
      <c r="R82" s="61">
        <f t="shared" si="73"/>
        <v>2.1273163768296945</v>
      </c>
      <c r="S82" s="61">
        <f t="shared" si="73"/>
        <v>1.6997888047657335</v>
      </c>
      <c r="T82" s="61">
        <f t="shared" si="73"/>
        <v>2.2294637496657566</v>
      </c>
      <c r="U82" s="61">
        <f t="shared" si="73"/>
        <v>2.1157596751014935</v>
      </c>
      <c r="V82" s="61">
        <f t="shared" si="73"/>
        <v>2.3699744823265148</v>
      </c>
      <c r="W82" s="61">
        <f t="shared" si="73"/>
        <v>2.4565095421604739</v>
      </c>
      <c r="X82" s="61">
        <f t="shared" si="73"/>
        <v>2.0381037328109297</v>
      </c>
      <c r="Y82" s="61">
        <f t="shared" si="74"/>
        <v>2.128460896835112</v>
      </c>
      <c r="Z82" s="61">
        <f t="shared" si="74"/>
        <v>1.8540374930187882</v>
      </c>
      <c r="AA82" s="61">
        <f t="shared" si="74"/>
        <v>1.5535947679305886</v>
      </c>
      <c r="AB82" s="61">
        <f t="shared" si="74"/>
        <v>1.672510134237875</v>
      </c>
      <c r="AC82" s="61">
        <f t="shared" si="74"/>
        <v>2.3566744582181416</v>
      </c>
      <c r="AD82" s="61">
        <f t="shared" si="74"/>
        <v>2.0967466596285815</v>
      </c>
      <c r="AE82" s="61">
        <f t="shared" si="74"/>
        <v>1.6097128339429374</v>
      </c>
      <c r="AF82" s="61">
        <f t="shared" si="74"/>
        <v>1.759999108835923</v>
      </c>
      <c r="AG82" s="61">
        <f t="shared" si="74"/>
        <v>0.94182344771934201</v>
      </c>
      <c r="AH82" s="61">
        <f t="shared" si="74"/>
        <v>1.3319210586894321</v>
      </c>
      <c r="AI82" s="61">
        <f t="shared" si="75"/>
        <v>0.93916309276619603</v>
      </c>
      <c r="AJ82" s="61">
        <f t="shared" si="75"/>
        <v>1.7638254793148558</v>
      </c>
      <c r="AK82" s="61">
        <f t="shared" si="75"/>
        <v>1.3014072716738645</v>
      </c>
      <c r="AL82" s="61">
        <f t="shared" si="75"/>
        <v>0.98056091362659348</v>
      </c>
      <c r="AM82" s="61">
        <f t="shared" si="75"/>
        <v>2.1785645101202427</v>
      </c>
      <c r="AN82" s="61">
        <f t="shared" si="75"/>
        <v>2.0313082652112699</v>
      </c>
      <c r="AO82" s="61">
        <f t="shared" si="75"/>
        <v>1.3078940927355633</v>
      </c>
      <c r="AP82" s="61">
        <f t="shared" si="75"/>
        <v>1.2817668813848004</v>
      </c>
      <c r="AQ82" s="61">
        <f t="shared" si="75"/>
        <v>2.1072912099061458</v>
      </c>
      <c r="AR82" s="61">
        <f t="shared" si="75"/>
        <v>1.0463555783623208</v>
      </c>
      <c r="AS82" s="61">
        <f t="shared" si="76"/>
        <v>1.0468237043585833</v>
      </c>
      <c r="AT82" s="61">
        <f t="shared" si="76"/>
        <v>0.97828174811321245</v>
      </c>
      <c r="AU82" s="61">
        <f t="shared" si="76"/>
        <v>1.029552133021419</v>
      </c>
      <c r="AV82" s="61">
        <f t="shared" si="76"/>
        <v>0.6216930021858339</v>
      </c>
      <c r="AW82" s="61">
        <f t="shared" si="76"/>
        <v>1.0378821391054638</v>
      </c>
      <c r="AX82" s="61">
        <f t="shared" si="76"/>
        <v>0.98401951544158639</v>
      </c>
      <c r="AY82" s="61">
        <f t="shared" si="76"/>
        <v>1.3219157524485183</v>
      </c>
      <c r="AZ82" s="61">
        <f t="shared" si="76"/>
        <v>1.0125007195929068</v>
      </c>
      <c r="BA82" s="61">
        <f t="shared" si="76"/>
        <v>0.95656552344271162</v>
      </c>
      <c r="BB82" s="61">
        <f t="shared" si="76"/>
        <v>1.3198721003747567</v>
      </c>
      <c r="BC82" s="61">
        <f t="shared" si="77"/>
        <v>1.3178323325874746</v>
      </c>
      <c r="BD82" s="61">
        <f t="shared" si="77"/>
        <v>0.72185482817162916</v>
      </c>
      <c r="BE82" s="61">
        <f t="shared" si="77"/>
        <v>0.51000882985736073</v>
      </c>
      <c r="BF82" s="61">
        <f t="shared" si="77"/>
        <v>2.1862762461565319</v>
      </c>
      <c r="BG82" s="61">
        <f t="shared" si="77"/>
        <v>0.7968817625019714</v>
      </c>
      <c r="BH82" s="61">
        <f t="shared" si="77"/>
        <v>1.2901219438488698</v>
      </c>
      <c r="BI82" s="61">
        <f t="shared" si="77"/>
        <v>1.2863867950921357</v>
      </c>
      <c r="BJ82" s="61">
        <f t="shared" si="77"/>
        <v>1.2480653720245936</v>
      </c>
      <c r="BK82" s="61">
        <f t="shared" si="77"/>
        <v>0.55482087578948669</v>
      </c>
      <c r="BL82" s="61">
        <f t="shared" si="77"/>
        <v>0.3309105624013175</v>
      </c>
      <c r="BM82" s="61">
        <f t="shared" si="78"/>
        <v>1.2949105905313876</v>
      </c>
      <c r="BN82" s="61">
        <f t="shared" si="78"/>
        <v>0.85310668225957509</v>
      </c>
      <c r="BO82" s="61">
        <f t="shared" si="78"/>
        <v>0.9456171699331275</v>
      </c>
      <c r="BP82" s="61">
        <f t="shared" si="78"/>
        <v>0.8555464199888172</v>
      </c>
      <c r="BQ82" s="61">
        <f t="shared" si="78"/>
        <v>0.60118443319705162</v>
      </c>
      <c r="BR82" s="61">
        <f t="shared" si="78"/>
        <v>0.62123379624010622</v>
      </c>
      <c r="BS82" s="61">
        <f t="shared" si="78"/>
        <v>0.4897950115056055</v>
      </c>
      <c r="BT82" s="61">
        <f t="shared" si="78"/>
        <v>8.4486151502807583E-2</v>
      </c>
      <c r="BU82" s="61">
        <f t="shared" si="78"/>
        <v>0</v>
      </c>
      <c r="BV82" s="61">
        <f t="shared" si="78"/>
        <v>1.2557027361703894</v>
      </c>
      <c r="BW82" s="61">
        <f t="shared" si="79"/>
        <v>0.18776427229497436</v>
      </c>
      <c r="BX82" s="61">
        <f t="shared" si="79"/>
        <v>1.256382293510091</v>
      </c>
      <c r="BY82" s="61">
        <f t="shared" si="79"/>
        <v>0.30635832371000565</v>
      </c>
      <c r="BZ82" s="61">
        <f t="shared" si="79"/>
        <v>0.37066548457055598</v>
      </c>
      <c r="CA82" s="61">
        <f t="shared" si="79"/>
        <v>1.2599218974838164</v>
      </c>
      <c r="CB82" s="61">
        <f t="shared" si="79"/>
        <v>0.37661285821483725</v>
      </c>
      <c r="CC82" s="61">
        <f t="shared" si="79"/>
        <v>1.2616844024081635</v>
      </c>
      <c r="CD82" s="61">
        <f t="shared" si="79"/>
        <v>1.2662644055138481</v>
      </c>
      <c r="CE82" s="61">
        <f t="shared" si="79"/>
        <v>0.20103702407665958</v>
      </c>
      <c r="CF82" s="61">
        <f t="shared" si="79"/>
        <v>0.55967783844709174</v>
      </c>
      <c r="CG82" s="61">
        <f t="shared" si="80"/>
        <v>0.77536784806040804</v>
      </c>
      <c r="CH82" s="61">
        <f t="shared" si="80"/>
        <v>0.5699728698245986</v>
      </c>
      <c r="CI82" s="61">
        <f t="shared" si="80"/>
        <v>0.68464141459800198</v>
      </c>
      <c r="CJ82" s="61">
        <f t="shared" si="80"/>
        <v>0.99116605966479099</v>
      </c>
      <c r="CK82" s="61">
        <f t="shared" si="80"/>
        <v>0.41611966571895509</v>
      </c>
      <c r="CL82" s="61">
        <f t="shared" si="80"/>
        <v>1.3239626941620819</v>
      </c>
      <c r="CM82" s="61">
        <f t="shared" si="80"/>
        <v>0.59868571282255434</v>
      </c>
      <c r="CN82" s="61">
        <f t="shared" si="80"/>
        <v>0.88747085342916154</v>
      </c>
      <c r="CO82" s="61">
        <f t="shared" si="80"/>
        <v>0.80138631655851833</v>
      </c>
      <c r="CP82" s="61">
        <f t="shared" si="80"/>
        <v>1.3622707175147128</v>
      </c>
      <c r="CQ82" s="61">
        <f t="shared" si="81"/>
        <v>0.7655839349215674</v>
      </c>
      <c r="CR82" s="61">
        <f t="shared" si="81"/>
        <v>0.74904972970716355</v>
      </c>
      <c r="CS82" s="61">
        <f t="shared" si="81"/>
        <v>1.3984019916924615</v>
      </c>
      <c r="CT82" s="61">
        <f t="shared" si="81"/>
        <v>1.420989410101497</v>
      </c>
      <c r="CU82" s="61">
        <f t="shared" si="81"/>
        <v>1.2619712579971807</v>
      </c>
      <c r="CV82" s="61">
        <f t="shared" si="81"/>
        <v>0.68467723391933921</v>
      </c>
      <c r="CW82" s="61">
        <f t="shared" si="81"/>
        <v>1.420989410101497</v>
      </c>
      <c r="CX82" s="61">
        <f t="shared" si="81"/>
        <v>0.73569974471533828</v>
      </c>
      <c r="CY82" s="61">
        <f t="shared" si="81"/>
        <v>1.4475276465359923</v>
      </c>
      <c r="CZ82" s="61">
        <f t="shared" si="81"/>
        <v>1.4475276465359923</v>
      </c>
      <c r="DA82" s="61">
        <f t="shared" si="82"/>
        <v>0.94643614511130958</v>
      </c>
      <c r="DB82" s="61">
        <f t="shared" si="82"/>
        <v>1.4790391726597751</v>
      </c>
      <c r="DC82" s="61">
        <f t="shared" si="82"/>
        <v>1.4790391726597751</v>
      </c>
      <c r="DD82" s="61">
        <f t="shared" si="82"/>
        <v>1.0812189405908643</v>
      </c>
      <c r="DE82" s="61">
        <f t="shared" si="82"/>
        <v>1.3196346097111853</v>
      </c>
      <c r="DF82" s="61">
        <f t="shared" si="82"/>
        <v>1.6978031227540074</v>
      </c>
      <c r="DG82" s="61">
        <f t="shared" si="82"/>
        <v>1.8020581446046446</v>
      </c>
      <c r="DH82" s="61">
        <f t="shared" si="82"/>
        <v>1.8020581446046446</v>
      </c>
      <c r="DI82" s="61">
        <f t="shared" si="82"/>
        <v>1.8020581446046446</v>
      </c>
      <c r="DJ82" s="61">
        <f t="shared" si="82"/>
        <v>1.8020581446046446</v>
      </c>
      <c r="DK82" s="61">
        <f t="shared" si="83"/>
        <v>1.9590336708812224</v>
      </c>
      <c r="DL82" s="61">
        <f t="shared" si="83"/>
        <v>1.9590336708812224</v>
      </c>
      <c r="DM82" s="61">
        <f t="shared" si="83"/>
        <v>1.9590336708812224</v>
      </c>
      <c r="DN82" s="61">
        <f t="shared" si="83"/>
        <v>1.9590336708812224</v>
      </c>
      <c r="DO82" s="61">
        <f t="shared" si="83"/>
        <v>1.9590336708812224</v>
      </c>
      <c r="DP82" s="61">
        <f t="shared" si="83"/>
        <v>2.2479744914703566</v>
      </c>
      <c r="DQ82" s="61">
        <f t="shared" si="83"/>
        <v>2.2479744914703566</v>
      </c>
    </row>
    <row r="83" spans="1:121" x14ac:dyDescent="0.25">
      <c r="A83" s="48" t="str">
        <f>KMeans_Data!A74</f>
        <v>Laiya</v>
      </c>
      <c r="B83" s="59">
        <f>KMeans_Data!H74</f>
        <v>-0.25991062981783247</v>
      </c>
      <c r="C83" s="59">
        <f>KMeans_Data!I74</f>
        <v>-0.67265054538827607</v>
      </c>
      <c r="D83" s="59">
        <f>KMeans_Data!J74</f>
        <v>-1.1456441163335547</v>
      </c>
      <c r="E83" s="61">
        <f t="shared" si="72"/>
        <v>7.3508166372041472</v>
      </c>
      <c r="F83" s="61">
        <f t="shared" si="72"/>
        <v>7.0911213412386749</v>
      </c>
      <c r="G83" s="61">
        <f t="shared" si="72"/>
        <v>5.2977231798605464</v>
      </c>
      <c r="H83" s="61">
        <f t="shared" si="72"/>
        <v>5.6987978946163382</v>
      </c>
      <c r="I83" s="61">
        <f t="shared" si="72"/>
        <v>4.6353921096875519</v>
      </c>
      <c r="J83" s="61">
        <f t="shared" si="72"/>
        <v>4.2672369382881445</v>
      </c>
      <c r="K83" s="61">
        <f t="shared" si="72"/>
        <v>1.8317695890288332</v>
      </c>
      <c r="L83" s="61">
        <f t="shared" si="72"/>
        <v>3.544706085269774</v>
      </c>
      <c r="M83" s="61">
        <f t="shared" si="72"/>
        <v>3.7324213730457387</v>
      </c>
      <c r="N83" s="61">
        <f t="shared" si="72"/>
        <v>1.5859786538350229</v>
      </c>
      <c r="O83" s="61">
        <f t="shared" si="73"/>
        <v>3.3366676514916214</v>
      </c>
      <c r="P83" s="61">
        <f t="shared" si="73"/>
        <v>3.6373508072025684</v>
      </c>
      <c r="Q83" s="61">
        <f t="shared" si="73"/>
        <v>3.0706170549919887</v>
      </c>
      <c r="R83" s="61">
        <f t="shared" si="73"/>
        <v>3.1035249453598421</v>
      </c>
      <c r="S83" s="61">
        <f t="shared" si="73"/>
        <v>2.6890919073220938</v>
      </c>
      <c r="T83" s="61">
        <f t="shared" si="73"/>
        <v>2.9806109440136703</v>
      </c>
      <c r="U83" s="61">
        <f t="shared" si="73"/>
        <v>3.1387428808231728</v>
      </c>
      <c r="V83" s="61">
        <f t="shared" si="73"/>
        <v>2.9271076267587954</v>
      </c>
      <c r="W83" s="61">
        <f t="shared" si="73"/>
        <v>3.1270736747145902</v>
      </c>
      <c r="X83" s="61">
        <f t="shared" si="73"/>
        <v>2.8555324713537216</v>
      </c>
      <c r="Y83" s="61">
        <f t="shared" si="74"/>
        <v>3.0178297173501214</v>
      </c>
      <c r="Z83" s="61">
        <f t="shared" si="74"/>
        <v>2.5263674065906545</v>
      </c>
      <c r="AA83" s="61">
        <f t="shared" si="74"/>
        <v>2.4930401609403923</v>
      </c>
      <c r="AB83" s="61">
        <f t="shared" si="74"/>
        <v>2.4217163794270706</v>
      </c>
      <c r="AC83" s="61">
        <f t="shared" si="74"/>
        <v>2.9617151554080041</v>
      </c>
      <c r="AD83" s="61">
        <f t="shared" si="74"/>
        <v>2.9985080159269093</v>
      </c>
      <c r="AE83" s="61">
        <f t="shared" si="74"/>
        <v>1.0470950502629917</v>
      </c>
      <c r="AF83" s="61">
        <f t="shared" si="74"/>
        <v>2.5818182529229921</v>
      </c>
      <c r="AG83" s="61">
        <f t="shared" si="74"/>
        <v>1.121560192547133</v>
      </c>
      <c r="AH83" s="61">
        <f t="shared" si="74"/>
        <v>2.2605083489436706</v>
      </c>
      <c r="AI83" s="61">
        <f t="shared" si="75"/>
        <v>1.119199089620377</v>
      </c>
      <c r="AJ83" s="61">
        <f t="shared" si="75"/>
        <v>2.6979949825076472</v>
      </c>
      <c r="AK83" s="61">
        <f t="shared" si="75"/>
        <v>1.9451120821862098</v>
      </c>
      <c r="AL83" s="61">
        <f t="shared" si="75"/>
        <v>1.9268883771192216</v>
      </c>
      <c r="AM83" s="61">
        <f t="shared" si="75"/>
        <v>2.6236229109816853</v>
      </c>
      <c r="AN83" s="61">
        <f t="shared" si="75"/>
        <v>2.7010296056336012</v>
      </c>
      <c r="AO83" s="61">
        <f t="shared" si="75"/>
        <v>2.1040704185519901</v>
      </c>
      <c r="AP83" s="61">
        <f t="shared" si="75"/>
        <v>2.0394142029349016</v>
      </c>
      <c r="AQ83" s="61">
        <f t="shared" si="75"/>
        <v>2.7160782404558179</v>
      </c>
      <c r="AR83" s="61">
        <f t="shared" si="75"/>
        <v>1.5016128900762591</v>
      </c>
      <c r="AS83" s="61">
        <f t="shared" si="76"/>
        <v>2.2324638187490162</v>
      </c>
      <c r="AT83" s="61">
        <f t="shared" si="76"/>
        <v>2.0608411844378698</v>
      </c>
      <c r="AU83" s="61">
        <f t="shared" si="76"/>
        <v>0.89898651139485974</v>
      </c>
      <c r="AV83" s="61">
        <f t="shared" si="76"/>
        <v>1.7390038546514752</v>
      </c>
      <c r="AW83" s="61">
        <f t="shared" si="76"/>
        <v>0.59304068448741709</v>
      </c>
      <c r="AX83" s="61">
        <f t="shared" si="76"/>
        <v>1.8080882309453024</v>
      </c>
      <c r="AY83" s="61">
        <f t="shared" si="76"/>
        <v>0.46088612759979131</v>
      </c>
      <c r="AZ83" s="61">
        <f t="shared" si="76"/>
        <v>2.2263863975369103</v>
      </c>
      <c r="BA83" s="61">
        <f t="shared" si="76"/>
        <v>2.0620306412057658</v>
      </c>
      <c r="BB83" s="61">
        <f t="shared" si="76"/>
        <v>0.45433924860345043</v>
      </c>
      <c r="BC83" s="61">
        <f t="shared" si="77"/>
        <v>0.4477089676331179</v>
      </c>
      <c r="BD83" s="61">
        <f t="shared" si="77"/>
        <v>0.77152741197570807</v>
      </c>
      <c r="BE83" s="61">
        <f t="shared" si="77"/>
        <v>0.99189272305225029</v>
      </c>
      <c r="BF83" s="61">
        <f t="shared" si="77"/>
        <v>2.8384770126549421</v>
      </c>
      <c r="BG83" s="61">
        <f t="shared" si="77"/>
        <v>1.8756533954510186</v>
      </c>
      <c r="BH83" s="61">
        <f t="shared" si="77"/>
        <v>0.34474659952439324</v>
      </c>
      <c r="BI83" s="61">
        <f t="shared" si="77"/>
        <v>0.32822235395445776</v>
      </c>
      <c r="BJ83" s="61">
        <f t="shared" si="77"/>
        <v>1.7019406961314341</v>
      </c>
      <c r="BK83" s="61">
        <f t="shared" si="77"/>
        <v>0.79177177182466529</v>
      </c>
      <c r="BL83" s="61">
        <f t="shared" si="77"/>
        <v>1.5313758452209467</v>
      </c>
      <c r="BM83" s="61">
        <f t="shared" si="78"/>
        <v>2.0628655406062402</v>
      </c>
      <c r="BN83" s="61">
        <f t="shared" si="78"/>
        <v>1.4675282914224264</v>
      </c>
      <c r="BO83" s="61">
        <f t="shared" si="78"/>
        <v>0.37576553251596406</v>
      </c>
      <c r="BP83" s="61">
        <f t="shared" si="78"/>
        <v>1.6463861136953537</v>
      </c>
      <c r="BQ83" s="61">
        <f t="shared" si="78"/>
        <v>1.6221192687004151</v>
      </c>
      <c r="BR83" s="61">
        <f t="shared" si="78"/>
        <v>1.666169703576214</v>
      </c>
      <c r="BS83" s="61">
        <f t="shared" si="78"/>
        <v>1.745073295096762</v>
      </c>
      <c r="BT83" s="61">
        <f t="shared" si="78"/>
        <v>1.3401373890252275</v>
      </c>
      <c r="BU83" s="61">
        <f t="shared" si="78"/>
        <v>1.2557027361703894</v>
      </c>
      <c r="BV83" s="61">
        <f t="shared" si="78"/>
        <v>0</v>
      </c>
      <c r="BW83" s="61">
        <f t="shared" si="79"/>
        <v>1.4324505008243127</v>
      </c>
      <c r="BX83" s="61">
        <f t="shared" si="79"/>
        <v>1.6015725727254848E-2</v>
      </c>
      <c r="BY83" s="61">
        <f t="shared" si="79"/>
        <v>0.96487032380854676</v>
      </c>
      <c r="BZ83" s="61">
        <f t="shared" si="79"/>
        <v>0.90422140293672204</v>
      </c>
      <c r="CA83" s="61">
        <f t="shared" si="79"/>
        <v>6.725083215495703E-2</v>
      </c>
      <c r="CB83" s="61">
        <f t="shared" si="79"/>
        <v>0.90576291278330412</v>
      </c>
      <c r="CC83" s="61">
        <f t="shared" si="79"/>
        <v>8.5514811994038653E-2</v>
      </c>
      <c r="CD83" s="61">
        <f t="shared" si="79"/>
        <v>0.12408578956371352</v>
      </c>
      <c r="CE83" s="61">
        <f t="shared" si="79"/>
        <v>1.1973256065083273</v>
      </c>
      <c r="CF83" s="61">
        <f t="shared" si="79"/>
        <v>1.3956710581446938</v>
      </c>
      <c r="CG83" s="61">
        <f t="shared" si="80"/>
        <v>0.93652384071890049</v>
      </c>
      <c r="CH83" s="61">
        <f t="shared" si="80"/>
        <v>0.77508107754295064</v>
      </c>
      <c r="CI83" s="61">
        <f t="shared" si="80"/>
        <v>0.69325703639630332</v>
      </c>
      <c r="CJ83" s="61">
        <f t="shared" si="80"/>
        <v>0.43096369350895181</v>
      </c>
      <c r="CK83" s="61">
        <f t="shared" si="80"/>
        <v>1.1635562047033878</v>
      </c>
      <c r="CL83" s="61">
        <f t="shared" si="80"/>
        <v>0.3767780509789031</v>
      </c>
      <c r="CM83" s="61">
        <f t="shared" si="80"/>
        <v>0.91177571558390935</v>
      </c>
      <c r="CN83" s="61">
        <f t="shared" si="80"/>
        <v>1.9034507423193643</v>
      </c>
      <c r="CO83" s="61">
        <f t="shared" si="80"/>
        <v>1.1999657909357224</v>
      </c>
      <c r="CP83" s="61">
        <f t="shared" si="80"/>
        <v>0.48484811481536177</v>
      </c>
      <c r="CQ83" s="61">
        <f t="shared" si="81"/>
        <v>0.91292201464749834</v>
      </c>
      <c r="CR83" s="61">
        <f t="shared" si="81"/>
        <v>1.0081282161445895</v>
      </c>
      <c r="CS83" s="61">
        <f t="shared" si="81"/>
        <v>0.57179475719683137</v>
      </c>
      <c r="CT83" s="61">
        <f t="shared" si="81"/>
        <v>0.62140084815515317</v>
      </c>
      <c r="CU83" s="61">
        <f t="shared" si="81"/>
        <v>0.87500483500412674</v>
      </c>
      <c r="CV83" s="61">
        <f t="shared" si="81"/>
        <v>1.54159235089802</v>
      </c>
      <c r="CW83" s="61">
        <f t="shared" si="81"/>
        <v>0.62140084815515317</v>
      </c>
      <c r="CX83" s="61">
        <f t="shared" si="81"/>
        <v>1.3007615171172862</v>
      </c>
      <c r="CY83" s="61">
        <f t="shared" si="81"/>
        <v>0.67623783759183298</v>
      </c>
      <c r="CZ83" s="61">
        <f t="shared" si="81"/>
        <v>0.67623783759183298</v>
      </c>
      <c r="DA83" s="61">
        <f t="shared" si="82"/>
        <v>0.93272208716345018</v>
      </c>
      <c r="DB83" s="61">
        <f t="shared" si="82"/>
        <v>0.73754037623055146</v>
      </c>
      <c r="DC83" s="61">
        <f t="shared" si="82"/>
        <v>0.73754037623055146</v>
      </c>
      <c r="DD83" s="61">
        <f t="shared" si="82"/>
        <v>0.89617817626993723</v>
      </c>
      <c r="DE83" s="61">
        <f t="shared" si="82"/>
        <v>0.94361896490437602</v>
      </c>
      <c r="DF83" s="61">
        <f t="shared" si="82"/>
        <v>1.0983027014821998</v>
      </c>
      <c r="DG83" s="61">
        <f t="shared" si="82"/>
        <v>1.2480325947886646</v>
      </c>
      <c r="DH83" s="61">
        <f t="shared" si="82"/>
        <v>1.2480325947886646</v>
      </c>
      <c r="DI83" s="61">
        <f t="shared" si="82"/>
        <v>1.2480325947886646</v>
      </c>
      <c r="DJ83" s="61">
        <f t="shared" si="82"/>
        <v>1.2480325947886646</v>
      </c>
      <c r="DK83" s="61">
        <f t="shared" si="83"/>
        <v>1.4590650267338479</v>
      </c>
      <c r="DL83" s="61">
        <f t="shared" si="83"/>
        <v>1.4590650267338479</v>
      </c>
      <c r="DM83" s="61">
        <f t="shared" si="83"/>
        <v>1.4590650267338479</v>
      </c>
      <c r="DN83" s="61">
        <f t="shared" si="83"/>
        <v>1.4590650267338479</v>
      </c>
      <c r="DO83" s="61">
        <f t="shared" si="83"/>
        <v>1.4590650267338479</v>
      </c>
      <c r="DP83" s="61">
        <f t="shared" si="83"/>
        <v>1.8198273519854962</v>
      </c>
      <c r="DQ83" s="61">
        <f t="shared" si="83"/>
        <v>1.8198273519854962</v>
      </c>
    </row>
    <row r="84" spans="1:121" x14ac:dyDescent="0.25">
      <c r="A84" s="48" t="str">
        <f>KMeans_Data!A75</f>
        <v>Shigar</v>
      </c>
      <c r="B84" s="59">
        <f>KMeans_Data!H75</f>
        <v>-0.27592635554508732</v>
      </c>
      <c r="C84" s="59">
        <f>KMeans_Data!I75</f>
        <v>-0.67265054538827607</v>
      </c>
      <c r="D84" s="59">
        <f>KMeans_Data!J75</f>
        <v>0.2867168485915767</v>
      </c>
      <c r="E84" s="61">
        <f t="shared" ref="E84:N93" si="84">SQRT(($B84-E$5)^2+($C84-E$6)^2+($D84-E$7)^2)</f>
        <v>6.6029959991080132</v>
      </c>
      <c r="F84" s="61">
        <f t="shared" si="84"/>
        <v>6.4410769896430198</v>
      </c>
      <c r="G84" s="61">
        <f t="shared" si="84"/>
        <v>4.4859513138351801</v>
      </c>
      <c r="H84" s="61">
        <f t="shared" si="84"/>
        <v>5.160599274083765</v>
      </c>
      <c r="I84" s="61">
        <f t="shared" si="84"/>
        <v>3.9337823287401923</v>
      </c>
      <c r="J84" s="61">
        <f t="shared" si="84"/>
        <v>3.5917131024961364</v>
      </c>
      <c r="K84" s="61">
        <f t="shared" si="84"/>
        <v>2.1303478189946015</v>
      </c>
      <c r="L84" s="61">
        <f t="shared" si="84"/>
        <v>2.539108173865674</v>
      </c>
      <c r="M84" s="61">
        <f t="shared" si="84"/>
        <v>2.809345626696556</v>
      </c>
      <c r="N84" s="61">
        <f t="shared" si="84"/>
        <v>1.9219552090409608</v>
      </c>
      <c r="O84" s="61">
        <f t="shared" ref="O84:X93" si="85">SQRT(($B84-O$5)^2+($C84-O$6)^2+($D84-O$7)^2)</f>
        <v>2.6677408900738202</v>
      </c>
      <c r="P84" s="61">
        <f t="shared" si="85"/>
        <v>2.9499033510834312</v>
      </c>
      <c r="Q84" s="61">
        <f t="shared" si="85"/>
        <v>2.2682705816587498</v>
      </c>
      <c r="R84" s="61">
        <f t="shared" si="85"/>
        <v>2.0569594071030406</v>
      </c>
      <c r="S84" s="61">
        <f t="shared" si="85"/>
        <v>1.6428654998092433</v>
      </c>
      <c r="T84" s="61">
        <f t="shared" si="85"/>
        <v>2.1990417933600073</v>
      </c>
      <c r="U84" s="61">
        <f t="shared" si="85"/>
        <v>2.0304521434759844</v>
      </c>
      <c r="V84" s="61">
        <f t="shared" si="85"/>
        <v>2.3669030735009748</v>
      </c>
      <c r="W84" s="61">
        <f t="shared" si="85"/>
        <v>2.4305329414539365</v>
      </c>
      <c r="X84" s="61">
        <f t="shared" si="85"/>
        <v>1.9973560868503917</v>
      </c>
      <c r="Y84" s="61">
        <f t="shared" ref="Y84:AH93" si="86">SQRT(($B84-Y$5)^2+($C84-Y$6)^2+($D84-Y$7)^2)</f>
        <v>2.0681670977662763</v>
      </c>
      <c r="Z84" s="61">
        <f t="shared" si="86"/>
        <v>1.8478758414115839</v>
      </c>
      <c r="AA84" s="61">
        <f t="shared" si="86"/>
        <v>1.5064611062708491</v>
      </c>
      <c r="AB84" s="61">
        <f t="shared" si="86"/>
        <v>1.6603886735575546</v>
      </c>
      <c r="AC84" s="61">
        <f t="shared" si="86"/>
        <v>2.3429263855285529</v>
      </c>
      <c r="AD84" s="61">
        <f t="shared" si="86"/>
        <v>2.0321788694689413</v>
      </c>
      <c r="AE84" s="61">
        <f t="shared" si="86"/>
        <v>1.7825065614331335</v>
      </c>
      <c r="AF84" s="61">
        <f t="shared" si="86"/>
        <v>1.7210027538251083</v>
      </c>
      <c r="AG84" s="61">
        <f t="shared" si="86"/>
        <v>1.0955075796359228</v>
      </c>
      <c r="AH84" s="61">
        <f t="shared" si="86"/>
        <v>1.2914273419656586</v>
      </c>
      <c r="AI84" s="61">
        <f t="shared" ref="AI84:AR93" si="87">SQRT(($B84-AI$5)^2+($C84-AI$6)^2+($D84-AI$7)^2)</f>
        <v>1.0930438451728779</v>
      </c>
      <c r="AJ84" s="61">
        <f t="shared" si="87"/>
        <v>1.698782037936172</v>
      </c>
      <c r="AK84" s="61">
        <f t="shared" si="87"/>
        <v>1.3256745453427232</v>
      </c>
      <c r="AL84" s="61">
        <f t="shared" si="87"/>
        <v>0.96194525669659126</v>
      </c>
      <c r="AM84" s="61">
        <f t="shared" si="87"/>
        <v>2.1901687623203139</v>
      </c>
      <c r="AN84" s="61">
        <f t="shared" si="87"/>
        <v>2.0066723532000981</v>
      </c>
      <c r="AO84" s="61">
        <f t="shared" si="87"/>
        <v>1.293207181284415</v>
      </c>
      <c r="AP84" s="61">
        <f t="shared" si="87"/>
        <v>1.2776845060657167</v>
      </c>
      <c r="AQ84" s="61">
        <f t="shared" si="87"/>
        <v>2.0899546060552225</v>
      </c>
      <c r="AR84" s="61">
        <f t="shared" si="87"/>
        <v>1.1273504421869744</v>
      </c>
      <c r="AS84" s="61">
        <f t="shared" ref="AS84:BB93" si="88">SQRT(($B84-AS$5)^2+($C84-AS$6)^2+($D84-AS$7)^2)</f>
        <v>0.936068624328251</v>
      </c>
      <c r="AT84" s="61">
        <f t="shared" si="88"/>
        <v>0.9033935892340097</v>
      </c>
      <c r="AU84" s="61">
        <f t="shared" si="88"/>
        <v>1.1909765370517271</v>
      </c>
      <c r="AV84" s="61">
        <f t="shared" si="88"/>
        <v>0.57923870518446063</v>
      </c>
      <c r="AW84" s="61">
        <f t="shared" si="88"/>
        <v>1.2245150009933032</v>
      </c>
      <c r="AX84" s="61">
        <f t="shared" si="88"/>
        <v>0.9806596940271497</v>
      </c>
      <c r="AY84" s="61">
        <f t="shared" si="88"/>
        <v>1.5096666226515127</v>
      </c>
      <c r="AZ84" s="61">
        <f t="shared" si="88"/>
        <v>0.88524085261538521</v>
      </c>
      <c r="BA84" s="61">
        <f t="shared" si="88"/>
        <v>0.86990203264481714</v>
      </c>
      <c r="BB84" s="61">
        <f t="shared" si="88"/>
        <v>1.5076112681055724</v>
      </c>
      <c r="BC84" s="61">
        <f t="shared" ref="BC84:BL93" si="89">SQRT(($B84-BC$5)^2+($C84-BC$6)^2+($D84-BC$7)^2)</f>
        <v>1.5055558857357059</v>
      </c>
      <c r="BD84" s="61">
        <f t="shared" si="89"/>
        <v>0.90585285997628839</v>
      </c>
      <c r="BE84" s="61">
        <f t="shared" si="89"/>
        <v>0.68251977914065054</v>
      </c>
      <c r="BF84" s="61">
        <f t="shared" si="89"/>
        <v>2.1497556037137162</v>
      </c>
      <c r="BG84" s="61">
        <f t="shared" si="89"/>
        <v>0.72681106531442607</v>
      </c>
      <c r="BH84" s="61">
        <f t="shared" si="89"/>
        <v>1.4770942384161647</v>
      </c>
      <c r="BI84" s="61">
        <f t="shared" si="89"/>
        <v>1.4731455424852655</v>
      </c>
      <c r="BJ84" s="61">
        <f t="shared" si="89"/>
        <v>1.2880020210998224</v>
      </c>
      <c r="BK84" s="61">
        <f t="shared" si="89"/>
        <v>0.74217701000817315</v>
      </c>
      <c r="BL84" s="61">
        <f t="shared" si="89"/>
        <v>0.28312338713733609</v>
      </c>
      <c r="BM84" s="61">
        <f t="shared" ref="BM84:BV93" si="90">SQRT(($B84-BM$5)^2+($C84-BM$6)^2+($D84-BM$7)^2)</f>
        <v>1.2628978331395473</v>
      </c>
      <c r="BN84" s="61">
        <f t="shared" si="90"/>
        <v>0.89863582846797718</v>
      </c>
      <c r="BO84" s="61">
        <f t="shared" si="90"/>
        <v>1.1310250212771968</v>
      </c>
      <c r="BP84" s="61">
        <f t="shared" si="90"/>
        <v>0.85212158684897821</v>
      </c>
      <c r="BQ84" s="61">
        <f t="shared" si="90"/>
        <v>0.55928867568509366</v>
      </c>
      <c r="BR84" s="61">
        <f t="shared" si="90"/>
        <v>0.56304014821233705</v>
      </c>
      <c r="BS84" s="61">
        <f t="shared" si="90"/>
        <v>0.32716880293663053</v>
      </c>
      <c r="BT84" s="61">
        <f t="shared" si="90"/>
        <v>0.11137751482803204</v>
      </c>
      <c r="BU84" s="61">
        <f t="shared" si="90"/>
        <v>0.18776427229497436</v>
      </c>
      <c r="BV84" s="61">
        <f t="shared" si="90"/>
        <v>1.4324505008243127</v>
      </c>
      <c r="BW84" s="61">
        <f t="shared" ref="BW84:CF93" si="91">SQRT(($B84-BW$5)^2+($C84-BW$6)^2+($D84-BW$7)^2)</f>
        <v>0</v>
      </c>
      <c r="BX84" s="61">
        <f t="shared" si="91"/>
        <v>1.4323609649251314</v>
      </c>
      <c r="BY84" s="61">
        <f t="shared" si="91"/>
        <v>0.46996861337593865</v>
      </c>
      <c r="BZ84" s="61">
        <f t="shared" si="91"/>
        <v>0.53311160299739468</v>
      </c>
      <c r="CA84" s="61">
        <f t="shared" si="91"/>
        <v>1.4332770039221001</v>
      </c>
      <c r="CB84" s="61">
        <f t="shared" si="91"/>
        <v>0.53517573572772492</v>
      </c>
      <c r="CC84" s="61">
        <f t="shared" si="91"/>
        <v>1.4340460441816962</v>
      </c>
      <c r="CD84" s="61">
        <f t="shared" si="91"/>
        <v>1.4364320633217813</v>
      </c>
      <c r="CE84" s="61">
        <f t="shared" si="91"/>
        <v>0.27557201086779765</v>
      </c>
      <c r="CF84" s="61">
        <f t="shared" si="91"/>
        <v>0.56090164801804221</v>
      </c>
      <c r="CG84" s="61">
        <f t="shared" ref="CG84:CP93" si="92">SQRT(($B84-CG$5)^2+($C84-CG$6)^2+($D84-CG$7)^2)</f>
        <v>0.88641142885105662</v>
      </c>
      <c r="CH84" s="61">
        <f t="shared" si="92"/>
        <v>0.71372193025577735</v>
      </c>
      <c r="CI84" s="61">
        <f t="shared" si="92"/>
        <v>0.82697318054921376</v>
      </c>
      <c r="CJ84" s="61">
        <f t="shared" si="92"/>
        <v>1.1438081738443555</v>
      </c>
      <c r="CK84" s="61">
        <f t="shared" si="92"/>
        <v>0.45994217392880676</v>
      </c>
      <c r="CL84" s="61">
        <f t="shared" si="92"/>
        <v>1.4770942384161647</v>
      </c>
      <c r="CM84" s="61">
        <f t="shared" si="92"/>
        <v>0.70188664951174273</v>
      </c>
      <c r="CN84" s="61">
        <f t="shared" si="92"/>
        <v>0.76044464287264613</v>
      </c>
      <c r="CO84" s="61">
        <f t="shared" si="92"/>
        <v>0.84609232442443727</v>
      </c>
      <c r="CP84" s="61">
        <f t="shared" si="92"/>
        <v>1.5071369356827917</v>
      </c>
      <c r="CQ84" s="61">
        <f t="shared" ref="CQ84:CZ93" si="93">SQRT(($B84-CQ$5)^2+($C84-CQ$6)^2+($D84-CQ$7)^2)</f>
        <v>0.85555232641395307</v>
      </c>
      <c r="CR84" s="61">
        <f t="shared" si="93"/>
        <v>0.81938131859538055</v>
      </c>
      <c r="CS84" s="61">
        <f t="shared" si="93"/>
        <v>1.5364075844848313</v>
      </c>
      <c r="CT84" s="61">
        <f t="shared" si="93"/>
        <v>1.5550398966902088</v>
      </c>
      <c r="CU84" s="61">
        <f t="shared" si="93"/>
        <v>1.3702190647298575</v>
      </c>
      <c r="CV84" s="61">
        <f t="shared" si="93"/>
        <v>0.6057688079177912</v>
      </c>
      <c r="CW84" s="61">
        <f t="shared" si="93"/>
        <v>1.5550398966902088</v>
      </c>
      <c r="CX84" s="61">
        <f t="shared" si="93"/>
        <v>0.73420804729847489</v>
      </c>
      <c r="CY84" s="61">
        <f t="shared" si="93"/>
        <v>1.5771972517209689</v>
      </c>
      <c r="CZ84" s="61">
        <f t="shared" si="93"/>
        <v>1.5771972517209689</v>
      </c>
      <c r="DA84" s="61">
        <f t="shared" ref="DA84:DJ93" si="94">SQRT(($B84-DA$5)^2+($C84-DA$6)^2+($D84-DA$7)^2)</f>
        <v>1.0295326927515576</v>
      </c>
      <c r="DB84" s="61">
        <f t="shared" si="94"/>
        <v>1.6038253505681839</v>
      </c>
      <c r="DC84" s="61">
        <f t="shared" si="94"/>
        <v>1.6038253505681839</v>
      </c>
      <c r="DD84" s="61">
        <f t="shared" si="94"/>
        <v>1.1717647964035489</v>
      </c>
      <c r="DE84" s="61">
        <f t="shared" si="94"/>
        <v>1.4120082830959388</v>
      </c>
      <c r="DF84" s="61">
        <f t="shared" si="94"/>
        <v>1.7952724115660104</v>
      </c>
      <c r="DG84" s="61">
        <f t="shared" si="94"/>
        <v>1.8893182631555574</v>
      </c>
      <c r="DH84" s="61">
        <f t="shared" si="94"/>
        <v>1.8893182631555574</v>
      </c>
      <c r="DI84" s="61">
        <f t="shared" si="94"/>
        <v>1.8893182631555574</v>
      </c>
      <c r="DJ84" s="61">
        <f t="shared" si="94"/>
        <v>1.8893182631555574</v>
      </c>
      <c r="DK84" s="61">
        <f t="shared" ref="DK84:DQ93" si="95">SQRT(($B84-DK$5)^2+($C84-DK$6)^2+($D84-DK$7)^2)</f>
        <v>2.0332361444202367</v>
      </c>
      <c r="DL84" s="61">
        <f t="shared" si="95"/>
        <v>2.0332361444202367</v>
      </c>
      <c r="DM84" s="61">
        <f t="shared" si="95"/>
        <v>2.0332361444202367</v>
      </c>
      <c r="DN84" s="61">
        <f t="shared" si="95"/>
        <v>2.0332361444202367</v>
      </c>
      <c r="DO84" s="61">
        <f t="shared" si="95"/>
        <v>2.0332361444202367</v>
      </c>
      <c r="DP84" s="61">
        <f t="shared" si="95"/>
        <v>2.30334415944853</v>
      </c>
      <c r="DQ84" s="61">
        <f t="shared" si="95"/>
        <v>2.30334415944853</v>
      </c>
    </row>
    <row r="85" spans="1:121" x14ac:dyDescent="0.25">
      <c r="A85" s="48" t="str">
        <f>KMeans_Data!A76</f>
        <v>Narowal</v>
      </c>
      <c r="B85" s="59">
        <f>KMeans_Data!H76</f>
        <v>-0.27592635554508732</v>
      </c>
      <c r="C85" s="59">
        <f>KMeans_Data!I76</f>
        <v>-0.67265054538827607</v>
      </c>
      <c r="D85" s="59">
        <f>KMeans_Data!J76</f>
        <v>-1.1456441163335547</v>
      </c>
      <c r="E85" s="61">
        <f t="shared" si="84"/>
        <v>7.3585302822416772</v>
      </c>
      <c r="F85" s="61">
        <f t="shared" si="84"/>
        <v>7.0990626677772806</v>
      </c>
      <c r="G85" s="61">
        <f t="shared" si="84"/>
        <v>5.3056754610308143</v>
      </c>
      <c r="H85" s="61">
        <f t="shared" si="84"/>
        <v>5.7061370913453224</v>
      </c>
      <c r="I85" s="61">
        <f t="shared" si="84"/>
        <v>4.6438115893050798</v>
      </c>
      <c r="J85" s="61">
        <f t="shared" si="84"/>
        <v>4.2738436992130682</v>
      </c>
      <c r="K85" s="61">
        <f t="shared" si="84"/>
        <v>1.8457700664480359</v>
      </c>
      <c r="L85" s="61">
        <f t="shared" si="84"/>
        <v>3.5518569042530039</v>
      </c>
      <c r="M85" s="61">
        <f t="shared" si="84"/>
        <v>3.7389681477924714</v>
      </c>
      <c r="N85" s="61">
        <f t="shared" si="84"/>
        <v>1.6007489290517156</v>
      </c>
      <c r="O85" s="61">
        <f t="shared" si="85"/>
        <v>3.3434238285795717</v>
      </c>
      <c r="P85" s="61">
        <f t="shared" si="85"/>
        <v>3.6434875738265218</v>
      </c>
      <c r="Q85" s="61">
        <f t="shared" si="85"/>
        <v>3.0774444953557651</v>
      </c>
      <c r="R85" s="61">
        <f t="shared" si="85"/>
        <v>3.1102534157725112</v>
      </c>
      <c r="S85" s="61">
        <f t="shared" si="85"/>
        <v>2.6966792486980156</v>
      </c>
      <c r="T85" s="61">
        <f t="shared" si="85"/>
        <v>2.9872586031700363</v>
      </c>
      <c r="U85" s="61">
        <f t="shared" si="85"/>
        <v>3.1445956118889917</v>
      </c>
      <c r="V85" s="61">
        <f t="shared" si="85"/>
        <v>2.9332343477687375</v>
      </c>
      <c r="W85" s="61">
        <f t="shared" si="85"/>
        <v>3.1327998340249623</v>
      </c>
      <c r="X85" s="61">
        <f t="shared" si="85"/>
        <v>2.8617493334602213</v>
      </c>
      <c r="Y85" s="61">
        <f t="shared" si="86"/>
        <v>3.0234380474229812</v>
      </c>
      <c r="Z85" s="61">
        <f t="shared" si="86"/>
        <v>2.5330374463979992</v>
      </c>
      <c r="AA85" s="61">
        <f t="shared" si="86"/>
        <v>2.4997855443526733</v>
      </c>
      <c r="AB85" s="61">
        <f t="shared" si="86"/>
        <v>2.428659866279808</v>
      </c>
      <c r="AC85" s="61">
        <f t="shared" si="86"/>
        <v>2.9672782887445219</v>
      </c>
      <c r="AD85" s="61">
        <f t="shared" si="86"/>
        <v>3.0037171904321633</v>
      </c>
      <c r="AE85" s="61">
        <f t="shared" si="86"/>
        <v>1.0609767705802609</v>
      </c>
      <c r="AF85" s="61">
        <f t="shared" si="86"/>
        <v>2.5872114178515493</v>
      </c>
      <c r="AG85" s="61">
        <f t="shared" si="86"/>
        <v>1.133571951156281</v>
      </c>
      <c r="AH85" s="61">
        <f t="shared" si="86"/>
        <v>2.2664920248229281</v>
      </c>
      <c r="AI85" s="61">
        <f t="shared" si="87"/>
        <v>1.1311911239391912</v>
      </c>
      <c r="AJ85" s="61">
        <f t="shared" si="87"/>
        <v>2.7029537773633101</v>
      </c>
      <c r="AK85" s="61">
        <f t="shared" si="87"/>
        <v>1.951684127621806</v>
      </c>
      <c r="AL85" s="61">
        <f t="shared" si="87"/>
        <v>1.9331342107383815</v>
      </c>
      <c r="AM85" s="61">
        <f t="shared" si="87"/>
        <v>2.6282135069050176</v>
      </c>
      <c r="AN85" s="61">
        <f t="shared" si="87"/>
        <v>2.7053048599938783</v>
      </c>
      <c r="AO85" s="61">
        <f t="shared" si="87"/>
        <v>2.1094008430427302</v>
      </c>
      <c r="AP85" s="61">
        <f t="shared" si="87"/>
        <v>2.0448804302227699</v>
      </c>
      <c r="AQ85" s="61">
        <f t="shared" si="87"/>
        <v>2.7200589199404304</v>
      </c>
      <c r="AR85" s="61">
        <f t="shared" si="87"/>
        <v>1.5086122010143797</v>
      </c>
      <c r="AS85" s="61">
        <f t="shared" si="88"/>
        <v>2.2366569193266495</v>
      </c>
      <c r="AT85" s="61">
        <f t="shared" si="88"/>
        <v>2.0650461910635465</v>
      </c>
      <c r="AU85" s="61">
        <f t="shared" si="88"/>
        <v>0.90838302056631648</v>
      </c>
      <c r="AV85" s="61">
        <f t="shared" si="88"/>
        <v>1.7438265671217175</v>
      </c>
      <c r="AW85" s="61">
        <f t="shared" si="88"/>
        <v>0.60656598648305426</v>
      </c>
      <c r="AX85" s="61">
        <f t="shared" si="88"/>
        <v>1.8125156837689191</v>
      </c>
      <c r="AY85" s="61">
        <f t="shared" si="88"/>
        <v>0.47690185332704615</v>
      </c>
      <c r="AZ85" s="61">
        <f t="shared" si="88"/>
        <v>2.2297568805208834</v>
      </c>
      <c r="BA85" s="61">
        <f t="shared" si="88"/>
        <v>2.0656185548952526</v>
      </c>
      <c r="BB85" s="61">
        <f t="shared" si="88"/>
        <v>0.47035497433070528</v>
      </c>
      <c r="BC85" s="61">
        <f t="shared" si="89"/>
        <v>0.46372469336037275</v>
      </c>
      <c r="BD85" s="61">
        <f t="shared" si="89"/>
        <v>0.78051134160211666</v>
      </c>
      <c r="BE85" s="61">
        <f t="shared" si="89"/>
        <v>0.99867110446919827</v>
      </c>
      <c r="BF85" s="61">
        <f t="shared" si="89"/>
        <v>2.8407296509621394</v>
      </c>
      <c r="BG85" s="61">
        <f t="shared" si="89"/>
        <v>1.8787995912937121</v>
      </c>
      <c r="BH85" s="61">
        <f t="shared" si="89"/>
        <v>0.36076232525164809</v>
      </c>
      <c r="BI85" s="61">
        <f t="shared" si="89"/>
        <v>0.34423807968171261</v>
      </c>
      <c r="BJ85" s="61">
        <f t="shared" si="89"/>
        <v>1.7046906730800921</v>
      </c>
      <c r="BK85" s="61">
        <f t="shared" si="89"/>
        <v>0.79729243417529827</v>
      </c>
      <c r="BL85" s="61">
        <f t="shared" si="89"/>
        <v>1.5341377905016296</v>
      </c>
      <c r="BM85" s="61">
        <f t="shared" si="90"/>
        <v>2.0646859587312165</v>
      </c>
      <c r="BN85" s="61">
        <f t="shared" si="90"/>
        <v>1.4699738154013657</v>
      </c>
      <c r="BO85" s="61">
        <f t="shared" si="90"/>
        <v>0.3843213590936817</v>
      </c>
      <c r="BP85" s="61">
        <f t="shared" si="90"/>
        <v>1.6480335126581198</v>
      </c>
      <c r="BQ85" s="61">
        <f t="shared" si="90"/>
        <v>1.6236759193781483</v>
      </c>
      <c r="BR85" s="61">
        <f t="shared" si="90"/>
        <v>1.6674526968211032</v>
      </c>
      <c r="BS85" s="61">
        <f t="shared" si="90"/>
        <v>1.7459445397506232</v>
      </c>
      <c r="BT85" s="61">
        <f t="shared" si="90"/>
        <v>1.3407741522281922</v>
      </c>
      <c r="BU85" s="61">
        <f t="shared" si="90"/>
        <v>1.256382293510091</v>
      </c>
      <c r="BV85" s="61">
        <f t="shared" si="90"/>
        <v>1.6015725727254848E-2</v>
      </c>
      <c r="BW85" s="61">
        <f t="shared" si="91"/>
        <v>1.4323609649251314</v>
      </c>
      <c r="BX85" s="61">
        <f t="shared" si="91"/>
        <v>0</v>
      </c>
      <c r="BY85" s="61">
        <f t="shared" si="91"/>
        <v>0.96417959434049472</v>
      </c>
      <c r="BZ85" s="61">
        <f t="shared" si="91"/>
        <v>0.9031714716674667</v>
      </c>
      <c r="CA85" s="61">
        <f t="shared" si="91"/>
        <v>5.1235106427702182E-2</v>
      </c>
      <c r="CB85" s="61">
        <f t="shared" si="91"/>
        <v>0.90439139430626914</v>
      </c>
      <c r="CC85" s="61">
        <f t="shared" si="91"/>
        <v>6.9499086266783805E-2</v>
      </c>
      <c r="CD85" s="61">
        <f t="shared" si="91"/>
        <v>0.10807006383645867</v>
      </c>
      <c r="CE85" s="61">
        <f t="shared" si="91"/>
        <v>1.1954984729948601</v>
      </c>
      <c r="CF85" s="61">
        <f t="shared" si="91"/>
        <v>1.3941039034000438</v>
      </c>
      <c r="CG85" s="61">
        <f t="shared" si="92"/>
        <v>0.93304540758007692</v>
      </c>
      <c r="CH85" s="61">
        <f t="shared" si="92"/>
        <v>0.77087450673668845</v>
      </c>
      <c r="CI85" s="61">
        <f t="shared" si="92"/>
        <v>0.68739594979167373</v>
      </c>
      <c r="CJ85" s="61">
        <f t="shared" si="92"/>
        <v>0.42045504736379413</v>
      </c>
      <c r="CK85" s="61">
        <f t="shared" si="92"/>
        <v>1.1589053002975809</v>
      </c>
      <c r="CL85" s="61">
        <f t="shared" si="92"/>
        <v>0.36076232525164825</v>
      </c>
      <c r="CM85" s="61">
        <f t="shared" si="92"/>
        <v>0.90527493677338988</v>
      </c>
      <c r="CN85" s="61">
        <f t="shared" si="92"/>
        <v>1.8997595446397333</v>
      </c>
      <c r="CO85" s="61">
        <f t="shared" si="92"/>
        <v>1.1935845232048068</v>
      </c>
      <c r="CP85" s="61">
        <f t="shared" si="92"/>
        <v>0.46883238908810693</v>
      </c>
      <c r="CQ85" s="61">
        <f t="shared" si="93"/>
        <v>0.90378000345262532</v>
      </c>
      <c r="CR85" s="61">
        <f t="shared" si="93"/>
        <v>0.99913141660661919</v>
      </c>
      <c r="CS85" s="61">
        <f t="shared" si="93"/>
        <v>0.55577903146957652</v>
      </c>
      <c r="CT85" s="61">
        <f t="shared" si="93"/>
        <v>0.60538512242789833</v>
      </c>
      <c r="CU85" s="61">
        <f t="shared" si="93"/>
        <v>0.86370457544793455</v>
      </c>
      <c r="CV85" s="61">
        <f t="shared" si="93"/>
        <v>1.535206536175632</v>
      </c>
      <c r="CW85" s="61">
        <f t="shared" si="93"/>
        <v>0.60538512242789833</v>
      </c>
      <c r="CX85" s="61">
        <f t="shared" si="93"/>
        <v>1.292507697624006</v>
      </c>
      <c r="CY85" s="61">
        <f t="shared" si="93"/>
        <v>0.66022211186457813</v>
      </c>
      <c r="CZ85" s="61">
        <f t="shared" si="93"/>
        <v>0.66022211186457813</v>
      </c>
      <c r="DA85" s="61">
        <f t="shared" si="94"/>
        <v>0.92117648465784663</v>
      </c>
      <c r="DB85" s="61">
        <f t="shared" si="94"/>
        <v>0.72152465050329662</v>
      </c>
      <c r="DC85" s="61">
        <f t="shared" si="94"/>
        <v>0.72152465050329662</v>
      </c>
      <c r="DD85" s="61">
        <f t="shared" si="94"/>
        <v>0.88304435807954273</v>
      </c>
      <c r="DE85" s="61">
        <f t="shared" si="94"/>
        <v>0.92857562957040396</v>
      </c>
      <c r="DF85" s="61">
        <f t="shared" si="94"/>
        <v>1.0822869757549449</v>
      </c>
      <c r="DG85" s="61">
        <f t="shared" si="94"/>
        <v>1.2320168690614097</v>
      </c>
      <c r="DH85" s="61">
        <f t="shared" si="94"/>
        <v>1.2320168690614097</v>
      </c>
      <c r="DI85" s="61">
        <f t="shared" si="94"/>
        <v>1.2320168690614097</v>
      </c>
      <c r="DJ85" s="61">
        <f t="shared" si="94"/>
        <v>1.2320168690614097</v>
      </c>
      <c r="DK85" s="61">
        <f t="shared" si="95"/>
        <v>1.443049301006593</v>
      </c>
      <c r="DL85" s="61">
        <f t="shared" si="95"/>
        <v>1.443049301006593</v>
      </c>
      <c r="DM85" s="61">
        <f t="shared" si="95"/>
        <v>1.443049301006593</v>
      </c>
      <c r="DN85" s="61">
        <f t="shared" si="95"/>
        <v>1.443049301006593</v>
      </c>
      <c r="DO85" s="61">
        <f t="shared" si="95"/>
        <v>1.443049301006593</v>
      </c>
      <c r="DP85" s="61">
        <f t="shared" si="95"/>
        <v>1.8038116262582413</v>
      </c>
      <c r="DQ85" s="61">
        <f t="shared" si="95"/>
        <v>1.8038116262582413</v>
      </c>
    </row>
    <row r="86" spans="1:121" x14ac:dyDescent="0.25">
      <c r="A86" s="48" t="str">
        <f>KMeans_Data!A77</f>
        <v>Mandi Bahauddin</v>
      </c>
      <c r="B86" s="59">
        <f>KMeans_Data!H77</f>
        <v>-0.30951672077615416</v>
      </c>
      <c r="C86" s="59">
        <f>KMeans_Data!I77</f>
        <v>-0.67265054538827607</v>
      </c>
      <c r="D86" s="59">
        <f>KMeans_Data!J77</f>
        <v>-0.1820498150291911</v>
      </c>
      <c r="E86" s="61">
        <f t="shared" si="84"/>
        <v>6.8439501868573736</v>
      </c>
      <c r="F86" s="61">
        <f t="shared" si="84"/>
        <v>6.6475176824738629</v>
      </c>
      <c r="G86" s="61">
        <f t="shared" si="84"/>
        <v>4.7410308383057682</v>
      </c>
      <c r="H86" s="61">
        <f t="shared" si="84"/>
        <v>5.3195321365282027</v>
      </c>
      <c r="I86" s="61">
        <f t="shared" si="84"/>
        <v>4.1450745388767798</v>
      </c>
      <c r="J86" s="61">
        <f t="shared" si="84"/>
        <v>3.7847885908468077</v>
      </c>
      <c r="K86" s="61">
        <f t="shared" si="84"/>
        <v>1.9560225708301384</v>
      </c>
      <c r="L86" s="61">
        <f t="shared" si="84"/>
        <v>2.849958228268731</v>
      </c>
      <c r="M86" s="61">
        <f t="shared" si="84"/>
        <v>3.0882374232933705</v>
      </c>
      <c r="N86" s="61">
        <f t="shared" si="84"/>
        <v>1.7240322736029909</v>
      </c>
      <c r="O86" s="61">
        <f t="shared" si="85"/>
        <v>2.8444175167058674</v>
      </c>
      <c r="P86" s="61">
        <f t="shared" si="85"/>
        <v>3.1372325984996641</v>
      </c>
      <c r="Q86" s="61">
        <f t="shared" si="85"/>
        <v>2.4897169892689033</v>
      </c>
      <c r="R86" s="61">
        <f t="shared" si="85"/>
        <v>2.3769571381083732</v>
      </c>
      <c r="S86" s="61">
        <f t="shared" si="85"/>
        <v>1.957370649238505</v>
      </c>
      <c r="T86" s="61">
        <f t="shared" si="85"/>
        <v>2.4097317393830053</v>
      </c>
      <c r="U86" s="61">
        <f t="shared" si="85"/>
        <v>2.3741898188624631</v>
      </c>
      <c r="V86" s="61">
        <f t="shared" si="85"/>
        <v>2.4919550469570755</v>
      </c>
      <c r="W86" s="61">
        <f t="shared" si="85"/>
        <v>2.609838083370243</v>
      </c>
      <c r="X86" s="61">
        <f t="shared" si="85"/>
        <v>2.2335016377975734</v>
      </c>
      <c r="Y86" s="61">
        <f t="shared" si="86"/>
        <v>2.3431027296589453</v>
      </c>
      <c r="Z86" s="61">
        <f t="shared" si="86"/>
        <v>2.0044271871744304</v>
      </c>
      <c r="AA86" s="61">
        <f t="shared" si="86"/>
        <v>1.7867265179669944</v>
      </c>
      <c r="AB86" s="61">
        <f t="shared" si="86"/>
        <v>1.8454280350537486</v>
      </c>
      <c r="AC86" s="61">
        <f t="shared" si="86"/>
        <v>2.4886714370446965</v>
      </c>
      <c r="AD86" s="61">
        <f t="shared" si="86"/>
        <v>2.3122447728471007</v>
      </c>
      <c r="AE86" s="61">
        <f t="shared" si="86"/>
        <v>1.4550696614569665</v>
      </c>
      <c r="AF86" s="61">
        <f t="shared" si="86"/>
        <v>1.9472002955039545</v>
      </c>
      <c r="AG86" s="61">
        <f t="shared" si="86"/>
        <v>0.91361007596133093</v>
      </c>
      <c r="AH86" s="61">
        <f t="shared" si="86"/>
        <v>1.5523927719026771</v>
      </c>
      <c r="AI86" s="61">
        <f t="shared" si="87"/>
        <v>0.91053764562637729</v>
      </c>
      <c r="AJ86" s="61">
        <f t="shared" si="87"/>
        <v>1.9845796246715159</v>
      </c>
      <c r="AK86" s="61">
        <f t="shared" si="87"/>
        <v>1.4256697001706231</v>
      </c>
      <c r="AL86" s="61">
        <f t="shared" si="87"/>
        <v>1.2025139184411462</v>
      </c>
      <c r="AM86" s="61">
        <f t="shared" si="87"/>
        <v>2.2556871030700765</v>
      </c>
      <c r="AN86" s="61">
        <f t="shared" si="87"/>
        <v>2.1685305000325847</v>
      </c>
      <c r="AO86" s="61">
        <f t="shared" si="87"/>
        <v>1.4759205485117406</v>
      </c>
      <c r="AP86" s="61">
        <f t="shared" si="87"/>
        <v>1.43648672619788</v>
      </c>
      <c r="AQ86" s="61">
        <f t="shared" si="87"/>
        <v>2.2260165821863671</v>
      </c>
      <c r="AR86" s="61">
        <f t="shared" si="87"/>
        <v>1.0926922827696675</v>
      </c>
      <c r="AS86" s="61">
        <f t="shared" si="88"/>
        <v>1.3475670213648636</v>
      </c>
      <c r="AT86" s="61">
        <f t="shared" si="88"/>
        <v>1.2373324368550604</v>
      </c>
      <c r="AU86" s="61">
        <f t="shared" si="88"/>
        <v>0.89991800138905853</v>
      </c>
      <c r="AV86" s="61">
        <f t="shared" si="88"/>
        <v>0.89783512899983131</v>
      </c>
      <c r="AW86" s="61">
        <f t="shared" si="88"/>
        <v>0.84446587543155704</v>
      </c>
      <c r="AX86" s="61">
        <f t="shared" si="88"/>
        <v>1.1426697296408266</v>
      </c>
      <c r="AY86" s="61">
        <f t="shared" si="88"/>
        <v>1.0904660850822592</v>
      </c>
      <c r="AZ86" s="61">
        <f t="shared" si="88"/>
        <v>1.3174869250082974</v>
      </c>
      <c r="BA86" s="61">
        <f t="shared" si="88"/>
        <v>1.2192148340776288</v>
      </c>
      <c r="BB86" s="61">
        <f t="shared" si="88"/>
        <v>1.0874166095716371</v>
      </c>
      <c r="BC86" s="61">
        <f t="shared" si="89"/>
        <v>1.0843598318861003</v>
      </c>
      <c r="BD86" s="61">
        <f t="shared" si="89"/>
        <v>0.57498138876809524</v>
      </c>
      <c r="BE86" s="61">
        <f t="shared" si="89"/>
        <v>0.46695216612148743</v>
      </c>
      <c r="BF86" s="61">
        <f t="shared" si="89"/>
        <v>2.3079785277431411</v>
      </c>
      <c r="BG86" s="61">
        <f t="shared" si="89"/>
        <v>1.041793730786561</v>
      </c>
      <c r="BH86" s="61">
        <f t="shared" si="89"/>
        <v>1.0411666638906572</v>
      </c>
      <c r="BI86" s="61">
        <f t="shared" si="89"/>
        <v>1.0350209231177183</v>
      </c>
      <c r="BJ86" s="61">
        <f t="shared" si="89"/>
        <v>1.2793254237672911</v>
      </c>
      <c r="BK86" s="61">
        <f t="shared" si="89"/>
        <v>0.38335315125883845</v>
      </c>
      <c r="BL86" s="61">
        <f t="shared" si="89"/>
        <v>0.6260197495518991</v>
      </c>
      <c r="BM86" s="61">
        <f t="shared" si="90"/>
        <v>1.426111321384653</v>
      </c>
      <c r="BN86" s="61">
        <f t="shared" si="90"/>
        <v>0.90303007552129744</v>
      </c>
      <c r="BO86" s="61">
        <f t="shared" si="90"/>
        <v>0.68739594979167362</v>
      </c>
      <c r="BP86" s="61">
        <f t="shared" si="90"/>
        <v>0.96886119895846667</v>
      </c>
      <c r="BQ86" s="61">
        <f t="shared" si="90"/>
        <v>0.79610365002490135</v>
      </c>
      <c r="BR86" s="61">
        <f t="shared" si="90"/>
        <v>0.82591651943867406</v>
      </c>
      <c r="BS86" s="61">
        <f t="shared" si="90"/>
        <v>0.79118472318437982</v>
      </c>
      <c r="BT86" s="61">
        <f t="shared" si="90"/>
        <v>0.38757390790592638</v>
      </c>
      <c r="BU86" s="61">
        <f t="shared" si="90"/>
        <v>0.30635832371000565</v>
      </c>
      <c r="BV86" s="61">
        <f t="shared" si="90"/>
        <v>0.96487032380854676</v>
      </c>
      <c r="BW86" s="61">
        <f t="shared" si="91"/>
        <v>0.46996861337593865</v>
      </c>
      <c r="BX86" s="61">
        <f t="shared" si="91"/>
        <v>0.96417959434049472</v>
      </c>
      <c r="BY86" s="61">
        <f t="shared" si="91"/>
        <v>0</v>
      </c>
      <c r="BZ86" s="61">
        <f t="shared" si="91"/>
        <v>6.4343833171233905E-2</v>
      </c>
      <c r="CA86" s="61">
        <f t="shared" si="91"/>
        <v>0.96375583754296434</v>
      </c>
      <c r="CB86" s="61">
        <f t="shared" si="91"/>
        <v>7.1541793531419678E-2</v>
      </c>
      <c r="CC86" s="61">
        <f t="shared" si="91"/>
        <v>0.9642631454912427</v>
      </c>
      <c r="CD86" s="61">
        <f t="shared" si="91"/>
        <v>0.96646841800991856</v>
      </c>
      <c r="CE86" s="61">
        <f t="shared" si="91"/>
        <v>0.24417334361017018</v>
      </c>
      <c r="CF86" s="61">
        <f t="shared" si="91"/>
        <v>0.62329696806377577</v>
      </c>
      <c r="CG86" s="61">
        <f t="shared" si="92"/>
        <v>0.59145543427034741</v>
      </c>
      <c r="CH86" s="61">
        <f t="shared" si="92"/>
        <v>0.27109648330103103</v>
      </c>
      <c r="CI86" s="61">
        <f t="shared" si="92"/>
        <v>0.38432135909368148</v>
      </c>
      <c r="CJ86" s="61">
        <f t="shared" si="92"/>
        <v>0.68497297895704157</v>
      </c>
      <c r="CK86" s="61">
        <f t="shared" si="92"/>
        <v>0.33040410739866372</v>
      </c>
      <c r="CL86" s="61">
        <f t="shared" si="92"/>
        <v>1.0176224589355098</v>
      </c>
      <c r="CM86" s="61">
        <f t="shared" si="92"/>
        <v>0.35328862033704028</v>
      </c>
      <c r="CN86" s="61">
        <f t="shared" si="92"/>
        <v>1.0443596221910876</v>
      </c>
      <c r="CO86" s="61">
        <f t="shared" si="92"/>
        <v>0.68246746940855096</v>
      </c>
      <c r="CP86" s="61">
        <f t="shared" si="92"/>
        <v>1.0573313562159294</v>
      </c>
      <c r="CQ86" s="61">
        <f t="shared" si="93"/>
        <v>0.52428066662862116</v>
      </c>
      <c r="CR86" s="61">
        <f t="shared" si="93"/>
        <v>0.53893632368202304</v>
      </c>
      <c r="CS86" s="61">
        <f t="shared" si="93"/>
        <v>1.0959904108404408</v>
      </c>
      <c r="CT86" s="61">
        <f t="shared" si="93"/>
        <v>1.1204745520822987</v>
      </c>
      <c r="CU86" s="61">
        <f t="shared" si="93"/>
        <v>1.007942632652864</v>
      </c>
      <c r="CV86" s="61">
        <f t="shared" si="93"/>
        <v>0.72591030460186945</v>
      </c>
      <c r="CW86" s="61">
        <f t="shared" si="93"/>
        <v>1.1204745520822987</v>
      </c>
      <c r="CX86" s="61">
        <f t="shared" si="93"/>
        <v>0.64377311743326116</v>
      </c>
      <c r="CY86" s="61">
        <f t="shared" si="93"/>
        <v>1.1494265193544169</v>
      </c>
      <c r="CZ86" s="61">
        <f t="shared" si="93"/>
        <v>1.1494265193544169</v>
      </c>
      <c r="DA86" s="61">
        <f t="shared" si="94"/>
        <v>0.70415592421840845</v>
      </c>
      <c r="DB86" s="61">
        <f t="shared" si="94"/>
        <v>1.1839626507450554</v>
      </c>
      <c r="DC86" s="61">
        <f t="shared" si="94"/>
        <v>1.1839626507450554</v>
      </c>
      <c r="DD86" s="61">
        <f t="shared" si="94"/>
        <v>0.82451835531391826</v>
      </c>
      <c r="DE86" s="61">
        <f t="shared" si="94"/>
        <v>1.0556297433122959</v>
      </c>
      <c r="DF86" s="61">
        <f t="shared" si="94"/>
        <v>1.4241764491910807</v>
      </c>
      <c r="DG86" s="61">
        <f t="shared" si="94"/>
        <v>1.5377711346586211</v>
      </c>
      <c r="DH86" s="61">
        <f t="shared" si="94"/>
        <v>1.5377711346586211</v>
      </c>
      <c r="DI86" s="61">
        <f t="shared" si="94"/>
        <v>1.5377711346586211</v>
      </c>
      <c r="DJ86" s="61">
        <f t="shared" si="94"/>
        <v>1.5377711346586211</v>
      </c>
      <c r="DK86" s="61">
        <f t="shared" si="95"/>
        <v>1.7073630162164468</v>
      </c>
      <c r="DL86" s="61">
        <f t="shared" si="95"/>
        <v>1.7073630162164468</v>
      </c>
      <c r="DM86" s="61">
        <f t="shared" si="95"/>
        <v>1.7073630162164468</v>
      </c>
      <c r="DN86" s="61">
        <f t="shared" si="95"/>
        <v>1.7073630162164468</v>
      </c>
      <c r="DO86" s="61">
        <f t="shared" si="95"/>
        <v>1.7073630162164468</v>
      </c>
      <c r="DP86" s="61">
        <f t="shared" si="95"/>
        <v>2.0154893426904752</v>
      </c>
      <c r="DQ86" s="61">
        <f t="shared" si="95"/>
        <v>2.0154893426904752</v>
      </c>
    </row>
    <row r="87" spans="1:121" x14ac:dyDescent="0.25">
      <c r="A87" s="48" t="str">
        <f>KMeans_Data!A78</f>
        <v>Ghanche</v>
      </c>
      <c r="B87" s="59">
        <f>KMeans_Data!H78</f>
        <v>-0.3271614619727895</v>
      </c>
      <c r="C87" s="59">
        <f>KMeans_Data!I78</f>
        <v>-0.67265054538827607</v>
      </c>
      <c r="D87" s="59">
        <f>KMeans_Data!J78</f>
        <v>-0.24392704812240026</v>
      </c>
      <c r="E87" s="61">
        <f t="shared" si="84"/>
        <v>6.8844268357778047</v>
      </c>
      <c r="F87" s="61">
        <f t="shared" si="84"/>
        <v>6.6838241474163942</v>
      </c>
      <c r="G87" s="61">
        <f t="shared" si="84"/>
        <v>4.7845583291712881</v>
      </c>
      <c r="H87" s="61">
        <f t="shared" si="84"/>
        <v>5.3498340400003164</v>
      </c>
      <c r="I87" s="61">
        <f t="shared" si="84"/>
        <v>4.1839938560672634</v>
      </c>
      <c r="J87" s="61">
        <f t="shared" si="84"/>
        <v>3.8201521415843005</v>
      </c>
      <c r="K87" s="61">
        <f t="shared" si="84"/>
        <v>1.9516293892096792</v>
      </c>
      <c r="L87" s="61">
        <f t="shared" si="84"/>
        <v>2.9016616354250635</v>
      </c>
      <c r="M87" s="61">
        <f t="shared" si="84"/>
        <v>3.1351337502494632</v>
      </c>
      <c r="N87" s="61">
        <f t="shared" si="84"/>
        <v>1.7176298700281651</v>
      </c>
      <c r="O87" s="61">
        <f t="shared" si="85"/>
        <v>2.8793894681003853</v>
      </c>
      <c r="P87" s="61">
        <f t="shared" si="85"/>
        <v>3.1723804384753</v>
      </c>
      <c r="Q87" s="61">
        <f t="shared" si="85"/>
        <v>2.5311636502127124</v>
      </c>
      <c r="R87" s="61">
        <f t="shared" si="85"/>
        <v>2.4302456152411116</v>
      </c>
      <c r="S87" s="61">
        <f t="shared" si="85"/>
        <v>2.0121788572103707</v>
      </c>
      <c r="T87" s="61">
        <f t="shared" si="85"/>
        <v>2.4499184773375071</v>
      </c>
      <c r="U87" s="61">
        <f t="shared" si="85"/>
        <v>2.4292713234914225</v>
      </c>
      <c r="V87" s="61">
        <f t="shared" si="85"/>
        <v>2.5207251233377033</v>
      </c>
      <c r="W87" s="61">
        <f t="shared" si="85"/>
        <v>2.6447142087797233</v>
      </c>
      <c r="X87" s="61">
        <f t="shared" si="85"/>
        <v>2.276867009026597</v>
      </c>
      <c r="Y87" s="61">
        <f t="shared" si="86"/>
        <v>2.3900970364668641</v>
      </c>
      <c r="Z87" s="61">
        <f t="shared" si="86"/>
        <v>2.0395013529095722</v>
      </c>
      <c r="AA87" s="61">
        <f t="shared" si="86"/>
        <v>1.8374976684274129</v>
      </c>
      <c r="AB87" s="61">
        <f t="shared" si="86"/>
        <v>1.8850488891361832</v>
      </c>
      <c r="AC87" s="61">
        <f t="shared" si="86"/>
        <v>2.5195314710930417</v>
      </c>
      <c r="AD87" s="61">
        <f t="shared" si="86"/>
        <v>2.3595060000513723</v>
      </c>
      <c r="AE87" s="61">
        <f t="shared" si="86"/>
        <v>1.4268240617135268</v>
      </c>
      <c r="AF87" s="61">
        <f t="shared" si="86"/>
        <v>1.9895989019892859</v>
      </c>
      <c r="AG87" s="61">
        <f t="shared" si="86"/>
        <v>0.91824923298636418</v>
      </c>
      <c r="AH87" s="61">
        <f t="shared" si="86"/>
        <v>1.6014443025144334</v>
      </c>
      <c r="AI87" s="61">
        <f t="shared" si="87"/>
        <v>0.91513137446549131</v>
      </c>
      <c r="AJ87" s="61">
        <f t="shared" si="87"/>
        <v>2.0332235625726951</v>
      </c>
      <c r="AK87" s="61">
        <f t="shared" si="87"/>
        <v>1.4575215152623155</v>
      </c>
      <c r="AL87" s="61">
        <f t="shared" si="87"/>
        <v>1.2526185212291752</v>
      </c>
      <c r="AM87" s="61">
        <f t="shared" si="87"/>
        <v>2.2761491210278342</v>
      </c>
      <c r="AN87" s="61">
        <f t="shared" si="87"/>
        <v>2.2011789018921726</v>
      </c>
      <c r="AO87" s="61">
        <f t="shared" si="87"/>
        <v>1.5159314137761404</v>
      </c>
      <c r="AP87" s="61">
        <f t="shared" si="87"/>
        <v>1.4741771020838095</v>
      </c>
      <c r="AQ87" s="61">
        <f t="shared" si="87"/>
        <v>2.2549743486748093</v>
      </c>
      <c r="AR87" s="61">
        <f t="shared" si="87"/>
        <v>1.1115725944450978</v>
      </c>
      <c r="AS87" s="61">
        <f t="shared" si="88"/>
        <v>1.4106135753539568</v>
      </c>
      <c r="AT87" s="61">
        <f t="shared" si="88"/>
        <v>1.2938545901707177</v>
      </c>
      <c r="AU87" s="61">
        <f t="shared" si="88"/>
        <v>0.88199975271413433</v>
      </c>
      <c r="AV87" s="61">
        <f t="shared" si="88"/>
        <v>0.9573270256717662</v>
      </c>
      <c r="AW87" s="61">
        <f t="shared" si="88"/>
        <v>0.81062116488896252</v>
      </c>
      <c r="AX87" s="61">
        <f t="shared" si="88"/>
        <v>1.1826745099193499</v>
      </c>
      <c r="AY87" s="61">
        <f t="shared" si="88"/>
        <v>1.0449987173974464</v>
      </c>
      <c r="AZ87" s="61">
        <f t="shared" si="88"/>
        <v>1.3813887377397349</v>
      </c>
      <c r="BA87" s="61">
        <f t="shared" si="88"/>
        <v>1.2764884104331706</v>
      </c>
      <c r="BB87" s="61">
        <f t="shared" si="88"/>
        <v>1.0417052766732449</v>
      </c>
      <c r="BC87" s="61">
        <f t="shared" si="89"/>
        <v>1.0384013032065655</v>
      </c>
      <c r="BD87" s="61">
        <f t="shared" si="89"/>
        <v>0.55841171763651154</v>
      </c>
      <c r="BE87" s="61">
        <f t="shared" si="89"/>
        <v>0.48047898093077379</v>
      </c>
      <c r="BF87" s="61">
        <f t="shared" si="89"/>
        <v>2.3376940379215019</v>
      </c>
      <c r="BG87" s="61">
        <f t="shared" si="89"/>
        <v>1.0968164874070878</v>
      </c>
      <c r="BH87" s="61">
        <f t="shared" si="89"/>
        <v>0.99138063064279225</v>
      </c>
      <c r="BI87" s="61">
        <f t="shared" si="89"/>
        <v>0.9846282100543593</v>
      </c>
      <c r="BJ87" s="61">
        <f t="shared" si="89"/>
        <v>1.2945480903088331</v>
      </c>
      <c r="BK87" s="61">
        <f t="shared" si="89"/>
        <v>0.36780372557302515</v>
      </c>
      <c r="BL87" s="61">
        <f t="shared" si="89"/>
        <v>0.68878789927888617</v>
      </c>
      <c r="BM87" s="61">
        <f t="shared" si="90"/>
        <v>1.4602459043886282</v>
      </c>
      <c r="BN87" s="61">
        <f t="shared" si="90"/>
        <v>0.92565010058524078</v>
      </c>
      <c r="BO87" s="61">
        <f t="shared" si="90"/>
        <v>0.63701376251405339</v>
      </c>
      <c r="BP87" s="61">
        <f t="shared" si="90"/>
        <v>1.002807846057002</v>
      </c>
      <c r="BQ87" s="61">
        <f t="shared" si="90"/>
        <v>0.84540633127109277</v>
      </c>
      <c r="BR87" s="61">
        <f t="shared" si="90"/>
        <v>0.87650246955672506</v>
      </c>
      <c r="BS87" s="61">
        <f t="shared" si="90"/>
        <v>0.85520498429019864</v>
      </c>
      <c r="BT87" s="61">
        <f t="shared" si="90"/>
        <v>0.45189219025600208</v>
      </c>
      <c r="BU87" s="61">
        <f t="shared" si="90"/>
        <v>0.37066548457055598</v>
      </c>
      <c r="BV87" s="61">
        <f t="shared" si="90"/>
        <v>0.90422140293672204</v>
      </c>
      <c r="BW87" s="61">
        <f t="shared" si="91"/>
        <v>0.53311160299739468</v>
      </c>
      <c r="BX87" s="61">
        <f t="shared" si="91"/>
        <v>0.9031714716674667</v>
      </c>
      <c r="BY87" s="61">
        <f t="shared" si="91"/>
        <v>6.4343833171233905E-2</v>
      </c>
      <c r="BZ87" s="61">
        <f t="shared" si="91"/>
        <v>0</v>
      </c>
      <c r="CA87" s="61">
        <f t="shared" si="91"/>
        <v>0.90171706821115438</v>
      </c>
      <c r="CB87" s="61">
        <f t="shared" si="91"/>
        <v>1.8263979839081623E-2</v>
      </c>
      <c r="CC87" s="61">
        <f t="shared" si="91"/>
        <v>0.9019020146683796</v>
      </c>
      <c r="CD87" s="61">
        <f t="shared" si="91"/>
        <v>0.90350643798867025</v>
      </c>
      <c r="CE87" s="61">
        <f t="shared" si="91"/>
        <v>0.29707624849878705</v>
      </c>
      <c r="CF87" s="61">
        <f t="shared" si="91"/>
        <v>0.65501161612883074</v>
      </c>
      <c r="CG87" s="61">
        <f t="shared" si="92"/>
        <v>0.56684200015254482</v>
      </c>
      <c r="CH87" s="61">
        <f t="shared" si="92"/>
        <v>0.21209343617188753</v>
      </c>
      <c r="CI87" s="61">
        <f t="shared" si="92"/>
        <v>0.32349051171841903</v>
      </c>
      <c r="CJ87" s="61">
        <f t="shared" si="92"/>
        <v>0.62083764108825412</v>
      </c>
      <c r="CK87" s="61">
        <f t="shared" si="92"/>
        <v>0.34804747125491514</v>
      </c>
      <c r="CL87" s="61">
        <f t="shared" si="92"/>
        <v>0.9533628744062812</v>
      </c>
      <c r="CM87" s="61">
        <f t="shared" si="92"/>
        <v>0.31766276637872487</v>
      </c>
      <c r="CN87" s="61">
        <f t="shared" si="92"/>
        <v>1.0868024948199371</v>
      </c>
      <c r="CO87" s="61">
        <f t="shared" si="92"/>
        <v>0.6741976786747077</v>
      </c>
      <c r="CP87" s="61">
        <f t="shared" si="92"/>
        <v>0.99372086703896567</v>
      </c>
      <c r="CQ87" s="61">
        <f t="shared" si="93"/>
        <v>0.48500265181886032</v>
      </c>
      <c r="CR87" s="61">
        <f t="shared" si="93"/>
        <v>0.50957541762447489</v>
      </c>
      <c r="CS87" s="61">
        <f t="shared" si="93"/>
        <v>1.0332754924994496</v>
      </c>
      <c r="CT87" s="61">
        <f t="shared" si="93"/>
        <v>1.0583836314571089</v>
      </c>
      <c r="CU87" s="61">
        <f t="shared" si="93"/>
        <v>0.95938039361396921</v>
      </c>
      <c r="CV87" s="61">
        <f t="shared" si="93"/>
        <v>0.75249701480153719</v>
      </c>
      <c r="CW87" s="61">
        <f t="shared" si="93"/>
        <v>1.0583836314571089</v>
      </c>
      <c r="CX87" s="61">
        <f t="shared" si="93"/>
        <v>0.64399744903997647</v>
      </c>
      <c r="CY87" s="61">
        <f t="shared" si="93"/>
        <v>1.0880987289277997</v>
      </c>
      <c r="CZ87" s="61">
        <f t="shared" si="93"/>
        <v>1.0880987289277997</v>
      </c>
      <c r="DA87" s="61">
        <f t="shared" si="94"/>
        <v>0.6619006609981305</v>
      </c>
      <c r="DB87" s="61">
        <f t="shared" si="94"/>
        <v>1.1235576282507223</v>
      </c>
      <c r="DC87" s="61">
        <f t="shared" si="94"/>
        <v>1.1235576282507223</v>
      </c>
      <c r="DD87" s="61">
        <f t="shared" si="94"/>
        <v>0.77681818139689651</v>
      </c>
      <c r="DE87" s="61">
        <f t="shared" si="94"/>
        <v>1.0047060015907774</v>
      </c>
      <c r="DF87" s="61">
        <f t="shared" si="94"/>
        <v>1.3697304947859348</v>
      </c>
      <c r="DG87" s="61">
        <f t="shared" si="94"/>
        <v>1.4857116954751635</v>
      </c>
      <c r="DH87" s="61">
        <f t="shared" si="94"/>
        <v>1.4857116954751635</v>
      </c>
      <c r="DI87" s="61">
        <f t="shared" si="94"/>
        <v>1.4857116954751635</v>
      </c>
      <c r="DJ87" s="61">
        <f t="shared" si="94"/>
        <v>1.4857116954751635</v>
      </c>
      <c r="DK87" s="61">
        <f t="shared" si="95"/>
        <v>1.6583848839562565</v>
      </c>
      <c r="DL87" s="61">
        <f t="shared" si="95"/>
        <v>1.6583848839562565</v>
      </c>
      <c r="DM87" s="61">
        <f t="shared" si="95"/>
        <v>1.6583848839562565</v>
      </c>
      <c r="DN87" s="61">
        <f t="shared" si="95"/>
        <v>1.6583848839562565</v>
      </c>
      <c r="DO87" s="61">
        <f t="shared" si="95"/>
        <v>1.6583848839562565</v>
      </c>
      <c r="DP87" s="61">
        <f t="shared" si="95"/>
        <v>1.9709434616357322</v>
      </c>
      <c r="DQ87" s="61">
        <f t="shared" si="95"/>
        <v>1.9709434616357322</v>
      </c>
    </row>
    <row r="88" spans="1:121" x14ac:dyDescent="0.25">
      <c r="A88" s="48" t="str">
        <f>KMeans_Data!A79</f>
        <v>Hunza</v>
      </c>
      <c r="B88" s="59">
        <f>KMeans_Data!H79</f>
        <v>-0.3271614619727895</v>
      </c>
      <c r="C88" s="59">
        <f>KMeans_Data!I79</f>
        <v>-0.67265054538827607</v>
      </c>
      <c r="D88" s="59">
        <f>KMeans_Data!J79</f>
        <v>-1.1456441163335547</v>
      </c>
      <c r="E88" s="61">
        <f t="shared" si="84"/>
        <v>7.3833858290521244</v>
      </c>
      <c r="F88" s="61">
        <f t="shared" si="84"/>
        <v>7.1246497271741891</v>
      </c>
      <c r="G88" s="61">
        <f t="shared" si="84"/>
        <v>5.3313586874880867</v>
      </c>
      <c r="H88" s="61">
        <f t="shared" si="84"/>
        <v>5.7298530856193821</v>
      </c>
      <c r="I88" s="61">
        <f t="shared" si="84"/>
        <v>4.6710128311292802</v>
      </c>
      <c r="J88" s="61">
        <f t="shared" si="84"/>
        <v>4.2953119056745308</v>
      </c>
      <c r="K88" s="61">
        <f t="shared" si="84"/>
        <v>1.8907731806331831</v>
      </c>
      <c r="L88" s="61">
        <f t="shared" si="84"/>
        <v>3.5751185741674063</v>
      </c>
      <c r="M88" s="61">
        <f t="shared" si="84"/>
        <v>3.7602932274691012</v>
      </c>
      <c r="N88" s="61">
        <f t="shared" si="84"/>
        <v>1.6481560357526073</v>
      </c>
      <c r="O88" s="61">
        <f t="shared" si="85"/>
        <v>3.3654580137440284</v>
      </c>
      <c r="P88" s="61">
        <f t="shared" si="85"/>
        <v>3.6635206337394237</v>
      </c>
      <c r="Q88" s="61">
        <f t="shared" si="85"/>
        <v>3.0997406378204775</v>
      </c>
      <c r="R88" s="61">
        <f t="shared" si="85"/>
        <v>3.1322311072030558</v>
      </c>
      <c r="S88" s="61">
        <f t="shared" si="85"/>
        <v>2.7214425477709803</v>
      </c>
      <c r="T88" s="61">
        <f t="shared" si="85"/>
        <v>3.0089987429507805</v>
      </c>
      <c r="U88" s="61">
        <f t="shared" si="85"/>
        <v>3.163790643666657</v>
      </c>
      <c r="V88" s="61">
        <f t="shared" si="85"/>
        <v>2.9533320517403707</v>
      </c>
      <c r="W88" s="61">
        <f t="shared" si="85"/>
        <v>3.1515949064236968</v>
      </c>
      <c r="X88" s="61">
        <f t="shared" si="85"/>
        <v>2.8821451127470423</v>
      </c>
      <c r="Y88" s="61">
        <f t="shared" si="86"/>
        <v>3.0418763282801229</v>
      </c>
      <c r="Z88" s="61">
        <f t="shared" si="86"/>
        <v>2.5549326466525657</v>
      </c>
      <c r="AA88" s="61">
        <f t="shared" si="86"/>
        <v>2.5219263768988727</v>
      </c>
      <c r="AB88" s="61">
        <f t="shared" si="86"/>
        <v>2.451443172668283</v>
      </c>
      <c r="AC88" s="61">
        <f t="shared" si="86"/>
        <v>2.98558249078599</v>
      </c>
      <c r="AD88" s="61">
        <f t="shared" si="86"/>
        <v>3.0208916070794145</v>
      </c>
      <c r="AE88" s="61">
        <f t="shared" si="86"/>
        <v>1.1057726854925323</v>
      </c>
      <c r="AF88" s="61">
        <f t="shared" si="86"/>
        <v>2.6050508274287751</v>
      </c>
      <c r="AG88" s="61">
        <f t="shared" si="86"/>
        <v>1.1726411071097276</v>
      </c>
      <c r="AH88" s="61">
        <f t="shared" si="86"/>
        <v>2.286282549515962</v>
      </c>
      <c r="AI88" s="61">
        <f t="shared" si="87"/>
        <v>1.1702012411267477</v>
      </c>
      <c r="AJ88" s="61">
        <f t="shared" si="87"/>
        <v>2.7193900624177676</v>
      </c>
      <c r="AK88" s="61">
        <f t="shared" si="87"/>
        <v>1.9734345583712718</v>
      </c>
      <c r="AL88" s="61">
        <f t="shared" si="87"/>
        <v>1.9538627289394319</v>
      </c>
      <c r="AM88" s="61">
        <f t="shared" si="87"/>
        <v>2.6434972904638108</v>
      </c>
      <c r="AN88" s="61">
        <f t="shared" si="87"/>
        <v>2.7195700185641192</v>
      </c>
      <c r="AO88" s="61">
        <f t="shared" si="87"/>
        <v>2.1271734465029457</v>
      </c>
      <c r="AP88" s="61">
        <f t="shared" si="87"/>
        <v>2.0631050752677109</v>
      </c>
      <c r="AQ88" s="61">
        <f t="shared" si="87"/>
        <v>2.7333847214750442</v>
      </c>
      <c r="AR88" s="61">
        <f t="shared" si="87"/>
        <v>1.5319134322157322</v>
      </c>
      <c r="AS88" s="61">
        <f t="shared" si="88"/>
        <v>2.2507839273210584</v>
      </c>
      <c r="AT88" s="61">
        <f t="shared" si="88"/>
        <v>2.0792698044786739</v>
      </c>
      <c r="AU88" s="61">
        <f t="shared" si="88"/>
        <v>0.93964603271034364</v>
      </c>
      <c r="AV88" s="61">
        <f t="shared" si="88"/>
        <v>1.7601449227100743</v>
      </c>
      <c r="AW88" s="61">
        <f t="shared" si="88"/>
        <v>0.65059405218670485</v>
      </c>
      <c r="AX88" s="61">
        <f t="shared" si="88"/>
        <v>1.8275501764988822</v>
      </c>
      <c r="AY88" s="61">
        <f t="shared" si="88"/>
        <v>0.52813695975474828</v>
      </c>
      <c r="AZ88" s="61">
        <f t="shared" si="88"/>
        <v>2.241273971825497</v>
      </c>
      <c r="BA88" s="61">
        <f t="shared" si="88"/>
        <v>2.0778841220807949</v>
      </c>
      <c r="BB88" s="61">
        <f t="shared" si="88"/>
        <v>0.52159008075840751</v>
      </c>
      <c r="BC88" s="61">
        <f t="shared" si="89"/>
        <v>0.51495979978807493</v>
      </c>
      <c r="BD88" s="61">
        <f t="shared" si="89"/>
        <v>0.81070908040223344</v>
      </c>
      <c r="BE88" s="61">
        <f t="shared" si="89"/>
        <v>1.0217405356643117</v>
      </c>
      <c r="BF88" s="61">
        <f t="shared" si="89"/>
        <v>2.8485288543816232</v>
      </c>
      <c r="BG88" s="61">
        <f t="shared" si="89"/>
        <v>1.8897411112263844</v>
      </c>
      <c r="BH88" s="61">
        <f t="shared" si="89"/>
        <v>0.41199743167935021</v>
      </c>
      <c r="BI88" s="61">
        <f t="shared" si="89"/>
        <v>0.39547318610941484</v>
      </c>
      <c r="BJ88" s="61">
        <f t="shared" si="89"/>
        <v>1.714463501763434</v>
      </c>
      <c r="BK88" s="61">
        <f t="shared" si="89"/>
        <v>0.81681398907516178</v>
      </c>
      <c r="BL88" s="61">
        <f t="shared" si="89"/>
        <v>1.5440563522033719</v>
      </c>
      <c r="BM88" s="61">
        <f t="shared" si="90"/>
        <v>2.0713307209844314</v>
      </c>
      <c r="BN88" s="61">
        <f t="shared" si="90"/>
        <v>1.4789353394999833</v>
      </c>
      <c r="BO88" s="61">
        <f t="shared" si="90"/>
        <v>0.41467153435832704</v>
      </c>
      <c r="BP88" s="61">
        <f t="shared" si="90"/>
        <v>1.654334313650242</v>
      </c>
      <c r="BQ88" s="61">
        <f t="shared" si="90"/>
        <v>1.6297031987946056</v>
      </c>
      <c r="BR88" s="61">
        <f t="shared" si="90"/>
        <v>1.6725807855898711</v>
      </c>
      <c r="BS88" s="61">
        <f t="shared" si="90"/>
        <v>1.7497136759458305</v>
      </c>
      <c r="BT88" s="61">
        <f t="shared" si="90"/>
        <v>1.3440915324473894</v>
      </c>
      <c r="BU88" s="61">
        <f t="shared" si="90"/>
        <v>1.2599218974838164</v>
      </c>
      <c r="BV88" s="61">
        <f t="shared" si="90"/>
        <v>6.725083215495703E-2</v>
      </c>
      <c r="BW88" s="61">
        <f t="shared" si="91"/>
        <v>1.4332770039221001</v>
      </c>
      <c r="BX88" s="61">
        <f t="shared" si="91"/>
        <v>5.1235106427702182E-2</v>
      </c>
      <c r="BY88" s="61">
        <f t="shared" si="91"/>
        <v>0.96375583754296434</v>
      </c>
      <c r="BZ88" s="61">
        <f t="shared" si="91"/>
        <v>0.90171706821115438</v>
      </c>
      <c r="CA88" s="61">
        <f t="shared" si="91"/>
        <v>0</v>
      </c>
      <c r="CB88" s="61">
        <f t="shared" si="91"/>
        <v>0.9019020146683796</v>
      </c>
      <c r="CC88" s="61">
        <f t="shared" si="91"/>
        <v>1.8263979839081623E-2</v>
      </c>
      <c r="CD88" s="61">
        <f t="shared" si="91"/>
        <v>5.6834957408756492E-2</v>
      </c>
      <c r="CE88" s="61">
        <f t="shared" si="91"/>
        <v>1.1910818305769666</v>
      </c>
      <c r="CF88" s="61">
        <f t="shared" si="91"/>
        <v>1.3903183166716799</v>
      </c>
      <c r="CG88" s="61">
        <f t="shared" si="92"/>
        <v>0.92369657644727632</v>
      </c>
      <c r="CH88" s="61">
        <f t="shared" si="92"/>
        <v>0.75953218356477814</v>
      </c>
      <c r="CI88" s="61">
        <f t="shared" si="92"/>
        <v>0.67087381661883372</v>
      </c>
      <c r="CJ88" s="61">
        <f t="shared" si="92"/>
        <v>0.38936528397740616</v>
      </c>
      <c r="CK88" s="61">
        <f t="shared" si="92"/>
        <v>1.1454049118500857</v>
      </c>
      <c r="CL88" s="61">
        <f t="shared" si="92"/>
        <v>0.30952721882394607</v>
      </c>
      <c r="CM88" s="61">
        <f t="shared" si="92"/>
        <v>0.88610403171522478</v>
      </c>
      <c r="CN88" s="61">
        <f t="shared" si="92"/>
        <v>1.8888150743677012</v>
      </c>
      <c r="CO88" s="61">
        <f t="shared" si="92"/>
        <v>1.1744052518025188</v>
      </c>
      <c r="CP88" s="61">
        <f t="shared" si="92"/>
        <v>0.41759728266040474</v>
      </c>
      <c r="CQ88" s="61">
        <f t="shared" si="93"/>
        <v>0.87586133861177362</v>
      </c>
      <c r="CR88" s="61">
        <f t="shared" si="93"/>
        <v>0.9715646288980212</v>
      </c>
      <c r="CS88" s="61">
        <f t="shared" si="93"/>
        <v>0.5045439250418744</v>
      </c>
      <c r="CT88" s="61">
        <f t="shared" si="93"/>
        <v>0.55415001600019609</v>
      </c>
      <c r="CU88" s="61">
        <f t="shared" si="93"/>
        <v>0.82859923209334008</v>
      </c>
      <c r="CV88" s="61">
        <f t="shared" si="93"/>
        <v>1.5157342123513471</v>
      </c>
      <c r="CW88" s="61">
        <f t="shared" si="93"/>
        <v>0.55415001600019609</v>
      </c>
      <c r="CX88" s="61">
        <f t="shared" si="93"/>
        <v>1.2671022390530919</v>
      </c>
      <c r="CY88" s="61">
        <f t="shared" si="93"/>
        <v>0.60898700543687589</v>
      </c>
      <c r="CZ88" s="61">
        <f t="shared" si="93"/>
        <v>0.60898700543687589</v>
      </c>
      <c r="DA88" s="61">
        <f t="shared" si="94"/>
        <v>0.88517684768787197</v>
      </c>
      <c r="DB88" s="61">
        <f t="shared" si="94"/>
        <v>0.67028954407559438</v>
      </c>
      <c r="DC88" s="61">
        <f t="shared" si="94"/>
        <v>0.67028954407559438</v>
      </c>
      <c r="DD88" s="61">
        <f t="shared" si="94"/>
        <v>0.84169922772286987</v>
      </c>
      <c r="DE88" s="61">
        <f t="shared" si="94"/>
        <v>0.88068160955438679</v>
      </c>
      <c r="DF88" s="61">
        <f t="shared" si="94"/>
        <v>1.0310518693272428</v>
      </c>
      <c r="DG88" s="61">
        <f t="shared" si="94"/>
        <v>1.1807817626337074</v>
      </c>
      <c r="DH88" s="61">
        <f t="shared" si="94"/>
        <v>1.1807817626337074</v>
      </c>
      <c r="DI88" s="61">
        <f t="shared" si="94"/>
        <v>1.1807817626337074</v>
      </c>
      <c r="DJ88" s="61">
        <f t="shared" si="94"/>
        <v>1.1807817626337074</v>
      </c>
      <c r="DK88" s="61">
        <f t="shared" si="95"/>
        <v>1.3918141945788909</v>
      </c>
      <c r="DL88" s="61">
        <f t="shared" si="95"/>
        <v>1.3918141945788909</v>
      </c>
      <c r="DM88" s="61">
        <f t="shared" si="95"/>
        <v>1.3918141945788909</v>
      </c>
      <c r="DN88" s="61">
        <f t="shared" si="95"/>
        <v>1.3918141945788909</v>
      </c>
      <c r="DO88" s="61">
        <f t="shared" si="95"/>
        <v>1.3918141945788909</v>
      </c>
      <c r="DP88" s="61">
        <f t="shared" si="95"/>
        <v>1.752576519830539</v>
      </c>
      <c r="DQ88" s="61">
        <f t="shared" si="95"/>
        <v>1.752576519830539</v>
      </c>
    </row>
    <row r="89" spans="1:121" x14ac:dyDescent="0.25">
      <c r="A89" s="48" t="str">
        <f>KMeans_Data!A80</f>
        <v>Nankana Sahib</v>
      </c>
      <c r="B89" s="59">
        <f>KMeans_Data!H80</f>
        <v>-0.34542544181187113</v>
      </c>
      <c r="C89" s="59">
        <f>KMeans_Data!I80</f>
        <v>-0.67265054538827607</v>
      </c>
      <c r="D89" s="59">
        <f>KMeans_Data!J80</f>
        <v>-0.24392704812240026</v>
      </c>
      <c r="E89" s="61">
        <f t="shared" si="84"/>
        <v>6.8939988968562389</v>
      </c>
      <c r="F89" s="61">
        <f t="shared" si="84"/>
        <v>6.6936171646117213</v>
      </c>
      <c r="G89" s="61">
        <f t="shared" si="84"/>
        <v>4.7948570411684299</v>
      </c>
      <c r="H89" s="61">
        <f t="shared" si="84"/>
        <v>5.3589807776964049</v>
      </c>
      <c r="I89" s="61">
        <f t="shared" si="84"/>
        <v>4.194924960678807</v>
      </c>
      <c r="J89" s="61">
        <f t="shared" si="84"/>
        <v>3.8288915143122844</v>
      </c>
      <c r="K89" s="61">
        <f t="shared" si="84"/>
        <v>1.9672493137891489</v>
      </c>
      <c r="L89" s="61">
        <f t="shared" si="84"/>
        <v>2.9120452833623123</v>
      </c>
      <c r="M89" s="61">
        <f t="shared" si="84"/>
        <v>3.1444142712851533</v>
      </c>
      <c r="N89" s="61">
        <f t="shared" si="84"/>
        <v>1.7339049101651918</v>
      </c>
      <c r="O89" s="61">
        <f t="shared" si="85"/>
        <v>2.8887451786049132</v>
      </c>
      <c r="P89" s="61">
        <f t="shared" si="85"/>
        <v>3.180793650698523</v>
      </c>
      <c r="Q89" s="61">
        <f t="shared" si="85"/>
        <v>2.5410932650711677</v>
      </c>
      <c r="R89" s="61">
        <f t="shared" si="85"/>
        <v>2.4405470008765069</v>
      </c>
      <c r="S89" s="61">
        <f t="shared" si="85"/>
        <v>2.0243422126978756</v>
      </c>
      <c r="T89" s="61">
        <f t="shared" si="85"/>
        <v>2.4596421750656692</v>
      </c>
      <c r="U89" s="61">
        <f t="shared" si="85"/>
        <v>2.43839984528354</v>
      </c>
      <c r="V89" s="61">
        <f t="shared" si="85"/>
        <v>2.5293275093343435</v>
      </c>
      <c r="W89" s="61">
        <f t="shared" si="85"/>
        <v>2.6529017561298551</v>
      </c>
      <c r="X89" s="61">
        <f t="shared" si="85"/>
        <v>2.2862970184986153</v>
      </c>
      <c r="Y89" s="61">
        <f t="shared" si="86"/>
        <v>2.3986869467739291</v>
      </c>
      <c r="Z89" s="61">
        <f t="shared" si="86"/>
        <v>2.0495236157753483</v>
      </c>
      <c r="AA89" s="61">
        <f t="shared" si="86"/>
        <v>1.8485944724857724</v>
      </c>
      <c r="AB89" s="61">
        <f t="shared" si="86"/>
        <v>1.8958673889970075</v>
      </c>
      <c r="AC89" s="61">
        <f t="shared" si="86"/>
        <v>2.527479061620328</v>
      </c>
      <c r="AD89" s="61">
        <f t="shared" si="86"/>
        <v>2.3675772312499612</v>
      </c>
      <c r="AE89" s="61">
        <f t="shared" si="86"/>
        <v>1.4393387843683685</v>
      </c>
      <c r="AF89" s="61">
        <f t="shared" si="86"/>
        <v>1.9981972358583089</v>
      </c>
      <c r="AG89" s="61">
        <f t="shared" si="86"/>
        <v>0.93625313129722132</v>
      </c>
      <c r="AH89" s="61">
        <f t="shared" si="86"/>
        <v>1.6118350182446544</v>
      </c>
      <c r="AI89" s="61">
        <f t="shared" si="87"/>
        <v>0.93313350141718832</v>
      </c>
      <c r="AJ89" s="61">
        <f t="shared" si="87"/>
        <v>2.0413322803800402</v>
      </c>
      <c r="AK89" s="61">
        <f t="shared" si="87"/>
        <v>1.4683567530579149</v>
      </c>
      <c r="AL89" s="61">
        <f t="shared" si="87"/>
        <v>1.2645331927764842</v>
      </c>
      <c r="AM89" s="61">
        <f t="shared" si="87"/>
        <v>2.2827277229365106</v>
      </c>
      <c r="AN89" s="61">
        <f t="shared" si="87"/>
        <v>2.2077237665526046</v>
      </c>
      <c r="AO89" s="61">
        <f t="shared" si="87"/>
        <v>1.5251747669695159</v>
      </c>
      <c r="AP89" s="61">
        <f t="shared" si="87"/>
        <v>1.4836291455528814</v>
      </c>
      <c r="AQ89" s="61">
        <f t="shared" si="87"/>
        <v>2.2609918489810226</v>
      </c>
      <c r="AR89" s="61">
        <f t="shared" si="87"/>
        <v>1.1234404409946395</v>
      </c>
      <c r="AS89" s="61">
        <f t="shared" si="88"/>
        <v>1.4190483915291556</v>
      </c>
      <c r="AT89" s="61">
        <f t="shared" si="88"/>
        <v>1.3024370050977825</v>
      </c>
      <c r="AU89" s="61">
        <f t="shared" si="88"/>
        <v>0.89430876042751017</v>
      </c>
      <c r="AV89" s="61">
        <f t="shared" si="88"/>
        <v>0.96856967005210104</v>
      </c>
      <c r="AW89" s="61">
        <f t="shared" si="88"/>
        <v>0.8234724954623388</v>
      </c>
      <c r="AX89" s="61">
        <f t="shared" si="88"/>
        <v>1.1914264192720536</v>
      </c>
      <c r="AY89" s="61">
        <f t="shared" si="88"/>
        <v>1.0543470291570702</v>
      </c>
      <c r="AZ89" s="61">
        <f t="shared" si="88"/>
        <v>1.3884740484734346</v>
      </c>
      <c r="BA89" s="61">
        <f t="shared" si="88"/>
        <v>1.2840595221282531</v>
      </c>
      <c r="BB89" s="61">
        <f t="shared" si="88"/>
        <v>1.0509691136503094</v>
      </c>
      <c r="BC89" s="61">
        <f t="shared" si="89"/>
        <v>1.0475787656606974</v>
      </c>
      <c r="BD89" s="61">
        <f t="shared" si="89"/>
        <v>0.57464945611829787</v>
      </c>
      <c r="BE89" s="61">
        <f t="shared" si="89"/>
        <v>0.49874296076985536</v>
      </c>
      <c r="BF89" s="61">
        <f t="shared" si="89"/>
        <v>2.3413457868591183</v>
      </c>
      <c r="BG89" s="61">
        <f t="shared" si="89"/>
        <v>1.1040717491916259</v>
      </c>
      <c r="BH89" s="61">
        <f t="shared" si="89"/>
        <v>0.99910887962481498</v>
      </c>
      <c r="BI89" s="61">
        <f t="shared" si="89"/>
        <v>0.99210489041754724</v>
      </c>
      <c r="BJ89" s="61">
        <f t="shared" si="89"/>
        <v>1.2996290224603155</v>
      </c>
      <c r="BK89" s="61">
        <f t="shared" si="89"/>
        <v>0.38442340809858605</v>
      </c>
      <c r="BL89" s="61">
        <f t="shared" si="89"/>
        <v>0.69755408240416983</v>
      </c>
      <c r="BM89" s="61">
        <f t="shared" si="90"/>
        <v>1.4640301738373844</v>
      </c>
      <c r="BN89" s="61">
        <f t="shared" si="90"/>
        <v>0.93140639657019986</v>
      </c>
      <c r="BO89" s="61">
        <f t="shared" si="90"/>
        <v>0.64474817150454111</v>
      </c>
      <c r="BP89" s="61">
        <f t="shared" si="90"/>
        <v>1.0071297134097907</v>
      </c>
      <c r="BQ89" s="61">
        <f t="shared" si="90"/>
        <v>0.85027719074629093</v>
      </c>
      <c r="BR89" s="61">
        <f t="shared" si="90"/>
        <v>0.88069948923815877</v>
      </c>
      <c r="BS89" s="61">
        <f t="shared" si="90"/>
        <v>0.85868600620174462</v>
      </c>
      <c r="BT89" s="61">
        <f t="shared" si="90"/>
        <v>0.45678320364828523</v>
      </c>
      <c r="BU89" s="61">
        <f t="shared" si="90"/>
        <v>0.37661285821483725</v>
      </c>
      <c r="BV89" s="61">
        <f t="shared" si="90"/>
        <v>0.90576291278330412</v>
      </c>
      <c r="BW89" s="61">
        <f t="shared" si="91"/>
        <v>0.53517573572772492</v>
      </c>
      <c r="BX89" s="61">
        <f t="shared" si="91"/>
        <v>0.90439139430626914</v>
      </c>
      <c r="BY89" s="61">
        <f t="shared" si="91"/>
        <v>7.1541793531419678E-2</v>
      </c>
      <c r="BZ89" s="61">
        <f t="shared" si="91"/>
        <v>1.8263979839081623E-2</v>
      </c>
      <c r="CA89" s="61">
        <f t="shared" si="91"/>
        <v>0.9019020146683796</v>
      </c>
      <c r="CB89" s="61">
        <f t="shared" si="91"/>
        <v>0</v>
      </c>
      <c r="CC89" s="61">
        <f t="shared" si="91"/>
        <v>0.90171706821115438</v>
      </c>
      <c r="CD89" s="61">
        <f t="shared" si="91"/>
        <v>0.90254162863216458</v>
      </c>
      <c r="CE89" s="61">
        <f t="shared" si="91"/>
        <v>0.29285858807680282</v>
      </c>
      <c r="CF89" s="61">
        <f t="shared" si="91"/>
        <v>0.65310954092857054</v>
      </c>
      <c r="CG89" s="61">
        <f t="shared" si="92"/>
        <v>0.562486779948561</v>
      </c>
      <c r="CH89" s="61">
        <f t="shared" si="92"/>
        <v>0.20016280910089596</v>
      </c>
      <c r="CI89" s="61">
        <f t="shared" si="92"/>
        <v>0.31291472698083567</v>
      </c>
      <c r="CJ89" s="61">
        <f t="shared" si="92"/>
        <v>0.6146004544871938</v>
      </c>
      <c r="CK89" s="61">
        <f t="shared" si="92"/>
        <v>0.33364171656798153</v>
      </c>
      <c r="CL89" s="61">
        <f t="shared" si="92"/>
        <v>0.94759060014717011</v>
      </c>
      <c r="CM89" s="61">
        <f t="shared" si="92"/>
        <v>0.29989466206395138</v>
      </c>
      <c r="CN89" s="61">
        <f t="shared" si="92"/>
        <v>1.080568451379682</v>
      </c>
      <c r="CO89" s="61">
        <f t="shared" si="92"/>
        <v>0.66304004870535316</v>
      </c>
      <c r="CP89" s="61">
        <f t="shared" si="92"/>
        <v>0.98618495113518445</v>
      </c>
      <c r="CQ89" s="61">
        <f t="shared" si="93"/>
        <v>0.46774503734094253</v>
      </c>
      <c r="CR89" s="61">
        <f t="shared" si="93"/>
        <v>0.49149844257833458</v>
      </c>
      <c r="CS89" s="61">
        <f t="shared" si="93"/>
        <v>1.0244812620100725</v>
      </c>
      <c r="CT89" s="61">
        <f t="shared" si="93"/>
        <v>1.048936373120787</v>
      </c>
      <c r="CU89" s="61">
        <f t="shared" si="93"/>
        <v>0.94894801921409178</v>
      </c>
      <c r="CV89" s="61">
        <f t="shared" si="93"/>
        <v>0.73915043178278572</v>
      </c>
      <c r="CW89" s="61">
        <f t="shared" si="93"/>
        <v>1.048936373120787</v>
      </c>
      <c r="CX89" s="61">
        <f t="shared" si="93"/>
        <v>0.626754524954097</v>
      </c>
      <c r="CY89" s="61">
        <f t="shared" si="93"/>
        <v>1.0779830073218835</v>
      </c>
      <c r="CZ89" s="61">
        <f t="shared" si="93"/>
        <v>1.0779830073218835</v>
      </c>
      <c r="DA89" s="61">
        <f t="shared" si="94"/>
        <v>0.64513642371997637</v>
      </c>
      <c r="DB89" s="61">
        <f t="shared" si="94"/>
        <v>1.1127582880038513</v>
      </c>
      <c r="DC89" s="61">
        <f t="shared" si="94"/>
        <v>1.1127582880038513</v>
      </c>
      <c r="DD89" s="61">
        <f t="shared" si="94"/>
        <v>0.76111480767992956</v>
      </c>
      <c r="DE89" s="61">
        <f t="shared" si="94"/>
        <v>0.98985558827946585</v>
      </c>
      <c r="DF89" s="61">
        <f t="shared" si="94"/>
        <v>1.3560357591882313</v>
      </c>
      <c r="DG89" s="61">
        <f t="shared" si="94"/>
        <v>1.4712380046807698</v>
      </c>
      <c r="DH89" s="61">
        <f t="shared" si="94"/>
        <v>1.4712380046807698</v>
      </c>
      <c r="DI89" s="61">
        <f t="shared" si="94"/>
        <v>1.4712380046807698</v>
      </c>
      <c r="DJ89" s="61">
        <f t="shared" si="94"/>
        <v>1.4712380046807698</v>
      </c>
      <c r="DK89" s="61">
        <f t="shared" si="95"/>
        <v>1.6430866877663806</v>
      </c>
      <c r="DL89" s="61">
        <f t="shared" si="95"/>
        <v>1.6430866877663806</v>
      </c>
      <c r="DM89" s="61">
        <f t="shared" si="95"/>
        <v>1.6430866877663806</v>
      </c>
      <c r="DN89" s="61">
        <f t="shared" si="95"/>
        <v>1.6430866877663806</v>
      </c>
      <c r="DO89" s="61">
        <f t="shared" si="95"/>
        <v>1.6430866877663806</v>
      </c>
      <c r="DP89" s="61">
        <f t="shared" si="95"/>
        <v>1.9547208643371412</v>
      </c>
      <c r="DQ89" s="61">
        <f t="shared" si="95"/>
        <v>1.9547208643371412</v>
      </c>
    </row>
    <row r="90" spans="1:121" x14ac:dyDescent="0.25">
      <c r="A90" s="48" t="str">
        <f>KMeans_Data!A81</f>
        <v>Khushab</v>
      </c>
      <c r="B90" s="59">
        <f>KMeans_Data!H81</f>
        <v>-0.34542544181187113</v>
      </c>
      <c r="C90" s="59">
        <f>KMeans_Data!I81</f>
        <v>-0.67265054538827607</v>
      </c>
      <c r="D90" s="59">
        <f>KMeans_Data!J81</f>
        <v>-1.1456441163335547</v>
      </c>
      <c r="E90" s="61">
        <f t="shared" si="84"/>
        <v>7.39231183279799</v>
      </c>
      <c r="F90" s="61">
        <f t="shared" si="84"/>
        <v>7.1338376241488302</v>
      </c>
      <c r="G90" s="61">
        <f t="shared" si="84"/>
        <v>5.3406030646973583</v>
      </c>
      <c r="H90" s="61">
        <f t="shared" si="84"/>
        <v>5.7383941223094297</v>
      </c>
      <c r="I90" s="61">
        <f t="shared" si="84"/>
        <v>4.6808067367380017</v>
      </c>
      <c r="J90" s="61">
        <f t="shared" si="84"/>
        <v>4.3030863587140411</v>
      </c>
      <c r="K90" s="61">
        <f t="shared" si="84"/>
        <v>1.9068916619406189</v>
      </c>
      <c r="L90" s="61">
        <f t="shared" si="84"/>
        <v>3.5835513537846539</v>
      </c>
      <c r="M90" s="61">
        <f t="shared" si="84"/>
        <v>3.7680343196497645</v>
      </c>
      <c r="N90" s="61">
        <f t="shared" si="84"/>
        <v>1.6651102621957923</v>
      </c>
      <c r="O90" s="61">
        <f t="shared" si="85"/>
        <v>3.3734659684335941</v>
      </c>
      <c r="P90" s="61">
        <f t="shared" si="85"/>
        <v>3.6708083627094741</v>
      </c>
      <c r="Q90" s="61">
        <f t="shared" si="85"/>
        <v>3.1078541760172094</v>
      </c>
      <c r="R90" s="61">
        <f t="shared" si="85"/>
        <v>3.1402305045998049</v>
      </c>
      <c r="S90" s="61">
        <f t="shared" si="85"/>
        <v>2.7304481649583283</v>
      </c>
      <c r="T90" s="61">
        <f t="shared" si="85"/>
        <v>3.0169210329144223</v>
      </c>
      <c r="U90" s="61">
        <f t="shared" si="85"/>
        <v>3.1708052414637051</v>
      </c>
      <c r="V90" s="61">
        <f t="shared" si="85"/>
        <v>2.9606777450250443</v>
      </c>
      <c r="W90" s="61">
        <f t="shared" si="85"/>
        <v>3.1584687644096312</v>
      </c>
      <c r="X90" s="61">
        <f t="shared" si="85"/>
        <v>2.8896005140734591</v>
      </c>
      <c r="Y90" s="61">
        <f t="shared" si="86"/>
        <v>3.0486303189214183</v>
      </c>
      <c r="Z90" s="61">
        <f t="shared" si="86"/>
        <v>2.562940130403355</v>
      </c>
      <c r="AA90" s="61">
        <f t="shared" si="86"/>
        <v>2.5300230221733258</v>
      </c>
      <c r="AB90" s="61">
        <f t="shared" si="86"/>
        <v>2.4597718331281686</v>
      </c>
      <c r="AC90" s="61">
        <f t="shared" si="86"/>
        <v>2.99229249612881</v>
      </c>
      <c r="AD90" s="61">
        <f t="shared" si="86"/>
        <v>3.0271999410969954</v>
      </c>
      <c r="AE90" s="61">
        <f t="shared" si="86"/>
        <v>1.1218745317920775</v>
      </c>
      <c r="AF90" s="61">
        <f t="shared" si="86"/>
        <v>2.6116236742842873</v>
      </c>
      <c r="AG90" s="61">
        <f t="shared" si="86"/>
        <v>1.1867920787009547</v>
      </c>
      <c r="AH90" s="61">
        <f t="shared" si="86"/>
        <v>2.293572795488517</v>
      </c>
      <c r="AI90" s="61">
        <f t="shared" si="87"/>
        <v>1.1843325730851886</v>
      </c>
      <c r="AJ90" s="61">
        <f t="shared" si="87"/>
        <v>2.7254580780296886</v>
      </c>
      <c r="AK90" s="61">
        <f t="shared" si="87"/>
        <v>1.9814506158297871</v>
      </c>
      <c r="AL90" s="61">
        <f t="shared" si="87"/>
        <v>1.9615225207592615</v>
      </c>
      <c r="AM90" s="61">
        <f t="shared" si="87"/>
        <v>2.6491638229065098</v>
      </c>
      <c r="AN90" s="61">
        <f t="shared" si="87"/>
        <v>2.7248700440826226</v>
      </c>
      <c r="AO90" s="61">
        <f t="shared" si="87"/>
        <v>2.133770580459486</v>
      </c>
      <c r="AP90" s="61">
        <f t="shared" si="87"/>
        <v>2.0698695284536996</v>
      </c>
      <c r="AQ90" s="61">
        <f t="shared" si="87"/>
        <v>2.7383511213083045</v>
      </c>
      <c r="AR90" s="61">
        <f t="shared" si="87"/>
        <v>1.5405465119702841</v>
      </c>
      <c r="AS90" s="61">
        <f t="shared" si="88"/>
        <v>2.2560797782914102</v>
      </c>
      <c r="AT90" s="61">
        <f t="shared" si="88"/>
        <v>2.0846211578027858</v>
      </c>
      <c r="AU90" s="61">
        <f t="shared" si="88"/>
        <v>0.9512093681087691</v>
      </c>
      <c r="AV90" s="61">
        <f t="shared" si="88"/>
        <v>1.7662848922541738</v>
      </c>
      <c r="AW90" s="61">
        <f t="shared" si="88"/>
        <v>0.66653799483431542</v>
      </c>
      <c r="AX90" s="61">
        <f t="shared" si="88"/>
        <v>1.8332259990921871</v>
      </c>
      <c r="AY90" s="61">
        <f t="shared" si="88"/>
        <v>0.54640093959382996</v>
      </c>
      <c r="AZ90" s="61">
        <f t="shared" si="88"/>
        <v>2.245647869839007</v>
      </c>
      <c r="BA90" s="61">
        <f t="shared" si="88"/>
        <v>2.0825437856605826</v>
      </c>
      <c r="BB90" s="61">
        <f t="shared" si="88"/>
        <v>0.53985406059748908</v>
      </c>
      <c r="BC90" s="61">
        <f t="shared" si="89"/>
        <v>0.53322377962715661</v>
      </c>
      <c r="BD90" s="61">
        <f t="shared" si="89"/>
        <v>0.82197783672671576</v>
      </c>
      <c r="BE90" s="61">
        <f t="shared" si="89"/>
        <v>1.0304553420798017</v>
      </c>
      <c r="BF90" s="61">
        <f t="shared" si="89"/>
        <v>2.851526488208358</v>
      </c>
      <c r="BG90" s="61">
        <f t="shared" si="89"/>
        <v>1.8939613216151392</v>
      </c>
      <c r="BH90" s="61">
        <f t="shared" si="89"/>
        <v>0.43026141151843189</v>
      </c>
      <c r="BI90" s="61">
        <f t="shared" si="89"/>
        <v>0.41373716594849641</v>
      </c>
      <c r="BJ90" s="61">
        <f t="shared" si="89"/>
        <v>1.718303214446695</v>
      </c>
      <c r="BK90" s="61">
        <f t="shared" si="89"/>
        <v>0.82443123964198084</v>
      </c>
      <c r="BL90" s="61">
        <f t="shared" si="89"/>
        <v>1.5479867397575746</v>
      </c>
      <c r="BM90" s="61">
        <f t="shared" si="90"/>
        <v>2.0740002903366341</v>
      </c>
      <c r="BN90" s="61">
        <f t="shared" si="90"/>
        <v>1.4825449420777601</v>
      </c>
      <c r="BO90" s="61">
        <f t="shared" si="90"/>
        <v>0.42645767953365249</v>
      </c>
      <c r="BP90" s="61">
        <f t="shared" si="90"/>
        <v>1.6569576653735063</v>
      </c>
      <c r="BQ90" s="61">
        <f t="shared" si="90"/>
        <v>1.6322352625499565</v>
      </c>
      <c r="BR90" s="61">
        <f t="shared" si="90"/>
        <v>1.6747840145910597</v>
      </c>
      <c r="BS90" s="61">
        <f t="shared" si="90"/>
        <v>1.7514177228416341</v>
      </c>
      <c r="BT90" s="61">
        <f t="shared" si="90"/>
        <v>1.3457438058997693</v>
      </c>
      <c r="BU90" s="61">
        <f t="shared" si="90"/>
        <v>1.2616844024081635</v>
      </c>
      <c r="BV90" s="61">
        <f t="shared" si="90"/>
        <v>8.5514811994038653E-2</v>
      </c>
      <c r="BW90" s="61">
        <f t="shared" si="91"/>
        <v>1.4340460441816962</v>
      </c>
      <c r="BX90" s="61">
        <f t="shared" si="91"/>
        <v>6.9499086266783805E-2</v>
      </c>
      <c r="BY90" s="61">
        <f t="shared" si="91"/>
        <v>0.9642631454912427</v>
      </c>
      <c r="BZ90" s="61">
        <f t="shared" si="91"/>
        <v>0.9019020146683796</v>
      </c>
      <c r="CA90" s="61">
        <f t="shared" si="91"/>
        <v>1.8263979839081623E-2</v>
      </c>
      <c r="CB90" s="61">
        <f t="shared" si="91"/>
        <v>0.90171706821115438</v>
      </c>
      <c r="CC90" s="61">
        <f t="shared" si="91"/>
        <v>0</v>
      </c>
      <c r="CD90" s="61">
        <f t="shared" si="91"/>
        <v>3.8570977569674869E-2</v>
      </c>
      <c r="CE90" s="61">
        <f t="shared" si="91"/>
        <v>1.1900368827556578</v>
      </c>
      <c r="CF90" s="61">
        <f t="shared" si="91"/>
        <v>1.3894232173319254</v>
      </c>
      <c r="CG90" s="61">
        <f t="shared" si="92"/>
        <v>0.92103034142224771</v>
      </c>
      <c r="CH90" s="61">
        <f t="shared" si="92"/>
        <v>0.75628742046304265</v>
      </c>
      <c r="CI90" s="61">
        <f t="shared" si="92"/>
        <v>0.66583871396485106</v>
      </c>
      <c r="CJ90" s="61">
        <f t="shared" si="92"/>
        <v>0.37934109509865055</v>
      </c>
      <c r="CK90" s="61">
        <f t="shared" si="92"/>
        <v>1.1411100581792235</v>
      </c>
      <c r="CL90" s="61">
        <f t="shared" si="92"/>
        <v>0.29126323898486445</v>
      </c>
      <c r="CM90" s="61">
        <f t="shared" si="92"/>
        <v>0.8798906353706939</v>
      </c>
      <c r="CN90" s="61">
        <f t="shared" si="92"/>
        <v>1.8852349722326152</v>
      </c>
      <c r="CO90" s="61">
        <f t="shared" si="92"/>
        <v>1.1680356551570548</v>
      </c>
      <c r="CP90" s="61">
        <f t="shared" si="92"/>
        <v>0.39933330282132312</v>
      </c>
      <c r="CQ90" s="61">
        <f t="shared" si="93"/>
        <v>0.86642422182240553</v>
      </c>
      <c r="CR90" s="61">
        <f t="shared" si="93"/>
        <v>0.96220654795917926</v>
      </c>
      <c r="CS90" s="61">
        <f t="shared" si="93"/>
        <v>0.48627994520279277</v>
      </c>
      <c r="CT90" s="61">
        <f t="shared" si="93"/>
        <v>0.53588603616111441</v>
      </c>
      <c r="CU90" s="61">
        <f t="shared" si="93"/>
        <v>0.81649757559047687</v>
      </c>
      <c r="CV90" s="61">
        <f t="shared" si="93"/>
        <v>1.5091526781647415</v>
      </c>
      <c r="CW90" s="61">
        <f t="shared" si="93"/>
        <v>0.53588603616111441</v>
      </c>
      <c r="CX90" s="61">
        <f t="shared" si="93"/>
        <v>1.2584262411416085</v>
      </c>
      <c r="CY90" s="61">
        <f t="shared" si="93"/>
        <v>0.59072302559779422</v>
      </c>
      <c r="CZ90" s="61">
        <f t="shared" si="93"/>
        <v>0.59072302559779422</v>
      </c>
      <c r="DA90" s="61">
        <f t="shared" si="94"/>
        <v>0.87271219302991099</v>
      </c>
      <c r="DB90" s="61">
        <f t="shared" si="94"/>
        <v>0.6520255642365127</v>
      </c>
      <c r="DC90" s="61">
        <f t="shared" si="94"/>
        <v>0.6520255642365127</v>
      </c>
      <c r="DD90" s="61">
        <f t="shared" si="94"/>
        <v>0.82722841674482517</v>
      </c>
      <c r="DE90" s="61">
        <f t="shared" si="94"/>
        <v>0.86370135661747438</v>
      </c>
      <c r="DF90" s="61">
        <f t="shared" si="94"/>
        <v>1.012787889488161</v>
      </c>
      <c r="DG90" s="61">
        <f t="shared" si="94"/>
        <v>1.1625177827946258</v>
      </c>
      <c r="DH90" s="61">
        <f t="shared" si="94"/>
        <v>1.1625177827946258</v>
      </c>
      <c r="DI90" s="61">
        <f t="shared" si="94"/>
        <v>1.1625177827946258</v>
      </c>
      <c r="DJ90" s="61">
        <f t="shared" si="94"/>
        <v>1.1625177827946258</v>
      </c>
      <c r="DK90" s="61">
        <f t="shared" si="95"/>
        <v>1.3735502147398091</v>
      </c>
      <c r="DL90" s="61">
        <f t="shared" si="95"/>
        <v>1.3735502147398091</v>
      </c>
      <c r="DM90" s="61">
        <f t="shared" si="95"/>
        <v>1.3735502147398091</v>
      </c>
      <c r="DN90" s="61">
        <f t="shared" si="95"/>
        <v>1.3735502147398091</v>
      </c>
      <c r="DO90" s="61">
        <f t="shared" si="95"/>
        <v>1.3735502147398091</v>
      </c>
      <c r="DP90" s="61">
        <f t="shared" si="95"/>
        <v>1.7343125399914574</v>
      </c>
      <c r="DQ90" s="61">
        <f t="shared" si="95"/>
        <v>1.7343125399914574</v>
      </c>
    </row>
    <row r="91" spans="1:121" x14ac:dyDescent="0.25">
      <c r="A91" s="48" t="str">
        <f>KMeans_Data!A82</f>
        <v>Sheikhupura</v>
      </c>
      <c r="B91" s="59">
        <f>KMeans_Data!H82</f>
        <v>-0.38399641938154599</v>
      </c>
      <c r="C91" s="59">
        <f>KMeans_Data!I82</f>
        <v>-0.67265054538827607</v>
      </c>
      <c r="D91" s="59">
        <f>KMeans_Data!J82</f>
        <v>-1.1456441163335547</v>
      </c>
      <c r="E91" s="61">
        <f t="shared" si="84"/>
        <v>7.4112748787545444</v>
      </c>
      <c r="F91" s="61">
        <f t="shared" si="84"/>
        <v>7.1533556318114231</v>
      </c>
      <c r="G91" s="61">
        <f t="shared" si="84"/>
        <v>5.3602779987239586</v>
      </c>
      <c r="H91" s="61">
        <f t="shared" si="84"/>
        <v>5.756580368549379</v>
      </c>
      <c r="I91" s="61">
        <f t="shared" si="84"/>
        <v>4.7016561932594243</v>
      </c>
      <c r="J91" s="61">
        <f t="shared" si="84"/>
        <v>4.3197126884283596</v>
      </c>
      <c r="K91" s="61">
        <f t="shared" si="84"/>
        <v>1.9410565268981552</v>
      </c>
      <c r="L91" s="61">
        <f t="shared" si="84"/>
        <v>3.6015996715150362</v>
      </c>
      <c r="M91" s="61">
        <f t="shared" si="84"/>
        <v>3.7846200227545941</v>
      </c>
      <c r="N91" s="61">
        <f t="shared" si="84"/>
        <v>1.7010043315882781</v>
      </c>
      <c r="O91" s="61">
        <f t="shared" si="85"/>
        <v>3.3906387845702408</v>
      </c>
      <c r="P91" s="61">
        <f t="shared" si="85"/>
        <v>3.686449027233663</v>
      </c>
      <c r="Q91" s="61">
        <f t="shared" si="85"/>
        <v>3.1252703548506933</v>
      </c>
      <c r="R91" s="61">
        <f t="shared" si="85"/>
        <v>3.1574046827609017</v>
      </c>
      <c r="S91" s="61">
        <f t="shared" si="85"/>
        <v>2.7497684865046614</v>
      </c>
      <c r="T91" s="61">
        <f t="shared" si="85"/>
        <v>3.0339451188091706</v>
      </c>
      <c r="U91" s="61">
        <f t="shared" si="85"/>
        <v>3.1859124007246695</v>
      </c>
      <c r="V91" s="61">
        <f t="shared" si="85"/>
        <v>2.976499520207176</v>
      </c>
      <c r="W91" s="61">
        <f t="shared" si="85"/>
        <v>3.1732818925938044</v>
      </c>
      <c r="X91" s="61">
        <f t="shared" si="85"/>
        <v>2.905659667635847</v>
      </c>
      <c r="Y91" s="61">
        <f t="shared" si="86"/>
        <v>3.0632027125010404</v>
      </c>
      <c r="Z91" s="61">
        <f t="shared" si="86"/>
        <v>2.580193993649063</v>
      </c>
      <c r="AA91" s="61">
        <f t="shared" si="86"/>
        <v>2.5474677389986704</v>
      </c>
      <c r="AB91" s="61">
        <f t="shared" si="86"/>
        <v>2.4777112139155082</v>
      </c>
      <c r="AC91" s="61">
        <f t="shared" si="86"/>
        <v>3.0067784436212319</v>
      </c>
      <c r="AD91" s="61">
        <f t="shared" si="86"/>
        <v>3.0408397331741179</v>
      </c>
      <c r="AE91" s="61">
        <f t="shared" si="86"/>
        <v>1.1560905939655126</v>
      </c>
      <c r="AF91" s="61">
        <f t="shared" si="86"/>
        <v>2.6258679934357283</v>
      </c>
      <c r="AG91" s="61">
        <f t="shared" si="86"/>
        <v>1.2170369717697018</v>
      </c>
      <c r="AH91" s="61">
        <f t="shared" si="86"/>
        <v>2.3093678184282478</v>
      </c>
      <c r="AI91" s="61">
        <f t="shared" si="87"/>
        <v>1.2145382341051494</v>
      </c>
      <c r="AJ91" s="61">
        <f t="shared" si="87"/>
        <v>2.7386289577807421</v>
      </c>
      <c r="AK91" s="61">
        <f t="shared" si="87"/>
        <v>1.9988221940939987</v>
      </c>
      <c r="AL91" s="61">
        <f t="shared" si="87"/>
        <v>1.978155621622824</v>
      </c>
      <c r="AM91" s="61">
        <f t="shared" si="87"/>
        <v>2.661502963460467</v>
      </c>
      <c r="AN91" s="61">
        <f t="shared" si="87"/>
        <v>2.7364298071234918</v>
      </c>
      <c r="AO91" s="61">
        <f t="shared" si="87"/>
        <v>2.1481465284390477</v>
      </c>
      <c r="AP91" s="61">
        <f t="shared" si="87"/>
        <v>2.0846088338432782</v>
      </c>
      <c r="AQ91" s="61">
        <f t="shared" si="87"/>
        <v>2.749208702372314</v>
      </c>
      <c r="AR91" s="61">
        <f t="shared" si="87"/>
        <v>1.5593243393606915</v>
      </c>
      <c r="AS91" s="61">
        <f t="shared" si="88"/>
        <v>2.267706628592209</v>
      </c>
      <c r="AT91" s="61">
        <f t="shared" si="88"/>
        <v>2.0964004820341886</v>
      </c>
      <c r="AU91" s="61">
        <f t="shared" si="88"/>
        <v>0.97630242074083085</v>
      </c>
      <c r="AV91" s="61">
        <f t="shared" si="88"/>
        <v>1.7797979847493</v>
      </c>
      <c r="AW91" s="61">
        <f t="shared" si="88"/>
        <v>0.7005817122983512</v>
      </c>
      <c r="AX91" s="61">
        <f t="shared" si="88"/>
        <v>1.8457491172762199</v>
      </c>
      <c r="AY91" s="61">
        <f t="shared" si="88"/>
        <v>0.58497191716350483</v>
      </c>
      <c r="AZ91" s="61">
        <f t="shared" si="88"/>
        <v>2.2553431030318638</v>
      </c>
      <c r="BA91" s="61">
        <f t="shared" si="88"/>
        <v>2.0928740375924679</v>
      </c>
      <c r="BB91" s="61">
        <f t="shared" si="88"/>
        <v>0.57842503816716395</v>
      </c>
      <c r="BC91" s="61">
        <f t="shared" si="89"/>
        <v>0.57179475719683137</v>
      </c>
      <c r="BD91" s="61">
        <f t="shared" si="89"/>
        <v>0.84657810903843256</v>
      </c>
      <c r="BE91" s="61">
        <f t="shared" si="89"/>
        <v>1.0496665848912483</v>
      </c>
      <c r="BF91" s="61">
        <f t="shared" si="89"/>
        <v>2.8582302522084886</v>
      </c>
      <c r="BG91" s="61">
        <f t="shared" si="89"/>
        <v>1.9034190024757998</v>
      </c>
      <c r="BH91" s="61">
        <f t="shared" si="89"/>
        <v>0.46883238908810676</v>
      </c>
      <c r="BI91" s="61">
        <f t="shared" si="89"/>
        <v>0.45230814351817128</v>
      </c>
      <c r="BJ91" s="61">
        <f t="shared" si="89"/>
        <v>1.7270188787452776</v>
      </c>
      <c r="BK91" s="61">
        <f t="shared" si="89"/>
        <v>0.84159435357899848</v>
      </c>
      <c r="BL91" s="61">
        <f t="shared" si="89"/>
        <v>1.5569587066632959</v>
      </c>
      <c r="BM91" s="61">
        <f t="shared" si="90"/>
        <v>2.08015378217998</v>
      </c>
      <c r="BN91" s="61">
        <f t="shared" si="90"/>
        <v>1.4908745693435925</v>
      </c>
      <c r="BO91" s="61">
        <f t="shared" si="90"/>
        <v>0.45276331845345985</v>
      </c>
      <c r="BP91" s="61">
        <f t="shared" si="90"/>
        <v>1.6631433938467279</v>
      </c>
      <c r="BQ91" s="61">
        <f t="shared" si="90"/>
        <v>1.6382389658182552</v>
      </c>
      <c r="BR91" s="61">
        <f t="shared" si="90"/>
        <v>1.6800799594776703</v>
      </c>
      <c r="BS91" s="61">
        <f t="shared" si="90"/>
        <v>1.7556354331042527</v>
      </c>
      <c r="BT91" s="61">
        <f t="shared" si="90"/>
        <v>1.3500386677828493</v>
      </c>
      <c r="BU91" s="61">
        <f t="shared" si="90"/>
        <v>1.2662644055138481</v>
      </c>
      <c r="BV91" s="61">
        <f t="shared" si="90"/>
        <v>0.12408578956371352</v>
      </c>
      <c r="BW91" s="61">
        <f t="shared" si="91"/>
        <v>1.4364320633217813</v>
      </c>
      <c r="BX91" s="61">
        <f t="shared" si="91"/>
        <v>0.10807006383645867</v>
      </c>
      <c r="BY91" s="61">
        <f t="shared" si="91"/>
        <v>0.96646841800991856</v>
      </c>
      <c r="BZ91" s="61">
        <f t="shared" si="91"/>
        <v>0.90350643798867025</v>
      </c>
      <c r="CA91" s="61">
        <f t="shared" si="91"/>
        <v>5.6834957408756492E-2</v>
      </c>
      <c r="CB91" s="61">
        <f t="shared" si="91"/>
        <v>0.90254162863216458</v>
      </c>
      <c r="CC91" s="61">
        <f t="shared" si="91"/>
        <v>3.8570977569674869E-2</v>
      </c>
      <c r="CD91" s="61">
        <f t="shared" si="91"/>
        <v>0</v>
      </c>
      <c r="CE91" s="61">
        <f t="shared" si="91"/>
        <v>1.1887494889350601</v>
      </c>
      <c r="CF91" s="61">
        <f t="shared" si="91"/>
        <v>1.3883207273485341</v>
      </c>
      <c r="CG91" s="61">
        <f t="shared" si="92"/>
        <v>0.91657074769141167</v>
      </c>
      <c r="CH91" s="61">
        <f t="shared" si="92"/>
        <v>0.75084999038013855</v>
      </c>
      <c r="CI91" s="61">
        <f t="shared" si="92"/>
        <v>0.65674921231337058</v>
      </c>
      <c r="CJ91" s="61">
        <f t="shared" si="92"/>
        <v>0.36030344390083402</v>
      </c>
      <c r="CK91" s="61">
        <f t="shared" si="92"/>
        <v>1.1329542588164938</v>
      </c>
      <c r="CL91" s="61">
        <f t="shared" si="92"/>
        <v>0.25269226141518958</v>
      </c>
      <c r="CM91" s="61">
        <f t="shared" si="92"/>
        <v>0.86788630292695113</v>
      </c>
      <c r="CN91" s="61">
        <f t="shared" si="92"/>
        <v>1.8782355309516054</v>
      </c>
      <c r="CO91" s="61">
        <f t="shared" si="92"/>
        <v>1.1554175263933639</v>
      </c>
      <c r="CP91" s="61">
        <f t="shared" si="92"/>
        <v>0.36076232525164825</v>
      </c>
      <c r="CQ91" s="61">
        <f t="shared" si="93"/>
        <v>0.84744296565802135</v>
      </c>
      <c r="CR91" s="61">
        <f t="shared" si="93"/>
        <v>0.94330089342065249</v>
      </c>
      <c r="CS91" s="61">
        <f t="shared" si="93"/>
        <v>0.4477089676331179</v>
      </c>
      <c r="CT91" s="61">
        <f t="shared" si="93"/>
        <v>0.4973150585914396</v>
      </c>
      <c r="CU91" s="61">
        <f t="shared" si="93"/>
        <v>0.79171757255631403</v>
      </c>
      <c r="CV91" s="61">
        <f t="shared" si="93"/>
        <v>1.4958911156100727</v>
      </c>
      <c r="CW91" s="61">
        <f t="shared" si="93"/>
        <v>0.4973150585914396</v>
      </c>
      <c r="CX91" s="61">
        <f t="shared" si="93"/>
        <v>1.2407879736538521</v>
      </c>
      <c r="CY91" s="61">
        <f t="shared" si="93"/>
        <v>0.55215204802811946</v>
      </c>
      <c r="CZ91" s="61">
        <f t="shared" si="93"/>
        <v>0.55215204802811946</v>
      </c>
      <c r="DA91" s="61">
        <f t="shared" si="94"/>
        <v>0.84708013967588169</v>
      </c>
      <c r="DB91" s="61">
        <f t="shared" si="94"/>
        <v>0.61345458666683794</v>
      </c>
      <c r="DC91" s="61">
        <f t="shared" si="94"/>
        <v>0.61345458666683794</v>
      </c>
      <c r="DD91" s="61">
        <f t="shared" si="94"/>
        <v>0.79718005930579339</v>
      </c>
      <c r="DE91" s="61">
        <f t="shared" si="94"/>
        <v>0.82802099622837899</v>
      </c>
      <c r="DF91" s="61">
        <f t="shared" si="94"/>
        <v>0.97421691191848625</v>
      </c>
      <c r="DG91" s="61">
        <f t="shared" si="94"/>
        <v>1.1239468052249511</v>
      </c>
      <c r="DH91" s="61">
        <f t="shared" si="94"/>
        <v>1.1239468052249511</v>
      </c>
      <c r="DI91" s="61">
        <f t="shared" si="94"/>
        <v>1.1239468052249511</v>
      </c>
      <c r="DJ91" s="61">
        <f t="shared" si="94"/>
        <v>1.1239468052249511</v>
      </c>
      <c r="DK91" s="61">
        <f t="shared" si="95"/>
        <v>1.3349792371701343</v>
      </c>
      <c r="DL91" s="61">
        <f t="shared" si="95"/>
        <v>1.3349792371701343</v>
      </c>
      <c r="DM91" s="61">
        <f t="shared" si="95"/>
        <v>1.3349792371701343</v>
      </c>
      <c r="DN91" s="61">
        <f t="shared" si="95"/>
        <v>1.3349792371701343</v>
      </c>
      <c r="DO91" s="61">
        <f t="shared" si="95"/>
        <v>1.3349792371701343</v>
      </c>
      <c r="DP91" s="61">
        <f t="shared" si="95"/>
        <v>1.6957415624217826</v>
      </c>
      <c r="DQ91" s="61">
        <f t="shared" si="95"/>
        <v>1.6957415624217826</v>
      </c>
    </row>
    <row r="92" spans="1:121" x14ac:dyDescent="0.25">
      <c r="A92" s="48" t="str">
        <f>KMeans_Data!A83</f>
        <v>Diamer</v>
      </c>
      <c r="B92" s="59">
        <f>KMeans_Data!H83</f>
        <v>-0.40440962464593949</v>
      </c>
      <c r="C92" s="59">
        <f>KMeans_Data!I83</f>
        <v>-0.67265054538827607</v>
      </c>
      <c r="D92" s="59">
        <f>KMeans_Data!J83</f>
        <v>4.2930091906806002E-2</v>
      </c>
      <c r="E92" s="61">
        <f t="shared" si="84"/>
        <v>6.784830788256877</v>
      </c>
      <c r="F92" s="61">
        <f t="shared" si="84"/>
        <v>6.6058041345071912</v>
      </c>
      <c r="G92" s="61">
        <f t="shared" si="84"/>
        <v>4.6792211682165608</v>
      </c>
      <c r="H92" s="61">
        <f t="shared" si="84"/>
        <v>5.295381238162209</v>
      </c>
      <c r="I92" s="61">
        <f t="shared" si="84"/>
        <v>4.1069178785359091</v>
      </c>
      <c r="J92" s="61">
        <f t="shared" si="84"/>
        <v>3.7409994461860654</v>
      </c>
      <c r="K92" s="61">
        <f t="shared" si="84"/>
        <v>2.1184082687989139</v>
      </c>
      <c r="L92" s="61">
        <f t="shared" si="84"/>
        <v>2.7627656235233609</v>
      </c>
      <c r="M92" s="61">
        <f t="shared" si="84"/>
        <v>3.0082737174498497</v>
      </c>
      <c r="N92" s="61">
        <f t="shared" si="84"/>
        <v>1.89940444118573</v>
      </c>
      <c r="O92" s="61">
        <f t="shared" si="85"/>
        <v>2.8105158228392391</v>
      </c>
      <c r="P92" s="61">
        <f t="shared" si="85"/>
        <v>3.0931398171792277</v>
      </c>
      <c r="Q92" s="61">
        <f t="shared" si="85"/>
        <v>2.4386093681810652</v>
      </c>
      <c r="R92" s="61">
        <f t="shared" si="85"/>
        <v>2.2850867502514411</v>
      </c>
      <c r="S92" s="61">
        <f t="shared" si="85"/>
        <v>1.8798853765406613</v>
      </c>
      <c r="T92" s="61">
        <f t="shared" si="85"/>
        <v>2.3619099667213668</v>
      </c>
      <c r="U92" s="61">
        <f t="shared" si="85"/>
        <v>2.2644837911539955</v>
      </c>
      <c r="V92" s="61">
        <f t="shared" si="85"/>
        <v>2.4758739470779529</v>
      </c>
      <c r="W92" s="61">
        <f t="shared" si="85"/>
        <v>2.566869052925822</v>
      </c>
      <c r="X92" s="61">
        <f t="shared" si="85"/>
        <v>2.1721526742101074</v>
      </c>
      <c r="Y92" s="61">
        <f t="shared" si="86"/>
        <v>2.2595918948824831</v>
      </c>
      <c r="Z92" s="61">
        <f t="shared" si="86"/>
        <v>1.9811745527431746</v>
      </c>
      <c r="AA92" s="61">
        <f t="shared" si="86"/>
        <v>1.7163100988407123</v>
      </c>
      <c r="AB92" s="61">
        <f t="shared" si="86"/>
        <v>1.8139895542478897</v>
      </c>
      <c r="AC92" s="61">
        <f t="shared" si="86"/>
        <v>2.4590653318501201</v>
      </c>
      <c r="AD92" s="61">
        <f t="shared" si="86"/>
        <v>2.2230834487514031</v>
      </c>
      <c r="AE92" s="61">
        <f t="shared" si="86"/>
        <v>1.6708406619776459</v>
      </c>
      <c r="AF92" s="61">
        <f t="shared" si="86"/>
        <v>1.8839986312912937</v>
      </c>
      <c r="AG92" s="61">
        <f t="shared" si="86"/>
        <v>1.0773553167860908</v>
      </c>
      <c r="AH92" s="61">
        <f t="shared" si="86"/>
        <v>1.4847075578408737</v>
      </c>
      <c r="AI92" s="61">
        <f t="shared" si="87"/>
        <v>1.0744717012916412</v>
      </c>
      <c r="AJ92" s="61">
        <f t="shared" si="87"/>
        <v>1.8925697542241731</v>
      </c>
      <c r="AK92" s="61">
        <f t="shared" si="87"/>
        <v>1.4285872956213617</v>
      </c>
      <c r="AL92" s="61">
        <f t="shared" si="87"/>
        <v>1.1515642756263853</v>
      </c>
      <c r="AM92" s="61">
        <f t="shared" si="87"/>
        <v>2.2535063280498631</v>
      </c>
      <c r="AN92" s="61">
        <f t="shared" si="87"/>
        <v>2.121615019297773</v>
      </c>
      <c r="AO92" s="61">
        <f t="shared" si="87"/>
        <v>1.4331939952156936</v>
      </c>
      <c r="AP92" s="61">
        <f t="shared" si="87"/>
        <v>1.4050751962801744</v>
      </c>
      <c r="AQ92" s="61">
        <f t="shared" si="87"/>
        <v>2.1877289760023024</v>
      </c>
      <c r="AR92" s="61">
        <f t="shared" si="87"/>
        <v>1.1574978111475838</v>
      </c>
      <c r="AS92" s="61">
        <f t="shared" si="88"/>
        <v>1.2073431083235173</v>
      </c>
      <c r="AT92" s="61">
        <f t="shared" si="88"/>
        <v>1.1273893179106631</v>
      </c>
      <c r="AU92" s="61">
        <f t="shared" si="88"/>
        <v>1.0874288972086592</v>
      </c>
      <c r="AV92" s="61">
        <f t="shared" si="88"/>
        <v>0.81211594003413035</v>
      </c>
      <c r="AW92" s="61">
        <f t="shared" si="88"/>
        <v>1.0797330998926113</v>
      </c>
      <c r="AX92" s="61">
        <f t="shared" si="88"/>
        <v>1.1020707740674685</v>
      </c>
      <c r="AY92" s="61">
        <f t="shared" si="88"/>
        <v>1.3338664831800977</v>
      </c>
      <c r="AZ92" s="61">
        <f t="shared" si="88"/>
        <v>1.1600736637637341</v>
      </c>
      <c r="BA92" s="61">
        <f t="shared" si="88"/>
        <v>1.0962446256148994</v>
      </c>
      <c r="BB92" s="61">
        <f t="shared" si="88"/>
        <v>1.3309079195385358</v>
      </c>
      <c r="BC92" s="61">
        <f t="shared" si="89"/>
        <v>1.327937844666186</v>
      </c>
      <c r="BD92" s="61">
        <f t="shared" si="89"/>
        <v>0.79073362145118409</v>
      </c>
      <c r="BE92" s="61">
        <f t="shared" si="89"/>
        <v>0.62717348915457782</v>
      </c>
      <c r="BF92" s="61">
        <f t="shared" si="89"/>
        <v>2.2449464757052993</v>
      </c>
      <c r="BG92" s="61">
        <f t="shared" si="89"/>
        <v>0.92881577731680887</v>
      </c>
      <c r="BH92" s="61">
        <f t="shared" si="89"/>
        <v>1.2853287128542379</v>
      </c>
      <c r="BI92" s="61">
        <f t="shared" si="89"/>
        <v>1.2791302209270985</v>
      </c>
      <c r="BJ92" s="61">
        <f t="shared" si="89"/>
        <v>1.2942768875662483</v>
      </c>
      <c r="BK92" s="61">
        <f t="shared" si="89"/>
        <v>0.60369877955269913</v>
      </c>
      <c r="BL92" s="61">
        <f t="shared" si="89"/>
        <v>0.51363749959178484</v>
      </c>
      <c r="BM92" s="61">
        <f t="shared" si="90"/>
        <v>1.3557622074035955</v>
      </c>
      <c r="BN92" s="61">
        <f t="shared" si="90"/>
        <v>0.90791534014252651</v>
      </c>
      <c r="BO92" s="61">
        <f t="shared" si="90"/>
        <v>0.93145704337276092</v>
      </c>
      <c r="BP92" s="61">
        <f t="shared" si="90"/>
        <v>0.91495202422324806</v>
      </c>
      <c r="BQ92" s="61">
        <f t="shared" si="90"/>
        <v>0.69109007820700563</v>
      </c>
      <c r="BR92" s="61">
        <f t="shared" si="90"/>
        <v>0.7066816756198202</v>
      </c>
      <c r="BS92" s="61">
        <f t="shared" si="90"/>
        <v>0.60070853379987932</v>
      </c>
      <c r="BT92" s="61">
        <f t="shared" si="90"/>
        <v>0.24240178140373037</v>
      </c>
      <c r="BU92" s="61">
        <f t="shared" si="90"/>
        <v>0.20103702407665958</v>
      </c>
      <c r="BV92" s="61">
        <f t="shared" si="90"/>
        <v>1.1973256065083273</v>
      </c>
      <c r="BW92" s="61">
        <f t="shared" si="91"/>
        <v>0.27557201086779765</v>
      </c>
      <c r="BX92" s="61">
        <f t="shared" si="91"/>
        <v>1.1954984729948601</v>
      </c>
      <c r="BY92" s="61">
        <f t="shared" si="91"/>
        <v>0.24417334361017018</v>
      </c>
      <c r="BZ92" s="61">
        <f t="shared" si="91"/>
        <v>0.29707624849878705</v>
      </c>
      <c r="CA92" s="61">
        <f t="shared" si="91"/>
        <v>1.1910818305769666</v>
      </c>
      <c r="CB92" s="61">
        <f t="shared" si="91"/>
        <v>0.29285858807680282</v>
      </c>
      <c r="CC92" s="61">
        <f t="shared" si="91"/>
        <v>1.1900368827556578</v>
      </c>
      <c r="CD92" s="61">
        <f t="shared" si="91"/>
        <v>1.1887494889350601</v>
      </c>
      <c r="CE92" s="61">
        <f t="shared" si="91"/>
        <v>0</v>
      </c>
      <c r="CF92" s="61">
        <f t="shared" si="91"/>
        <v>0.53440075620259919</v>
      </c>
      <c r="CG92" s="61">
        <f t="shared" si="92"/>
        <v>0.6905091636865438</v>
      </c>
      <c r="CH92" s="61">
        <f t="shared" si="92"/>
        <v>0.44774622015752519</v>
      </c>
      <c r="CI92" s="61">
        <f t="shared" si="92"/>
        <v>0.55838947493402602</v>
      </c>
      <c r="CJ92" s="61">
        <f t="shared" si="92"/>
        <v>0.87905829050877371</v>
      </c>
      <c r="CK92" s="61">
        <f t="shared" si="92"/>
        <v>0.21513564589203982</v>
      </c>
      <c r="CL92" s="61">
        <f t="shared" si="92"/>
        <v>1.2110583009997928</v>
      </c>
      <c r="CM92" s="61">
        <f t="shared" si="92"/>
        <v>0.42699494666124571</v>
      </c>
      <c r="CN92" s="61">
        <f t="shared" si="92"/>
        <v>0.84279546314059806</v>
      </c>
      <c r="CO92" s="61">
        <f t="shared" si="92"/>
        <v>0.66541694408150431</v>
      </c>
      <c r="CP92" s="61">
        <f t="shared" si="92"/>
        <v>1.2363438728647864</v>
      </c>
      <c r="CQ92" s="61">
        <f t="shared" si="93"/>
        <v>0.58479125923373665</v>
      </c>
      <c r="CR92" s="61">
        <f t="shared" si="93"/>
        <v>0.55763141328856713</v>
      </c>
      <c r="CS92" s="61">
        <f t="shared" si="93"/>
        <v>1.2630480264156505</v>
      </c>
      <c r="CT92" s="61">
        <f t="shared" si="93"/>
        <v>1.2806810790360619</v>
      </c>
      <c r="CU92" s="61">
        <f t="shared" si="93"/>
        <v>1.1207599732183759</v>
      </c>
      <c r="CV92" s="61">
        <f t="shared" si="93"/>
        <v>0.52613825530780955</v>
      </c>
      <c r="CW92" s="61">
        <f t="shared" si="93"/>
        <v>1.2806810790360619</v>
      </c>
      <c r="CX92" s="61">
        <f t="shared" si="93"/>
        <v>0.53734412906897</v>
      </c>
      <c r="CY92" s="61">
        <f t="shared" si="93"/>
        <v>1.3020963272346278</v>
      </c>
      <c r="CZ92" s="61">
        <f t="shared" si="93"/>
        <v>1.3020963272346278</v>
      </c>
      <c r="DA92" s="61">
        <f t="shared" si="94"/>
        <v>0.76227069512032775</v>
      </c>
      <c r="DB92" s="61">
        <f t="shared" si="94"/>
        <v>1.3283097261369128</v>
      </c>
      <c r="DC92" s="61">
        <f t="shared" si="94"/>
        <v>1.3283097261369128</v>
      </c>
      <c r="DD92" s="61">
        <f t="shared" si="94"/>
        <v>0.90188747726750529</v>
      </c>
      <c r="DE92" s="61">
        <f t="shared" si="94"/>
        <v>1.1419502961708283</v>
      </c>
      <c r="DF92" s="61">
        <f t="shared" si="94"/>
        <v>1.5239587131288326</v>
      </c>
      <c r="DG92" s="61">
        <f t="shared" si="94"/>
        <v>1.6218800987545621</v>
      </c>
      <c r="DH92" s="61">
        <f t="shared" si="94"/>
        <v>1.6218800987545621</v>
      </c>
      <c r="DI92" s="61">
        <f t="shared" si="94"/>
        <v>1.6218800987545621</v>
      </c>
      <c r="DJ92" s="61">
        <f t="shared" si="94"/>
        <v>1.6218800987545621</v>
      </c>
      <c r="DK92" s="61">
        <f t="shared" si="95"/>
        <v>1.7722281175781536</v>
      </c>
      <c r="DL92" s="61">
        <f t="shared" si="95"/>
        <v>1.7722281175781536</v>
      </c>
      <c r="DM92" s="61">
        <f t="shared" si="95"/>
        <v>1.7722281175781536</v>
      </c>
      <c r="DN92" s="61">
        <f t="shared" si="95"/>
        <v>1.7722281175781536</v>
      </c>
      <c r="DO92" s="61">
        <f t="shared" si="95"/>
        <v>1.7722281175781536</v>
      </c>
      <c r="DP92" s="61">
        <f t="shared" si="95"/>
        <v>2.0541260313792522</v>
      </c>
      <c r="DQ92" s="61">
        <f t="shared" si="95"/>
        <v>2.0541260313792522</v>
      </c>
    </row>
    <row r="93" spans="1:121" x14ac:dyDescent="0.25">
      <c r="A93" s="48" t="str">
        <f>KMeans_Data!A84</f>
        <v>Hangu</v>
      </c>
      <c r="B93" s="59">
        <f>KMeans_Data!H84</f>
        <v>-0.40440962464593949</v>
      </c>
      <c r="C93" s="59">
        <f>KMeans_Data!I84</f>
        <v>-0.14698313392952958</v>
      </c>
      <c r="D93" s="59">
        <f>KMeans_Data!J84</f>
        <v>0.13914828540559679</v>
      </c>
      <c r="E93" s="61">
        <f t="shared" si="84"/>
        <v>6.3834526327003553</v>
      </c>
      <c r="F93" s="61">
        <f t="shared" si="84"/>
        <v>6.1917083949654224</v>
      </c>
      <c r="G93" s="61">
        <f t="shared" si="84"/>
        <v>4.3143177570201923</v>
      </c>
      <c r="H93" s="61">
        <f t="shared" si="84"/>
        <v>4.8546426827272917</v>
      </c>
      <c r="I93" s="61">
        <f t="shared" si="84"/>
        <v>3.7356567284980842</v>
      </c>
      <c r="J93" s="61">
        <f t="shared" si="84"/>
        <v>3.310368957143679</v>
      </c>
      <c r="K93" s="61">
        <f t="shared" si="84"/>
        <v>2.0159908404774782</v>
      </c>
      <c r="L93" s="61">
        <f t="shared" si="84"/>
        <v>2.483224494382311</v>
      </c>
      <c r="M93" s="61">
        <f t="shared" si="84"/>
        <v>2.6525534867905072</v>
      </c>
      <c r="N93" s="61">
        <f t="shared" si="84"/>
        <v>1.8728544174176049</v>
      </c>
      <c r="O93" s="61">
        <f t="shared" si="85"/>
        <v>2.3966025574571392</v>
      </c>
      <c r="P93" s="61">
        <f t="shared" si="85"/>
        <v>2.6590169796054255</v>
      </c>
      <c r="Q93" s="61">
        <f t="shared" si="85"/>
        <v>2.0690257699090715</v>
      </c>
      <c r="R93" s="61">
        <f t="shared" si="85"/>
        <v>2.0315517886503232</v>
      </c>
      <c r="S93" s="61">
        <f t="shared" si="85"/>
        <v>1.7466002596092931</v>
      </c>
      <c r="T93" s="61">
        <f t="shared" si="85"/>
        <v>1.9820789574284927</v>
      </c>
      <c r="U93" s="61">
        <f t="shared" si="85"/>
        <v>2.0029379695944884</v>
      </c>
      <c r="V93" s="61">
        <f t="shared" si="85"/>
        <v>2.0360883253213458</v>
      </c>
      <c r="W93" s="61">
        <f t="shared" si="85"/>
        <v>2.1315972319770617</v>
      </c>
      <c r="X93" s="61">
        <f t="shared" si="85"/>
        <v>1.8058517459005179</v>
      </c>
      <c r="Y93" s="61">
        <f t="shared" si="86"/>
        <v>1.8984272731758838</v>
      </c>
      <c r="Z93" s="61">
        <f t="shared" si="86"/>
        <v>1.5963763855711111</v>
      </c>
      <c r="AA93" s="61">
        <f t="shared" si="86"/>
        <v>1.4761285757817209</v>
      </c>
      <c r="AB93" s="61">
        <f t="shared" si="86"/>
        <v>1.4740420769833664</v>
      </c>
      <c r="AC93" s="61">
        <f t="shared" si="86"/>
        <v>2.010379718419157</v>
      </c>
      <c r="AD93" s="61">
        <f t="shared" si="86"/>
        <v>1.8543037653983543</v>
      </c>
      <c r="AE93" s="61">
        <f t="shared" si="86"/>
        <v>1.6593267180759232</v>
      </c>
      <c r="AF93" s="61">
        <f t="shared" si="86"/>
        <v>1.4988902844316196</v>
      </c>
      <c r="AG93" s="61">
        <f t="shared" si="86"/>
        <v>1.2375317081481783</v>
      </c>
      <c r="AH93" s="61">
        <f t="shared" si="86"/>
        <v>1.2132069065466551</v>
      </c>
      <c r="AI93" s="61">
        <f t="shared" si="87"/>
        <v>1.2350221402636647</v>
      </c>
      <c r="AJ93" s="61">
        <f t="shared" si="87"/>
        <v>1.5421325530354779</v>
      </c>
      <c r="AK93" s="61">
        <f t="shared" si="87"/>
        <v>1.0836177725136447</v>
      </c>
      <c r="AL93" s="61">
        <f t="shared" si="87"/>
        <v>0.98033929938755038</v>
      </c>
      <c r="AM93" s="61">
        <f t="shared" si="87"/>
        <v>1.7759067847682337</v>
      </c>
      <c r="AN93" s="61">
        <f t="shared" si="87"/>
        <v>1.6567263586186627</v>
      </c>
      <c r="AO93" s="61">
        <f t="shared" si="87"/>
        <v>1.0670865724569139</v>
      </c>
      <c r="AP93" s="61">
        <f t="shared" si="87"/>
        <v>1.0364311275112426</v>
      </c>
      <c r="AQ93" s="61">
        <f t="shared" si="87"/>
        <v>1.7070435238633421</v>
      </c>
      <c r="AR93" s="61">
        <f t="shared" si="87"/>
        <v>0.87911763371440721</v>
      </c>
      <c r="AS93" s="61">
        <f t="shared" si="88"/>
        <v>1.2477890864705043</v>
      </c>
      <c r="AT93" s="61">
        <f t="shared" si="88"/>
        <v>0.92908903475922133</v>
      </c>
      <c r="AU93" s="61">
        <f t="shared" si="88"/>
        <v>1.0228349787827351</v>
      </c>
      <c r="AV93" s="61">
        <f t="shared" si="88"/>
        <v>0.92427662858694049</v>
      </c>
      <c r="AW93" s="61">
        <f t="shared" si="88"/>
        <v>1.2721330353338629</v>
      </c>
      <c r="AX93" s="61">
        <f t="shared" si="88"/>
        <v>0.74768650635695133</v>
      </c>
      <c r="AY93" s="61">
        <f t="shared" si="88"/>
        <v>1.5144335209884381</v>
      </c>
      <c r="AZ93" s="61">
        <f t="shared" si="88"/>
        <v>1.2003844327783251</v>
      </c>
      <c r="BA93" s="61">
        <f t="shared" si="88"/>
        <v>0.88870900612069126</v>
      </c>
      <c r="BB93" s="61">
        <f t="shared" si="88"/>
        <v>1.5118283582578378</v>
      </c>
      <c r="BC93" s="61">
        <f t="shared" si="89"/>
        <v>1.5092143697430367</v>
      </c>
      <c r="BD93" s="61">
        <f t="shared" si="89"/>
        <v>1.0079426326528642</v>
      </c>
      <c r="BE93" s="61">
        <f t="shared" si="89"/>
        <v>0.856815327442219</v>
      </c>
      <c r="BF93" s="61">
        <f t="shared" si="89"/>
        <v>1.7393919096192394</v>
      </c>
      <c r="BG93" s="61">
        <f t="shared" si="89"/>
        <v>0.69634965267936977</v>
      </c>
      <c r="BH93" s="61">
        <f t="shared" si="89"/>
        <v>1.4718624238119973</v>
      </c>
      <c r="BI93" s="61">
        <f t="shared" si="89"/>
        <v>1.466452596107765</v>
      </c>
      <c r="BJ93" s="61">
        <f t="shared" si="89"/>
        <v>0.82743896343834944</v>
      </c>
      <c r="BK93" s="61">
        <f t="shared" si="89"/>
        <v>0.85746280764725191</v>
      </c>
      <c r="BL93" s="61">
        <f t="shared" si="89"/>
        <v>0.69828178213286773</v>
      </c>
      <c r="BM93" s="61">
        <f t="shared" si="90"/>
        <v>0.86725946322637881</v>
      </c>
      <c r="BN93" s="61">
        <f t="shared" si="90"/>
        <v>0.48369516855708605</v>
      </c>
      <c r="BO93" s="61">
        <f t="shared" si="90"/>
        <v>1.1489608854233309</v>
      </c>
      <c r="BP93" s="61">
        <f t="shared" si="90"/>
        <v>0.45168889425750464</v>
      </c>
      <c r="BQ93" s="61">
        <f t="shared" si="90"/>
        <v>0.38126313616955237</v>
      </c>
      <c r="BR93" s="61">
        <f t="shared" si="90"/>
        <v>0.39718979286785711</v>
      </c>
      <c r="BS93" s="61">
        <f t="shared" si="90"/>
        <v>0.73468450150770925</v>
      </c>
      <c r="BT93" s="61">
        <f t="shared" si="90"/>
        <v>0.56153700829097708</v>
      </c>
      <c r="BU93" s="61">
        <f t="shared" si="90"/>
        <v>0.55967783844709174</v>
      </c>
      <c r="BV93" s="61">
        <f t="shared" si="90"/>
        <v>1.3956710581446938</v>
      </c>
      <c r="BW93" s="61">
        <f t="shared" si="91"/>
        <v>0.56090164801804221</v>
      </c>
      <c r="BX93" s="61">
        <f t="shared" si="91"/>
        <v>1.3941039034000438</v>
      </c>
      <c r="BY93" s="61">
        <f t="shared" si="91"/>
        <v>0.62329696806377577</v>
      </c>
      <c r="BZ93" s="61">
        <f t="shared" si="91"/>
        <v>0.65501161612883074</v>
      </c>
      <c r="CA93" s="61">
        <f t="shared" si="91"/>
        <v>1.3903183166716799</v>
      </c>
      <c r="CB93" s="61">
        <f t="shared" si="91"/>
        <v>0.65310954092857054</v>
      </c>
      <c r="CC93" s="61">
        <f t="shared" si="91"/>
        <v>1.3894232173319254</v>
      </c>
      <c r="CD93" s="61">
        <f t="shared" si="91"/>
        <v>1.3883207273485341</v>
      </c>
      <c r="CE93" s="61">
        <f t="shared" si="91"/>
        <v>0.53440075620259919</v>
      </c>
      <c r="CF93" s="61">
        <f t="shared" si="91"/>
        <v>0</v>
      </c>
      <c r="CG93" s="61">
        <f t="shared" si="92"/>
        <v>0.54308443198134626</v>
      </c>
      <c r="CH93" s="61">
        <f t="shared" si="92"/>
        <v>0.75582202119959474</v>
      </c>
      <c r="CI93" s="61">
        <f t="shared" si="92"/>
        <v>0.83814527162239572</v>
      </c>
      <c r="CJ93" s="61">
        <f t="shared" si="92"/>
        <v>1.1069066675633707</v>
      </c>
      <c r="CK93" s="61">
        <f t="shared" si="92"/>
        <v>0.58886694054529509</v>
      </c>
      <c r="CL93" s="61">
        <f t="shared" si="92"/>
        <v>1.4074698231090785</v>
      </c>
      <c r="CM93" s="61">
        <f t="shared" si="92"/>
        <v>0.73270507354091596</v>
      </c>
      <c r="CN93" s="61">
        <f t="shared" si="92"/>
        <v>0.57493334592874046</v>
      </c>
      <c r="CO93" s="61">
        <f t="shared" si="92"/>
        <v>0.46798049446426165</v>
      </c>
      <c r="CP93" s="61">
        <f t="shared" si="92"/>
        <v>1.4292848794108524</v>
      </c>
      <c r="CQ93" s="61">
        <f t="shared" si="93"/>
        <v>0.84425770173630577</v>
      </c>
      <c r="CR93" s="61">
        <f t="shared" si="93"/>
        <v>0.81577253778523573</v>
      </c>
      <c r="CS93" s="61">
        <f t="shared" si="93"/>
        <v>1.4524460098656562</v>
      </c>
      <c r="CT93" s="61">
        <f t="shared" si="93"/>
        <v>1.4678055459573545</v>
      </c>
      <c r="CU93" s="61">
        <f t="shared" si="93"/>
        <v>1.0751508523053943</v>
      </c>
      <c r="CV93" s="61">
        <f t="shared" si="93"/>
        <v>0.72086096528682653</v>
      </c>
      <c r="CW93" s="61">
        <f t="shared" si="93"/>
        <v>1.4678055459573545</v>
      </c>
      <c r="CX93" s="61">
        <f t="shared" si="93"/>
        <v>0.76760643599352452</v>
      </c>
      <c r="CY93" s="61">
        <f t="shared" si="93"/>
        <v>1.4865274770215662</v>
      </c>
      <c r="CZ93" s="61">
        <f t="shared" si="93"/>
        <v>1.4865274770215662</v>
      </c>
      <c r="DA93" s="61">
        <f t="shared" si="94"/>
        <v>0.98577142546591889</v>
      </c>
      <c r="DB93" s="61">
        <f t="shared" si="94"/>
        <v>1.5095415936939651</v>
      </c>
      <c r="DC93" s="61">
        <f t="shared" si="94"/>
        <v>1.5095415936939651</v>
      </c>
      <c r="DD93" s="61">
        <f t="shared" si="94"/>
        <v>1.1089378990405463</v>
      </c>
      <c r="DE93" s="61">
        <f t="shared" si="94"/>
        <v>1.3253487735342278</v>
      </c>
      <c r="DF93" s="61">
        <f t="shared" si="94"/>
        <v>1.6842681656623102</v>
      </c>
      <c r="DG93" s="61">
        <f t="shared" si="94"/>
        <v>1.7733595657052474</v>
      </c>
      <c r="DH93" s="61">
        <f t="shared" si="94"/>
        <v>1.7733595657052474</v>
      </c>
      <c r="DI93" s="61">
        <f t="shared" si="94"/>
        <v>1.7733595657052474</v>
      </c>
      <c r="DJ93" s="61">
        <f t="shared" si="94"/>
        <v>1.7733595657052474</v>
      </c>
      <c r="DK93" s="61">
        <f t="shared" si="95"/>
        <v>1.9118319997522799</v>
      </c>
      <c r="DL93" s="61">
        <f t="shared" si="95"/>
        <v>1.9118319997522799</v>
      </c>
      <c r="DM93" s="61">
        <f t="shared" si="95"/>
        <v>1.9118319997522799</v>
      </c>
      <c r="DN93" s="61">
        <f t="shared" si="95"/>
        <v>1.9118319997522799</v>
      </c>
      <c r="DO93" s="61">
        <f t="shared" si="95"/>
        <v>1.9118319997522799</v>
      </c>
      <c r="DP93" s="61">
        <f t="shared" si="95"/>
        <v>2.1757166284541909</v>
      </c>
      <c r="DQ93" s="61">
        <f t="shared" si="95"/>
        <v>2.1757166284541909</v>
      </c>
    </row>
    <row r="94" spans="1:121" x14ac:dyDescent="0.25">
      <c r="A94" s="48" t="str">
        <f>KMeans_Data!A85</f>
        <v>Mohmand</v>
      </c>
      <c r="B94" s="59">
        <f>KMeans_Data!H85</f>
        <v>-0.47094306176301559</v>
      </c>
      <c r="C94" s="59">
        <f>KMeans_Data!I85</f>
        <v>-0.14698313392952958</v>
      </c>
      <c r="D94" s="59">
        <f>KMeans_Data!J85</f>
        <v>-0.39984522290956798</v>
      </c>
      <c r="E94" s="61">
        <f t="shared" ref="E94:N103" si="96">SQRT(($B94-E$5)^2+($C94-E$6)^2+($D94-E$7)^2)</f>
        <v>6.6999482057459137</v>
      </c>
      <c r="F94" s="61">
        <f t="shared" si="96"/>
        <v>6.4697799512865375</v>
      </c>
      <c r="G94" s="61">
        <f t="shared" si="96"/>
        <v>4.6566190802835576</v>
      </c>
      <c r="H94" s="61">
        <f t="shared" si="96"/>
        <v>5.0839155951360571</v>
      </c>
      <c r="I94" s="61">
        <f t="shared" si="96"/>
        <v>4.0338087562566649</v>
      </c>
      <c r="J94" s="61">
        <f t="shared" si="96"/>
        <v>3.593337051341817</v>
      </c>
      <c r="K94" s="61">
        <f t="shared" si="96"/>
        <v>1.8848001436529527</v>
      </c>
      <c r="L94" s="61">
        <f t="shared" si="96"/>
        <v>2.8980333696156402</v>
      </c>
      <c r="M94" s="61">
        <f t="shared" si="96"/>
        <v>3.0381047793068197</v>
      </c>
      <c r="N94" s="61">
        <f t="shared" si="96"/>
        <v>1.725537809803797</v>
      </c>
      <c r="O94" s="61">
        <f t="shared" ref="O94:X103" si="97">SQRT(($B94-O$5)^2+($C94-O$6)^2+($D94-O$7)^2)</f>
        <v>2.6757661844033884</v>
      </c>
      <c r="P94" s="61">
        <f t="shared" si="97"/>
        <v>2.945669390833189</v>
      </c>
      <c r="Q94" s="61">
        <f t="shared" si="97"/>
        <v>2.4048093518890576</v>
      </c>
      <c r="R94" s="61">
        <f t="shared" si="97"/>
        <v>2.459485542954774</v>
      </c>
      <c r="S94" s="61">
        <f t="shared" si="97"/>
        <v>2.1543797310832149</v>
      </c>
      <c r="T94" s="61">
        <f t="shared" si="97"/>
        <v>2.3090841478103257</v>
      </c>
      <c r="U94" s="61">
        <f t="shared" si="97"/>
        <v>2.4564839096557005</v>
      </c>
      <c r="V94" s="61">
        <f t="shared" si="97"/>
        <v>2.2637284085018754</v>
      </c>
      <c r="W94" s="61">
        <f t="shared" si="97"/>
        <v>2.421349953664766</v>
      </c>
      <c r="X94" s="61">
        <f t="shared" si="97"/>
        <v>2.1655068457516768</v>
      </c>
      <c r="Y94" s="61">
        <f t="shared" ref="Y94:AH103" si="98">SQRT(($B94-Y$5)^2+($C94-Y$6)^2+($D94-Y$7)^2)</f>
        <v>2.2967767107442003</v>
      </c>
      <c r="Z94" s="61">
        <f t="shared" si="98"/>
        <v>1.8757031440980176</v>
      </c>
      <c r="AA94" s="61">
        <f t="shared" si="98"/>
        <v>1.8752300280500309</v>
      </c>
      <c r="AB94" s="61">
        <f t="shared" si="98"/>
        <v>1.7874544275759621</v>
      </c>
      <c r="AC94" s="61">
        <f t="shared" si="98"/>
        <v>2.2641524298915128</v>
      </c>
      <c r="AD94" s="61">
        <f t="shared" si="98"/>
        <v>2.2604287577649558</v>
      </c>
      <c r="AE94" s="61">
        <f t="shared" si="98"/>
        <v>1.3427760609254091</v>
      </c>
      <c r="AF94" s="61">
        <f t="shared" si="98"/>
        <v>1.8619612694745056</v>
      </c>
      <c r="AG94" s="61">
        <f t="shared" si="98"/>
        <v>1.1730689700073089</v>
      </c>
      <c r="AH94" s="61">
        <f t="shared" si="98"/>
        <v>1.6093476460653848</v>
      </c>
      <c r="AI94" s="61">
        <f t="shared" ref="AI94:AR103" si="99">SQRT(($B94-AI$5)^2+($C94-AI$6)^2+($D94-AI$7)^2)</f>
        <v>1.1702413205120534</v>
      </c>
      <c r="AJ94" s="61">
        <f t="shared" si="99"/>
        <v>1.9628680178794342</v>
      </c>
      <c r="AK94" s="61">
        <f t="shared" si="99"/>
        <v>1.3239327065837054</v>
      </c>
      <c r="AL94" s="61">
        <f t="shared" si="99"/>
        <v>1.3488479027291851</v>
      </c>
      <c r="AM94" s="61">
        <f t="shared" si="99"/>
        <v>1.936074697534655</v>
      </c>
      <c r="AN94" s="61">
        <f t="shared" si="99"/>
        <v>1.9441338722145494</v>
      </c>
      <c r="AO94" s="61">
        <f t="shared" si="99"/>
        <v>1.4061192843350994</v>
      </c>
      <c r="AP94" s="61">
        <f t="shared" si="99"/>
        <v>1.3514017284281836</v>
      </c>
      <c r="AQ94" s="61">
        <f t="shared" si="99"/>
        <v>1.9607463376928316</v>
      </c>
      <c r="AR94" s="61">
        <f t="shared" si="99"/>
        <v>0.96886452069218265</v>
      </c>
      <c r="AS94" s="61">
        <f t="shared" ref="AS94:BB103" si="100">SQRT(($B94-AS$5)^2+($C94-AS$6)^2+($D94-AS$7)^2)</f>
        <v>1.6993321450478593</v>
      </c>
      <c r="AT94" s="61">
        <f t="shared" si="100"/>
        <v>1.3903277941267262</v>
      </c>
      <c r="AU94" s="61">
        <f t="shared" si="100"/>
        <v>0.77048408522751266</v>
      </c>
      <c r="AV94" s="61">
        <f t="shared" si="100"/>
        <v>1.2815036736783432</v>
      </c>
      <c r="AW94" s="61">
        <f t="shared" si="100"/>
        <v>0.97984001488835071</v>
      </c>
      <c r="AX94" s="61">
        <f t="shared" si="100"/>
        <v>1.0954948827299413</v>
      </c>
      <c r="AY94" s="61">
        <f t="shared" si="100"/>
        <v>1.1331446366475797</v>
      </c>
      <c r="AZ94" s="61">
        <f t="shared" si="100"/>
        <v>1.6671708706584294</v>
      </c>
      <c r="BA94" s="61">
        <f t="shared" si="100"/>
        <v>1.368318691943329</v>
      </c>
      <c r="BB94" s="61">
        <f t="shared" si="100"/>
        <v>1.1292748514769535</v>
      </c>
      <c r="BC94" s="61">
        <f t="shared" ref="BC94:BL103" si="101">SQRT(($B94-BC$5)^2+($C94-BC$6)^2+($D94-BC$7)^2)</f>
        <v>1.1253810236629018</v>
      </c>
      <c r="BD94" s="61">
        <f t="shared" si="101"/>
        <v>0.83335540314639756</v>
      </c>
      <c r="BE94" s="61">
        <f t="shared" si="101"/>
        <v>0.8308657998382295</v>
      </c>
      <c r="BF94" s="61">
        <f t="shared" si="101"/>
        <v>2.0190001466937333</v>
      </c>
      <c r="BG94" s="61">
        <f t="shared" si="101"/>
        <v>1.1677445407993188</v>
      </c>
      <c r="BH94" s="61">
        <f t="shared" si="101"/>
        <v>1.0683784669879128</v>
      </c>
      <c r="BI94" s="61">
        <f t="shared" si="101"/>
        <v>1.0598763800641327</v>
      </c>
      <c r="BJ94" s="61">
        <f t="shared" si="101"/>
        <v>0.9449711487408794</v>
      </c>
      <c r="BK94" s="61">
        <f t="shared" si="101"/>
        <v>0.70976165377999301</v>
      </c>
      <c r="BL94" s="61">
        <f t="shared" si="101"/>
        <v>1.0384600119839693</v>
      </c>
      <c r="BM94" s="61">
        <f t="shared" ref="BM94:BV103" si="102">SQRT(($B94-BM$5)^2+($C94-BM$6)^2+($D94-BM$7)^2)</f>
        <v>1.2196179552777802</v>
      </c>
      <c r="BN94" s="61">
        <f t="shared" si="102"/>
        <v>0.68788463273526446</v>
      </c>
      <c r="BO94" s="61">
        <f t="shared" si="102"/>
        <v>0.78834507893421979</v>
      </c>
      <c r="BP94" s="61">
        <f t="shared" si="102"/>
        <v>0.82189474156115283</v>
      </c>
      <c r="BQ94" s="61">
        <f t="shared" si="102"/>
        <v>0.8607161082905691</v>
      </c>
      <c r="BR94" s="61">
        <f t="shared" si="102"/>
        <v>0.89590133009194151</v>
      </c>
      <c r="BS94" s="61">
        <f t="shared" si="102"/>
        <v>1.1659074585571414</v>
      </c>
      <c r="BT94" s="61">
        <f t="shared" si="102"/>
        <v>0.83327954675636273</v>
      </c>
      <c r="BU94" s="61">
        <f t="shared" si="102"/>
        <v>0.77536784806040804</v>
      </c>
      <c r="BV94" s="61">
        <f t="shared" si="102"/>
        <v>0.93652384071890049</v>
      </c>
      <c r="BW94" s="61">
        <f t="shared" ref="BW94:CF103" si="103">SQRT(($B94-BW$5)^2+($C94-BW$6)^2+($D94-BW$7)^2)</f>
        <v>0.88641142885105662</v>
      </c>
      <c r="BX94" s="61">
        <f t="shared" si="103"/>
        <v>0.93304540758007692</v>
      </c>
      <c r="BY94" s="61">
        <f t="shared" si="103"/>
        <v>0.59145543427034741</v>
      </c>
      <c r="BZ94" s="61">
        <f t="shared" si="103"/>
        <v>0.56684200015254482</v>
      </c>
      <c r="CA94" s="61">
        <f t="shared" si="103"/>
        <v>0.92369657644727632</v>
      </c>
      <c r="CB94" s="61">
        <f t="shared" si="103"/>
        <v>0.562486779948561</v>
      </c>
      <c r="CC94" s="61">
        <f t="shared" si="103"/>
        <v>0.92103034142224771</v>
      </c>
      <c r="CD94" s="61">
        <f t="shared" si="103"/>
        <v>0.91657074769141167</v>
      </c>
      <c r="CE94" s="61">
        <f t="shared" si="103"/>
        <v>0.6905091636865438</v>
      </c>
      <c r="CF94" s="61">
        <f t="shared" si="103"/>
        <v>0.54308443198134626</v>
      </c>
      <c r="CG94" s="61">
        <f t="shared" ref="CG94:CP103" si="104">SQRT(($B94-CG$5)^2+($C94-CG$6)^2+($D94-CG$7)^2)</f>
        <v>0</v>
      </c>
      <c r="CH94" s="61">
        <f t="shared" si="104"/>
        <v>0.52566741145874651</v>
      </c>
      <c r="CI94" s="61">
        <f t="shared" si="104"/>
        <v>0.53803262778144456</v>
      </c>
      <c r="CJ94" s="61">
        <f t="shared" si="104"/>
        <v>0.68002512075356558</v>
      </c>
      <c r="CK94" s="61">
        <f t="shared" si="104"/>
        <v>0.65408305118861376</v>
      </c>
      <c r="CL94" s="61">
        <f t="shared" si="104"/>
        <v>0.92736930460903932</v>
      </c>
      <c r="CM94" s="61">
        <f t="shared" si="104"/>
        <v>0.55761612915550196</v>
      </c>
      <c r="CN94" s="61">
        <f t="shared" si="104"/>
        <v>1.0549226118775377</v>
      </c>
      <c r="CO94" s="61">
        <f t="shared" si="104"/>
        <v>0.34987121613451139</v>
      </c>
      <c r="CP94" s="61">
        <f t="shared" si="104"/>
        <v>0.95263699544361835</v>
      </c>
      <c r="CQ94" s="61">
        <f t="shared" ref="CQ94:CZ103" si="105">SQRT(($B94-CQ$5)^2+($C94-CQ$6)^2+($D94-CQ$7)^2)</f>
        <v>0.61306690202296954</v>
      </c>
      <c r="CR94" s="61">
        <f t="shared" si="105"/>
        <v>0.64312797527900356</v>
      </c>
      <c r="CS94" s="61">
        <f t="shared" si="105"/>
        <v>0.98116852386486508</v>
      </c>
      <c r="CT94" s="61">
        <f t="shared" si="105"/>
        <v>1.0004721155159004</v>
      </c>
      <c r="CU94" s="61">
        <f t="shared" si="105"/>
        <v>0.5904981544676795</v>
      </c>
      <c r="CV94" s="61">
        <f t="shared" si="105"/>
        <v>0.94178568324217315</v>
      </c>
      <c r="CW94" s="61">
        <f t="shared" si="105"/>
        <v>1.0004721155159004</v>
      </c>
      <c r="CX94" s="61">
        <f t="shared" si="105"/>
        <v>0.79134892952854918</v>
      </c>
      <c r="CY94" s="61">
        <f t="shared" si="105"/>
        <v>1.0241866462442508</v>
      </c>
      <c r="CZ94" s="61">
        <f t="shared" si="105"/>
        <v>1.0241866462442508</v>
      </c>
      <c r="DA94" s="61">
        <f t="shared" ref="DA94:DJ103" si="106">SQRT(($B94-DA$5)^2+($C94-DA$6)^2+($D94-DA$7)^2)</f>
        <v>0.70953112246053385</v>
      </c>
      <c r="DB94" s="61">
        <f t="shared" si="106"/>
        <v>1.053448068154186</v>
      </c>
      <c r="DC94" s="61">
        <f t="shared" si="106"/>
        <v>1.053448068154186</v>
      </c>
      <c r="DD94" s="61">
        <f t="shared" si="106"/>
        <v>0.78074924888373731</v>
      </c>
      <c r="DE94" s="61">
        <f t="shared" si="106"/>
        <v>0.95598623100318458</v>
      </c>
      <c r="DF94" s="61">
        <f t="shared" si="106"/>
        <v>1.2727100015739927</v>
      </c>
      <c r="DG94" s="61">
        <f t="shared" si="106"/>
        <v>1.3812717164408996</v>
      </c>
      <c r="DH94" s="61">
        <f t="shared" si="106"/>
        <v>1.3812717164408996</v>
      </c>
      <c r="DI94" s="61">
        <f t="shared" si="106"/>
        <v>1.3812717164408996</v>
      </c>
      <c r="DJ94" s="61">
        <f t="shared" si="106"/>
        <v>1.3812717164408996</v>
      </c>
      <c r="DK94" s="61">
        <f t="shared" ref="DK94:DQ103" si="107">SQRT(($B94-DK$5)^2+($C94-DK$6)^2+($D94-DK$7)^2)</f>
        <v>1.5460037433839253</v>
      </c>
      <c r="DL94" s="61">
        <f t="shared" si="107"/>
        <v>1.5460037433839253</v>
      </c>
      <c r="DM94" s="61">
        <f t="shared" si="107"/>
        <v>1.5460037433839253</v>
      </c>
      <c r="DN94" s="61">
        <f t="shared" si="107"/>
        <v>1.5460037433839253</v>
      </c>
      <c r="DO94" s="61">
        <f t="shared" si="107"/>
        <v>1.5460037433839253</v>
      </c>
      <c r="DP94" s="61">
        <f t="shared" si="107"/>
        <v>1.8495305652109939</v>
      </c>
      <c r="DQ94" s="61">
        <f t="shared" si="107"/>
        <v>1.8495305652109939</v>
      </c>
    </row>
    <row r="95" spans="1:121" x14ac:dyDescent="0.25">
      <c r="A95" s="48" t="str">
        <f>KMeans_Data!A86</f>
        <v>Bahawal Nagar</v>
      </c>
      <c r="B95" s="59">
        <f>KMeans_Data!H86</f>
        <v>-0.47094306176301559</v>
      </c>
      <c r="C95" s="59">
        <f>KMeans_Data!I86</f>
        <v>-0.67265054538827607</v>
      </c>
      <c r="D95" s="59">
        <f>KMeans_Data!J86</f>
        <v>-0.39984522290956798</v>
      </c>
      <c r="E95" s="61">
        <f t="shared" si="96"/>
        <v>7.0403370809162977</v>
      </c>
      <c r="F95" s="61">
        <f t="shared" si="96"/>
        <v>6.830749524631031</v>
      </c>
      <c r="G95" s="61">
        <f t="shared" si="96"/>
        <v>4.9524606015591397</v>
      </c>
      <c r="H95" s="61">
        <f t="shared" si="96"/>
        <v>5.4792009603781153</v>
      </c>
      <c r="I95" s="61">
        <f t="shared" si="96"/>
        <v>4.3444567032013071</v>
      </c>
      <c r="J95" s="61">
        <f t="shared" si="96"/>
        <v>3.9608528137386494</v>
      </c>
      <c r="K95" s="61">
        <f t="shared" si="96"/>
        <v>2.037665029158378</v>
      </c>
      <c r="L95" s="61">
        <f t="shared" si="96"/>
        <v>3.0904460933473801</v>
      </c>
      <c r="M95" s="61">
        <f t="shared" si="96"/>
        <v>3.3068100564542129</v>
      </c>
      <c r="N95" s="61">
        <f t="shared" si="96"/>
        <v>1.8038311895884891</v>
      </c>
      <c r="O95" s="61">
        <f t="shared" si="97"/>
        <v>3.0236310654274314</v>
      </c>
      <c r="P95" s="61">
        <f t="shared" si="97"/>
        <v>3.3116582638138743</v>
      </c>
      <c r="Q95" s="61">
        <f t="shared" si="97"/>
        <v>2.6941879343290909</v>
      </c>
      <c r="R95" s="61">
        <f t="shared" si="97"/>
        <v>2.6226032521928966</v>
      </c>
      <c r="S95" s="61">
        <f t="shared" si="97"/>
        <v>2.2175838773701266</v>
      </c>
      <c r="T95" s="61">
        <f t="shared" si="97"/>
        <v>2.6091014177720879</v>
      </c>
      <c r="U95" s="61">
        <f t="shared" si="97"/>
        <v>2.6197885183362746</v>
      </c>
      <c r="V95" s="61">
        <f t="shared" si="97"/>
        <v>2.6471291541652633</v>
      </c>
      <c r="W95" s="61">
        <f t="shared" si="97"/>
        <v>2.7831209189479411</v>
      </c>
      <c r="X95" s="61">
        <f t="shared" si="97"/>
        <v>2.4422500406570169</v>
      </c>
      <c r="Y95" s="61">
        <f t="shared" si="98"/>
        <v>2.5593648862772129</v>
      </c>
      <c r="Z95" s="61">
        <f t="shared" si="98"/>
        <v>2.1893897887016402</v>
      </c>
      <c r="AA95" s="61">
        <f t="shared" si="98"/>
        <v>2.0288161197213861</v>
      </c>
      <c r="AB95" s="61">
        <f t="shared" si="98"/>
        <v>2.0498503274687199</v>
      </c>
      <c r="AC95" s="61">
        <f t="shared" si="98"/>
        <v>2.6474917709328034</v>
      </c>
      <c r="AD95" s="61">
        <f t="shared" si="98"/>
        <v>2.5267970894044196</v>
      </c>
      <c r="AE95" s="61">
        <f t="shared" si="98"/>
        <v>1.4420033901708058</v>
      </c>
      <c r="AF95" s="61">
        <f t="shared" si="98"/>
        <v>2.1492229790097195</v>
      </c>
      <c r="AG95" s="61">
        <f t="shared" si="98"/>
        <v>1.0486966105238775</v>
      </c>
      <c r="AH95" s="61">
        <f t="shared" si="98"/>
        <v>1.7859470976031229</v>
      </c>
      <c r="AI95" s="61">
        <f t="shared" si="99"/>
        <v>1.0455326493056329</v>
      </c>
      <c r="AJ95" s="61">
        <f t="shared" si="99"/>
        <v>2.2044826808066889</v>
      </c>
      <c r="AK95" s="61">
        <f t="shared" si="99"/>
        <v>1.606790743678614</v>
      </c>
      <c r="AL95" s="61">
        <f t="shared" si="99"/>
        <v>1.4476591077206886</v>
      </c>
      <c r="AM95" s="61">
        <f t="shared" si="99"/>
        <v>2.3730174221457321</v>
      </c>
      <c r="AN95" s="61">
        <f t="shared" si="99"/>
        <v>2.3270568670226677</v>
      </c>
      <c r="AO95" s="61">
        <f t="shared" si="99"/>
        <v>1.6751567461548993</v>
      </c>
      <c r="AP95" s="61">
        <f t="shared" si="99"/>
        <v>1.6294984854266972</v>
      </c>
      <c r="AQ95" s="61">
        <f t="shared" si="99"/>
        <v>2.3692313242679233</v>
      </c>
      <c r="AR95" s="61">
        <f t="shared" si="99"/>
        <v>1.2402845032479102</v>
      </c>
      <c r="AS95" s="61">
        <f t="shared" si="100"/>
        <v>1.6159837597337479</v>
      </c>
      <c r="AT95" s="61">
        <f t="shared" si="100"/>
        <v>1.4863840696774933</v>
      </c>
      <c r="AU95" s="61">
        <f t="shared" si="100"/>
        <v>0.93272287044899682</v>
      </c>
      <c r="AV95" s="61">
        <f t="shared" si="100"/>
        <v>1.1687281284290845</v>
      </c>
      <c r="AW95" s="61">
        <f t="shared" si="100"/>
        <v>0.8268979545909303</v>
      </c>
      <c r="AX95" s="61">
        <f t="shared" si="100"/>
        <v>1.3415350266125405</v>
      </c>
      <c r="AY95" s="61">
        <f t="shared" si="100"/>
        <v>1.0038379052882176</v>
      </c>
      <c r="AZ95" s="61">
        <f t="shared" si="100"/>
        <v>1.5821290985574616</v>
      </c>
      <c r="BA95" s="61">
        <f t="shared" si="100"/>
        <v>1.4658179526091368</v>
      </c>
      <c r="BB95" s="61">
        <f t="shared" si="100"/>
        <v>0.99946758962387372</v>
      </c>
      <c r="BC95" s="61">
        <f t="shared" si="101"/>
        <v>0.99506593799145893</v>
      </c>
      <c r="BD95" s="61">
        <f t="shared" si="101"/>
        <v>0.64664905511688153</v>
      </c>
      <c r="BE95" s="61">
        <f t="shared" si="101"/>
        <v>0.64343744829709892</v>
      </c>
      <c r="BF95" s="61">
        <f t="shared" si="101"/>
        <v>2.4411448223574501</v>
      </c>
      <c r="BG95" s="61">
        <f t="shared" si="101"/>
        <v>1.2806067077898473</v>
      </c>
      <c r="BH95" s="61">
        <f t="shared" si="101"/>
        <v>0.9301109187907125</v>
      </c>
      <c r="BI95" s="61">
        <f t="shared" si="101"/>
        <v>0.92033239296903524</v>
      </c>
      <c r="BJ95" s="61">
        <f t="shared" si="101"/>
        <v>1.378355362856533</v>
      </c>
      <c r="BK95" s="61">
        <f t="shared" si="101"/>
        <v>0.47690185332704632</v>
      </c>
      <c r="BL95" s="61">
        <f t="shared" si="101"/>
        <v>0.89558526619189438</v>
      </c>
      <c r="BM95" s="61">
        <f t="shared" si="102"/>
        <v>1.5793546122383852</v>
      </c>
      <c r="BN95" s="61">
        <f t="shared" si="102"/>
        <v>1.0357569490445875</v>
      </c>
      <c r="BO95" s="61">
        <f t="shared" si="102"/>
        <v>0.58750466892618147</v>
      </c>
      <c r="BP95" s="61">
        <f t="shared" si="102"/>
        <v>1.1292112980955762</v>
      </c>
      <c r="BQ95" s="61">
        <f t="shared" si="102"/>
        <v>1.0085427341172024</v>
      </c>
      <c r="BR95" s="61">
        <f t="shared" si="102"/>
        <v>1.0387326030939095</v>
      </c>
      <c r="BS95" s="61">
        <f t="shared" si="102"/>
        <v>1.0406795733795458</v>
      </c>
      <c r="BT95" s="61">
        <f t="shared" si="102"/>
        <v>0.64655129384508248</v>
      </c>
      <c r="BU95" s="61">
        <f t="shared" si="102"/>
        <v>0.5699728698245986</v>
      </c>
      <c r="BV95" s="61">
        <f t="shared" si="102"/>
        <v>0.77508107754295064</v>
      </c>
      <c r="BW95" s="61">
        <f t="shared" si="103"/>
        <v>0.71372193025577735</v>
      </c>
      <c r="BX95" s="61">
        <f t="shared" si="103"/>
        <v>0.77087450673668845</v>
      </c>
      <c r="BY95" s="61">
        <f t="shared" si="103"/>
        <v>0.27109648330103103</v>
      </c>
      <c r="BZ95" s="61">
        <f t="shared" si="103"/>
        <v>0.21209343617188753</v>
      </c>
      <c r="CA95" s="61">
        <f t="shared" si="103"/>
        <v>0.75953218356477814</v>
      </c>
      <c r="CB95" s="61">
        <f t="shared" si="103"/>
        <v>0.20016280910089596</v>
      </c>
      <c r="CC95" s="61">
        <f t="shared" si="103"/>
        <v>0.75628742046304265</v>
      </c>
      <c r="CD95" s="61">
        <f t="shared" si="103"/>
        <v>0.75084999038013855</v>
      </c>
      <c r="CE95" s="61">
        <f t="shared" si="103"/>
        <v>0.44774622015752519</v>
      </c>
      <c r="CF95" s="61">
        <f t="shared" si="103"/>
        <v>0.75582202119959474</v>
      </c>
      <c r="CG95" s="61">
        <f t="shared" si="104"/>
        <v>0.52566741145874651</v>
      </c>
      <c r="CH95" s="61">
        <f t="shared" si="104"/>
        <v>0</v>
      </c>
      <c r="CI95" s="61">
        <f t="shared" si="104"/>
        <v>0.11468601086299637</v>
      </c>
      <c r="CJ95" s="61">
        <f t="shared" si="104"/>
        <v>0.43140229181839357</v>
      </c>
      <c r="CK95" s="61">
        <f t="shared" si="104"/>
        <v>0.38922796711242064</v>
      </c>
      <c r="CL95" s="61">
        <f t="shared" si="104"/>
        <v>0.76399450237636801</v>
      </c>
      <c r="CM95" s="61">
        <f t="shared" si="104"/>
        <v>0.18603634060211574</v>
      </c>
      <c r="CN95" s="61">
        <f t="shared" si="104"/>
        <v>1.1786381737073788</v>
      </c>
      <c r="CO95" s="61">
        <f t="shared" si="104"/>
        <v>0.63145553711182312</v>
      </c>
      <c r="CP95" s="61">
        <f t="shared" si="104"/>
        <v>0.794475309634041</v>
      </c>
      <c r="CQ95" s="61">
        <f t="shared" si="105"/>
        <v>0.31547551234018489</v>
      </c>
      <c r="CR95" s="61">
        <f t="shared" si="105"/>
        <v>0.37052309660361449</v>
      </c>
      <c r="CS95" s="61">
        <f t="shared" si="105"/>
        <v>0.82847175253802063</v>
      </c>
      <c r="CT95" s="61">
        <f t="shared" si="105"/>
        <v>0.85124510363063022</v>
      </c>
      <c r="CU95" s="61">
        <f t="shared" si="105"/>
        <v>0.79057845777599745</v>
      </c>
      <c r="CV95" s="61">
        <f t="shared" si="105"/>
        <v>0.78143076832831959</v>
      </c>
      <c r="CW95" s="61">
        <f t="shared" si="105"/>
        <v>0.85124510363063022</v>
      </c>
      <c r="CX95" s="61">
        <f t="shared" si="105"/>
        <v>0.59152928988871001</v>
      </c>
      <c r="CY95" s="61">
        <f t="shared" si="105"/>
        <v>0.87899491402129681</v>
      </c>
      <c r="CZ95" s="61">
        <f t="shared" si="105"/>
        <v>0.87899491402129681</v>
      </c>
      <c r="DA95" s="61">
        <f t="shared" si="106"/>
        <v>0.47655869131762352</v>
      </c>
      <c r="DB95" s="61">
        <f t="shared" si="106"/>
        <v>0.91292201464749856</v>
      </c>
      <c r="DC95" s="61">
        <f t="shared" si="106"/>
        <v>0.91292201464749856</v>
      </c>
      <c r="DD95" s="61">
        <f t="shared" si="106"/>
        <v>0.57727217338338843</v>
      </c>
      <c r="DE95" s="61">
        <f t="shared" si="106"/>
        <v>0.7984882255850333</v>
      </c>
      <c r="DF95" s="61">
        <f t="shared" si="106"/>
        <v>1.1590791692704745</v>
      </c>
      <c r="DG95" s="61">
        <f t="shared" si="106"/>
        <v>1.2773352446283825</v>
      </c>
      <c r="DH95" s="61">
        <f t="shared" si="106"/>
        <v>1.2773352446283825</v>
      </c>
      <c r="DI95" s="61">
        <f t="shared" si="106"/>
        <v>1.2773352446283825</v>
      </c>
      <c r="DJ95" s="61">
        <f t="shared" si="106"/>
        <v>1.2773352446283825</v>
      </c>
      <c r="DK95" s="61">
        <f t="shared" si="107"/>
        <v>1.4538917934589806</v>
      </c>
      <c r="DL95" s="61">
        <f t="shared" si="107"/>
        <v>1.4538917934589806</v>
      </c>
      <c r="DM95" s="61">
        <f t="shared" si="107"/>
        <v>1.4538917934589806</v>
      </c>
      <c r="DN95" s="61">
        <f t="shared" si="107"/>
        <v>1.4538917934589806</v>
      </c>
      <c r="DO95" s="61">
        <f t="shared" si="107"/>
        <v>1.4538917934589806</v>
      </c>
      <c r="DP95" s="61">
        <f t="shared" si="107"/>
        <v>1.7732560684176326</v>
      </c>
      <c r="DQ95" s="61">
        <f t="shared" si="107"/>
        <v>1.7732560684176326</v>
      </c>
    </row>
    <row r="96" spans="1:121" x14ac:dyDescent="0.25">
      <c r="A96" s="48" t="str">
        <f>KMeans_Data!A87</f>
        <v>Ghizer</v>
      </c>
      <c r="B96" s="59">
        <f>KMeans_Data!H87</f>
        <v>-0.5205491527213375</v>
      </c>
      <c r="C96" s="59">
        <f>KMeans_Data!I87</f>
        <v>-0.67265054538827607</v>
      </c>
      <c r="D96" s="59">
        <f>KMeans_Data!J87</f>
        <v>-0.50324791546397885</v>
      </c>
      <c r="E96" s="61">
        <f t="shared" si="96"/>
        <v>7.1208456226614238</v>
      </c>
      <c r="F96" s="61">
        <f t="shared" si="96"/>
        <v>6.904962309619231</v>
      </c>
      <c r="G96" s="61">
        <f t="shared" si="96"/>
        <v>5.0393093377908409</v>
      </c>
      <c r="H96" s="61">
        <f t="shared" si="96"/>
        <v>5.5440084806592562</v>
      </c>
      <c r="I96" s="61">
        <f t="shared" si="96"/>
        <v>4.4252820360016489</v>
      </c>
      <c r="J96" s="61">
        <f t="shared" si="96"/>
        <v>4.0345545142268895</v>
      </c>
      <c r="K96" s="61">
        <f t="shared" si="96"/>
        <v>2.0632590619058639</v>
      </c>
      <c r="L96" s="61">
        <f t="shared" si="96"/>
        <v>3.1906927509358134</v>
      </c>
      <c r="M96" s="61">
        <f t="shared" si="96"/>
        <v>3.3989881677463676</v>
      </c>
      <c r="N96" s="61">
        <f t="shared" si="96"/>
        <v>1.8289561683408766</v>
      </c>
      <c r="O96" s="61">
        <f t="shared" si="97"/>
        <v>3.0987925151978901</v>
      </c>
      <c r="P96" s="61">
        <f t="shared" si="97"/>
        <v>3.3856718567872424</v>
      </c>
      <c r="Q96" s="61">
        <f t="shared" si="97"/>
        <v>2.7799458231850371</v>
      </c>
      <c r="R96" s="61">
        <f t="shared" si="97"/>
        <v>2.7253656976307941</v>
      </c>
      <c r="S96" s="61">
        <f t="shared" si="97"/>
        <v>2.3241232344197638</v>
      </c>
      <c r="T96" s="61">
        <f t="shared" si="97"/>
        <v>2.6930592632893222</v>
      </c>
      <c r="U96" s="61">
        <f t="shared" si="97"/>
        <v>2.7240772795812167</v>
      </c>
      <c r="V96" s="61">
        <f t="shared" si="97"/>
        <v>2.7133670721807133</v>
      </c>
      <c r="W96" s="61">
        <f t="shared" si="97"/>
        <v>2.8576214149681647</v>
      </c>
      <c r="X96" s="61">
        <f t="shared" si="97"/>
        <v>2.5308216483710115</v>
      </c>
      <c r="Y96" s="61">
        <f t="shared" si="98"/>
        <v>2.6520906940775428</v>
      </c>
      <c r="Z96" s="61">
        <f t="shared" si="98"/>
        <v>2.2675561590860154</v>
      </c>
      <c r="AA96" s="61">
        <f t="shared" si="98"/>
        <v>2.1295212024750394</v>
      </c>
      <c r="AB96" s="61">
        <f t="shared" si="98"/>
        <v>2.1354522236759466</v>
      </c>
      <c r="AC96" s="61">
        <f t="shared" si="98"/>
        <v>2.7162266705548941</v>
      </c>
      <c r="AD96" s="61">
        <f t="shared" si="98"/>
        <v>2.6195253784583974</v>
      </c>
      <c r="AE96" s="61">
        <f t="shared" si="98"/>
        <v>1.4314584704603783</v>
      </c>
      <c r="AF96" s="61">
        <f t="shared" si="98"/>
        <v>2.236532208906425</v>
      </c>
      <c r="AG96" s="61">
        <f t="shared" si="98"/>
        <v>1.1031595265013121</v>
      </c>
      <c r="AH96" s="61">
        <f t="shared" si="98"/>
        <v>1.8844418667591996</v>
      </c>
      <c r="AI96" s="61">
        <f t="shared" si="99"/>
        <v>1.1000095350743209</v>
      </c>
      <c r="AJ96" s="61">
        <f t="shared" si="99"/>
        <v>2.2997730640704468</v>
      </c>
      <c r="AK96" s="61">
        <f t="shared" si="99"/>
        <v>1.684155326287355</v>
      </c>
      <c r="AL96" s="61">
        <f t="shared" si="99"/>
        <v>1.5493664484001652</v>
      </c>
      <c r="AM96" s="61">
        <f t="shared" si="99"/>
        <v>2.4259896057251416</v>
      </c>
      <c r="AN96" s="61">
        <f t="shared" si="99"/>
        <v>2.3982494468191708</v>
      </c>
      <c r="AO96" s="61">
        <f t="shared" si="99"/>
        <v>1.7616388360821222</v>
      </c>
      <c r="AP96" s="61">
        <f t="shared" si="99"/>
        <v>1.7133601820312367</v>
      </c>
      <c r="AQ96" s="61">
        <f t="shared" si="99"/>
        <v>2.4343885171287201</v>
      </c>
      <c r="AR96" s="61">
        <f t="shared" si="99"/>
        <v>1.3050999471178</v>
      </c>
      <c r="AS96" s="61">
        <f t="shared" si="100"/>
        <v>1.7304632970164118</v>
      </c>
      <c r="AT96" s="61">
        <f t="shared" si="100"/>
        <v>1.5934799760645375</v>
      </c>
      <c r="AU96" s="61">
        <f t="shared" si="100"/>
        <v>0.95232137084372281</v>
      </c>
      <c r="AV96" s="61">
        <f t="shared" si="100"/>
        <v>1.2807909425301958</v>
      </c>
      <c r="AW96" s="61">
        <f t="shared" si="100"/>
        <v>0.82431808411153729</v>
      </c>
      <c r="AX96" s="61">
        <f t="shared" si="100"/>
        <v>1.4297806209620372</v>
      </c>
      <c r="AY96" s="61">
        <f t="shared" si="100"/>
        <v>0.96605936679666238</v>
      </c>
      <c r="AZ96" s="61">
        <f t="shared" si="100"/>
        <v>1.6968110775566161</v>
      </c>
      <c r="BA96" s="61">
        <f t="shared" si="100"/>
        <v>1.5732306832436018</v>
      </c>
      <c r="BB96" s="61">
        <f t="shared" si="100"/>
        <v>0.96117953195056993</v>
      </c>
      <c r="BC96" s="61">
        <f t="shared" si="101"/>
        <v>0.95625783460382452</v>
      </c>
      <c r="BD96" s="61">
        <f t="shared" si="101"/>
        <v>0.68793428527222944</v>
      </c>
      <c r="BE96" s="61">
        <f t="shared" si="101"/>
        <v>0.722041275439954</v>
      </c>
      <c r="BF96" s="61">
        <f t="shared" si="101"/>
        <v>2.5049784104029058</v>
      </c>
      <c r="BG96" s="61">
        <f t="shared" si="101"/>
        <v>1.3857847126495151</v>
      </c>
      <c r="BH96" s="61">
        <f t="shared" si="101"/>
        <v>0.88270268230514959</v>
      </c>
      <c r="BI96" s="61">
        <f t="shared" si="101"/>
        <v>0.87145281638514049</v>
      </c>
      <c r="BJ96" s="61">
        <f t="shared" si="101"/>
        <v>1.4304100538676019</v>
      </c>
      <c r="BK96" s="61">
        <f t="shared" si="101"/>
        <v>0.53656568304645291</v>
      </c>
      <c r="BL96" s="61">
        <f t="shared" si="101"/>
        <v>1.009745832395214</v>
      </c>
      <c r="BM96" s="61">
        <f t="shared" si="102"/>
        <v>1.6545118042307789</v>
      </c>
      <c r="BN96" s="61">
        <f t="shared" si="102"/>
        <v>1.1044938220684786</v>
      </c>
      <c r="BO96" s="61">
        <f t="shared" si="102"/>
        <v>0.55748534290026153</v>
      </c>
      <c r="BP96" s="61">
        <f t="shared" si="102"/>
        <v>1.209442071437411</v>
      </c>
      <c r="BQ96" s="61">
        <f t="shared" si="102"/>
        <v>1.1080225099383831</v>
      </c>
      <c r="BR96" s="61">
        <f t="shared" si="102"/>
        <v>1.138953723931263</v>
      </c>
      <c r="BS96" s="61">
        <f t="shared" si="102"/>
        <v>1.1540957996219467</v>
      </c>
      <c r="BT96" s="61">
        <f t="shared" si="102"/>
        <v>0.76116066695364337</v>
      </c>
      <c r="BU96" s="61">
        <f t="shared" si="102"/>
        <v>0.68464141459800198</v>
      </c>
      <c r="BV96" s="61">
        <f t="shared" si="102"/>
        <v>0.69325703639630332</v>
      </c>
      <c r="BW96" s="61">
        <f t="shared" si="103"/>
        <v>0.82697318054921376</v>
      </c>
      <c r="BX96" s="61">
        <f t="shared" si="103"/>
        <v>0.68739594979167373</v>
      </c>
      <c r="BY96" s="61">
        <f t="shared" si="103"/>
        <v>0.38432135909368148</v>
      </c>
      <c r="BZ96" s="61">
        <f t="shared" si="103"/>
        <v>0.32349051171841903</v>
      </c>
      <c r="CA96" s="61">
        <f t="shared" si="103"/>
        <v>0.67087381661883372</v>
      </c>
      <c r="CB96" s="61">
        <f t="shared" si="103"/>
        <v>0.31291472698083567</v>
      </c>
      <c r="CC96" s="61">
        <f t="shared" si="103"/>
        <v>0.66583871396485106</v>
      </c>
      <c r="CD96" s="61">
        <f t="shared" si="103"/>
        <v>0.65674921231337058</v>
      </c>
      <c r="CE96" s="61">
        <f t="shared" si="103"/>
        <v>0.55838947493402602</v>
      </c>
      <c r="CF96" s="61">
        <f t="shared" si="103"/>
        <v>0.83814527162239572</v>
      </c>
      <c r="CG96" s="61">
        <f t="shared" si="104"/>
        <v>0.53803262778144456</v>
      </c>
      <c r="CH96" s="61">
        <f t="shared" si="104"/>
        <v>0.11468601086299637</v>
      </c>
      <c r="CI96" s="61">
        <f t="shared" si="104"/>
        <v>0</v>
      </c>
      <c r="CJ96" s="61">
        <f t="shared" si="104"/>
        <v>0.32230564583968607</v>
      </c>
      <c r="CK96" s="61">
        <f t="shared" si="104"/>
        <v>0.47633708153308796</v>
      </c>
      <c r="CL96" s="61">
        <f t="shared" si="104"/>
        <v>0.65281028551428377</v>
      </c>
      <c r="CM96" s="61">
        <f t="shared" si="104"/>
        <v>0.22088596085476772</v>
      </c>
      <c r="CN96" s="61">
        <f t="shared" si="104"/>
        <v>1.261614760967849</v>
      </c>
      <c r="CO96" s="61">
        <f t="shared" si="104"/>
        <v>0.65556417557546298</v>
      </c>
      <c r="CP96" s="61">
        <f t="shared" si="104"/>
        <v>0.68039901528216939</v>
      </c>
      <c r="CQ96" s="61">
        <f t="shared" si="105"/>
        <v>0.28526946218168647</v>
      </c>
      <c r="CR96" s="61">
        <f t="shared" si="105"/>
        <v>0.36348372709209587</v>
      </c>
      <c r="CS96" s="61">
        <f t="shared" si="105"/>
        <v>0.71378643937193698</v>
      </c>
      <c r="CT96" s="61">
        <f t="shared" si="105"/>
        <v>0.7367647753609291</v>
      </c>
      <c r="CU96" s="61">
        <f t="shared" si="105"/>
        <v>0.71389348120964868</v>
      </c>
      <c r="CV96" s="61">
        <f t="shared" si="105"/>
        <v>0.84888162932640632</v>
      </c>
      <c r="CW96" s="61">
        <f t="shared" si="105"/>
        <v>0.7367647753609291</v>
      </c>
      <c r="CX96" s="61">
        <f t="shared" si="105"/>
        <v>0.62647025092302167</v>
      </c>
      <c r="CY96" s="61">
        <f t="shared" si="105"/>
        <v>0.76511154040510476</v>
      </c>
      <c r="CZ96" s="61">
        <f t="shared" si="105"/>
        <v>0.76511154040510476</v>
      </c>
      <c r="DA96" s="61">
        <f t="shared" si="106"/>
        <v>0.41559931468832789</v>
      </c>
      <c r="DB96" s="61">
        <f t="shared" si="106"/>
        <v>0.80006765751306064</v>
      </c>
      <c r="DC96" s="61">
        <f t="shared" si="106"/>
        <v>0.80006765751306064</v>
      </c>
      <c r="DD96" s="61">
        <f t="shared" si="106"/>
        <v>0.49518353722908859</v>
      </c>
      <c r="DE96" s="61">
        <f t="shared" si="106"/>
        <v>0.70415592421840867</v>
      </c>
      <c r="DF96" s="61">
        <f t="shared" si="106"/>
        <v>1.0556297433122959</v>
      </c>
      <c r="DG96" s="61">
        <f t="shared" si="106"/>
        <v>1.1779728061740729</v>
      </c>
      <c r="DH96" s="61">
        <f t="shared" si="106"/>
        <v>1.1779728061740729</v>
      </c>
      <c r="DI96" s="61">
        <f t="shared" si="106"/>
        <v>1.1779728061740729</v>
      </c>
      <c r="DJ96" s="61">
        <f t="shared" si="106"/>
        <v>1.1779728061740729</v>
      </c>
      <c r="DK96" s="61">
        <f t="shared" si="107"/>
        <v>1.3597422417409424</v>
      </c>
      <c r="DL96" s="61">
        <f t="shared" si="107"/>
        <v>1.3597422417409424</v>
      </c>
      <c r="DM96" s="61">
        <f t="shared" si="107"/>
        <v>1.3597422417409424</v>
      </c>
      <c r="DN96" s="61">
        <f t="shared" si="107"/>
        <v>1.3597422417409424</v>
      </c>
      <c r="DO96" s="61">
        <f t="shared" si="107"/>
        <v>1.3597422417409424</v>
      </c>
      <c r="DP96" s="61">
        <f t="shared" si="107"/>
        <v>1.6863400260996402</v>
      </c>
      <c r="DQ96" s="61">
        <f t="shared" si="107"/>
        <v>1.6863400260996402</v>
      </c>
    </row>
    <row r="97" spans="1:121" x14ac:dyDescent="0.25">
      <c r="A97" s="48" t="str">
        <f>KMeans_Data!A88</f>
        <v>Mianwali</v>
      </c>
      <c r="B97" s="59">
        <f>KMeans_Data!H88</f>
        <v>-0.54724577455296852</v>
      </c>
      <c r="C97" s="59">
        <f>KMeans_Data!I88</f>
        <v>-0.67265054538827607</v>
      </c>
      <c r="D97" s="59">
        <f>KMeans_Data!J88</f>
        <v>-0.82444601589876665</v>
      </c>
      <c r="E97" s="61">
        <f t="shared" si="96"/>
        <v>7.3092925798473285</v>
      </c>
      <c r="F97" s="61">
        <f t="shared" si="96"/>
        <v>7.0731146754003884</v>
      </c>
      <c r="G97" s="61">
        <f t="shared" si="96"/>
        <v>5.2440289968498544</v>
      </c>
      <c r="H97" s="61">
        <f t="shared" si="96"/>
        <v>5.6894366064841231</v>
      </c>
      <c r="I97" s="61">
        <f t="shared" si="96"/>
        <v>4.6091039967282335</v>
      </c>
      <c r="J97" s="61">
        <f t="shared" si="96"/>
        <v>4.2118408770858213</v>
      </c>
      <c r="K97" s="61">
        <f t="shared" si="96"/>
        <v>2.0624973801360014</v>
      </c>
      <c r="L97" s="61">
        <f t="shared" si="96"/>
        <v>3.4370266078241603</v>
      </c>
      <c r="M97" s="61">
        <f t="shared" si="96"/>
        <v>3.6282913684147635</v>
      </c>
      <c r="N97" s="61">
        <f t="shared" si="96"/>
        <v>1.8260813252560564</v>
      </c>
      <c r="O97" s="61">
        <f t="shared" si="97"/>
        <v>3.2792242772030167</v>
      </c>
      <c r="P97" s="61">
        <f t="shared" si="97"/>
        <v>3.5675627477313929</v>
      </c>
      <c r="Q97" s="61">
        <f t="shared" si="97"/>
        <v>2.9887837473628283</v>
      </c>
      <c r="R97" s="61">
        <f t="shared" si="97"/>
        <v>2.980360147150797</v>
      </c>
      <c r="S97" s="61">
        <f t="shared" si="97"/>
        <v>2.5806813216314897</v>
      </c>
      <c r="T97" s="61">
        <f t="shared" si="97"/>
        <v>2.8983028459055147</v>
      </c>
      <c r="U97" s="61">
        <f t="shared" si="97"/>
        <v>2.9899160646188165</v>
      </c>
      <c r="V97" s="61">
        <f t="shared" si="97"/>
        <v>2.8740349047982301</v>
      </c>
      <c r="W97" s="61">
        <f t="shared" si="97"/>
        <v>3.044113476172825</v>
      </c>
      <c r="X97" s="61">
        <f t="shared" si="97"/>
        <v>2.7515337871152763</v>
      </c>
      <c r="Y97" s="61">
        <f t="shared" si="98"/>
        <v>2.888861640576013</v>
      </c>
      <c r="Z97" s="61">
        <f t="shared" si="98"/>
        <v>2.4568127959975543</v>
      </c>
      <c r="AA97" s="61">
        <f t="shared" si="98"/>
        <v>2.3765829772127947</v>
      </c>
      <c r="AB97" s="61">
        <f t="shared" si="98"/>
        <v>2.3421197579640043</v>
      </c>
      <c r="AC97" s="61">
        <f t="shared" si="98"/>
        <v>2.8880967065357632</v>
      </c>
      <c r="AD97" s="61">
        <f t="shared" si="98"/>
        <v>2.859357923996563</v>
      </c>
      <c r="AE97" s="61">
        <f t="shared" si="98"/>
        <v>1.3425907007716069</v>
      </c>
      <c r="AF97" s="61">
        <f t="shared" si="98"/>
        <v>2.4597051772373923</v>
      </c>
      <c r="AG97" s="61">
        <f t="shared" si="98"/>
        <v>1.2024596919912254</v>
      </c>
      <c r="AH97" s="61">
        <f t="shared" si="98"/>
        <v>2.1304905022258653</v>
      </c>
      <c r="AI97" s="61">
        <f t="shared" si="99"/>
        <v>1.1995000679679808</v>
      </c>
      <c r="AJ97" s="61">
        <f t="shared" si="99"/>
        <v>2.5474590643973301</v>
      </c>
      <c r="AK97" s="61">
        <f t="shared" si="99"/>
        <v>1.8718729706832955</v>
      </c>
      <c r="AL97" s="61">
        <f t="shared" si="99"/>
        <v>1.7988862360672941</v>
      </c>
      <c r="AM97" s="61">
        <f t="shared" si="99"/>
        <v>2.5619690588914095</v>
      </c>
      <c r="AN97" s="61">
        <f t="shared" si="99"/>
        <v>2.58710146646618</v>
      </c>
      <c r="AO97" s="61">
        <f t="shared" si="99"/>
        <v>1.9820052448344629</v>
      </c>
      <c r="AP97" s="61">
        <f t="shared" si="99"/>
        <v>1.9259275230564288</v>
      </c>
      <c r="AQ97" s="61">
        <f t="shared" si="99"/>
        <v>2.6089705454865988</v>
      </c>
      <c r="AR97" s="61">
        <f t="shared" si="99"/>
        <v>1.458951085961371</v>
      </c>
      <c r="AS97" s="61">
        <f t="shared" si="100"/>
        <v>2.0287509443114469</v>
      </c>
      <c r="AT97" s="61">
        <f t="shared" si="100"/>
        <v>1.8724651155762679</v>
      </c>
      <c r="AU97" s="61">
        <f t="shared" si="100"/>
        <v>0.98333984243708539</v>
      </c>
      <c r="AV97" s="61">
        <f t="shared" si="100"/>
        <v>1.5620065900671254</v>
      </c>
      <c r="AW97" s="61">
        <f t="shared" si="100"/>
        <v>0.78586200833868158</v>
      </c>
      <c r="AX97" s="61">
        <f t="shared" si="100"/>
        <v>1.6603603542875547</v>
      </c>
      <c r="AY97" s="61">
        <f t="shared" si="100"/>
        <v>0.81425014098703941</v>
      </c>
      <c r="AZ97" s="61">
        <f t="shared" si="100"/>
        <v>2.0020344759096376</v>
      </c>
      <c r="BA97" s="61">
        <f t="shared" si="100"/>
        <v>1.8578526789579521</v>
      </c>
      <c r="BB97" s="61">
        <f t="shared" si="100"/>
        <v>0.80823828507258699</v>
      </c>
      <c r="BC97" s="61">
        <f t="shared" si="101"/>
        <v>0.80215838015329033</v>
      </c>
      <c r="BD97" s="61">
        <f t="shared" si="101"/>
        <v>0.78349572628764375</v>
      </c>
      <c r="BE97" s="61">
        <f t="shared" si="101"/>
        <v>0.90983031393939129</v>
      </c>
      <c r="BF97" s="61">
        <f t="shared" si="101"/>
        <v>2.6896597003794231</v>
      </c>
      <c r="BG97" s="61">
        <f t="shared" si="101"/>
        <v>1.6667199347868591</v>
      </c>
      <c r="BH97" s="61">
        <f t="shared" si="101"/>
        <v>0.709010261666984</v>
      </c>
      <c r="BI97" s="61">
        <f t="shared" si="101"/>
        <v>0.69431927376093017</v>
      </c>
      <c r="BJ97" s="61">
        <f t="shared" si="101"/>
        <v>1.5830647264599014</v>
      </c>
      <c r="BK97" s="61">
        <f t="shared" si="101"/>
        <v>0.69736728155237815</v>
      </c>
      <c r="BL97" s="61">
        <f t="shared" si="101"/>
        <v>1.3070075530832306</v>
      </c>
      <c r="BM97" s="61">
        <f t="shared" si="102"/>
        <v>1.8742969345907665</v>
      </c>
      <c r="BN97" s="61">
        <f t="shared" si="102"/>
        <v>1.3038840232625111</v>
      </c>
      <c r="BO97" s="61">
        <f t="shared" si="102"/>
        <v>0.4823518509530646</v>
      </c>
      <c r="BP97" s="61">
        <f t="shared" si="102"/>
        <v>1.443187002665542</v>
      </c>
      <c r="BQ97" s="61">
        <f t="shared" si="102"/>
        <v>1.3863402868628358</v>
      </c>
      <c r="BR97" s="61">
        <f t="shared" si="102"/>
        <v>1.4217988954071419</v>
      </c>
      <c r="BS97" s="61">
        <f t="shared" si="102"/>
        <v>1.4701496568557</v>
      </c>
      <c r="BT97" s="61">
        <f t="shared" si="102"/>
        <v>1.0711281132140471</v>
      </c>
      <c r="BU97" s="61">
        <f t="shared" si="102"/>
        <v>0.99116605966479099</v>
      </c>
      <c r="BV97" s="61">
        <f t="shared" si="102"/>
        <v>0.43096369350895181</v>
      </c>
      <c r="BW97" s="61">
        <f t="shared" si="103"/>
        <v>1.1438081738443555</v>
      </c>
      <c r="BX97" s="61">
        <f t="shared" si="103"/>
        <v>0.42045504736379413</v>
      </c>
      <c r="BY97" s="61">
        <f t="shared" si="103"/>
        <v>0.68497297895704157</v>
      </c>
      <c r="BZ97" s="61">
        <f t="shared" si="103"/>
        <v>0.62083764108825412</v>
      </c>
      <c r="CA97" s="61">
        <f t="shared" si="103"/>
        <v>0.38936528397740616</v>
      </c>
      <c r="CB97" s="61">
        <f t="shared" si="103"/>
        <v>0.6146004544871938</v>
      </c>
      <c r="CC97" s="61">
        <f t="shared" si="103"/>
        <v>0.37934109509865055</v>
      </c>
      <c r="CD97" s="61">
        <f t="shared" si="103"/>
        <v>0.36030344390083402</v>
      </c>
      <c r="CE97" s="61">
        <f t="shared" si="103"/>
        <v>0.87905829050877371</v>
      </c>
      <c r="CF97" s="61">
        <f t="shared" si="103"/>
        <v>1.1069066675633707</v>
      </c>
      <c r="CG97" s="61">
        <f t="shared" si="104"/>
        <v>0.68002512075356558</v>
      </c>
      <c r="CH97" s="61">
        <f t="shared" si="104"/>
        <v>0.43140229181839357</v>
      </c>
      <c r="CI97" s="61">
        <f t="shared" si="104"/>
        <v>0.32230564583968607</v>
      </c>
      <c r="CJ97" s="61">
        <f t="shared" si="104"/>
        <v>0</v>
      </c>
      <c r="CK97" s="61">
        <f t="shared" si="104"/>
        <v>0.79208303554234905</v>
      </c>
      <c r="CL97" s="61">
        <f t="shared" si="104"/>
        <v>0.33341903544975876</v>
      </c>
      <c r="CM97" s="61">
        <f t="shared" si="104"/>
        <v>0.51688446535907651</v>
      </c>
      <c r="CN97" s="61">
        <f t="shared" si="104"/>
        <v>1.5532804366381536</v>
      </c>
      <c r="CO97" s="61">
        <f t="shared" si="104"/>
        <v>0.85323530149151439</v>
      </c>
      <c r="CP97" s="61">
        <f t="shared" si="104"/>
        <v>0.37706709359585905</v>
      </c>
      <c r="CQ97" s="61">
        <f t="shared" si="105"/>
        <v>0.48732890479813712</v>
      </c>
      <c r="CR97" s="61">
        <f t="shared" si="105"/>
        <v>0.58316960498131676</v>
      </c>
      <c r="CS97" s="61">
        <f t="shared" si="105"/>
        <v>0.42905185099795817</v>
      </c>
      <c r="CT97" s="61">
        <f t="shared" si="105"/>
        <v>0.4634308081304338</v>
      </c>
      <c r="CU97" s="61">
        <f t="shared" si="105"/>
        <v>0.62283715501826786</v>
      </c>
      <c r="CV97" s="61">
        <f t="shared" si="105"/>
        <v>1.1396670295536782</v>
      </c>
      <c r="CW97" s="61">
        <f t="shared" si="105"/>
        <v>0.4634308081304338</v>
      </c>
      <c r="CX97" s="61">
        <f t="shared" si="105"/>
        <v>0.88050532818407168</v>
      </c>
      <c r="CY97" s="61">
        <f t="shared" si="105"/>
        <v>0.50439421510769378</v>
      </c>
      <c r="CZ97" s="61">
        <f t="shared" si="105"/>
        <v>0.50439421510769378</v>
      </c>
      <c r="DA97" s="61">
        <f t="shared" si="106"/>
        <v>0.50439421510769367</v>
      </c>
      <c r="DB97" s="61">
        <f t="shared" si="106"/>
        <v>0.55303975461874044</v>
      </c>
      <c r="DC97" s="61">
        <f t="shared" si="106"/>
        <v>0.55303975461874044</v>
      </c>
      <c r="DD97" s="61">
        <f t="shared" si="106"/>
        <v>0.48783908021703049</v>
      </c>
      <c r="DE97" s="61">
        <f t="shared" si="106"/>
        <v>0.59993512480188038</v>
      </c>
      <c r="DF97" s="61">
        <f t="shared" si="106"/>
        <v>0.87225947849204721</v>
      </c>
      <c r="DG97" s="61">
        <f t="shared" si="106"/>
        <v>1.0129697973100027</v>
      </c>
      <c r="DH97" s="61">
        <f t="shared" si="106"/>
        <v>1.0129697973100027</v>
      </c>
      <c r="DI97" s="61">
        <f t="shared" si="106"/>
        <v>1.0129697973100027</v>
      </c>
      <c r="DJ97" s="61">
        <f t="shared" si="106"/>
        <v>1.0129697973100027</v>
      </c>
      <c r="DK97" s="61">
        <f t="shared" si="107"/>
        <v>1.2149564338245349</v>
      </c>
      <c r="DL97" s="61">
        <f t="shared" si="107"/>
        <v>1.2149564338245349</v>
      </c>
      <c r="DM97" s="61">
        <f t="shared" si="107"/>
        <v>1.2149564338245349</v>
      </c>
      <c r="DN97" s="61">
        <f t="shared" si="107"/>
        <v>1.2149564338245349</v>
      </c>
      <c r="DO97" s="61">
        <f t="shared" si="107"/>
        <v>1.2149564338245349</v>
      </c>
      <c r="DP97" s="61">
        <f t="shared" si="107"/>
        <v>1.5657907219695728</v>
      </c>
      <c r="DQ97" s="61">
        <f t="shared" si="107"/>
        <v>1.5657907219695728</v>
      </c>
    </row>
    <row r="98" spans="1:121" x14ac:dyDescent="0.25">
      <c r="A98" s="48" t="str">
        <f>KMeans_Data!A89</f>
        <v>Kharmang</v>
      </c>
      <c r="B98" s="59">
        <f>KMeans_Data!H89</f>
        <v>-0.60513538281414725</v>
      </c>
      <c r="C98" s="59">
        <f>KMeans_Data!I89</f>
        <v>-0.67265054538827607</v>
      </c>
      <c r="D98" s="59">
        <f>KMeans_Data!J89</f>
        <v>-3.44812518432112E-2</v>
      </c>
      <c r="E98" s="61">
        <f t="shared" si="96"/>
        <v>6.9320982715787478</v>
      </c>
      <c r="F98" s="61">
        <f t="shared" si="96"/>
        <v>6.7496976474230763</v>
      </c>
      <c r="G98" s="61">
        <f t="shared" si="96"/>
        <v>4.8387640754866625</v>
      </c>
      <c r="H98" s="61">
        <f t="shared" si="96"/>
        <v>5.4257206876790454</v>
      </c>
      <c r="I98" s="61">
        <f t="shared" si="96"/>
        <v>4.2665000127343342</v>
      </c>
      <c r="J98" s="61">
        <f t="shared" si="96"/>
        <v>3.875591613821336</v>
      </c>
      <c r="K98" s="61">
        <f t="shared" si="96"/>
        <v>2.2582592023764891</v>
      </c>
      <c r="L98" s="61">
        <f t="shared" si="96"/>
        <v>2.9377201296999491</v>
      </c>
      <c r="M98" s="61">
        <f t="shared" si="96"/>
        <v>3.1653879071257971</v>
      </c>
      <c r="N98" s="61">
        <f t="shared" si="96"/>
        <v>2.0406963091244217</v>
      </c>
      <c r="O98" s="61">
        <f t="shared" si="97"/>
        <v>2.9516248551436219</v>
      </c>
      <c r="P98" s="61">
        <f t="shared" si="97"/>
        <v>3.2253047493023996</v>
      </c>
      <c r="Q98" s="61">
        <f t="shared" si="97"/>
        <v>2.5951133363241738</v>
      </c>
      <c r="R98" s="61">
        <f t="shared" si="97"/>
        <v>2.4632705018895025</v>
      </c>
      <c r="S98" s="61">
        <f t="shared" si="97"/>
        <v>2.0787509907582411</v>
      </c>
      <c r="T98" s="61">
        <f t="shared" si="97"/>
        <v>2.5148966426175767</v>
      </c>
      <c r="U98" s="61">
        <f t="shared" si="97"/>
        <v>2.4348169356544176</v>
      </c>
      <c r="V98" s="61">
        <f t="shared" si="97"/>
        <v>2.6019433753270094</v>
      </c>
      <c r="W98" s="61">
        <f t="shared" si="97"/>
        <v>2.6976200327866131</v>
      </c>
      <c r="X98" s="61">
        <f t="shared" si="97"/>
        <v>2.3278001547859448</v>
      </c>
      <c r="Y98" s="61">
        <f t="shared" si="98"/>
        <v>2.4127160780917323</v>
      </c>
      <c r="Z98" s="61">
        <f t="shared" si="98"/>
        <v>2.1302959222212841</v>
      </c>
      <c r="AA98" s="61">
        <f t="shared" si="98"/>
        <v>1.9002173276825105</v>
      </c>
      <c r="AB98" s="61">
        <f t="shared" si="98"/>
        <v>1.9774665712097932</v>
      </c>
      <c r="AC98" s="61">
        <f t="shared" si="98"/>
        <v>2.5821524784395047</v>
      </c>
      <c r="AD98" s="61">
        <f t="shared" si="98"/>
        <v>2.371987230226551</v>
      </c>
      <c r="AE98" s="61">
        <f t="shared" si="98"/>
        <v>1.75371916113307</v>
      </c>
      <c r="AF98" s="61">
        <f t="shared" si="98"/>
        <v>2.0318623745809461</v>
      </c>
      <c r="AG98" s="61">
        <f t="shared" si="98"/>
        <v>1.2380295052203096</v>
      </c>
      <c r="AH98" s="61">
        <f t="shared" si="98"/>
        <v>1.6611095807500069</v>
      </c>
      <c r="AI98" s="61">
        <f t="shared" si="99"/>
        <v>1.2350068165952148</v>
      </c>
      <c r="AJ98" s="61">
        <f t="shared" si="99"/>
        <v>2.0455575489406268</v>
      </c>
      <c r="AK98" s="61">
        <f t="shared" si="99"/>
        <v>1.5813454767614814</v>
      </c>
      <c r="AL98" s="61">
        <f t="shared" si="99"/>
        <v>1.3446770048660623</v>
      </c>
      <c r="AM98" s="61">
        <f t="shared" si="99"/>
        <v>2.3499917809908357</v>
      </c>
      <c r="AN98" s="61">
        <f t="shared" si="99"/>
        <v>2.2353488249400431</v>
      </c>
      <c r="AO98" s="61">
        <f t="shared" si="99"/>
        <v>1.5854225201093555</v>
      </c>
      <c r="AP98" s="61">
        <f t="shared" si="99"/>
        <v>1.5555540654541515</v>
      </c>
      <c r="AQ98" s="61">
        <f t="shared" si="99"/>
        <v>2.2910928807547184</v>
      </c>
      <c r="AR98" s="61">
        <f t="shared" si="99"/>
        <v>1.2985072695958391</v>
      </c>
      <c r="AS98" s="61">
        <f t="shared" si="100"/>
        <v>1.3940913517242404</v>
      </c>
      <c r="AT98" s="61">
        <f t="shared" si="100"/>
        <v>1.3048944656272765</v>
      </c>
      <c r="AU98" s="61">
        <f t="shared" si="100"/>
        <v>1.1795031499662187</v>
      </c>
      <c r="AV98" s="61">
        <f t="shared" si="100"/>
        <v>1.021860803262409</v>
      </c>
      <c r="AW98" s="61">
        <f t="shared" si="100"/>
        <v>1.1558378428500371</v>
      </c>
      <c r="AX98" s="61">
        <f t="shared" si="100"/>
        <v>1.2525891606640491</v>
      </c>
      <c r="AY98" s="61">
        <f t="shared" si="100"/>
        <v>1.3727700693261837</v>
      </c>
      <c r="AZ98" s="61">
        <f t="shared" si="100"/>
        <v>1.3372723494932104</v>
      </c>
      <c r="BA98" s="61">
        <f t="shared" si="100"/>
        <v>1.2668867652450462</v>
      </c>
      <c r="BB98" s="61">
        <f t="shared" si="100"/>
        <v>1.3689359021066745</v>
      </c>
      <c r="BC98" s="61">
        <f t="shared" si="101"/>
        <v>1.3650739162161221</v>
      </c>
      <c r="BD98" s="61">
        <f t="shared" si="101"/>
        <v>0.90362056837038174</v>
      </c>
      <c r="BE98" s="61">
        <f t="shared" si="101"/>
        <v>0.78684073724330661</v>
      </c>
      <c r="BF98" s="61">
        <f t="shared" si="101"/>
        <v>2.3268916414827721</v>
      </c>
      <c r="BG98" s="61">
        <f t="shared" si="101"/>
        <v>1.0958580067939876</v>
      </c>
      <c r="BH98" s="61">
        <f t="shared" si="101"/>
        <v>1.3079538901359025</v>
      </c>
      <c r="BI98" s="61">
        <f t="shared" si="101"/>
        <v>1.299312863510075</v>
      </c>
      <c r="BJ98" s="61">
        <f t="shared" si="101"/>
        <v>1.374008570979993</v>
      </c>
      <c r="BK98" s="61">
        <f t="shared" si="101"/>
        <v>0.71198800643853866</v>
      </c>
      <c r="BL98" s="61">
        <f t="shared" si="101"/>
        <v>0.72162640635320641</v>
      </c>
      <c r="BM98" s="61">
        <f t="shared" si="102"/>
        <v>1.4506534104152136</v>
      </c>
      <c r="BN98" s="61">
        <f t="shared" si="102"/>
        <v>1.0076815933164751</v>
      </c>
      <c r="BO98" s="61">
        <f t="shared" si="102"/>
        <v>0.95702934265532547</v>
      </c>
      <c r="BP98" s="61">
        <f t="shared" si="102"/>
        <v>1.0201181099665804</v>
      </c>
      <c r="BQ98" s="61">
        <f t="shared" si="102"/>
        <v>0.83333297616286217</v>
      </c>
      <c r="BR98" s="61">
        <f t="shared" si="102"/>
        <v>0.84503030364448262</v>
      </c>
      <c r="BS98" s="61">
        <f t="shared" si="102"/>
        <v>0.76542237876089525</v>
      </c>
      <c r="BT98" s="61">
        <f t="shared" si="102"/>
        <v>0.45230375612895052</v>
      </c>
      <c r="BU98" s="61">
        <f t="shared" si="102"/>
        <v>0.41611966571895509</v>
      </c>
      <c r="BV98" s="61">
        <f t="shared" si="102"/>
        <v>1.1635562047033878</v>
      </c>
      <c r="BW98" s="61">
        <f t="shared" si="103"/>
        <v>0.45994217392880676</v>
      </c>
      <c r="BX98" s="61">
        <f t="shared" si="103"/>
        <v>1.1589053002975809</v>
      </c>
      <c r="BY98" s="61">
        <f t="shared" si="103"/>
        <v>0.33040410739866372</v>
      </c>
      <c r="BZ98" s="61">
        <f t="shared" si="103"/>
        <v>0.34804747125491514</v>
      </c>
      <c r="CA98" s="61">
        <f t="shared" si="103"/>
        <v>1.1454049118500857</v>
      </c>
      <c r="CB98" s="61">
        <f t="shared" si="103"/>
        <v>0.33364171656798153</v>
      </c>
      <c r="CC98" s="61">
        <f t="shared" si="103"/>
        <v>1.1411100581792235</v>
      </c>
      <c r="CD98" s="61">
        <f t="shared" si="103"/>
        <v>1.1329542588164938</v>
      </c>
      <c r="CE98" s="61">
        <f t="shared" si="103"/>
        <v>0.21513564589203982</v>
      </c>
      <c r="CF98" s="61">
        <f t="shared" si="103"/>
        <v>0.58886694054529509</v>
      </c>
      <c r="CG98" s="61">
        <f t="shared" si="104"/>
        <v>0.65408305118861376</v>
      </c>
      <c r="CH98" s="61">
        <f t="shared" si="104"/>
        <v>0.38922796711242064</v>
      </c>
      <c r="CI98" s="61">
        <f t="shared" si="104"/>
        <v>0.47633708153308796</v>
      </c>
      <c r="CJ98" s="61">
        <f t="shared" si="104"/>
        <v>0.79208303554234905</v>
      </c>
      <c r="CK98" s="61">
        <f t="shared" si="104"/>
        <v>0</v>
      </c>
      <c r="CL98" s="61">
        <f t="shared" si="104"/>
        <v>1.1116107781215345</v>
      </c>
      <c r="CM98" s="61">
        <f t="shared" si="104"/>
        <v>0.28264458271184262</v>
      </c>
      <c r="CN98" s="61">
        <f t="shared" si="104"/>
        <v>0.85211492279313339</v>
      </c>
      <c r="CO98" s="61">
        <f t="shared" si="104"/>
        <v>0.56355779781329096</v>
      </c>
      <c r="CP98" s="61">
        <f t="shared" si="104"/>
        <v>1.1199007074683174</v>
      </c>
      <c r="CQ98" s="61">
        <f t="shared" si="105"/>
        <v>0.4078656970098381</v>
      </c>
      <c r="CR98" s="61">
        <f t="shared" si="105"/>
        <v>0.36086883534907216</v>
      </c>
      <c r="CS98" s="61">
        <f t="shared" si="105"/>
        <v>1.1340268419335617</v>
      </c>
      <c r="CT98" s="61">
        <f t="shared" si="105"/>
        <v>1.1449699327753411</v>
      </c>
      <c r="CU98" s="61">
        <f t="shared" si="105"/>
        <v>0.98825289853168263</v>
      </c>
      <c r="CV98" s="61">
        <f t="shared" si="105"/>
        <v>0.40750221255777175</v>
      </c>
      <c r="CW98" s="61">
        <f t="shared" si="105"/>
        <v>1.1449699327753411</v>
      </c>
      <c r="CX98" s="61">
        <f t="shared" si="105"/>
        <v>0.33101308459551815</v>
      </c>
      <c r="CY98" s="61">
        <f t="shared" si="105"/>
        <v>1.1594190672900913</v>
      </c>
      <c r="CZ98" s="61">
        <f t="shared" si="105"/>
        <v>1.1594190672900913</v>
      </c>
      <c r="DA98" s="61">
        <f t="shared" si="106"/>
        <v>0.57385699185039607</v>
      </c>
      <c r="DB98" s="61">
        <f t="shared" si="106"/>
        <v>1.1783863796124143</v>
      </c>
      <c r="DC98" s="61">
        <f t="shared" si="106"/>
        <v>1.1783863796124143</v>
      </c>
      <c r="DD98" s="61">
        <f t="shared" si="106"/>
        <v>0.71861461276230065</v>
      </c>
      <c r="DE98" s="61">
        <f t="shared" si="106"/>
        <v>0.95804888729710735</v>
      </c>
      <c r="DF98" s="61">
        <f t="shared" si="106"/>
        <v>1.3423149063904842</v>
      </c>
      <c r="DG98" s="61">
        <f t="shared" si="106"/>
        <v>1.4316930224821751</v>
      </c>
      <c r="DH98" s="61">
        <f t="shared" si="106"/>
        <v>1.4316930224821751</v>
      </c>
      <c r="DI98" s="61">
        <f t="shared" si="106"/>
        <v>1.4316930224821751</v>
      </c>
      <c r="DJ98" s="61">
        <f t="shared" si="106"/>
        <v>1.4316930224821751</v>
      </c>
      <c r="DK98" s="61">
        <f t="shared" si="107"/>
        <v>1.5733159462810029</v>
      </c>
      <c r="DL98" s="61">
        <f t="shared" si="107"/>
        <v>1.5733159462810029</v>
      </c>
      <c r="DM98" s="61">
        <f t="shared" si="107"/>
        <v>1.5733159462810029</v>
      </c>
      <c r="DN98" s="61">
        <f t="shared" si="107"/>
        <v>1.5733159462810029</v>
      </c>
      <c r="DO98" s="61">
        <f t="shared" si="107"/>
        <v>1.5733159462810029</v>
      </c>
      <c r="DP98" s="61">
        <f t="shared" si="107"/>
        <v>1.8463845039341165</v>
      </c>
      <c r="DQ98" s="61">
        <f t="shared" si="107"/>
        <v>1.8463845039341165</v>
      </c>
    </row>
    <row r="99" spans="1:121" x14ac:dyDescent="0.25">
      <c r="A99" s="48" t="str">
        <f>KMeans_Data!A90</f>
        <v>Attock</v>
      </c>
      <c r="B99" s="59">
        <f>KMeans_Data!H90</f>
        <v>-0.63668868079673557</v>
      </c>
      <c r="C99" s="59">
        <f>KMeans_Data!I90</f>
        <v>-0.67265054538827607</v>
      </c>
      <c r="D99" s="59">
        <f>KMeans_Data!J90</f>
        <v>-1.1456441163335547</v>
      </c>
      <c r="E99" s="61">
        <f t="shared" si="96"/>
        <v>7.5392108031360259</v>
      </c>
      <c r="F99" s="61">
        <f t="shared" si="96"/>
        <v>7.2849840242657811</v>
      </c>
      <c r="G99" s="61">
        <f t="shared" si="96"/>
        <v>5.494132987284166</v>
      </c>
      <c r="H99" s="61">
        <f t="shared" si="96"/>
        <v>5.8805936470981823</v>
      </c>
      <c r="I99" s="61">
        <f t="shared" si="96"/>
        <v>4.8436290709501542</v>
      </c>
      <c r="J99" s="61">
        <f t="shared" si="96"/>
        <v>4.4353981009947265</v>
      </c>
      <c r="K99" s="61">
        <f t="shared" si="96"/>
        <v>2.1685414896630184</v>
      </c>
      <c r="L99" s="61">
        <f t="shared" si="96"/>
        <v>3.7275594516405226</v>
      </c>
      <c r="M99" s="61">
        <f t="shared" si="96"/>
        <v>3.9009757198682795</v>
      </c>
      <c r="N99" s="61">
        <f t="shared" si="96"/>
        <v>1.938704199423003</v>
      </c>
      <c r="O99" s="61">
        <f t="shared" si="97"/>
        <v>3.5115564465929006</v>
      </c>
      <c r="P99" s="61">
        <f t="shared" si="97"/>
        <v>3.7970234114900734</v>
      </c>
      <c r="Q99" s="61">
        <f t="shared" si="97"/>
        <v>3.2484014306016946</v>
      </c>
      <c r="R99" s="61">
        <f t="shared" si="97"/>
        <v>3.278929330896613</v>
      </c>
      <c r="S99" s="61">
        <f t="shared" si="97"/>
        <v>2.88591085464348</v>
      </c>
      <c r="T99" s="61">
        <f t="shared" si="97"/>
        <v>3.1548821418384447</v>
      </c>
      <c r="U99" s="61">
        <f t="shared" si="97"/>
        <v>3.2943553839188597</v>
      </c>
      <c r="V99" s="61">
        <f t="shared" si="97"/>
        <v>3.0900747814013179</v>
      </c>
      <c r="W99" s="61">
        <f t="shared" si="97"/>
        <v>3.2799069544074344</v>
      </c>
      <c r="X99" s="61">
        <f t="shared" si="97"/>
        <v>3.0209556566109077</v>
      </c>
      <c r="Y99" s="61">
        <f t="shared" si="98"/>
        <v>3.1686434263485759</v>
      </c>
      <c r="Z99" s="61">
        <f t="shared" si="98"/>
        <v>2.7041378442053245</v>
      </c>
      <c r="AA99" s="61">
        <f t="shared" si="98"/>
        <v>2.6727291070267043</v>
      </c>
      <c r="AB99" s="61">
        <f t="shared" si="98"/>
        <v>2.6063272737458405</v>
      </c>
      <c r="AC99" s="61">
        <f t="shared" si="98"/>
        <v>3.1118554153124753</v>
      </c>
      <c r="AD99" s="61">
        <f t="shared" si="98"/>
        <v>3.14046829916485</v>
      </c>
      <c r="AE99" s="61">
        <f t="shared" si="98"/>
        <v>1.3859213030549966</v>
      </c>
      <c r="AF99" s="61">
        <f t="shared" si="98"/>
        <v>2.7308503165597315</v>
      </c>
      <c r="AG99" s="61">
        <f t="shared" si="98"/>
        <v>1.4251617165659731</v>
      </c>
      <c r="AH99" s="61">
        <f t="shared" si="98"/>
        <v>2.4255075032872915</v>
      </c>
      <c r="AI99" s="61">
        <f t="shared" si="99"/>
        <v>1.4224665313404123</v>
      </c>
      <c r="AJ99" s="61">
        <f t="shared" si="99"/>
        <v>2.8364007094731871</v>
      </c>
      <c r="AK99" s="61">
        <f t="shared" si="99"/>
        <v>2.1264700102644212</v>
      </c>
      <c r="AL99" s="61">
        <f t="shared" si="99"/>
        <v>2.1014290259747894</v>
      </c>
      <c r="AM99" s="61">
        <f t="shared" si="99"/>
        <v>2.7543605995512315</v>
      </c>
      <c r="AN99" s="61">
        <f t="shared" si="99"/>
        <v>2.8240474463925227</v>
      </c>
      <c r="AO99" s="61">
        <f t="shared" si="99"/>
        <v>2.2564159367911243</v>
      </c>
      <c r="AP99" s="61">
        <f t="shared" si="99"/>
        <v>2.1955319628744339</v>
      </c>
      <c r="AQ99" s="61">
        <f t="shared" si="99"/>
        <v>2.8323292504443325</v>
      </c>
      <c r="AR99" s="61">
        <f t="shared" si="99"/>
        <v>1.6989524061114276</v>
      </c>
      <c r="AS99" s="61">
        <f t="shared" si="100"/>
        <v>2.3581089045129247</v>
      </c>
      <c r="AT99" s="61">
        <f t="shared" si="100"/>
        <v>2.1888688275006793</v>
      </c>
      <c r="AU99" s="61">
        <f t="shared" si="100"/>
        <v>1.1591535287383627</v>
      </c>
      <c r="AV99" s="61">
        <f t="shared" si="100"/>
        <v>1.8855270764428056</v>
      </c>
      <c r="AW99" s="61">
        <f t="shared" si="100"/>
        <v>0.93237702310551596</v>
      </c>
      <c r="AX99" s="61">
        <f t="shared" si="100"/>
        <v>1.9447944581817826</v>
      </c>
      <c r="AY99" s="61">
        <f t="shared" si="100"/>
        <v>0.83766417857869435</v>
      </c>
      <c r="AZ99" s="61">
        <f t="shared" si="100"/>
        <v>2.3336798504930725</v>
      </c>
      <c r="BA99" s="61">
        <f t="shared" si="100"/>
        <v>2.1763047070929606</v>
      </c>
      <c r="BB99" s="61">
        <f t="shared" si="100"/>
        <v>0.83111729958235359</v>
      </c>
      <c r="BC99" s="61">
        <f t="shared" si="101"/>
        <v>0.82448701861202101</v>
      </c>
      <c r="BD99" s="61">
        <f t="shared" si="101"/>
        <v>1.0291781071335806</v>
      </c>
      <c r="BE99" s="61">
        <f t="shared" si="101"/>
        <v>1.198834211538115</v>
      </c>
      <c r="BF99" s="61">
        <f t="shared" si="101"/>
        <v>2.9144202758513891</v>
      </c>
      <c r="BG99" s="61">
        <f t="shared" si="101"/>
        <v>1.9828998994190963</v>
      </c>
      <c r="BH99" s="61">
        <f t="shared" si="101"/>
        <v>0.72152465050329628</v>
      </c>
      <c r="BI99" s="61">
        <f t="shared" si="101"/>
        <v>0.70500040493336091</v>
      </c>
      <c r="BJ99" s="61">
        <f t="shared" si="101"/>
        <v>1.803585348570695</v>
      </c>
      <c r="BK99" s="61">
        <f t="shared" si="101"/>
        <v>0.98448553222692159</v>
      </c>
      <c r="BL99" s="61">
        <f t="shared" si="101"/>
        <v>1.6371391541456009</v>
      </c>
      <c r="BM99" s="61">
        <f t="shared" si="102"/>
        <v>2.137313535143134</v>
      </c>
      <c r="BN99" s="61">
        <f t="shared" si="102"/>
        <v>1.5679819954626595</v>
      </c>
      <c r="BO99" s="61">
        <f t="shared" si="102"/>
        <v>0.6558334118361917</v>
      </c>
      <c r="BP99" s="61">
        <f t="shared" si="102"/>
        <v>1.724584802013436</v>
      </c>
      <c r="BQ99" s="61">
        <f t="shared" si="102"/>
        <v>1.6988415159558612</v>
      </c>
      <c r="BR99" s="61">
        <f t="shared" si="102"/>
        <v>1.735703819559119</v>
      </c>
      <c r="BS99" s="61">
        <f t="shared" si="102"/>
        <v>1.8035414267131851</v>
      </c>
      <c r="BT99" s="61">
        <f t="shared" si="102"/>
        <v>1.4042991402726379</v>
      </c>
      <c r="BU99" s="61">
        <f t="shared" si="102"/>
        <v>1.3239626941620819</v>
      </c>
      <c r="BV99" s="61">
        <f t="shared" si="102"/>
        <v>0.3767780509789031</v>
      </c>
      <c r="BW99" s="61">
        <f t="shared" si="103"/>
        <v>1.4770942384161647</v>
      </c>
      <c r="BX99" s="61">
        <f t="shared" si="103"/>
        <v>0.36076232525164825</v>
      </c>
      <c r="BY99" s="61">
        <f t="shared" si="103"/>
        <v>1.0176224589355098</v>
      </c>
      <c r="BZ99" s="61">
        <f t="shared" si="103"/>
        <v>0.9533628744062812</v>
      </c>
      <c r="CA99" s="61">
        <f t="shared" si="103"/>
        <v>0.30952721882394607</v>
      </c>
      <c r="CB99" s="61">
        <f t="shared" si="103"/>
        <v>0.94759060014717011</v>
      </c>
      <c r="CC99" s="61">
        <f t="shared" si="103"/>
        <v>0.29126323898486445</v>
      </c>
      <c r="CD99" s="61">
        <f t="shared" si="103"/>
        <v>0.25269226141518958</v>
      </c>
      <c r="CE99" s="61">
        <f t="shared" si="103"/>
        <v>1.2110583009997928</v>
      </c>
      <c r="CF99" s="61">
        <f t="shared" si="103"/>
        <v>1.4074698231090785</v>
      </c>
      <c r="CG99" s="61">
        <f t="shared" si="104"/>
        <v>0.92736930460903932</v>
      </c>
      <c r="CH99" s="61">
        <f t="shared" si="104"/>
        <v>0.76399450237636801</v>
      </c>
      <c r="CI99" s="61">
        <f t="shared" si="104"/>
        <v>0.65281028551428377</v>
      </c>
      <c r="CJ99" s="61">
        <f t="shared" si="104"/>
        <v>0.33341903544975876</v>
      </c>
      <c r="CK99" s="61">
        <f t="shared" si="104"/>
        <v>1.1116107781215345</v>
      </c>
      <c r="CL99" s="61">
        <f t="shared" si="104"/>
        <v>0</v>
      </c>
      <c r="CM99" s="61">
        <f t="shared" si="104"/>
        <v>0.83028504492679445</v>
      </c>
      <c r="CN99" s="61">
        <f t="shared" si="104"/>
        <v>1.8516996430846584</v>
      </c>
      <c r="CO99" s="61">
        <f t="shared" si="104"/>
        <v>1.1029593572174814</v>
      </c>
      <c r="CP99" s="61">
        <f t="shared" si="104"/>
        <v>0.10807006383645867</v>
      </c>
      <c r="CQ99" s="61">
        <f t="shared" si="105"/>
        <v>0.76068063626071647</v>
      </c>
      <c r="CR99" s="61">
        <f t="shared" si="105"/>
        <v>0.85288027971877678</v>
      </c>
      <c r="CS99" s="61">
        <f t="shared" si="105"/>
        <v>0.19501670621792833</v>
      </c>
      <c r="CT99" s="61">
        <f t="shared" si="105"/>
        <v>0.24462279717625002</v>
      </c>
      <c r="CU99" s="61">
        <f t="shared" si="105"/>
        <v>0.66282332494488161</v>
      </c>
      <c r="CV99" s="61">
        <f t="shared" si="105"/>
        <v>1.4318548373203457</v>
      </c>
      <c r="CW99" s="61">
        <f t="shared" si="105"/>
        <v>0.24462279717625002</v>
      </c>
      <c r="CX99" s="61">
        <f t="shared" si="105"/>
        <v>1.1508080097134565</v>
      </c>
      <c r="CY99" s="61">
        <f t="shared" si="105"/>
        <v>0.29945978661292982</v>
      </c>
      <c r="CZ99" s="61">
        <f t="shared" si="105"/>
        <v>0.29945978661292982</v>
      </c>
      <c r="DA99" s="61">
        <f t="shared" si="106"/>
        <v>0.70876585886308452</v>
      </c>
      <c r="DB99" s="61">
        <f t="shared" si="106"/>
        <v>0.36076232525164831</v>
      </c>
      <c r="DC99" s="61">
        <f t="shared" si="106"/>
        <v>0.36076232525164831</v>
      </c>
      <c r="DD99" s="61">
        <f t="shared" si="106"/>
        <v>0.62395430311296318</v>
      </c>
      <c r="DE99" s="61">
        <f t="shared" si="106"/>
        <v>0.6031339195662111</v>
      </c>
      <c r="DF99" s="61">
        <f t="shared" si="106"/>
        <v>0.72152465050329662</v>
      </c>
      <c r="DG99" s="61">
        <f t="shared" si="106"/>
        <v>0.87125454380976142</v>
      </c>
      <c r="DH99" s="61">
        <f t="shared" si="106"/>
        <v>0.87125454380976142</v>
      </c>
      <c r="DI99" s="61">
        <f t="shared" si="106"/>
        <v>0.87125454380976142</v>
      </c>
      <c r="DJ99" s="61">
        <f t="shared" si="106"/>
        <v>0.87125454380976142</v>
      </c>
      <c r="DK99" s="61">
        <f t="shared" si="107"/>
        <v>1.0822869757549447</v>
      </c>
      <c r="DL99" s="61">
        <f t="shared" si="107"/>
        <v>1.0822869757549447</v>
      </c>
      <c r="DM99" s="61">
        <f t="shared" si="107"/>
        <v>1.0822869757549447</v>
      </c>
      <c r="DN99" s="61">
        <f t="shared" si="107"/>
        <v>1.0822869757549447</v>
      </c>
      <c r="DO99" s="61">
        <f t="shared" si="107"/>
        <v>1.0822869757549447</v>
      </c>
      <c r="DP99" s="61">
        <f t="shared" si="107"/>
        <v>1.443049301006593</v>
      </c>
      <c r="DQ99" s="61">
        <f t="shared" si="107"/>
        <v>1.443049301006593</v>
      </c>
    </row>
    <row r="100" spans="1:121" x14ac:dyDescent="0.25">
      <c r="A100" s="48" t="str">
        <f>KMeans_Data!A91</f>
        <v>Chitral Upper</v>
      </c>
      <c r="B100" s="59">
        <f>KMeans_Data!H91</f>
        <v>-0.63668868079673557</v>
      </c>
      <c r="C100" s="59">
        <f>KMeans_Data!I91</f>
        <v>-0.67265054538827607</v>
      </c>
      <c r="D100" s="59">
        <f>KMeans_Data!J91</f>
        <v>-0.31535907140676028</v>
      </c>
      <c r="E100" s="61">
        <f t="shared" si="96"/>
        <v>7.0869805101477814</v>
      </c>
      <c r="F100" s="61">
        <f t="shared" si="96"/>
        <v>6.8852569735042453</v>
      </c>
      <c r="G100" s="61">
        <f t="shared" si="96"/>
        <v>5.0032974614587671</v>
      </c>
      <c r="H100" s="61">
        <f t="shared" si="96"/>
        <v>5.5358040435450722</v>
      </c>
      <c r="I100" s="61">
        <f t="shared" si="96"/>
        <v>4.4080050459385252</v>
      </c>
      <c r="J100" s="61">
        <f t="shared" si="96"/>
        <v>4.0078398663346286</v>
      </c>
      <c r="K100" s="61">
        <f t="shared" si="96"/>
        <v>2.204217205658098</v>
      </c>
      <c r="L100" s="61">
        <f t="shared" si="96"/>
        <v>3.1335431447612896</v>
      </c>
      <c r="M100" s="61">
        <f t="shared" si="96"/>
        <v>3.3450035082893788</v>
      </c>
      <c r="N100" s="61">
        <f t="shared" si="96"/>
        <v>1.9785285618837243</v>
      </c>
      <c r="O100" s="61">
        <f t="shared" si="97"/>
        <v>3.0784339111805044</v>
      </c>
      <c r="P100" s="61">
        <f t="shared" si="97"/>
        <v>3.356584082681469</v>
      </c>
      <c r="Q100" s="61">
        <f t="shared" si="97"/>
        <v>2.7467843312827882</v>
      </c>
      <c r="R100" s="61">
        <f t="shared" si="97"/>
        <v>2.6639479151350605</v>
      </c>
      <c r="S100" s="61">
        <f t="shared" si="97"/>
        <v>2.2754672877578241</v>
      </c>
      <c r="T100" s="61">
        <f t="shared" si="97"/>
        <v>2.6615352735083566</v>
      </c>
      <c r="U100" s="61">
        <f t="shared" si="97"/>
        <v>2.6477726142105</v>
      </c>
      <c r="V100" s="61">
        <f t="shared" si="97"/>
        <v>2.7034672124327592</v>
      </c>
      <c r="W100" s="61">
        <f t="shared" si="97"/>
        <v>2.8272227118856725</v>
      </c>
      <c r="X100" s="61">
        <f t="shared" si="97"/>
        <v>2.4882916705123765</v>
      </c>
      <c r="Y100" s="61">
        <f t="shared" si="98"/>
        <v>2.5924912491518577</v>
      </c>
      <c r="Z100" s="61">
        <f t="shared" si="98"/>
        <v>2.2522287393846061</v>
      </c>
      <c r="AA100" s="61">
        <f t="shared" si="98"/>
        <v>2.0825033595162843</v>
      </c>
      <c r="AB100" s="61">
        <f t="shared" si="98"/>
        <v>2.1147199541001087</v>
      </c>
      <c r="AC100" s="61">
        <f t="shared" si="98"/>
        <v>2.6947945025678126</v>
      </c>
      <c r="AD100" s="61">
        <f t="shared" si="98"/>
        <v>2.5547235692393242</v>
      </c>
      <c r="AE100" s="61">
        <f t="shared" si="98"/>
        <v>1.6155962101003916</v>
      </c>
      <c r="AF100" s="61">
        <f t="shared" si="98"/>
        <v>2.1896254053718742</v>
      </c>
      <c r="AG100" s="61">
        <f t="shared" si="98"/>
        <v>1.2173774430013822</v>
      </c>
      <c r="AH100" s="61">
        <f t="shared" si="98"/>
        <v>1.8363627510198666</v>
      </c>
      <c r="AI100" s="61">
        <f t="shared" si="99"/>
        <v>1.2142211302505554</v>
      </c>
      <c r="AJ100" s="61">
        <f t="shared" si="99"/>
        <v>2.2322884310145796</v>
      </c>
      <c r="AK100" s="61">
        <f t="shared" si="99"/>
        <v>1.6830663041468559</v>
      </c>
      <c r="AL100" s="61">
        <f t="shared" si="99"/>
        <v>1.5120488993761769</v>
      </c>
      <c r="AM100" s="61">
        <f t="shared" si="99"/>
        <v>2.4213910192887069</v>
      </c>
      <c r="AN100" s="61">
        <f t="shared" si="99"/>
        <v>2.359478113232651</v>
      </c>
      <c r="AO100" s="61">
        <f t="shared" si="99"/>
        <v>1.7267567170055187</v>
      </c>
      <c r="AP100" s="61">
        <f t="shared" si="99"/>
        <v>1.6860824604192297</v>
      </c>
      <c r="AQ100" s="61">
        <f t="shared" si="99"/>
        <v>2.4011141539615606</v>
      </c>
      <c r="AR100" s="61">
        <f t="shared" si="99"/>
        <v>1.3431266656928986</v>
      </c>
      <c r="AS100" s="61">
        <f t="shared" si="100"/>
        <v>1.6336647697022073</v>
      </c>
      <c r="AT100" s="61">
        <f t="shared" si="100"/>
        <v>1.5140695164141627</v>
      </c>
      <c r="AU100" s="61">
        <f t="shared" si="100"/>
        <v>1.0897869543435115</v>
      </c>
      <c r="AV100" s="61">
        <f t="shared" si="100"/>
        <v>1.2194640579007183</v>
      </c>
      <c r="AW100" s="61">
        <f t="shared" si="100"/>
        <v>1.0125849152265676</v>
      </c>
      <c r="AX100" s="61">
        <f t="shared" si="100"/>
        <v>1.3912135281575297</v>
      </c>
      <c r="AY100" s="61">
        <f t="shared" si="100"/>
        <v>1.1794297486086265</v>
      </c>
      <c r="AZ100" s="61">
        <f t="shared" si="100"/>
        <v>1.5869618107352748</v>
      </c>
      <c r="BA100" s="61">
        <f t="shared" si="100"/>
        <v>1.4838345947433587</v>
      </c>
      <c r="BB100" s="61">
        <f t="shared" si="100"/>
        <v>1.1747890114799988</v>
      </c>
      <c r="BC100" s="61">
        <f t="shared" si="101"/>
        <v>1.1701077299500366</v>
      </c>
      <c r="BD100" s="61">
        <f t="shared" si="101"/>
        <v>0.82573416729147953</v>
      </c>
      <c r="BE100" s="61">
        <f t="shared" si="101"/>
        <v>0.79322905241890351</v>
      </c>
      <c r="BF100" s="61">
        <f t="shared" si="101"/>
        <v>2.4484904126469647</v>
      </c>
      <c r="BG100" s="61">
        <f t="shared" si="101"/>
        <v>1.3007939210969637</v>
      </c>
      <c r="BH100" s="61">
        <f t="shared" si="101"/>
        <v>1.0999868531546151</v>
      </c>
      <c r="BI100" s="61">
        <f t="shared" si="101"/>
        <v>1.0892193657777536</v>
      </c>
      <c r="BJ100" s="61">
        <f t="shared" si="101"/>
        <v>1.424842059756094</v>
      </c>
      <c r="BK100" s="61">
        <f t="shared" si="101"/>
        <v>0.64817720071554297</v>
      </c>
      <c r="BL100" s="61">
        <f t="shared" si="101"/>
        <v>0.92871692543557705</v>
      </c>
      <c r="BM100" s="61">
        <f t="shared" si="102"/>
        <v>1.5879756531154507</v>
      </c>
      <c r="BN100" s="61">
        <f t="shared" si="102"/>
        <v>1.0836189432401033</v>
      </c>
      <c r="BO100" s="61">
        <f t="shared" si="102"/>
        <v>0.7655839349215674</v>
      </c>
      <c r="BP100" s="61">
        <f t="shared" si="102"/>
        <v>1.1492723998358787</v>
      </c>
      <c r="BQ100" s="61">
        <f t="shared" si="102"/>
        <v>1.0194665726197978</v>
      </c>
      <c r="BR100" s="61">
        <f t="shared" si="102"/>
        <v>1.0415580434796945</v>
      </c>
      <c r="BS100" s="61">
        <f t="shared" si="102"/>
        <v>1.0236784036726754</v>
      </c>
      <c r="BT100" s="61">
        <f t="shared" si="102"/>
        <v>0.66129287489205624</v>
      </c>
      <c r="BU100" s="61">
        <f t="shared" si="102"/>
        <v>0.59868571282255434</v>
      </c>
      <c r="BV100" s="61">
        <f t="shared" si="102"/>
        <v>0.91177571558390935</v>
      </c>
      <c r="BW100" s="61">
        <f t="shared" si="103"/>
        <v>0.70188664951174273</v>
      </c>
      <c r="BX100" s="61">
        <f t="shared" si="103"/>
        <v>0.90527493677338988</v>
      </c>
      <c r="BY100" s="61">
        <f t="shared" si="103"/>
        <v>0.35328862033704028</v>
      </c>
      <c r="BZ100" s="61">
        <f t="shared" si="103"/>
        <v>0.31766276637872487</v>
      </c>
      <c r="CA100" s="61">
        <f t="shared" si="103"/>
        <v>0.88610403171522478</v>
      </c>
      <c r="CB100" s="61">
        <f t="shared" si="103"/>
        <v>0.29989466206395138</v>
      </c>
      <c r="CC100" s="61">
        <f t="shared" si="103"/>
        <v>0.8798906353706939</v>
      </c>
      <c r="CD100" s="61">
        <f t="shared" si="103"/>
        <v>0.86788630292695113</v>
      </c>
      <c r="CE100" s="61">
        <f t="shared" si="103"/>
        <v>0.42699494666124571</v>
      </c>
      <c r="CF100" s="61">
        <f t="shared" si="103"/>
        <v>0.73270507354091596</v>
      </c>
      <c r="CG100" s="61">
        <f t="shared" si="104"/>
        <v>0.55761612915550196</v>
      </c>
      <c r="CH100" s="61">
        <f t="shared" si="104"/>
        <v>0.18603634060211574</v>
      </c>
      <c r="CI100" s="61">
        <f t="shared" si="104"/>
        <v>0.22088596085476772</v>
      </c>
      <c r="CJ100" s="61">
        <f t="shared" si="104"/>
        <v>0.51688446535907651</v>
      </c>
      <c r="CK100" s="61">
        <f t="shared" si="104"/>
        <v>0.28264458271184262</v>
      </c>
      <c r="CL100" s="61">
        <f t="shared" si="104"/>
        <v>0.83028504492679445</v>
      </c>
      <c r="CM100" s="61">
        <f t="shared" si="104"/>
        <v>0</v>
      </c>
      <c r="CN100" s="61">
        <f t="shared" si="104"/>
        <v>1.0826133962000646</v>
      </c>
      <c r="CO100" s="61">
        <f t="shared" si="104"/>
        <v>0.55297081659278902</v>
      </c>
      <c r="CP100" s="61">
        <f t="shared" si="104"/>
        <v>0.83728871634980562</v>
      </c>
      <c r="CQ100" s="61">
        <f t="shared" si="105"/>
        <v>0.17192135046386978</v>
      </c>
      <c r="CR100" s="61">
        <f t="shared" si="105"/>
        <v>0.19501670621792833</v>
      </c>
      <c r="CS100" s="61">
        <f t="shared" si="105"/>
        <v>0.85288027971877678</v>
      </c>
      <c r="CT100" s="61">
        <f t="shared" si="105"/>
        <v>0.8655712383896671</v>
      </c>
      <c r="CU100" s="61">
        <f t="shared" si="105"/>
        <v>0.77158023394866648</v>
      </c>
      <c r="CV100" s="61">
        <f t="shared" si="105"/>
        <v>0.62995443076977464</v>
      </c>
      <c r="CW100" s="61">
        <f t="shared" si="105"/>
        <v>0.8655712383896671</v>
      </c>
      <c r="CX100" s="61">
        <f t="shared" si="105"/>
        <v>0.41057096015309591</v>
      </c>
      <c r="CY100" s="61">
        <f t="shared" si="105"/>
        <v>0.88263776240729164</v>
      </c>
      <c r="CZ100" s="61">
        <f t="shared" si="105"/>
        <v>0.88263776240729164</v>
      </c>
      <c r="DA100" s="61">
        <f t="shared" si="106"/>
        <v>0.3535228161228342</v>
      </c>
      <c r="DB100" s="61">
        <f t="shared" si="106"/>
        <v>0.90527493677338988</v>
      </c>
      <c r="DC100" s="61">
        <f t="shared" si="106"/>
        <v>0.90527493677338988</v>
      </c>
      <c r="DD100" s="61">
        <f t="shared" si="106"/>
        <v>0.48302968339833124</v>
      </c>
      <c r="DE100" s="61">
        <f t="shared" si="106"/>
        <v>0.72095202493688271</v>
      </c>
      <c r="DF100" s="61">
        <f t="shared" si="106"/>
        <v>1.0999868531546153</v>
      </c>
      <c r="DG100" s="61">
        <f t="shared" si="106"/>
        <v>1.2035188972086166</v>
      </c>
      <c r="DH100" s="61">
        <f t="shared" si="106"/>
        <v>1.2035188972086166</v>
      </c>
      <c r="DI100" s="61">
        <f t="shared" si="106"/>
        <v>1.2035188972086166</v>
      </c>
      <c r="DJ100" s="61">
        <f t="shared" si="106"/>
        <v>1.2035188972086166</v>
      </c>
      <c r="DK100" s="61">
        <f t="shared" si="107"/>
        <v>1.3640815055259248</v>
      </c>
      <c r="DL100" s="61">
        <f t="shared" si="107"/>
        <v>1.3640815055259248</v>
      </c>
      <c r="DM100" s="61">
        <f t="shared" si="107"/>
        <v>1.3640815055259248</v>
      </c>
      <c r="DN100" s="61">
        <f t="shared" si="107"/>
        <v>1.3640815055259248</v>
      </c>
      <c r="DO100" s="61">
        <f t="shared" si="107"/>
        <v>1.3640815055259248</v>
      </c>
      <c r="DP100" s="61">
        <f t="shared" si="107"/>
        <v>1.6648617182711321</v>
      </c>
      <c r="DQ100" s="61">
        <f t="shared" si="107"/>
        <v>1.6648617182711321</v>
      </c>
    </row>
    <row r="101" spans="1:121" x14ac:dyDescent="0.25">
      <c r="A101" s="48" t="str">
        <f>KMeans_Data!A92</f>
        <v>Matiari</v>
      </c>
      <c r="B101" s="59">
        <f>KMeans_Data!H92</f>
        <v>-0.70618776706351938</v>
      </c>
      <c r="C101" s="59">
        <f>KMeans_Data!I92</f>
        <v>-0.14698313392952958</v>
      </c>
      <c r="D101" s="59">
        <f>KMeans_Data!J92</f>
        <v>0.62851349158581915</v>
      </c>
      <c r="E101" s="61">
        <f t="shared" si="96"/>
        <v>6.3444455343865602</v>
      </c>
      <c r="F101" s="61">
        <f t="shared" si="96"/>
        <v>6.1956616787015468</v>
      </c>
      <c r="G101" s="61">
        <f t="shared" si="96"/>
        <v>4.2929465690047417</v>
      </c>
      <c r="H101" s="61">
        <f t="shared" si="96"/>
        <v>4.9080357798237184</v>
      </c>
      <c r="I101" s="61">
        <f t="shared" si="96"/>
        <v>3.7836378088150342</v>
      </c>
      <c r="J101" s="61">
        <f t="shared" si="96"/>
        <v>3.3403880745959076</v>
      </c>
      <c r="K101" s="61">
        <f t="shared" si="96"/>
        <v>2.5279244628010589</v>
      </c>
      <c r="L101" s="61">
        <f t="shared" si="96"/>
        <v>2.4463314941653116</v>
      </c>
      <c r="M101" s="61">
        <f t="shared" si="96"/>
        <v>2.6167475440059769</v>
      </c>
      <c r="N101" s="61">
        <f t="shared" si="96"/>
        <v>2.3980223542319297</v>
      </c>
      <c r="O101" s="61">
        <f t="shared" si="97"/>
        <v>2.4851348974640146</v>
      </c>
      <c r="P101" s="61">
        <f t="shared" si="97"/>
        <v>2.7054266964065201</v>
      </c>
      <c r="Q101" s="61">
        <f t="shared" si="97"/>
        <v>2.1362114764909723</v>
      </c>
      <c r="R101" s="61">
        <f t="shared" si="97"/>
        <v>2.0062365515196272</v>
      </c>
      <c r="S101" s="61">
        <f t="shared" si="97"/>
        <v>1.796566232554796</v>
      </c>
      <c r="T101" s="61">
        <f t="shared" si="97"/>
        <v>2.0613044061615224</v>
      </c>
      <c r="U101" s="61">
        <f t="shared" si="97"/>
        <v>1.9246492453768727</v>
      </c>
      <c r="V101" s="61">
        <f t="shared" si="97"/>
        <v>2.1831476660452545</v>
      </c>
      <c r="W101" s="61">
        <f t="shared" si="97"/>
        <v>2.2031255166490338</v>
      </c>
      <c r="X101" s="61">
        <f t="shared" si="97"/>
        <v>1.8615295052193104</v>
      </c>
      <c r="Y101" s="61">
        <f t="shared" si="98"/>
        <v>1.8841845501313135</v>
      </c>
      <c r="Z101" s="61">
        <f t="shared" si="98"/>
        <v>1.7686798984192933</v>
      </c>
      <c r="AA101" s="61">
        <f t="shared" si="98"/>
        <v>1.5567269078149901</v>
      </c>
      <c r="AB101" s="61">
        <f t="shared" si="98"/>
        <v>1.64424658737459</v>
      </c>
      <c r="AC101" s="61">
        <f t="shared" si="98"/>
        <v>2.1212865830148924</v>
      </c>
      <c r="AD101" s="61">
        <f t="shared" si="98"/>
        <v>1.8235931109191217</v>
      </c>
      <c r="AE101" s="61">
        <f t="shared" si="98"/>
        <v>2.230507321178711</v>
      </c>
      <c r="AF101" s="61">
        <f t="shared" si="98"/>
        <v>1.5704873821244447</v>
      </c>
      <c r="AG101" s="61">
        <f t="shared" si="98"/>
        <v>1.7269490946837975</v>
      </c>
      <c r="AH101" s="61">
        <f t="shared" si="98"/>
        <v>1.3290889390182952</v>
      </c>
      <c r="AI101" s="61">
        <f t="shared" si="99"/>
        <v>1.7245980706298605</v>
      </c>
      <c r="AJ101" s="61">
        <f t="shared" si="99"/>
        <v>1.5304057421263848</v>
      </c>
      <c r="AK101" s="61">
        <f t="shared" si="99"/>
        <v>1.3875460159417854</v>
      </c>
      <c r="AL101" s="61">
        <f t="shared" si="99"/>
        <v>1.1933918336182814</v>
      </c>
      <c r="AM101" s="61">
        <f t="shared" si="99"/>
        <v>1.9637873553334679</v>
      </c>
      <c r="AN101" s="61">
        <f t="shared" si="99"/>
        <v>1.7392576027665523</v>
      </c>
      <c r="AO101" s="61">
        <f t="shared" si="99"/>
        <v>1.2579718472064023</v>
      </c>
      <c r="AP101" s="61">
        <f t="shared" si="99"/>
        <v>1.2623097063787316</v>
      </c>
      <c r="AQ101" s="61">
        <f t="shared" si="99"/>
        <v>1.8043598692111735</v>
      </c>
      <c r="AR101" s="61">
        <f t="shared" si="99"/>
        <v>1.3401282491945261</v>
      </c>
      <c r="AS101" s="61">
        <f t="shared" si="100"/>
        <v>1.212328024748516</v>
      </c>
      <c r="AT101" s="61">
        <f t="shared" si="100"/>
        <v>0.99068276575689507</v>
      </c>
      <c r="AU101" s="61">
        <f t="shared" si="100"/>
        <v>1.5932136692806931</v>
      </c>
      <c r="AV101" s="61">
        <f t="shared" si="100"/>
        <v>1.102689535974404</v>
      </c>
      <c r="AW101" s="61">
        <f t="shared" si="100"/>
        <v>1.8110969487800221</v>
      </c>
      <c r="AX101" s="61">
        <f t="shared" si="100"/>
        <v>1.0181848665947619</v>
      </c>
      <c r="AY101" s="61">
        <f t="shared" si="100"/>
        <v>2.0608024248561629</v>
      </c>
      <c r="AZ101" s="61">
        <f t="shared" si="100"/>
        <v>1.1236054622985525</v>
      </c>
      <c r="BA101" s="61">
        <f t="shared" si="100"/>
        <v>0.91602178982553417</v>
      </c>
      <c r="BB101" s="61">
        <f t="shared" si="100"/>
        <v>2.0579288908190914</v>
      </c>
      <c r="BC101" s="61">
        <f t="shared" si="101"/>
        <v>2.055035912319858</v>
      </c>
      <c r="BD101" s="61">
        <f t="shared" si="101"/>
        <v>1.5232661359387623</v>
      </c>
      <c r="BE101" s="61">
        <f t="shared" si="101"/>
        <v>1.3327520622737807</v>
      </c>
      <c r="BF101" s="61">
        <f t="shared" si="101"/>
        <v>1.74867941073232</v>
      </c>
      <c r="BG101" s="61">
        <f t="shared" si="101"/>
        <v>0.80710372610878489</v>
      </c>
      <c r="BH101" s="61">
        <f t="shared" si="101"/>
        <v>2.0123816728795845</v>
      </c>
      <c r="BI101" s="61">
        <f t="shared" si="101"/>
        <v>2.0059438942994432</v>
      </c>
      <c r="BJ101" s="61">
        <f t="shared" si="101"/>
        <v>1.185148968402929</v>
      </c>
      <c r="BK101" s="61">
        <f t="shared" si="101"/>
        <v>1.3568347703804642</v>
      </c>
      <c r="BL101" s="61">
        <f t="shared" si="101"/>
        <v>0.91644284604632387</v>
      </c>
      <c r="BM101" s="61">
        <f t="shared" si="102"/>
        <v>0.97552025911197282</v>
      </c>
      <c r="BN101" s="61">
        <f t="shared" si="102"/>
        <v>0.93617381360691332</v>
      </c>
      <c r="BO101" s="61">
        <f t="shared" si="102"/>
        <v>1.6729241918042566</v>
      </c>
      <c r="BP101" s="61">
        <f t="shared" si="102"/>
        <v>0.77193456498385016</v>
      </c>
      <c r="BQ101" s="61">
        <f t="shared" si="102"/>
        <v>0.64512200218108073</v>
      </c>
      <c r="BR101" s="61">
        <f t="shared" si="102"/>
        <v>0.60513008761269804</v>
      </c>
      <c r="BS101" s="61">
        <f t="shared" si="102"/>
        <v>0.74942010508006818</v>
      </c>
      <c r="BT101" s="61">
        <f t="shared" si="102"/>
        <v>0.84083284820394977</v>
      </c>
      <c r="BU101" s="61">
        <f t="shared" si="102"/>
        <v>0.88747085342916154</v>
      </c>
      <c r="BV101" s="61">
        <f t="shared" si="102"/>
        <v>1.9034507423193643</v>
      </c>
      <c r="BW101" s="61">
        <f t="shared" si="103"/>
        <v>0.76044464287264613</v>
      </c>
      <c r="BX101" s="61">
        <f t="shared" si="103"/>
        <v>1.8997595446397333</v>
      </c>
      <c r="BY101" s="61">
        <f t="shared" si="103"/>
        <v>1.0443596221910876</v>
      </c>
      <c r="BZ101" s="61">
        <f t="shared" si="103"/>
        <v>1.0868024948199371</v>
      </c>
      <c r="CA101" s="61">
        <f t="shared" si="103"/>
        <v>1.8888150743677012</v>
      </c>
      <c r="CB101" s="61">
        <f t="shared" si="103"/>
        <v>1.080568451379682</v>
      </c>
      <c r="CC101" s="61">
        <f t="shared" si="103"/>
        <v>1.8852349722326152</v>
      </c>
      <c r="CD101" s="61">
        <f t="shared" si="103"/>
        <v>1.8782355309516054</v>
      </c>
      <c r="CE101" s="61">
        <f t="shared" si="103"/>
        <v>0.84279546314059806</v>
      </c>
      <c r="CF101" s="61">
        <f t="shared" si="103"/>
        <v>0.57493334592874046</v>
      </c>
      <c r="CG101" s="61">
        <f t="shared" si="104"/>
        <v>1.0549226118775377</v>
      </c>
      <c r="CH101" s="61">
        <f t="shared" si="104"/>
        <v>1.1786381737073788</v>
      </c>
      <c r="CI101" s="61">
        <f t="shared" si="104"/>
        <v>1.261614760967849</v>
      </c>
      <c r="CJ101" s="61">
        <f t="shared" si="104"/>
        <v>1.5532804366381536</v>
      </c>
      <c r="CK101" s="61">
        <f t="shared" si="104"/>
        <v>0.85211492279313339</v>
      </c>
      <c r="CL101" s="61">
        <f t="shared" si="104"/>
        <v>1.8516996430846584</v>
      </c>
      <c r="CM101" s="61">
        <f t="shared" si="104"/>
        <v>1.0826133962000646</v>
      </c>
      <c r="CN101" s="61">
        <f t="shared" si="104"/>
        <v>0</v>
      </c>
      <c r="CO101" s="61">
        <f t="shared" si="104"/>
        <v>0.81148049535484179</v>
      </c>
      <c r="CP101" s="61">
        <f t="shared" si="104"/>
        <v>1.8507969001267033</v>
      </c>
      <c r="CQ101" s="61">
        <f t="shared" si="105"/>
        <v>1.1577067225971278</v>
      </c>
      <c r="CR101" s="61">
        <f t="shared" si="105"/>
        <v>1.0876471466234441</v>
      </c>
      <c r="CS101" s="61">
        <f t="shared" si="105"/>
        <v>1.8546471680958978</v>
      </c>
      <c r="CT101" s="61">
        <f t="shared" si="105"/>
        <v>1.8586634335808718</v>
      </c>
      <c r="CU101" s="61">
        <f t="shared" si="105"/>
        <v>1.4634751943618836</v>
      </c>
      <c r="CV101" s="61">
        <f t="shared" si="105"/>
        <v>0.66258612779697479</v>
      </c>
      <c r="CW101" s="61">
        <f t="shared" si="105"/>
        <v>1.8586634335808718</v>
      </c>
      <c r="CX101" s="61">
        <f t="shared" si="105"/>
        <v>0.87679540429221847</v>
      </c>
      <c r="CY101" s="61">
        <f t="shared" si="105"/>
        <v>1.8646295527293413</v>
      </c>
      <c r="CZ101" s="61">
        <f t="shared" si="105"/>
        <v>1.8646295527293413</v>
      </c>
      <c r="DA101" s="61">
        <f t="shared" si="106"/>
        <v>1.2688940198695742</v>
      </c>
      <c r="DB101" s="61">
        <f t="shared" si="106"/>
        <v>1.8731779732828078</v>
      </c>
      <c r="DC101" s="61">
        <f t="shared" si="106"/>
        <v>1.8731779732828078</v>
      </c>
      <c r="DD101" s="61">
        <f t="shared" si="106"/>
        <v>1.4005585619024479</v>
      </c>
      <c r="DE101" s="61">
        <f t="shared" si="106"/>
        <v>1.606826842129452</v>
      </c>
      <c r="DF101" s="61">
        <f t="shared" si="106"/>
        <v>1.9619120218872905</v>
      </c>
      <c r="DG101" s="61">
        <f t="shared" si="106"/>
        <v>2.0166242235250182</v>
      </c>
      <c r="DH101" s="61">
        <f t="shared" si="106"/>
        <v>2.0166242235250182</v>
      </c>
      <c r="DI101" s="61">
        <f t="shared" si="106"/>
        <v>2.0166242235250182</v>
      </c>
      <c r="DJ101" s="61">
        <f t="shared" si="106"/>
        <v>2.0166242235250182</v>
      </c>
      <c r="DK101" s="61">
        <f t="shared" si="107"/>
        <v>2.1094313817476538</v>
      </c>
      <c r="DL101" s="61">
        <f t="shared" si="107"/>
        <v>2.1094313817476538</v>
      </c>
      <c r="DM101" s="61">
        <f t="shared" si="107"/>
        <v>2.1094313817476538</v>
      </c>
      <c r="DN101" s="61">
        <f t="shared" si="107"/>
        <v>2.1094313817476538</v>
      </c>
      <c r="DO101" s="61">
        <f t="shared" si="107"/>
        <v>2.1094313817476538</v>
      </c>
      <c r="DP101" s="61">
        <f t="shared" si="107"/>
        <v>2.3044742649072281</v>
      </c>
      <c r="DQ101" s="61">
        <f t="shared" si="107"/>
        <v>2.3044742649072281</v>
      </c>
    </row>
    <row r="102" spans="1:121" x14ac:dyDescent="0.25">
      <c r="A102" s="48" t="str">
        <f>KMeans_Data!A93</f>
        <v>Lakki Marwat</v>
      </c>
      <c r="B102" s="59">
        <f>KMeans_Data!H93</f>
        <v>-0.74475874463319425</v>
      </c>
      <c r="C102" s="59">
        <f>KMeans_Data!I93</f>
        <v>-0.14698313392952958</v>
      </c>
      <c r="D102" s="59">
        <f>KMeans_Data!J93</f>
        <v>-0.1820498150291911</v>
      </c>
      <c r="E102" s="61">
        <f t="shared" si="96"/>
        <v>6.7432716431257811</v>
      </c>
      <c r="F102" s="61">
        <f t="shared" si="96"/>
        <v>6.5327233845402342</v>
      </c>
      <c r="G102" s="61">
        <f t="shared" si="96"/>
        <v>4.7065657284103448</v>
      </c>
      <c r="H102" s="61">
        <f t="shared" si="96"/>
        <v>5.1596831670337089</v>
      </c>
      <c r="I102" s="61">
        <f t="shared" si="96"/>
        <v>4.1143341665002326</v>
      </c>
      <c r="J102" s="61">
        <f t="shared" si="96"/>
        <v>3.6479437373078891</v>
      </c>
      <c r="K102" s="61">
        <f t="shared" si="96"/>
        <v>2.202561731138458</v>
      </c>
      <c r="L102" s="61">
        <f t="shared" si="96"/>
        <v>2.9282629623357685</v>
      </c>
      <c r="M102" s="61">
        <f t="shared" si="96"/>
        <v>3.0638560344376349</v>
      </c>
      <c r="N102" s="61">
        <f t="shared" si="96"/>
        <v>2.0495722045882494</v>
      </c>
      <c r="O102" s="61">
        <f t="shared" si="97"/>
        <v>2.749588569711146</v>
      </c>
      <c r="P102" s="61">
        <f t="shared" si="97"/>
        <v>2.9986670610602197</v>
      </c>
      <c r="Q102" s="61">
        <f t="shared" si="97"/>
        <v>2.4676952028849732</v>
      </c>
      <c r="R102" s="61">
        <f t="shared" si="97"/>
        <v>2.4865230223264101</v>
      </c>
      <c r="S102" s="61">
        <f t="shared" si="97"/>
        <v>2.2115894543540846</v>
      </c>
      <c r="T102" s="61">
        <f t="shared" si="97"/>
        <v>2.3738250723308263</v>
      </c>
      <c r="U102" s="61">
        <f t="shared" si="97"/>
        <v>2.4561821470696721</v>
      </c>
      <c r="V102" s="61">
        <f t="shared" si="97"/>
        <v>2.3512554750854715</v>
      </c>
      <c r="W102" s="61">
        <f t="shared" si="97"/>
        <v>2.4755193805950575</v>
      </c>
      <c r="X102" s="61">
        <f t="shared" si="97"/>
        <v>2.2147096948128713</v>
      </c>
      <c r="Y102" s="61">
        <f t="shared" si="98"/>
        <v>2.3154632347198563</v>
      </c>
      <c r="Z102" s="61">
        <f t="shared" si="98"/>
        <v>1.9711162850924888</v>
      </c>
      <c r="AA102" s="61">
        <f t="shared" si="98"/>
        <v>1.9322720872013688</v>
      </c>
      <c r="AB102" s="61">
        <f t="shared" si="98"/>
        <v>1.8813831498957165</v>
      </c>
      <c r="AC102" s="61">
        <f t="shared" si="98"/>
        <v>2.3308088213208342</v>
      </c>
      <c r="AD102" s="61">
        <f t="shared" si="98"/>
        <v>2.268624317970239</v>
      </c>
      <c r="AE102" s="61">
        <f t="shared" si="98"/>
        <v>1.6916898584203452</v>
      </c>
      <c r="AF102" s="61">
        <f t="shared" si="98"/>
        <v>1.903305087166439</v>
      </c>
      <c r="AG102" s="61">
        <f t="shared" si="98"/>
        <v>1.4397221375466607</v>
      </c>
      <c r="AH102" s="61">
        <f t="shared" si="98"/>
        <v>1.6649643730990078</v>
      </c>
      <c r="AI102" s="61">
        <f t="shared" si="99"/>
        <v>1.4368163030737835</v>
      </c>
      <c r="AJ102" s="61">
        <f t="shared" si="99"/>
        <v>1.971075901875595</v>
      </c>
      <c r="AK102" s="61">
        <f t="shared" si="99"/>
        <v>1.4577979002100971</v>
      </c>
      <c r="AL102" s="61">
        <f t="shared" si="99"/>
        <v>1.4319725829354388</v>
      </c>
      <c r="AM102" s="61">
        <f t="shared" si="99"/>
        <v>2.021417779007411</v>
      </c>
      <c r="AN102" s="61">
        <f t="shared" si="99"/>
        <v>1.9800916430602538</v>
      </c>
      <c r="AO102" s="61">
        <f t="shared" si="99"/>
        <v>1.478299343223662</v>
      </c>
      <c r="AP102" s="61">
        <f t="shared" si="99"/>
        <v>1.4376656546922337</v>
      </c>
      <c r="AQ102" s="61">
        <f t="shared" si="99"/>
        <v>2.0000347367958797</v>
      </c>
      <c r="AR102" s="61">
        <f t="shared" si="99"/>
        <v>1.1800840893459679</v>
      </c>
      <c r="AS102" s="61">
        <f t="shared" si="100"/>
        <v>1.681419538100698</v>
      </c>
      <c r="AT102" s="61">
        <f t="shared" si="100"/>
        <v>1.3970672668018551</v>
      </c>
      <c r="AU102" s="61">
        <f t="shared" si="100"/>
        <v>1.1048529385361197</v>
      </c>
      <c r="AV102" s="61">
        <f t="shared" si="100"/>
        <v>1.3283620723785274</v>
      </c>
      <c r="AW102" s="61">
        <f t="shared" si="100"/>
        <v>1.2868665255347151</v>
      </c>
      <c r="AX102" s="61">
        <f t="shared" si="100"/>
        <v>1.1693436261900985</v>
      </c>
      <c r="AY102" s="61">
        <f t="shared" si="100"/>
        <v>1.4488800717286945</v>
      </c>
      <c r="AZ102" s="61">
        <f t="shared" si="100"/>
        <v>1.6266250265828746</v>
      </c>
      <c r="BA102" s="61">
        <f t="shared" si="100"/>
        <v>1.3558283750182951</v>
      </c>
      <c r="BB102" s="61">
        <f t="shared" si="100"/>
        <v>1.4446152112523125</v>
      </c>
      <c r="BC102" s="61">
        <f t="shared" si="101"/>
        <v>1.4403134787263514</v>
      </c>
      <c r="BD102" s="61">
        <f t="shared" si="101"/>
        <v>1.1006820157870629</v>
      </c>
      <c r="BE102" s="61">
        <f t="shared" si="101"/>
        <v>1.0424471184050068</v>
      </c>
      <c r="BF102" s="61">
        <f t="shared" si="101"/>
        <v>2.0043082445802507</v>
      </c>
      <c r="BG102" s="61">
        <f t="shared" si="101"/>
        <v>1.1643293045200254</v>
      </c>
      <c r="BH102" s="61">
        <f t="shared" si="101"/>
        <v>1.3758879296790285</v>
      </c>
      <c r="BI102" s="61">
        <f t="shared" si="101"/>
        <v>1.3659882108428161</v>
      </c>
      <c r="BJ102" s="61">
        <f t="shared" si="101"/>
        <v>1.0535724894763208</v>
      </c>
      <c r="BK102" s="61">
        <f t="shared" si="101"/>
        <v>0.94198613913239226</v>
      </c>
      <c r="BL102" s="61">
        <f t="shared" si="101"/>
        <v>1.0601724851402421</v>
      </c>
      <c r="BM102" s="61">
        <f t="shared" si="102"/>
        <v>1.2069560767259429</v>
      </c>
      <c r="BN102" s="61">
        <f t="shared" si="102"/>
        <v>0.79795165090012476</v>
      </c>
      <c r="BO102" s="61">
        <f t="shared" si="102"/>
        <v>1.0729470076569629</v>
      </c>
      <c r="BP102" s="61">
        <f t="shared" si="102"/>
        <v>0.84393176157564809</v>
      </c>
      <c r="BQ102" s="61">
        <f t="shared" si="102"/>
        <v>0.84876923122971748</v>
      </c>
      <c r="BR102" s="61">
        <f t="shared" si="102"/>
        <v>0.86469063003267788</v>
      </c>
      <c r="BS102" s="61">
        <f t="shared" si="102"/>
        <v>1.1002736428022339</v>
      </c>
      <c r="BT102" s="61">
        <f t="shared" si="102"/>
        <v>0.83580987069446389</v>
      </c>
      <c r="BU102" s="61">
        <f t="shared" si="102"/>
        <v>0.80138631655851833</v>
      </c>
      <c r="BV102" s="61">
        <f t="shared" si="102"/>
        <v>1.1999657909357224</v>
      </c>
      <c r="BW102" s="61">
        <f t="shared" si="103"/>
        <v>0.84609232442443727</v>
      </c>
      <c r="BX102" s="61">
        <f t="shared" si="103"/>
        <v>1.1935845232048068</v>
      </c>
      <c r="BY102" s="61">
        <f t="shared" si="103"/>
        <v>0.68246746940855096</v>
      </c>
      <c r="BZ102" s="61">
        <f t="shared" si="103"/>
        <v>0.6741976786747077</v>
      </c>
      <c r="CA102" s="61">
        <f t="shared" si="103"/>
        <v>1.1744052518025188</v>
      </c>
      <c r="CB102" s="61">
        <f t="shared" si="103"/>
        <v>0.66304004870535316</v>
      </c>
      <c r="CC102" s="61">
        <f t="shared" si="103"/>
        <v>1.1680356551570548</v>
      </c>
      <c r="CD102" s="61">
        <f t="shared" si="103"/>
        <v>1.1554175263933639</v>
      </c>
      <c r="CE102" s="61">
        <f t="shared" si="103"/>
        <v>0.66541694408150431</v>
      </c>
      <c r="CF102" s="61">
        <f t="shared" si="103"/>
        <v>0.46798049446426165</v>
      </c>
      <c r="CG102" s="61">
        <f t="shared" si="104"/>
        <v>0.34987121613451139</v>
      </c>
      <c r="CH102" s="61">
        <f t="shared" si="104"/>
        <v>0.63145553711182312</v>
      </c>
      <c r="CI102" s="61">
        <f t="shared" si="104"/>
        <v>0.65556417557546298</v>
      </c>
      <c r="CJ102" s="61">
        <f t="shared" si="104"/>
        <v>0.85323530149151439</v>
      </c>
      <c r="CK102" s="61">
        <f t="shared" si="104"/>
        <v>0.56355779781329096</v>
      </c>
      <c r="CL102" s="61">
        <f t="shared" si="104"/>
        <v>1.1029593572174814</v>
      </c>
      <c r="CM102" s="61">
        <f t="shared" si="104"/>
        <v>0.55297081659278902</v>
      </c>
      <c r="CN102" s="61">
        <f t="shared" si="104"/>
        <v>0.81148049535484179</v>
      </c>
      <c r="CO102" s="61">
        <f t="shared" si="104"/>
        <v>0</v>
      </c>
      <c r="CP102" s="61">
        <f t="shared" si="104"/>
        <v>1.0976521329528695</v>
      </c>
      <c r="CQ102" s="61">
        <f t="shared" si="105"/>
        <v>0.57052310080748603</v>
      </c>
      <c r="CR102" s="61">
        <f t="shared" si="105"/>
        <v>0.54923337838034825</v>
      </c>
      <c r="CS102" s="61">
        <f t="shared" si="105"/>
        <v>1.1010903339859972</v>
      </c>
      <c r="CT102" s="61">
        <f t="shared" si="105"/>
        <v>1.1061134001351542</v>
      </c>
      <c r="CU102" s="61">
        <f t="shared" si="105"/>
        <v>0.65674921231337025</v>
      </c>
      <c r="CV102" s="61">
        <f t="shared" si="105"/>
        <v>0.7035406188854364</v>
      </c>
      <c r="CW102" s="61">
        <f t="shared" si="105"/>
        <v>1.1061134001351542</v>
      </c>
      <c r="CX102" s="61">
        <f t="shared" si="105"/>
        <v>0.57856091666735332</v>
      </c>
      <c r="CY102" s="61">
        <f t="shared" si="105"/>
        <v>1.1142128301901923</v>
      </c>
      <c r="CZ102" s="61">
        <f t="shared" si="105"/>
        <v>1.1142128301901923</v>
      </c>
      <c r="DA102" s="61">
        <f t="shared" si="106"/>
        <v>0.64507710638117488</v>
      </c>
      <c r="DB102" s="61">
        <f t="shared" si="106"/>
        <v>1.1263629894288547</v>
      </c>
      <c r="DC102" s="61">
        <f t="shared" si="106"/>
        <v>1.1263629894288547</v>
      </c>
      <c r="DD102" s="61">
        <f t="shared" si="106"/>
        <v>0.73942987757150913</v>
      </c>
      <c r="DE102" s="61">
        <f t="shared" si="106"/>
        <v>0.9224655532713526</v>
      </c>
      <c r="DF102" s="61">
        <f t="shared" si="106"/>
        <v>1.2574445255670585</v>
      </c>
      <c r="DG102" s="61">
        <f t="shared" si="106"/>
        <v>1.3368959403962988</v>
      </c>
      <c r="DH102" s="61">
        <f t="shared" si="106"/>
        <v>1.3368959403962988</v>
      </c>
      <c r="DI102" s="61">
        <f t="shared" si="106"/>
        <v>1.3368959403962988</v>
      </c>
      <c r="DJ102" s="61">
        <f t="shared" si="106"/>
        <v>1.3368959403962988</v>
      </c>
      <c r="DK102" s="61">
        <f t="shared" si="107"/>
        <v>1.4676303337162171</v>
      </c>
      <c r="DL102" s="61">
        <f t="shared" si="107"/>
        <v>1.4676303337162171</v>
      </c>
      <c r="DM102" s="61">
        <f t="shared" si="107"/>
        <v>1.4676303337162171</v>
      </c>
      <c r="DN102" s="61">
        <f t="shared" si="107"/>
        <v>1.4676303337162171</v>
      </c>
      <c r="DO102" s="61">
        <f t="shared" si="107"/>
        <v>1.4676303337162171</v>
      </c>
      <c r="DP102" s="61">
        <f t="shared" si="107"/>
        <v>1.7282967825727553</v>
      </c>
      <c r="DQ102" s="61">
        <f t="shared" si="107"/>
        <v>1.7282967825727553</v>
      </c>
    </row>
    <row r="103" spans="1:121" x14ac:dyDescent="0.25">
      <c r="A103" s="48" t="str">
        <f>KMeans_Data!A94</f>
        <v>Taftan</v>
      </c>
      <c r="B103" s="59">
        <f>KMeans_Data!H94</f>
        <v>-0.74475874463319425</v>
      </c>
      <c r="C103" s="59">
        <f>KMeans_Data!I94</f>
        <v>-0.67265054538827607</v>
      </c>
      <c r="D103" s="59">
        <f>KMeans_Data!J94</f>
        <v>-1.1456441163335547</v>
      </c>
      <c r="E103" s="61">
        <f t="shared" si="96"/>
        <v>7.595834527091335</v>
      </c>
      <c r="F103" s="61">
        <f t="shared" si="96"/>
        <v>7.3432127494024195</v>
      </c>
      <c r="G103" s="61">
        <f t="shared" si="96"/>
        <v>5.5539049886384522</v>
      </c>
      <c r="H103" s="61">
        <f t="shared" si="96"/>
        <v>5.9361244841792384</v>
      </c>
      <c r="I103" s="61">
        <f t="shared" si="96"/>
        <v>4.9070666058902681</v>
      </c>
      <c r="J103" s="61">
        <f t="shared" si="96"/>
        <v>4.4883080636931352</v>
      </c>
      <c r="K103" s="61">
        <f t="shared" si="96"/>
        <v>2.2674612918080244</v>
      </c>
      <c r="L103" s="61">
        <f t="shared" si="96"/>
        <v>3.7853014947453723</v>
      </c>
      <c r="M103" s="61">
        <f t="shared" si="96"/>
        <v>3.9546242158351315</v>
      </c>
      <c r="N103" s="61">
        <f t="shared" si="96"/>
        <v>2.0414621696523616</v>
      </c>
      <c r="O103" s="61">
        <f t="shared" si="97"/>
        <v>3.5674854397132307</v>
      </c>
      <c r="P103" s="61">
        <f t="shared" si="97"/>
        <v>3.848410935984738</v>
      </c>
      <c r="Q103" s="61">
        <f t="shared" si="97"/>
        <v>3.3055615617149963</v>
      </c>
      <c r="R103" s="61">
        <f t="shared" si="97"/>
        <v>3.3353981460163755</v>
      </c>
      <c r="S103" s="61">
        <f t="shared" si="97"/>
        <v>2.9488310285610084</v>
      </c>
      <c r="T103" s="61">
        <f t="shared" si="97"/>
        <v>3.2112872132002148</v>
      </c>
      <c r="U103" s="61">
        <f t="shared" si="97"/>
        <v>3.3454908269750758</v>
      </c>
      <c r="V103" s="61">
        <f t="shared" si="97"/>
        <v>3.1436003283743199</v>
      </c>
      <c r="W103" s="61">
        <f t="shared" si="97"/>
        <v>3.3303225090682447</v>
      </c>
      <c r="X103" s="61">
        <f t="shared" si="97"/>
        <v>3.0752881411039437</v>
      </c>
      <c r="Y103" s="61">
        <f t="shared" si="98"/>
        <v>3.218743483045885</v>
      </c>
      <c r="Z103" s="61">
        <f t="shared" si="98"/>
        <v>2.7625095539221385</v>
      </c>
      <c r="AA103" s="61">
        <f t="shared" si="98"/>
        <v>2.7316881608396741</v>
      </c>
      <c r="AB103" s="61">
        <f t="shared" si="98"/>
        <v>2.6667548043259059</v>
      </c>
      <c r="AC103" s="61">
        <f t="shared" si="98"/>
        <v>3.1618974535901301</v>
      </c>
      <c r="AD103" s="61">
        <f t="shared" si="98"/>
        <v>3.1882449209324535</v>
      </c>
      <c r="AE103" s="61">
        <f t="shared" si="98"/>
        <v>1.4864813577861453</v>
      </c>
      <c r="AF103" s="61">
        <f t="shared" si="98"/>
        <v>2.7815532467998181</v>
      </c>
      <c r="AG103" s="61">
        <f t="shared" si="98"/>
        <v>1.5183065420430915</v>
      </c>
      <c r="AH103" s="61">
        <f t="shared" si="98"/>
        <v>2.4813817694479274</v>
      </c>
      <c r="AI103" s="61">
        <f t="shared" si="99"/>
        <v>1.5155513884548879</v>
      </c>
      <c r="AJ103" s="61">
        <f t="shared" si="99"/>
        <v>2.8839683849813809</v>
      </c>
      <c r="AK103" s="61">
        <f t="shared" si="99"/>
        <v>2.1877086527198482</v>
      </c>
      <c r="AL103" s="61">
        <f t="shared" si="99"/>
        <v>2.1610346949736132</v>
      </c>
      <c r="AM103" s="61">
        <f t="shared" si="99"/>
        <v>2.8001016613742014</v>
      </c>
      <c r="AN103" s="61">
        <f t="shared" si="99"/>
        <v>2.8675063902845985</v>
      </c>
      <c r="AO103" s="61">
        <f t="shared" si="99"/>
        <v>2.3096211130529158</v>
      </c>
      <c r="AP103" s="61">
        <f t="shared" si="99"/>
        <v>2.2499764068256591</v>
      </c>
      <c r="AQ103" s="61">
        <f t="shared" si="99"/>
        <v>2.8739332210777246</v>
      </c>
      <c r="AR103" s="61">
        <f t="shared" si="99"/>
        <v>1.7663510736952845</v>
      </c>
      <c r="AS103" s="61">
        <f t="shared" si="100"/>
        <v>2.4038535727393793</v>
      </c>
      <c r="AT103" s="61">
        <f t="shared" si="100"/>
        <v>2.2359787943741294</v>
      </c>
      <c r="AU103" s="61">
        <f t="shared" si="100"/>
        <v>1.2448368659857765</v>
      </c>
      <c r="AV103" s="61">
        <f t="shared" si="100"/>
        <v>1.9390557860351978</v>
      </c>
      <c r="AW103" s="61">
        <f t="shared" si="100"/>
        <v>1.0345020869497088</v>
      </c>
      <c r="AX103" s="61">
        <f t="shared" si="100"/>
        <v>1.9954391495687551</v>
      </c>
      <c r="AY103" s="61">
        <f t="shared" si="100"/>
        <v>0.94573424241515303</v>
      </c>
      <c r="AZ103" s="61">
        <f t="shared" si="100"/>
        <v>2.374614416236879</v>
      </c>
      <c r="BA103" s="61">
        <f t="shared" si="100"/>
        <v>2.2198241182705205</v>
      </c>
      <c r="BB103" s="61">
        <f t="shared" si="100"/>
        <v>0.93918736341881226</v>
      </c>
      <c r="BC103" s="61">
        <f t="shared" si="101"/>
        <v>0.93255708244847968</v>
      </c>
      <c r="BD103" s="61">
        <f t="shared" si="101"/>
        <v>1.1156519760104768</v>
      </c>
      <c r="BE103" s="61">
        <f t="shared" si="101"/>
        <v>1.2726486735659654</v>
      </c>
      <c r="BF103" s="61">
        <f t="shared" si="101"/>
        <v>2.9447505809690364</v>
      </c>
      <c r="BG103" s="61">
        <f t="shared" si="101"/>
        <v>2.0255821930734581</v>
      </c>
      <c r="BH103" s="61">
        <f t="shared" si="101"/>
        <v>0.82959471433975496</v>
      </c>
      <c r="BI103" s="61">
        <f t="shared" si="101"/>
        <v>0.81307046876981959</v>
      </c>
      <c r="BJ103" s="61">
        <f t="shared" si="101"/>
        <v>1.8459467059681556</v>
      </c>
      <c r="BK103" s="61">
        <f t="shared" si="101"/>
        <v>1.0582026311564694</v>
      </c>
      <c r="BL103" s="61">
        <f t="shared" si="101"/>
        <v>1.6818862860150399</v>
      </c>
      <c r="BM103" s="61">
        <f t="shared" si="102"/>
        <v>2.1702985997049677</v>
      </c>
      <c r="BN103" s="61">
        <f t="shared" si="102"/>
        <v>1.6119636213898647</v>
      </c>
      <c r="BO103" s="61">
        <f t="shared" si="102"/>
        <v>0.75192047092863745</v>
      </c>
      <c r="BP103" s="61">
        <f t="shared" si="102"/>
        <v>1.7613061755489714</v>
      </c>
      <c r="BQ103" s="61">
        <f t="shared" si="102"/>
        <v>1.7353792465428037</v>
      </c>
      <c r="BR103" s="61">
        <f t="shared" si="102"/>
        <v>1.7700037114012235</v>
      </c>
      <c r="BS103" s="61">
        <f t="shared" si="102"/>
        <v>1.8343037728239677</v>
      </c>
      <c r="BT103" s="61">
        <f t="shared" si="102"/>
        <v>1.4404722724285957</v>
      </c>
      <c r="BU103" s="61">
        <f t="shared" si="102"/>
        <v>1.3622707175147128</v>
      </c>
      <c r="BV103" s="61">
        <f t="shared" si="102"/>
        <v>0.48484811481536177</v>
      </c>
      <c r="BW103" s="61">
        <f t="shared" si="103"/>
        <v>1.5071369356827917</v>
      </c>
      <c r="BX103" s="61">
        <f t="shared" si="103"/>
        <v>0.46883238908810693</v>
      </c>
      <c r="BY103" s="61">
        <f t="shared" si="103"/>
        <v>1.0573313562159294</v>
      </c>
      <c r="BZ103" s="61">
        <f t="shared" si="103"/>
        <v>0.99372086703896567</v>
      </c>
      <c r="CA103" s="61">
        <f t="shared" si="103"/>
        <v>0.41759728266040474</v>
      </c>
      <c r="CB103" s="61">
        <f t="shared" si="103"/>
        <v>0.98618495113518445</v>
      </c>
      <c r="CC103" s="61">
        <f t="shared" si="103"/>
        <v>0.39933330282132312</v>
      </c>
      <c r="CD103" s="61">
        <f t="shared" si="103"/>
        <v>0.36076232525164825</v>
      </c>
      <c r="CE103" s="61">
        <f t="shared" si="103"/>
        <v>1.2363438728647864</v>
      </c>
      <c r="CF103" s="61">
        <f t="shared" si="103"/>
        <v>1.4292848794108524</v>
      </c>
      <c r="CG103" s="61">
        <f t="shared" si="104"/>
        <v>0.95263699544361835</v>
      </c>
      <c r="CH103" s="61">
        <f t="shared" si="104"/>
        <v>0.794475309634041</v>
      </c>
      <c r="CI103" s="61">
        <f t="shared" si="104"/>
        <v>0.68039901528216939</v>
      </c>
      <c r="CJ103" s="61">
        <f t="shared" si="104"/>
        <v>0.37706709359585905</v>
      </c>
      <c r="CK103" s="61">
        <f t="shared" si="104"/>
        <v>1.1199007074683174</v>
      </c>
      <c r="CL103" s="61">
        <f t="shared" si="104"/>
        <v>0.10807006383645867</v>
      </c>
      <c r="CM103" s="61">
        <f t="shared" si="104"/>
        <v>0.83728871634980562</v>
      </c>
      <c r="CN103" s="61">
        <f t="shared" si="104"/>
        <v>1.8507969001267033</v>
      </c>
      <c r="CO103" s="61">
        <f t="shared" si="104"/>
        <v>1.0976521329528695</v>
      </c>
      <c r="CP103" s="61">
        <f t="shared" si="104"/>
        <v>0</v>
      </c>
      <c r="CQ103" s="61">
        <f t="shared" si="105"/>
        <v>0.74696153235887131</v>
      </c>
      <c r="CR103" s="61">
        <f t="shared" si="105"/>
        <v>0.83482511608749543</v>
      </c>
      <c r="CS103" s="61">
        <f t="shared" si="105"/>
        <v>8.6946642381469652E-2</v>
      </c>
      <c r="CT103" s="61">
        <f t="shared" si="105"/>
        <v>0.13655273333979134</v>
      </c>
      <c r="CU103" s="61">
        <f t="shared" si="105"/>
        <v>0.63098422815092892</v>
      </c>
      <c r="CV103" s="61">
        <f t="shared" si="105"/>
        <v>1.417397125452817</v>
      </c>
      <c r="CW103" s="61">
        <f t="shared" si="105"/>
        <v>0.13655273333979134</v>
      </c>
      <c r="CX103" s="61">
        <f t="shared" si="105"/>
        <v>1.1275251382593827</v>
      </c>
      <c r="CY103" s="61">
        <f t="shared" si="105"/>
        <v>0.19138972277647115</v>
      </c>
      <c r="CZ103" s="61">
        <f t="shared" si="105"/>
        <v>0.19138972277647115</v>
      </c>
      <c r="DA103" s="61">
        <f t="shared" si="106"/>
        <v>0.67030060784406198</v>
      </c>
      <c r="DB103" s="61">
        <f t="shared" si="106"/>
        <v>0.25269226141518963</v>
      </c>
      <c r="DC103" s="61">
        <f t="shared" si="106"/>
        <v>0.25269226141518963</v>
      </c>
      <c r="DD103" s="61">
        <f t="shared" si="106"/>
        <v>0.56835103240104168</v>
      </c>
      <c r="DE103" s="61">
        <f t="shared" si="106"/>
        <v>0.51489009539292518</v>
      </c>
      <c r="DF103" s="61">
        <f t="shared" si="106"/>
        <v>0.61345458666683794</v>
      </c>
      <c r="DG103" s="61">
        <f t="shared" si="106"/>
        <v>0.76318447997330274</v>
      </c>
      <c r="DH103" s="61">
        <f t="shared" si="106"/>
        <v>0.76318447997330274</v>
      </c>
      <c r="DI103" s="61">
        <f t="shared" si="106"/>
        <v>0.76318447997330274</v>
      </c>
      <c r="DJ103" s="61">
        <f t="shared" si="106"/>
        <v>0.76318447997330274</v>
      </c>
      <c r="DK103" s="61">
        <f t="shared" si="107"/>
        <v>0.97421691191848603</v>
      </c>
      <c r="DL103" s="61">
        <f t="shared" si="107"/>
        <v>0.97421691191848603</v>
      </c>
      <c r="DM103" s="61">
        <f t="shared" si="107"/>
        <v>0.97421691191848603</v>
      </c>
      <c r="DN103" s="61">
        <f t="shared" si="107"/>
        <v>0.97421691191848603</v>
      </c>
      <c r="DO103" s="61">
        <f t="shared" si="107"/>
        <v>0.97421691191848603</v>
      </c>
      <c r="DP103" s="61">
        <f t="shared" si="107"/>
        <v>1.3349792371701343</v>
      </c>
      <c r="DQ103" s="61">
        <f t="shared" si="107"/>
        <v>1.3349792371701343</v>
      </c>
    </row>
    <row r="104" spans="1:121" x14ac:dyDescent="0.25">
      <c r="A104" s="48" t="str">
        <f>KMeans_Data!A95</f>
        <v>Orakzai</v>
      </c>
      <c r="B104" s="59">
        <f>KMeans_Data!H95</f>
        <v>-0.78641857410320049</v>
      </c>
      <c r="C104" s="59">
        <f>KMeans_Data!I95</f>
        <v>-0.67265054538827607</v>
      </c>
      <c r="D104" s="59">
        <f>KMeans_Data!J95</f>
        <v>-0.39984522290956798</v>
      </c>
      <c r="E104" s="61">
        <f t="shared" ref="E104:N113" si="108">SQRT(($B104-E$5)^2+($C104-E$6)^2+($D104-E$7)^2)</f>
        <v>7.2131090036106817</v>
      </c>
      <c r="F104" s="61">
        <f t="shared" si="108"/>
        <v>7.0076024593509914</v>
      </c>
      <c r="G104" s="61">
        <f t="shared" si="108"/>
        <v>5.1395949888301109</v>
      </c>
      <c r="H104" s="61">
        <f t="shared" si="108"/>
        <v>5.6478347757545295</v>
      </c>
      <c r="I104" s="61">
        <f t="shared" si="108"/>
        <v>4.543219526991038</v>
      </c>
      <c r="J104" s="61">
        <f t="shared" si="108"/>
        <v>4.1264399265979055</v>
      </c>
      <c r="K104" s="61">
        <f t="shared" si="108"/>
        <v>2.3224753899639703</v>
      </c>
      <c r="L104" s="61">
        <f t="shared" si="108"/>
        <v>3.2829975112716685</v>
      </c>
      <c r="M104" s="61">
        <f t="shared" si="108"/>
        <v>3.4822560838848897</v>
      </c>
      <c r="N104" s="61">
        <f t="shared" si="108"/>
        <v>2.0996632529805628</v>
      </c>
      <c r="O104" s="61">
        <f t="shared" ref="O104:X113" si="109">SQRT(($B104-O$5)^2+($C104-O$6)^2+($D104-O$7)^2)</f>
        <v>3.2029626319405455</v>
      </c>
      <c r="P104" s="61">
        <f t="shared" si="109"/>
        <v>3.4748841772859556</v>
      </c>
      <c r="Q104" s="61">
        <f t="shared" si="109"/>
        <v>2.8832446900902879</v>
      </c>
      <c r="R104" s="61">
        <f t="shared" si="109"/>
        <v>2.8158876730251468</v>
      </c>
      <c r="S104" s="61">
        <f t="shared" si="109"/>
        <v>2.4393090655748333</v>
      </c>
      <c r="T104" s="61">
        <f t="shared" si="109"/>
        <v>2.7957993821636666</v>
      </c>
      <c r="U104" s="61">
        <f t="shared" si="109"/>
        <v>2.7955854337912616</v>
      </c>
      <c r="V104" s="61">
        <f t="shared" si="109"/>
        <v>2.8181840712127886</v>
      </c>
      <c r="W104" s="61">
        <f t="shared" si="109"/>
        <v>2.9460916186086128</v>
      </c>
      <c r="X104" s="61">
        <f t="shared" si="109"/>
        <v>2.6253267451759834</v>
      </c>
      <c r="Y104" s="61">
        <f t="shared" ref="Y104:AH113" si="110">SQRT(($B104-Y$5)^2+($C104-Y$6)^2+($D104-Y$7)^2)</f>
        <v>2.728619339022841</v>
      </c>
      <c r="Z104" s="61">
        <f t="shared" si="110"/>
        <v>2.3844880941934035</v>
      </c>
      <c r="AA104" s="61">
        <f t="shared" si="110"/>
        <v>2.2376579337228359</v>
      </c>
      <c r="AB104" s="61">
        <f t="shared" si="110"/>
        <v>2.2567464513620106</v>
      </c>
      <c r="AC104" s="61">
        <f t="shared" si="110"/>
        <v>2.8082994704333579</v>
      </c>
      <c r="AD104" s="61">
        <f t="shared" si="110"/>
        <v>2.6885335662567242</v>
      </c>
      <c r="AE104" s="61">
        <f t="shared" si="110"/>
        <v>1.6980661534517425</v>
      </c>
      <c r="AF104" s="61">
        <f t="shared" si="110"/>
        <v>2.3229094811403526</v>
      </c>
      <c r="AG104" s="61">
        <f t="shared" si="110"/>
        <v>1.3641721228640624</v>
      </c>
      <c r="AH104" s="61">
        <f t="shared" si="110"/>
        <v>1.9876639643843703</v>
      </c>
      <c r="AI104" s="61">
        <f t="shared" ref="AI104:AR113" si="111">SQRT(($B104-AI$5)^2+($C104-AI$6)^2+($D104-AI$7)^2)</f>
        <v>1.3610081616458176</v>
      </c>
      <c r="AJ104" s="61">
        <f t="shared" si="111"/>
        <v>2.3695820720513892</v>
      </c>
      <c r="AK104" s="61">
        <f t="shared" si="111"/>
        <v>1.8204011889025649</v>
      </c>
      <c r="AL104" s="61">
        <f t="shared" si="111"/>
        <v>1.6727932031784947</v>
      </c>
      <c r="AM104" s="61">
        <f t="shared" si="111"/>
        <v>2.5166906632005221</v>
      </c>
      <c r="AN104" s="61">
        <f t="shared" si="111"/>
        <v>2.4694336610160295</v>
      </c>
      <c r="AO104" s="61">
        <f t="shared" si="111"/>
        <v>1.8644514837376074</v>
      </c>
      <c r="AP104" s="61">
        <f t="shared" si="111"/>
        <v>1.8228156328616929</v>
      </c>
      <c r="AQ104" s="61">
        <f t="shared" si="111"/>
        <v>2.503424183186624</v>
      </c>
      <c r="AR104" s="61">
        <f t="shared" si="111"/>
        <v>1.4768050252145291</v>
      </c>
      <c r="AS104" s="61">
        <f t="shared" ref="AS104:BB113" si="112">SQRT(($B104-AS$5)^2+($C104-AS$6)^2+($D104-AS$7)^2)</f>
        <v>1.7911321471352271</v>
      </c>
      <c r="AT104" s="61">
        <f t="shared" si="112"/>
        <v>1.6669453145943125</v>
      </c>
      <c r="AU104" s="61">
        <f t="shared" si="112"/>
        <v>1.196713564375864</v>
      </c>
      <c r="AV104" s="61">
        <f t="shared" si="112"/>
        <v>1.3872302000430436</v>
      </c>
      <c r="AW104" s="61">
        <f t="shared" si="112"/>
        <v>1.1094963680836987</v>
      </c>
      <c r="AX104" s="61">
        <f t="shared" si="112"/>
        <v>1.5307179086479099</v>
      </c>
      <c r="AY104" s="61">
        <f t="shared" si="112"/>
        <v>1.2374017304927281</v>
      </c>
      <c r="AZ104" s="61">
        <f t="shared" si="112"/>
        <v>1.7397140532384074</v>
      </c>
      <c r="BA104" s="61">
        <f t="shared" si="112"/>
        <v>1.6333903430328598</v>
      </c>
      <c r="BB104" s="61">
        <f t="shared" si="112"/>
        <v>1.2321839169662612</v>
      </c>
      <c r="BC104" s="61">
        <f t="shared" ref="BC104:BL113" si="113">SQRT(($B104-BC$5)^2+($C104-BC$6)^2+($D104-BC$7)^2)</f>
        <v>1.2269126215425588</v>
      </c>
      <c r="BD104" s="61">
        <f t="shared" si="113"/>
        <v>0.95939232207402414</v>
      </c>
      <c r="BE104" s="61">
        <f t="shared" si="113"/>
        <v>0.9525830157161429</v>
      </c>
      <c r="BF104" s="61">
        <f t="shared" si="113"/>
        <v>2.5374810396456509</v>
      </c>
      <c r="BG104" s="61">
        <f t="shared" si="113"/>
        <v>1.4492249055556756</v>
      </c>
      <c r="BH104" s="61">
        <f t="shared" si="113"/>
        <v>1.1468654975809491</v>
      </c>
      <c r="BI104" s="61">
        <f t="shared" si="113"/>
        <v>1.1343632011668858</v>
      </c>
      <c r="BJ104" s="61">
        <f t="shared" si="113"/>
        <v>1.5205326429712578</v>
      </c>
      <c r="BK104" s="61">
        <f t="shared" si="113"/>
        <v>0.79237736566723127</v>
      </c>
      <c r="BL104" s="61">
        <f t="shared" si="113"/>
        <v>1.0938344423497151</v>
      </c>
      <c r="BM104" s="61">
        <f t="shared" ref="BM104:BV113" si="114">SQRT(($B104-BM$5)^2+($C104-BM$6)^2+($D104-BM$7)^2)</f>
        <v>1.694104924605828</v>
      </c>
      <c r="BN104" s="61">
        <f t="shared" si="114"/>
        <v>1.2007997149768901</v>
      </c>
      <c r="BO104" s="61">
        <f t="shared" si="114"/>
        <v>0.83718794466413604</v>
      </c>
      <c r="BP104" s="61">
        <f t="shared" si="114"/>
        <v>1.268718329285766</v>
      </c>
      <c r="BQ104" s="61">
        <f t="shared" si="114"/>
        <v>1.1594423677831098</v>
      </c>
      <c r="BR104" s="61">
        <f t="shared" si="114"/>
        <v>1.1793374494676114</v>
      </c>
      <c r="BS104" s="61">
        <f t="shared" si="114"/>
        <v>1.1707044783443195</v>
      </c>
      <c r="BT104" s="61">
        <f t="shared" si="114"/>
        <v>0.82418339260546369</v>
      </c>
      <c r="BU104" s="61">
        <f t="shared" si="114"/>
        <v>0.7655839349215674</v>
      </c>
      <c r="BV104" s="61">
        <f t="shared" si="114"/>
        <v>0.91292201464749834</v>
      </c>
      <c r="BW104" s="61">
        <f t="shared" ref="BW104:CF113" si="115">SQRT(($B104-BW$5)^2+($C104-BW$6)^2+($D104-BW$7)^2)</f>
        <v>0.85555232641395307</v>
      </c>
      <c r="BX104" s="61">
        <f t="shared" si="115"/>
        <v>0.90378000345262532</v>
      </c>
      <c r="BY104" s="61">
        <f t="shared" si="115"/>
        <v>0.52428066662862116</v>
      </c>
      <c r="BZ104" s="61">
        <f t="shared" si="115"/>
        <v>0.48500265181886032</v>
      </c>
      <c r="CA104" s="61">
        <f t="shared" si="115"/>
        <v>0.87586133861177362</v>
      </c>
      <c r="CB104" s="61">
        <f t="shared" si="115"/>
        <v>0.46774503734094253</v>
      </c>
      <c r="CC104" s="61">
        <f t="shared" si="115"/>
        <v>0.86642422182240553</v>
      </c>
      <c r="CD104" s="61">
        <f t="shared" si="115"/>
        <v>0.84744296565802135</v>
      </c>
      <c r="CE104" s="61">
        <f t="shared" si="115"/>
        <v>0.58479125923373665</v>
      </c>
      <c r="CF104" s="61">
        <f t="shared" si="115"/>
        <v>0.84425770173630577</v>
      </c>
      <c r="CG104" s="61">
        <f t="shared" ref="CG104:CP113" si="116">SQRT(($B104-CG$5)^2+($C104-CG$6)^2+($D104-CG$7)^2)</f>
        <v>0.61306690202296954</v>
      </c>
      <c r="CH104" s="61">
        <f t="shared" si="116"/>
        <v>0.31547551234018489</v>
      </c>
      <c r="CI104" s="61">
        <f t="shared" si="116"/>
        <v>0.28526946218168647</v>
      </c>
      <c r="CJ104" s="61">
        <f t="shared" si="116"/>
        <v>0.48732890479813712</v>
      </c>
      <c r="CK104" s="61">
        <f t="shared" si="116"/>
        <v>0.4078656970098381</v>
      </c>
      <c r="CL104" s="61">
        <f t="shared" si="116"/>
        <v>0.76068063626071647</v>
      </c>
      <c r="CM104" s="61">
        <f t="shared" si="116"/>
        <v>0.17192135046386978</v>
      </c>
      <c r="CN104" s="61">
        <f t="shared" si="116"/>
        <v>1.1577067225971278</v>
      </c>
      <c r="CO104" s="61">
        <f t="shared" si="116"/>
        <v>0.57052310080748603</v>
      </c>
      <c r="CP104" s="61">
        <f t="shared" si="116"/>
        <v>0.74696153235887131</v>
      </c>
      <c r="CQ104" s="61">
        <f t="shared" ref="CQ104:CZ113" si="117">SQRT(($B104-CQ$5)^2+($C104-CQ$6)^2+($D104-CQ$7)^2)</f>
        <v>0</v>
      </c>
      <c r="CR104" s="61">
        <f t="shared" si="117"/>
        <v>9.5858255875189299E-2</v>
      </c>
      <c r="CS104" s="61">
        <f t="shared" si="117"/>
        <v>0.74717259375335832</v>
      </c>
      <c r="CT104" s="61">
        <f t="shared" si="117"/>
        <v>0.75181158054214847</v>
      </c>
      <c r="CU104" s="61">
        <f t="shared" si="117"/>
        <v>0.6823611390470854</v>
      </c>
      <c r="CV104" s="61">
        <f t="shared" si="117"/>
        <v>0.67174137275617385</v>
      </c>
      <c r="CW104" s="61">
        <f t="shared" si="117"/>
        <v>0.75181158054214847</v>
      </c>
      <c r="CX104" s="61">
        <f t="shared" si="117"/>
        <v>0.39485424184494072</v>
      </c>
      <c r="CY104" s="61">
        <f t="shared" si="117"/>
        <v>0.76068063626071647</v>
      </c>
      <c r="CZ104" s="61">
        <f t="shared" si="117"/>
        <v>0.76068063626071647</v>
      </c>
      <c r="DA104" s="61">
        <f t="shared" ref="DA104:DJ113" si="118">SQRT(($B104-DA$5)^2+($C104-DA$6)^2+($D104-DA$7)^2)</f>
        <v>0.18196471574749701</v>
      </c>
      <c r="DB104" s="61">
        <f t="shared" si="118"/>
        <v>0.77508107754295075</v>
      </c>
      <c r="DC104" s="61">
        <f t="shared" si="118"/>
        <v>0.77508107754295075</v>
      </c>
      <c r="DD104" s="61">
        <f t="shared" si="118"/>
        <v>0.3171233736259042</v>
      </c>
      <c r="DE104" s="61">
        <f t="shared" si="118"/>
        <v>0.5571671999750456</v>
      </c>
      <c r="DF104" s="61">
        <f t="shared" si="118"/>
        <v>0.93976871292367825</v>
      </c>
      <c r="DG104" s="61">
        <f t="shared" si="118"/>
        <v>1.0376963962143972</v>
      </c>
      <c r="DH104" s="61">
        <f t="shared" si="118"/>
        <v>1.0376963962143972</v>
      </c>
      <c r="DI104" s="61">
        <f t="shared" si="118"/>
        <v>1.0376963962143972</v>
      </c>
      <c r="DJ104" s="61">
        <f t="shared" si="118"/>
        <v>1.0376963962143972</v>
      </c>
      <c r="DK104" s="61">
        <f t="shared" ref="DK104:DQ113" si="119">SQRT(($B104-DK$5)^2+($C104-DK$6)^2+($D104-DK$7)^2)</f>
        <v>1.194101629450887</v>
      </c>
      <c r="DL104" s="61">
        <f t="shared" si="119"/>
        <v>1.194101629450887</v>
      </c>
      <c r="DM104" s="61">
        <f t="shared" si="119"/>
        <v>1.194101629450887</v>
      </c>
      <c r="DN104" s="61">
        <f t="shared" si="119"/>
        <v>1.194101629450887</v>
      </c>
      <c r="DO104" s="61">
        <f t="shared" si="119"/>
        <v>1.194101629450887</v>
      </c>
      <c r="DP104" s="61">
        <f t="shared" si="119"/>
        <v>1.4929471121798834</v>
      </c>
      <c r="DQ104" s="61">
        <f t="shared" si="119"/>
        <v>1.4929471121798834</v>
      </c>
    </row>
    <row r="105" spans="1:121" x14ac:dyDescent="0.25">
      <c r="A105" s="48" t="str">
        <f>KMeans_Data!A96</f>
        <v>North Waziristan</v>
      </c>
      <c r="B105" s="59">
        <f>KMeans_Data!H96</f>
        <v>-0.8317053870146639</v>
      </c>
      <c r="C105" s="59">
        <f>KMeans_Data!I96</f>
        <v>-0.67265054538827607</v>
      </c>
      <c r="D105" s="59">
        <f>KMeans_Data!J96</f>
        <v>-0.31535907140676028</v>
      </c>
      <c r="E105" s="61">
        <f t="shared" si="108"/>
        <v>7.1964396719425361</v>
      </c>
      <c r="F105" s="61">
        <f t="shared" si="108"/>
        <v>6.9971989114006776</v>
      </c>
      <c r="G105" s="61">
        <f t="shared" si="108"/>
        <v>5.1226549086321391</v>
      </c>
      <c r="H105" s="61">
        <f t="shared" si="108"/>
        <v>5.6432443978630156</v>
      </c>
      <c r="I105" s="61">
        <f t="shared" si="108"/>
        <v>4.5347194735483596</v>
      </c>
      <c r="J105" s="61">
        <f t="shared" si="108"/>
        <v>4.1148213983860247</v>
      </c>
      <c r="K105" s="61">
        <f t="shared" si="108"/>
        <v>2.3806253106464852</v>
      </c>
      <c r="L105" s="61">
        <f t="shared" si="108"/>
        <v>3.2586611178927427</v>
      </c>
      <c r="M105" s="61">
        <f t="shared" si="108"/>
        <v>3.4592646179784046</v>
      </c>
      <c r="N105" s="61">
        <f t="shared" si="108"/>
        <v>2.1609203696512611</v>
      </c>
      <c r="O105" s="61">
        <f t="shared" si="109"/>
        <v>3.1950229026409764</v>
      </c>
      <c r="P105" s="61">
        <f t="shared" si="109"/>
        <v>3.4630304875157938</v>
      </c>
      <c r="Q105" s="61">
        <f t="shared" si="109"/>
        <v>2.8701579292083972</v>
      </c>
      <c r="R105" s="61">
        <f t="shared" si="109"/>
        <v>2.7906228532659427</v>
      </c>
      <c r="S105" s="61">
        <f t="shared" si="109"/>
        <v>2.4201643246201701</v>
      </c>
      <c r="T105" s="61">
        <f t="shared" si="109"/>
        <v>2.7836500809441254</v>
      </c>
      <c r="U105" s="61">
        <f t="shared" si="109"/>
        <v>2.76411900076618</v>
      </c>
      <c r="V105" s="61">
        <f t="shared" si="109"/>
        <v>2.8156340774795208</v>
      </c>
      <c r="W105" s="61">
        <f t="shared" si="109"/>
        <v>2.9345395297967474</v>
      </c>
      <c r="X105" s="61">
        <f t="shared" si="109"/>
        <v>2.6088806849223745</v>
      </c>
      <c r="Y105" s="61">
        <f t="shared" si="110"/>
        <v>2.7047060520378658</v>
      </c>
      <c r="Z105" s="61">
        <f t="shared" si="110"/>
        <v>2.3801921153953249</v>
      </c>
      <c r="AA105" s="61">
        <f t="shared" si="110"/>
        <v>2.2200841349335843</v>
      </c>
      <c r="AB105" s="61">
        <f t="shared" si="110"/>
        <v>2.2503319328615405</v>
      </c>
      <c r="AC105" s="61">
        <f t="shared" si="110"/>
        <v>2.8009661098343503</v>
      </c>
      <c r="AD105" s="61">
        <f t="shared" si="110"/>
        <v>2.6625546633246144</v>
      </c>
      <c r="AE105" s="61">
        <f t="shared" si="110"/>
        <v>1.7743580684314197</v>
      </c>
      <c r="AF105" s="61">
        <f t="shared" si="110"/>
        <v>2.3055965115425909</v>
      </c>
      <c r="AG105" s="61">
        <f t="shared" si="110"/>
        <v>1.4119888106614844</v>
      </c>
      <c r="AH105" s="61">
        <f t="shared" si="110"/>
        <v>1.9707695745667231</v>
      </c>
      <c r="AI105" s="61">
        <f t="shared" si="111"/>
        <v>1.4088305310649749</v>
      </c>
      <c r="AJ105" s="61">
        <f t="shared" si="111"/>
        <v>2.3433077719340853</v>
      </c>
      <c r="AK105" s="61">
        <f t="shared" si="111"/>
        <v>1.8238469126350616</v>
      </c>
      <c r="AL105" s="61">
        <f t="shared" si="111"/>
        <v>1.6618429165060675</v>
      </c>
      <c r="AM105" s="61">
        <f t="shared" si="111"/>
        <v>2.5176505860283092</v>
      </c>
      <c r="AN105" s="61">
        <f t="shared" si="111"/>
        <v>2.455696220135998</v>
      </c>
      <c r="AO105" s="61">
        <f t="shared" si="111"/>
        <v>1.8539239160175827</v>
      </c>
      <c r="AP105" s="61">
        <f t="shared" si="111"/>
        <v>1.8156510274660347</v>
      </c>
      <c r="AQ105" s="61">
        <f t="shared" si="111"/>
        <v>2.4921293411769709</v>
      </c>
      <c r="AR105" s="61">
        <f t="shared" si="111"/>
        <v>1.4974671422170598</v>
      </c>
      <c r="AS105" s="61">
        <f t="shared" si="112"/>
        <v>1.7546815693938658</v>
      </c>
      <c r="AT105" s="61">
        <f t="shared" si="112"/>
        <v>1.638757702042948</v>
      </c>
      <c r="AU105" s="61">
        <f t="shared" si="112"/>
        <v>1.2555055467595371</v>
      </c>
      <c r="AV105" s="61">
        <f t="shared" si="112"/>
        <v>1.3687523416560166</v>
      </c>
      <c r="AW105" s="61">
        <f t="shared" si="112"/>
        <v>1.1852248263536134</v>
      </c>
      <c r="AX105" s="61">
        <f t="shared" si="112"/>
        <v>1.5207006461380534</v>
      </c>
      <c r="AY105" s="61">
        <f t="shared" si="112"/>
        <v>1.3250671928824682</v>
      </c>
      <c r="AZ105" s="61">
        <f t="shared" si="112"/>
        <v>1.6979977392454322</v>
      </c>
      <c r="BA105" s="61">
        <f t="shared" si="112"/>
        <v>1.6012370645072693</v>
      </c>
      <c r="BB105" s="61">
        <f t="shared" si="112"/>
        <v>1.3199713079036308</v>
      </c>
      <c r="BC105" s="61">
        <f t="shared" si="113"/>
        <v>1.3148236006290843</v>
      </c>
      <c r="BD105" s="61">
        <f t="shared" si="113"/>
        <v>1.0166041924008233</v>
      </c>
      <c r="BE105" s="61">
        <f t="shared" si="113"/>
        <v>0.98760956822081158</v>
      </c>
      <c r="BF105" s="61">
        <f t="shared" si="113"/>
        <v>2.5164949570378066</v>
      </c>
      <c r="BG105" s="61">
        <f t="shared" si="113"/>
        <v>1.4204794016870963</v>
      </c>
      <c r="BH105" s="61">
        <f t="shared" si="113"/>
        <v>1.2366977457768216</v>
      </c>
      <c r="BI105" s="61">
        <f t="shared" si="113"/>
        <v>1.2245015541820277</v>
      </c>
      <c r="BJ105" s="61">
        <f t="shared" si="113"/>
        <v>1.5251593992946859</v>
      </c>
      <c r="BK105" s="61">
        <f t="shared" si="113"/>
        <v>0.84191400146907802</v>
      </c>
      <c r="BL105" s="61">
        <f t="shared" si="113"/>
        <v>1.0712029415536786</v>
      </c>
      <c r="BM105" s="61">
        <f t="shared" si="114"/>
        <v>1.6718325548450417</v>
      </c>
      <c r="BN105" s="61">
        <f t="shared" si="114"/>
        <v>1.2014855319798727</v>
      </c>
      <c r="BO105" s="61">
        <f t="shared" si="114"/>
        <v>0.92041802322449817</v>
      </c>
      <c r="BP105" s="61">
        <f t="shared" si="114"/>
        <v>1.2525079881242203</v>
      </c>
      <c r="BQ105" s="61">
        <f t="shared" si="114"/>
        <v>1.1325631543439232</v>
      </c>
      <c r="BR105" s="61">
        <f t="shared" si="114"/>
        <v>1.148384416572231</v>
      </c>
      <c r="BS105" s="61">
        <f t="shared" si="114"/>
        <v>1.1255297039314618</v>
      </c>
      <c r="BT105" s="61">
        <f t="shared" si="114"/>
        <v>0.79997448785540992</v>
      </c>
      <c r="BU105" s="61">
        <f t="shared" si="114"/>
        <v>0.74904972970716355</v>
      </c>
      <c r="BV105" s="61">
        <f t="shared" si="114"/>
        <v>1.0081282161445895</v>
      </c>
      <c r="BW105" s="61">
        <f t="shared" si="115"/>
        <v>0.81938131859538055</v>
      </c>
      <c r="BX105" s="61">
        <f t="shared" si="115"/>
        <v>0.99913141660661919</v>
      </c>
      <c r="BY105" s="61">
        <f t="shared" si="115"/>
        <v>0.53893632368202304</v>
      </c>
      <c r="BZ105" s="61">
        <f t="shared" si="115"/>
        <v>0.50957541762447489</v>
      </c>
      <c r="CA105" s="61">
        <f t="shared" si="115"/>
        <v>0.9715646288980212</v>
      </c>
      <c r="CB105" s="61">
        <f t="shared" si="115"/>
        <v>0.49149844257833458</v>
      </c>
      <c r="CC105" s="61">
        <f t="shared" si="115"/>
        <v>0.96220654795917926</v>
      </c>
      <c r="CD105" s="61">
        <f t="shared" si="115"/>
        <v>0.94330089342065249</v>
      </c>
      <c r="CE105" s="61">
        <f t="shared" si="115"/>
        <v>0.55763141328856713</v>
      </c>
      <c r="CF105" s="61">
        <f t="shared" si="115"/>
        <v>0.81577253778523573</v>
      </c>
      <c r="CG105" s="61">
        <f t="shared" si="116"/>
        <v>0.64312797527900356</v>
      </c>
      <c r="CH105" s="61">
        <f t="shared" si="116"/>
        <v>0.37052309660361449</v>
      </c>
      <c r="CI105" s="61">
        <f t="shared" si="116"/>
        <v>0.36348372709209587</v>
      </c>
      <c r="CJ105" s="61">
        <f t="shared" si="116"/>
        <v>0.58316960498131676</v>
      </c>
      <c r="CK105" s="61">
        <f t="shared" si="116"/>
        <v>0.36086883534907216</v>
      </c>
      <c r="CL105" s="61">
        <f t="shared" si="116"/>
        <v>0.85288027971877678</v>
      </c>
      <c r="CM105" s="61">
        <f t="shared" si="116"/>
        <v>0.19501670621792833</v>
      </c>
      <c r="CN105" s="61">
        <f t="shared" si="116"/>
        <v>1.0876471466234441</v>
      </c>
      <c r="CO105" s="61">
        <f t="shared" si="116"/>
        <v>0.54923337838034825</v>
      </c>
      <c r="CP105" s="61">
        <f t="shared" si="116"/>
        <v>0.83482511608749543</v>
      </c>
      <c r="CQ105" s="61">
        <f t="shared" si="117"/>
        <v>9.5858255875189299E-2</v>
      </c>
      <c r="CR105" s="61">
        <f t="shared" si="117"/>
        <v>0</v>
      </c>
      <c r="CS105" s="61">
        <f t="shared" si="117"/>
        <v>0.83028504492679445</v>
      </c>
      <c r="CT105" s="61">
        <f t="shared" si="117"/>
        <v>0.83176560405516553</v>
      </c>
      <c r="CU105" s="61">
        <f t="shared" si="117"/>
        <v>0.73345518525818021</v>
      </c>
      <c r="CV105" s="61">
        <f t="shared" si="117"/>
        <v>0.58263456489321275</v>
      </c>
      <c r="CW105" s="61">
        <f t="shared" si="117"/>
        <v>0.83176560405516553</v>
      </c>
      <c r="CX105" s="61">
        <f t="shared" si="117"/>
        <v>0.29966766019237107</v>
      </c>
      <c r="CY105" s="61">
        <f t="shared" si="117"/>
        <v>0.83682830549132703</v>
      </c>
      <c r="CZ105" s="61">
        <f t="shared" si="117"/>
        <v>0.83682830549132703</v>
      </c>
      <c r="DA105" s="61">
        <f t="shared" si="118"/>
        <v>0.21496645032086878</v>
      </c>
      <c r="DB105" s="61">
        <f t="shared" si="118"/>
        <v>0.84666691565098962</v>
      </c>
      <c r="DC105" s="61">
        <f t="shared" si="118"/>
        <v>0.84666691565098962</v>
      </c>
      <c r="DD105" s="61">
        <f t="shared" si="118"/>
        <v>0.36144132297205184</v>
      </c>
      <c r="DE105" s="61">
        <f t="shared" si="118"/>
        <v>0.59891094157521396</v>
      </c>
      <c r="DF105" s="61">
        <f t="shared" si="118"/>
        <v>0.98314997392294812</v>
      </c>
      <c r="DG105" s="61">
        <f t="shared" si="118"/>
        <v>1.0708271890552497</v>
      </c>
      <c r="DH105" s="61">
        <f t="shared" si="118"/>
        <v>1.0708271890552497</v>
      </c>
      <c r="DI105" s="61">
        <f t="shared" si="118"/>
        <v>1.0708271890552497</v>
      </c>
      <c r="DJ105" s="61">
        <f t="shared" si="118"/>
        <v>1.0708271890552497</v>
      </c>
      <c r="DK105" s="61">
        <f t="shared" si="119"/>
        <v>1.2151632758742252</v>
      </c>
      <c r="DL105" s="61">
        <f t="shared" si="119"/>
        <v>1.2151632758742252</v>
      </c>
      <c r="DM105" s="61">
        <f t="shared" si="119"/>
        <v>1.2151632758742252</v>
      </c>
      <c r="DN105" s="61">
        <f t="shared" si="119"/>
        <v>1.2151632758742252</v>
      </c>
      <c r="DO105" s="61">
        <f t="shared" si="119"/>
        <v>1.2151632758742252</v>
      </c>
      <c r="DP105" s="61">
        <f t="shared" si="119"/>
        <v>1.4989858616691543</v>
      </c>
      <c r="DQ105" s="61">
        <f t="shared" si="119"/>
        <v>1.4989858616691543</v>
      </c>
    </row>
    <row r="106" spans="1:121" x14ac:dyDescent="0.25">
      <c r="A106" s="48" t="str">
        <f>KMeans_Data!A97</f>
        <v>Kasur</v>
      </c>
      <c r="B106" s="59">
        <f>KMeans_Data!H97</f>
        <v>-0.8317053870146639</v>
      </c>
      <c r="C106" s="59">
        <f>KMeans_Data!I97</f>
        <v>-0.67265054538827607</v>
      </c>
      <c r="D106" s="59">
        <f>KMeans_Data!J97</f>
        <v>-1.1456441163335547</v>
      </c>
      <c r="E106" s="61">
        <f t="shared" si="108"/>
        <v>7.6421954132838588</v>
      </c>
      <c r="F106" s="61">
        <f t="shared" si="108"/>
        <v>7.3908741870177739</v>
      </c>
      <c r="G106" s="61">
        <f t="shared" si="108"/>
        <v>5.6030442713811599</v>
      </c>
      <c r="H106" s="61">
        <f t="shared" si="108"/>
        <v>5.9818444118661125</v>
      </c>
      <c r="I106" s="61">
        <f t="shared" si="108"/>
        <v>4.9592252213135728</v>
      </c>
      <c r="J106" s="61">
        <f t="shared" si="108"/>
        <v>4.5322986508770553</v>
      </c>
      <c r="K106" s="61">
        <f t="shared" si="108"/>
        <v>2.3476319073401144</v>
      </c>
      <c r="L106" s="61">
        <f t="shared" si="108"/>
        <v>3.8333378544944487</v>
      </c>
      <c r="M106" s="61">
        <f t="shared" si="108"/>
        <v>3.9993843018308288</v>
      </c>
      <c r="N106" s="61">
        <f t="shared" si="108"/>
        <v>2.1245177209532642</v>
      </c>
      <c r="O106" s="61">
        <f t="shared" si="109"/>
        <v>3.6142004206328169</v>
      </c>
      <c r="P106" s="61">
        <f t="shared" si="109"/>
        <v>3.8914406382157485</v>
      </c>
      <c r="Q106" s="61">
        <f t="shared" si="109"/>
        <v>3.3533705775461704</v>
      </c>
      <c r="R106" s="61">
        <f t="shared" si="109"/>
        <v>3.38265206186386</v>
      </c>
      <c r="S106" s="61">
        <f t="shared" si="109"/>
        <v>3.001320616238345</v>
      </c>
      <c r="T106" s="61">
        <f t="shared" si="109"/>
        <v>3.2585608924649798</v>
      </c>
      <c r="U106" s="61">
        <f t="shared" si="109"/>
        <v>3.3885736570699918</v>
      </c>
      <c r="V106" s="61">
        <f t="shared" si="109"/>
        <v>3.188670952641147</v>
      </c>
      <c r="W106" s="61">
        <f t="shared" si="109"/>
        <v>3.372850963044141</v>
      </c>
      <c r="X106" s="61">
        <f t="shared" si="109"/>
        <v>3.1210312510177149</v>
      </c>
      <c r="Y106" s="61">
        <f t="shared" si="110"/>
        <v>3.2610926258454147</v>
      </c>
      <c r="Z106" s="61">
        <f t="shared" si="110"/>
        <v>2.8116083817173969</v>
      </c>
      <c r="AA106" s="61">
        <f t="shared" si="110"/>
        <v>2.7812648567396372</v>
      </c>
      <c r="AB106" s="61">
        <f t="shared" si="110"/>
        <v>2.7175163627214127</v>
      </c>
      <c r="AC106" s="61">
        <f t="shared" si="110"/>
        <v>3.2042374854527318</v>
      </c>
      <c r="AD106" s="61">
        <f t="shared" si="110"/>
        <v>3.2287963636662043</v>
      </c>
      <c r="AE106" s="61">
        <f t="shared" si="110"/>
        <v>1.5681113797108259</v>
      </c>
      <c r="AF106" s="61">
        <f t="shared" si="110"/>
        <v>2.8246874711446939</v>
      </c>
      <c r="AG106" s="61">
        <f t="shared" si="110"/>
        <v>1.5946129565101121</v>
      </c>
      <c r="AH106" s="61">
        <f t="shared" si="110"/>
        <v>2.528792441306245</v>
      </c>
      <c r="AI106" s="61">
        <f t="shared" si="111"/>
        <v>1.5918170576097954</v>
      </c>
      <c r="AJ106" s="61">
        <f t="shared" si="111"/>
        <v>2.9245766632908006</v>
      </c>
      <c r="AK106" s="61">
        <f t="shared" si="111"/>
        <v>2.2395490798658231</v>
      </c>
      <c r="AL106" s="61">
        <f t="shared" si="111"/>
        <v>2.2116586436984433</v>
      </c>
      <c r="AM106" s="61">
        <f t="shared" si="111"/>
        <v>2.8393542078079839</v>
      </c>
      <c r="AN106" s="61">
        <f t="shared" si="111"/>
        <v>2.9049184047477898</v>
      </c>
      <c r="AO106" s="61">
        <f t="shared" si="111"/>
        <v>2.3551556225572989</v>
      </c>
      <c r="AP106" s="61">
        <f t="shared" si="111"/>
        <v>2.2965354754952876</v>
      </c>
      <c r="AQ106" s="61">
        <f t="shared" si="111"/>
        <v>2.9098880486580883</v>
      </c>
      <c r="AR106" s="61">
        <f t="shared" si="111"/>
        <v>1.8234192825996476</v>
      </c>
      <c r="AS106" s="61">
        <f t="shared" si="112"/>
        <v>2.4435065859840646</v>
      </c>
      <c r="AT106" s="61">
        <f t="shared" si="112"/>
        <v>2.2768985593290418</v>
      </c>
      <c r="AU106" s="61">
        <f t="shared" si="112"/>
        <v>1.3161669632965476</v>
      </c>
      <c r="AV106" s="61">
        <f t="shared" si="112"/>
        <v>1.9853470075218829</v>
      </c>
      <c r="AW106" s="61">
        <f t="shared" si="112"/>
        <v>1.1174777812894814</v>
      </c>
      <c r="AX106" s="61">
        <f t="shared" si="112"/>
        <v>2.0394315038291295</v>
      </c>
      <c r="AY106" s="61">
        <f t="shared" si="112"/>
        <v>1.0326808847966227</v>
      </c>
      <c r="AZ106" s="61">
        <f t="shared" si="112"/>
        <v>2.4105622120882475</v>
      </c>
      <c r="BA106" s="61">
        <f t="shared" si="112"/>
        <v>2.2579852103832847</v>
      </c>
      <c r="BB106" s="61">
        <f t="shared" si="112"/>
        <v>1.0261340058002819</v>
      </c>
      <c r="BC106" s="61">
        <f t="shared" si="113"/>
        <v>1.0195037248299492</v>
      </c>
      <c r="BD106" s="61">
        <f t="shared" si="113"/>
        <v>1.187794066821954</v>
      </c>
      <c r="BE106" s="61">
        <f t="shared" si="113"/>
        <v>1.3354264473920381</v>
      </c>
      <c r="BF106" s="61">
        <f t="shared" si="113"/>
        <v>2.971781807647778</v>
      </c>
      <c r="BG106" s="61">
        <f t="shared" si="113"/>
        <v>2.0633925745167301</v>
      </c>
      <c r="BH106" s="61">
        <f t="shared" si="113"/>
        <v>0.91654135672122461</v>
      </c>
      <c r="BI106" s="61">
        <f t="shared" si="113"/>
        <v>0.90001711115128924</v>
      </c>
      <c r="BJ106" s="61">
        <f t="shared" si="113"/>
        <v>1.8838408657808161</v>
      </c>
      <c r="BK106" s="61">
        <f t="shared" si="113"/>
        <v>1.1215601925471332</v>
      </c>
      <c r="BL106" s="61">
        <f t="shared" si="113"/>
        <v>1.7219713192847657</v>
      </c>
      <c r="BM106" s="61">
        <f t="shared" si="114"/>
        <v>2.2003332847680821</v>
      </c>
      <c r="BN106" s="61">
        <f t="shared" si="114"/>
        <v>1.6516370689419704</v>
      </c>
      <c r="BO106" s="61">
        <f t="shared" si="114"/>
        <v>0.83136516654668768</v>
      </c>
      <c r="BP106" s="61">
        <f t="shared" si="114"/>
        <v>1.7950325764804895</v>
      </c>
      <c r="BQ106" s="61">
        <f t="shared" si="114"/>
        <v>1.7690250711121955</v>
      </c>
      <c r="BR106" s="61">
        <f t="shared" si="114"/>
        <v>1.801835552851816</v>
      </c>
      <c r="BS106" s="61">
        <f t="shared" si="114"/>
        <v>1.8632394688168341</v>
      </c>
      <c r="BT106" s="61">
        <f t="shared" si="114"/>
        <v>1.4746887774059294</v>
      </c>
      <c r="BU106" s="61">
        <f t="shared" si="114"/>
        <v>1.3984019916924615</v>
      </c>
      <c r="BV106" s="61">
        <f t="shared" si="114"/>
        <v>0.57179475719683137</v>
      </c>
      <c r="BW106" s="61">
        <f t="shared" si="115"/>
        <v>1.5364075844848313</v>
      </c>
      <c r="BX106" s="61">
        <f t="shared" si="115"/>
        <v>0.55577903146957652</v>
      </c>
      <c r="BY106" s="61">
        <f t="shared" si="115"/>
        <v>1.0959904108404408</v>
      </c>
      <c r="BZ106" s="61">
        <f t="shared" si="115"/>
        <v>1.0332754924994496</v>
      </c>
      <c r="CA106" s="61">
        <f t="shared" si="115"/>
        <v>0.5045439250418744</v>
      </c>
      <c r="CB106" s="61">
        <f t="shared" si="115"/>
        <v>1.0244812620100725</v>
      </c>
      <c r="CC106" s="61">
        <f t="shared" si="115"/>
        <v>0.48627994520279277</v>
      </c>
      <c r="CD106" s="61">
        <f t="shared" si="115"/>
        <v>0.4477089676331179</v>
      </c>
      <c r="CE106" s="61">
        <f t="shared" si="115"/>
        <v>1.2630480264156505</v>
      </c>
      <c r="CF106" s="61">
        <f t="shared" si="115"/>
        <v>1.4524460098656562</v>
      </c>
      <c r="CG106" s="61">
        <f t="shared" si="116"/>
        <v>0.98116852386486508</v>
      </c>
      <c r="CH106" s="61">
        <f t="shared" si="116"/>
        <v>0.82847175253802063</v>
      </c>
      <c r="CI106" s="61">
        <f t="shared" si="116"/>
        <v>0.71378643937193698</v>
      </c>
      <c r="CJ106" s="61">
        <f t="shared" si="116"/>
        <v>0.42905185099795817</v>
      </c>
      <c r="CK106" s="61">
        <f t="shared" si="116"/>
        <v>1.1340268419335617</v>
      </c>
      <c r="CL106" s="61">
        <f t="shared" si="116"/>
        <v>0.19501670621792833</v>
      </c>
      <c r="CM106" s="61">
        <f t="shared" si="116"/>
        <v>0.85288027971877678</v>
      </c>
      <c r="CN106" s="61">
        <f t="shared" si="116"/>
        <v>1.8546471680958978</v>
      </c>
      <c r="CO106" s="61">
        <f t="shared" si="116"/>
        <v>1.1010903339859972</v>
      </c>
      <c r="CP106" s="61">
        <f t="shared" si="116"/>
        <v>8.6946642381469652E-2</v>
      </c>
      <c r="CQ106" s="61">
        <f t="shared" si="117"/>
        <v>0.74717259375335832</v>
      </c>
      <c r="CR106" s="61">
        <f t="shared" si="117"/>
        <v>0.83028504492679445</v>
      </c>
      <c r="CS106" s="61">
        <f t="shared" si="117"/>
        <v>0</v>
      </c>
      <c r="CT106" s="61">
        <f t="shared" si="117"/>
        <v>4.9606090958321691E-2</v>
      </c>
      <c r="CU106" s="61">
        <f t="shared" si="117"/>
        <v>0.61802525146859544</v>
      </c>
      <c r="CV106" s="61">
        <f t="shared" si="117"/>
        <v>1.4116758574543613</v>
      </c>
      <c r="CW106" s="61">
        <f t="shared" si="117"/>
        <v>4.9606090958321691E-2</v>
      </c>
      <c r="CX106" s="61">
        <f t="shared" si="117"/>
        <v>1.1160606025054294</v>
      </c>
      <c r="CY106" s="61">
        <f t="shared" si="117"/>
        <v>0.1044430803950015</v>
      </c>
      <c r="CZ106" s="61">
        <f t="shared" si="117"/>
        <v>0.1044430803950015</v>
      </c>
      <c r="DA106" s="61">
        <f t="shared" si="118"/>
        <v>0.65083118850748167</v>
      </c>
      <c r="DB106" s="61">
        <f t="shared" si="118"/>
        <v>0.16574561903371998</v>
      </c>
      <c r="DC106" s="61">
        <f t="shared" si="118"/>
        <v>0.16574561903371998</v>
      </c>
      <c r="DD106" s="61">
        <f t="shared" si="118"/>
        <v>0.53538876275196357</v>
      </c>
      <c r="DE106" s="61">
        <f t="shared" si="118"/>
        <v>0.45021441403981993</v>
      </c>
      <c r="DF106" s="61">
        <f t="shared" si="118"/>
        <v>0.52650794428536829</v>
      </c>
      <c r="DG106" s="61">
        <f t="shared" si="118"/>
        <v>0.67623783759183309</v>
      </c>
      <c r="DH106" s="61">
        <f t="shared" si="118"/>
        <v>0.67623783759183309</v>
      </c>
      <c r="DI106" s="61">
        <f t="shared" si="118"/>
        <v>0.67623783759183309</v>
      </c>
      <c r="DJ106" s="61">
        <f t="shared" si="118"/>
        <v>0.67623783759183309</v>
      </c>
      <c r="DK106" s="61">
        <f t="shared" si="119"/>
        <v>0.88727026953701638</v>
      </c>
      <c r="DL106" s="61">
        <f t="shared" si="119"/>
        <v>0.88727026953701638</v>
      </c>
      <c r="DM106" s="61">
        <f t="shared" si="119"/>
        <v>0.88727026953701638</v>
      </c>
      <c r="DN106" s="61">
        <f t="shared" si="119"/>
        <v>0.88727026953701638</v>
      </c>
      <c r="DO106" s="61">
        <f t="shared" si="119"/>
        <v>0.88727026953701638</v>
      </c>
      <c r="DP106" s="61">
        <f t="shared" si="119"/>
        <v>1.2480325947886648</v>
      </c>
      <c r="DQ106" s="61">
        <f t="shared" si="119"/>
        <v>1.2480325947886648</v>
      </c>
    </row>
    <row r="107" spans="1:121" x14ac:dyDescent="0.25">
      <c r="A107" s="48" t="str">
        <f>KMeans_Data!A98</f>
        <v>Rajanpur</v>
      </c>
      <c r="B107" s="59">
        <f>KMeans_Data!H98</f>
        <v>-0.88131147797298559</v>
      </c>
      <c r="C107" s="59">
        <f>KMeans_Data!I98</f>
        <v>-0.67265054538827607</v>
      </c>
      <c r="D107" s="59">
        <f>KMeans_Data!J98</f>
        <v>-1.1456441163335547</v>
      </c>
      <c r="E107" s="61">
        <f t="shared" si="108"/>
        <v>7.6689619977801469</v>
      </c>
      <c r="F107" s="61">
        <f t="shared" si="108"/>
        <v>7.4183860731507734</v>
      </c>
      <c r="G107" s="61">
        <f t="shared" si="108"/>
        <v>5.6314892832805281</v>
      </c>
      <c r="H107" s="61">
        <f t="shared" si="108"/>
        <v>6.0083370746718998</v>
      </c>
      <c r="I107" s="61">
        <f t="shared" si="108"/>
        <v>4.9894180823567025</v>
      </c>
      <c r="J107" s="61">
        <f t="shared" si="108"/>
        <v>4.5579497115061347</v>
      </c>
      <c r="K107" s="61">
        <f t="shared" si="108"/>
        <v>2.3935840049951693</v>
      </c>
      <c r="L107" s="61">
        <f t="shared" si="108"/>
        <v>3.8613537223559273</v>
      </c>
      <c r="M107" s="61">
        <f t="shared" si="108"/>
        <v>4.0255399221907915</v>
      </c>
      <c r="N107" s="61">
        <f t="shared" si="108"/>
        <v>2.1720402581329026</v>
      </c>
      <c r="O107" s="61">
        <f t="shared" si="109"/>
        <v>3.641514601434896</v>
      </c>
      <c r="P107" s="61">
        <f t="shared" si="109"/>
        <v>3.9166435913397839</v>
      </c>
      <c r="Q107" s="61">
        <f t="shared" si="109"/>
        <v>3.3813461581836992</v>
      </c>
      <c r="R107" s="61">
        <f t="shared" si="109"/>
        <v>3.4103119353684268</v>
      </c>
      <c r="S107" s="61">
        <f t="shared" si="109"/>
        <v>3.0319777888907335</v>
      </c>
      <c r="T107" s="61">
        <f t="shared" si="109"/>
        <v>3.2862582121119615</v>
      </c>
      <c r="U107" s="61">
        <f t="shared" si="109"/>
        <v>3.4139025045118228</v>
      </c>
      <c r="V107" s="61">
        <f t="shared" si="109"/>
        <v>3.2151557677934024</v>
      </c>
      <c r="W107" s="61">
        <f t="shared" si="109"/>
        <v>3.3978733110617942</v>
      </c>
      <c r="X107" s="61">
        <f t="shared" si="109"/>
        <v>3.1479075117945809</v>
      </c>
      <c r="Y107" s="61">
        <f t="shared" si="110"/>
        <v>3.2860405619599731</v>
      </c>
      <c r="Z107" s="61">
        <f t="shared" si="110"/>
        <v>2.8404332481641563</v>
      </c>
      <c r="AA107" s="61">
        <f t="shared" si="110"/>
        <v>2.8103635377479188</v>
      </c>
      <c r="AB107" s="61">
        <f t="shared" si="110"/>
        <v>2.7472903364272696</v>
      </c>
      <c r="AC107" s="61">
        <f t="shared" si="110"/>
        <v>3.2291941754156808</v>
      </c>
      <c r="AD107" s="61">
        <f t="shared" si="110"/>
        <v>3.2527472310569632</v>
      </c>
      <c r="AE107" s="61">
        <f t="shared" si="110"/>
        <v>1.6149328167294064</v>
      </c>
      <c r="AF107" s="61">
        <f t="shared" si="110"/>
        <v>2.8501930426314677</v>
      </c>
      <c r="AG107" s="61">
        <f t="shared" si="110"/>
        <v>1.6386234288787298</v>
      </c>
      <c r="AH107" s="61">
        <f t="shared" si="110"/>
        <v>2.5567728627721245</v>
      </c>
      <c r="AI107" s="61">
        <f t="shared" si="111"/>
        <v>1.635806804608023</v>
      </c>
      <c r="AJ107" s="61">
        <f t="shared" si="111"/>
        <v>2.9486433195988222</v>
      </c>
      <c r="AK107" s="61">
        <f t="shared" si="111"/>
        <v>2.2700876452760101</v>
      </c>
      <c r="AL107" s="61">
        <f t="shared" si="111"/>
        <v>2.2415403442755011</v>
      </c>
      <c r="AM107" s="61">
        <f t="shared" si="111"/>
        <v>2.8626912994882274</v>
      </c>
      <c r="AN107" s="61">
        <f t="shared" si="111"/>
        <v>2.9272062409258668</v>
      </c>
      <c r="AO107" s="61">
        <f t="shared" si="111"/>
        <v>2.3821667041796144</v>
      </c>
      <c r="AP107" s="61">
        <f t="shared" si="111"/>
        <v>2.3241386863243991</v>
      </c>
      <c r="AQ107" s="61">
        <f t="shared" si="111"/>
        <v>2.9313595174921501</v>
      </c>
      <c r="AR107" s="61">
        <f t="shared" si="111"/>
        <v>1.8570170992437252</v>
      </c>
      <c r="AS107" s="61">
        <f t="shared" si="112"/>
        <v>2.4672174974653283</v>
      </c>
      <c r="AT107" s="61">
        <f t="shared" si="112"/>
        <v>2.3013907143757453</v>
      </c>
      <c r="AU107" s="61">
        <f t="shared" si="112"/>
        <v>1.3576791675329927</v>
      </c>
      <c r="AV107" s="61">
        <f t="shared" si="112"/>
        <v>2.0129637432433016</v>
      </c>
      <c r="AW107" s="61">
        <f t="shared" si="112"/>
        <v>1.1650778082548783</v>
      </c>
      <c r="AX107" s="61">
        <f t="shared" si="112"/>
        <v>2.0657508606835218</v>
      </c>
      <c r="AY107" s="61">
        <f t="shared" si="112"/>
        <v>1.0822869757549445</v>
      </c>
      <c r="AZ107" s="61">
        <f t="shared" si="112"/>
        <v>2.4322264422566073</v>
      </c>
      <c r="BA107" s="61">
        <f t="shared" si="112"/>
        <v>2.2809565906049425</v>
      </c>
      <c r="BB107" s="61">
        <f t="shared" si="112"/>
        <v>1.0757400967586035</v>
      </c>
      <c r="BC107" s="61">
        <f t="shared" si="113"/>
        <v>1.069109815788271</v>
      </c>
      <c r="BD107" s="61">
        <f t="shared" si="113"/>
        <v>1.2298119611615159</v>
      </c>
      <c r="BE107" s="61">
        <f t="shared" si="113"/>
        <v>1.372425164587747</v>
      </c>
      <c r="BF107" s="61">
        <f t="shared" si="113"/>
        <v>2.9882281111623663</v>
      </c>
      <c r="BG107" s="61">
        <f t="shared" si="113"/>
        <v>2.0862815494900198</v>
      </c>
      <c r="BH107" s="61">
        <f t="shared" si="113"/>
        <v>0.9661474476795463</v>
      </c>
      <c r="BI107" s="61">
        <f t="shared" si="113"/>
        <v>0.94962320210961093</v>
      </c>
      <c r="BJ107" s="61">
        <f t="shared" si="113"/>
        <v>1.9069001117351327</v>
      </c>
      <c r="BK107" s="61">
        <f t="shared" si="113"/>
        <v>1.1590791692704743</v>
      </c>
      <c r="BL107" s="61">
        <f t="shared" si="113"/>
        <v>1.7463690863385468</v>
      </c>
      <c r="BM107" s="61">
        <f t="shared" si="114"/>
        <v>2.2188138358731346</v>
      </c>
      <c r="BN107" s="61">
        <f t="shared" si="114"/>
        <v>1.6758731258998287</v>
      </c>
      <c r="BO107" s="61">
        <f t="shared" si="114"/>
        <v>0.87732881111441896</v>
      </c>
      <c r="BP107" s="61">
        <f t="shared" si="114"/>
        <v>1.8158599009462353</v>
      </c>
      <c r="BQ107" s="61">
        <f t="shared" si="114"/>
        <v>1.7898308583122453</v>
      </c>
      <c r="BR107" s="61">
        <f t="shared" si="114"/>
        <v>1.821607533525075</v>
      </c>
      <c r="BS107" s="61">
        <f t="shared" si="114"/>
        <v>1.8813498489084877</v>
      </c>
      <c r="BT107" s="61">
        <f t="shared" si="114"/>
        <v>1.4961249157266756</v>
      </c>
      <c r="BU107" s="61">
        <f t="shared" si="114"/>
        <v>1.420989410101497</v>
      </c>
      <c r="BV107" s="61">
        <f t="shared" si="114"/>
        <v>0.62140084815515317</v>
      </c>
      <c r="BW107" s="61">
        <f t="shared" si="115"/>
        <v>1.5550398966902088</v>
      </c>
      <c r="BX107" s="61">
        <f t="shared" si="115"/>
        <v>0.60538512242789833</v>
      </c>
      <c r="BY107" s="61">
        <f t="shared" si="115"/>
        <v>1.1204745520822987</v>
      </c>
      <c r="BZ107" s="61">
        <f t="shared" si="115"/>
        <v>1.0583836314571089</v>
      </c>
      <c r="CA107" s="61">
        <f t="shared" si="115"/>
        <v>0.55415001600019609</v>
      </c>
      <c r="CB107" s="61">
        <f t="shared" si="115"/>
        <v>1.048936373120787</v>
      </c>
      <c r="CC107" s="61">
        <f t="shared" si="115"/>
        <v>0.53588603616111441</v>
      </c>
      <c r="CD107" s="61">
        <f t="shared" si="115"/>
        <v>0.4973150585914396</v>
      </c>
      <c r="CE107" s="61">
        <f t="shared" si="115"/>
        <v>1.2806810790360619</v>
      </c>
      <c r="CF107" s="61">
        <f t="shared" si="115"/>
        <v>1.4678055459573545</v>
      </c>
      <c r="CG107" s="61">
        <f t="shared" si="116"/>
        <v>1.0004721155159004</v>
      </c>
      <c r="CH107" s="61">
        <f t="shared" si="116"/>
        <v>0.85124510363063022</v>
      </c>
      <c r="CI107" s="61">
        <f t="shared" si="116"/>
        <v>0.7367647753609291</v>
      </c>
      <c r="CJ107" s="61">
        <f t="shared" si="116"/>
        <v>0.4634308081304338</v>
      </c>
      <c r="CK107" s="61">
        <f t="shared" si="116"/>
        <v>1.1449699327753411</v>
      </c>
      <c r="CL107" s="61">
        <f t="shared" si="116"/>
        <v>0.24462279717625002</v>
      </c>
      <c r="CM107" s="61">
        <f t="shared" si="116"/>
        <v>0.8655712383896671</v>
      </c>
      <c r="CN107" s="61">
        <f t="shared" si="116"/>
        <v>1.8586634335808718</v>
      </c>
      <c r="CO107" s="61">
        <f t="shared" si="116"/>
        <v>1.1061134001351542</v>
      </c>
      <c r="CP107" s="61">
        <f t="shared" si="116"/>
        <v>0.13655273333979134</v>
      </c>
      <c r="CQ107" s="61">
        <f t="shared" si="117"/>
        <v>0.75181158054214847</v>
      </c>
      <c r="CR107" s="61">
        <f t="shared" si="117"/>
        <v>0.83176560405516553</v>
      </c>
      <c r="CS107" s="61">
        <f t="shared" si="117"/>
        <v>4.9606090958321691E-2</v>
      </c>
      <c r="CT107" s="61">
        <f t="shared" si="117"/>
        <v>0</v>
      </c>
      <c r="CU107" s="61">
        <f t="shared" si="117"/>
        <v>0.61603120634644415</v>
      </c>
      <c r="CV107" s="61">
        <f t="shared" si="117"/>
        <v>1.4108040127031609</v>
      </c>
      <c r="CW107" s="61">
        <f t="shared" si="117"/>
        <v>0</v>
      </c>
      <c r="CX107" s="61">
        <f t="shared" si="117"/>
        <v>1.1125151715068267</v>
      </c>
      <c r="CY107" s="61">
        <f t="shared" si="117"/>
        <v>5.4836989436679806E-2</v>
      </c>
      <c r="CZ107" s="61">
        <f t="shared" si="117"/>
        <v>5.4836989436679806E-2</v>
      </c>
      <c r="DA107" s="61">
        <f t="shared" si="118"/>
        <v>0.64473248274159645</v>
      </c>
      <c r="DB107" s="61">
        <f t="shared" si="118"/>
        <v>0.11613952807539829</v>
      </c>
      <c r="DC107" s="61">
        <f t="shared" si="118"/>
        <v>0.11613952807539829</v>
      </c>
      <c r="DD107" s="61">
        <f t="shared" si="118"/>
        <v>0.52216655104840215</v>
      </c>
      <c r="DE107" s="61">
        <f t="shared" si="118"/>
        <v>0.41695895355399548</v>
      </c>
      <c r="DF107" s="61">
        <f t="shared" si="118"/>
        <v>0.4769018533270466</v>
      </c>
      <c r="DG107" s="61">
        <f t="shared" si="118"/>
        <v>0.6266317466335114</v>
      </c>
      <c r="DH107" s="61">
        <f t="shared" si="118"/>
        <v>0.6266317466335114</v>
      </c>
      <c r="DI107" s="61">
        <f t="shared" si="118"/>
        <v>0.6266317466335114</v>
      </c>
      <c r="DJ107" s="61">
        <f t="shared" si="118"/>
        <v>0.6266317466335114</v>
      </c>
      <c r="DK107" s="61">
        <f t="shared" si="119"/>
        <v>0.83766417857869468</v>
      </c>
      <c r="DL107" s="61">
        <f t="shared" si="119"/>
        <v>0.83766417857869468</v>
      </c>
      <c r="DM107" s="61">
        <f t="shared" si="119"/>
        <v>0.83766417857869468</v>
      </c>
      <c r="DN107" s="61">
        <f t="shared" si="119"/>
        <v>0.83766417857869468</v>
      </c>
      <c r="DO107" s="61">
        <f t="shared" si="119"/>
        <v>0.83766417857869468</v>
      </c>
      <c r="DP107" s="61">
        <f t="shared" si="119"/>
        <v>1.198426503830343</v>
      </c>
      <c r="DQ107" s="61">
        <f t="shared" si="119"/>
        <v>1.198426503830343</v>
      </c>
    </row>
    <row r="108" spans="1:121" x14ac:dyDescent="0.25">
      <c r="A108" s="48" t="str">
        <f>KMeans_Data!A99</f>
        <v>Umerkot</v>
      </c>
      <c r="B108" s="59">
        <f>KMeans_Data!H99</f>
        <v>-0.88131147797298559</v>
      </c>
      <c r="C108" s="59">
        <f>KMeans_Data!I99</f>
        <v>-0.14698313392952958</v>
      </c>
      <c r="D108" s="59">
        <f>KMeans_Data!J99</f>
        <v>-0.82444601589876665</v>
      </c>
      <c r="E108" s="61">
        <f t="shared" si="108"/>
        <v>7.1703290216323134</v>
      </c>
      <c r="F108" s="61">
        <f t="shared" si="108"/>
        <v>6.9192936756143801</v>
      </c>
      <c r="G108" s="61">
        <f t="shared" si="108"/>
        <v>5.168570922912421</v>
      </c>
      <c r="H108" s="61">
        <f t="shared" si="108"/>
        <v>5.49894534164841</v>
      </c>
      <c r="I108" s="61">
        <f t="shared" si="108"/>
        <v>4.5353033751675564</v>
      </c>
      <c r="J108" s="61">
        <f t="shared" si="108"/>
        <v>4.0544512140099034</v>
      </c>
      <c r="K108" s="61">
        <f t="shared" si="108"/>
        <v>2.2419788089330766</v>
      </c>
      <c r="L108" s="61">
        <f t="shared" si="108"/>
        <v>3.4666432212648077</v>
      </c>
      <c r="M108" s="61">
        <f t="shared" si="108"/>
        <v>3.5746441589603828</v>
      </c>
      <c r="N108" s="61">
        <f t="shared" si="108"/>
        <v>2.0828500751992185</v>
      </c>
      <c r="O108" s="61">
        <f t="shared" si="109"/>
        <v>3.1639069258714043</v>
      </c>
      <c r="P108" s="61">
        <f t="shared" si="109"/>
        <v>3.4157866134026289</v>
      </c>
      <c r="Q108" s="61">
        <f t="shared" si="109"/>
        <v>2.937867558224533</v>
      </c>
      <c r="R108" s="61">
        <f t="shared" si="109"/>
        <v>3.0370836754197215</v>
      </c>
      <c r="S108" s="61">
        <f t="shared" si="109"/>
        <v>2.7448454506164381</v>
      </c>
      <c r="T108" s="61">
        <f t="shared" si="109"/>
        <v>2.8373149564886697</v>
      </c>
      <c r="U108" s="61">
        <f t="shared" si="109"/>
        <v>3.0291773423373418</v>
      </c>
      <c r="V108" s="61">
        <f t="shared" si="109"/>
        <v>2.7247750302857292</v>
      </c>
      <c r="W108" s="61">
        <f t="shared" si="109"/>
        <v>2.903395430772346</v>
      </c>
      <c r="X108" s="61">
        <f t="shared" si="109"/>
        <v>2.7083923243257972</v>
      </c>
      <c r="Y108" s="61">
        <f t="shared" si="110"/>
        <v>2.8417077062749017</v>
      </c>
      <c r="Z108" s="61">
        <f t="shared" si="110"/>
        <v>2.4006029411485859</v>
      </c>
      <c r="AA108" s="61">
        <f t="shared" si="110"/>
        <v>2.4595230673442732</v>
      </c>
      <c r="AB108" s="61">
        <f t="shared" si="110"/>
        <v>2.3408003304520508</v>
      </c>
      <c r="AC108" s="61">
        <f t="shared" si="110"/>
        <v>2.7284609276451626</v>
      </c>
      <c r="AD108" s="61">
        <f t="shared" si="110"/>
        <v>2.8019935894025774</v>
      </c>
      <c r="AE108" s="61">
        <f t="shared" si="110"/>
        <v>1.5604005879269436</v>
      </c>
      <c r="AF108" s="61">
        <f t="shared" si="110"/>
        <v>2.4036641698004462</v>
      </c>
      <c r="AG108" s="61">
        <f t="shared" si="110"/>
        <v>1.6079436598073449</v>
      </c>
      <c r="AH108" s="61">
        <f t="shared" si="110"/>
        <v>2.1914903297334134</v>
      </c>
      <c r="AI108" s="61">
        <f t="shared" si="111"/>
        <v>1.6050731987813711</v>
      </c>
      <c r="AJ108" s="61">
        <f t="shared" si="111"/>
        <v>2.5178405732534608</v>
      </c>
      <c r="AK108" s="61">
        <f t="shared" si="111"/>
        <v>1.8727904881237236</v>
      </c>
      <c r="AL108" s="61">
        <f t="shared" si="111"/>
        <v>1.9392715210585574</v>
      </c>
      <c r="AM108" s="61">
        <f t="shared" si="111"/>
        <v>2.3413601980237506</v>
      </c>
      <c r="AN108" s="61">
        <f t="shared" si="111"/>
        <v>2.4161743542545207</v>
      </c>
      <c r="AO108" s="61">
        <f t="shared" si="111"/>
        <v>1.9662322004844432</v>
      </c>
      <c r="AP108" s="61">
        <f t="shared" si="111"/>
        <v>1.9089599192634299</v>
      </c>
      <c r="AQ108" s="61">
        <f t="shared" si="111"/>
        <v>2.40574185363413</v>
      </c>
      <c r="AR108" s="61">
        <f t="shared" si="111"/>
        <v>1.5055360247671055</v>
      </c>
      <c r="AS108" s="61">
        <f t="shared" si="112"/>
        <v>2.2541657244558055</v>
      </c>
      <c r="AT108" s="61">
        <f t="shared" si="112"/>
        <v>1.9722856171158505</v>
      </c>
      <c r="AU108" s="61">
        <f t="shared" si="112"/>
        <v>1.1589215655739136</v>
      </c>
      <c r="AV108" s="61">
        <f t="shared" si="112"/>
        <v>1.8343319115702983</v>
      </c>
      <c r="AW108" s="61">
        <f t="shared" si="112"/>
        <v>1.2371597742550529</v>
      </c>
      <c r="AX108" s="61">
        <f t="shared" si="112"/>
        <v>1.6702637789986672</v>
      </c>
      <c r="AY108" s="61">
        <f t="shared" si="112"/>
        <v>1.2453270835734036</v>
      </c>
      <c r="AZ108" s="61">
        <f t="shared" si="112"/>
        <v>2.212685765244311</v>
      </c>
      <c r="BA108" s="61">
        <f t="shared" si="112"/>
        <v>1.9448460605614908</v>
      </c>
      <c r="BB108" s="61">
        <f t="shared" si="112"/>
        <v>1.2396415622940629</v>
      </c>
      <c r="BC108" s="61">
        <f t="shared" si="113"/>
        <v>1.2338923151586147</v>
      </c>
      <c r="BD108" s="61">
        <f t="shared" si="113"/>
        <v>1.216247930364909</v>
      </c>
      <c r="BE108" s="61">
        <f t="shared" si="113"/>
        <v>1.2976076682527202</v>
      </c>
      <c r="BF108" s="61">
        <f t="shared" si="113"/>
        <v>2.4323894333976663</v>
      </c>
      <c r="BG108" s="61">
        <f t="shared" si="113"/>
        <v>1.7453490430682972</v>
      </c>
      <c r="BH108" s="61">
        <f t="shared" si="113"/>
        <v>1.1458339050012254</v>
      </c>
      <c r="BI108" s="61">
        <f t="shared" si="113"/>
        <v>1.1319358078873405</v>
      </c>
      <c r="BJ108" s="61">
        <f t="shared" si="113"/>
        <v>1.4116780169535972</v>
      </c>
      <c r="BK108" s="61">
        <f t="shared" si="113"/>
        <v>1.1152849824511604</v>
      </c>
      <c r="BL108" s="61">
        <f t="shared" si="113"/>
        <v>1.5682561773003101</v>
      </c>
      <c r="BM108" s="61">
        <f t="shared" si="114"/>
        <v>1.7207707659638638</v>
      </c>
      <c r="BN108" s="61">
        <f t="shared" si="114"/>
        <v>1.2444180199877308</v>
      </c>
      <c r="BO108" s="61">
        <f t="shared" si="114"/>
        <v>0.97101176643656739</v>
      </c>
      <c r="BP108" s="61">
        <f t="shared" si="114"/>
        <v>1.3764494440823105</v>
      </c>
      <c r="BQ108" s="61">
        <f t="shared" si="114"/>
        <v>1.4315131632150748</v>
      </c>
      <c r="BR108" s="61">
        <f t="shared" si="114"/>
        <v>1.4603512126198899</v>
      </c>
      <c r="BS108" s="61">
        <f t="shared" si="114"/>
        <v>1.673121499534628</v>
      </c>
      <c r="BT108" s="61">
        <f t="shared" si="114"/>
        <v>1.3256985830485915</v>
      </c>
      <c r="BU108" s="61">
        <f t="shared" si="114"/>
        <v>1.2619712579971807</v>
      </c>
      <c r="BV108" s="61">
        <f t="shared" si="114"/>
        <v>0.87500483500412674</v>
      </c>
      <c r="BW108" s="61">
        <f t="shared" si="115"/>
        <v>1.3702190647298575</v>
      </c>
      <c r="BX108" s="61">
        <f t="shared" si="115"/>
        <v>0.86370457544793455</v>
      </c>
      <c r="BY108" s="61">
        <f t="shared" si="115"/>
        <v>1.007942632652864</v>
      </c>
      <c r="BZ108" s="61">
        <f t="shared" si="115"/>
        <v>0.95938039361396921</v>
      </c>
      <c r="CA108" s="61">
        <f t="shared" si="115"/>
        <v>0.82859923209334008</v>
      </c>
      <c r="CB108" s="61">
        <f t="shared" si="115"/>
        <v>0.94894801921409178</v>
      </c>
      <c r="CC108" s="61">
        <f t="shared" si="115"/>
        <v>0.81649757559047687</v>
      </c>
      <c r="CD108" s="61">
        <f t="shared" si="115"/>
        <v>0.79171757255631403</v>
      </c>
      <c r="CE108" s="61">
        <f t="shared" si="115"/>
        <v>1.1207599732183759</v>
      </c>
      <c r="CF108" s="61">
        <f t="shared" si="115"/>
        <v>1.0751508523053943</v>
      </c>
      <c r="CG108" s="61">
        <f t="shared" si="116"/>
        <v>0.5904981544676795</v>
      </c>
      <c r="CH108" s="61">
        <f t="shared" si="116"/>
        <v>0.79057845777599745</v>
      </c>
      <c r="CI108" s="61">
        <f t="shared" si="116"/>
        <v>0.71389348120964868</v>
      </c>
      <c r="CJ108" s="61">
        <f t="shared" si="116"/>
        <v>0.62283715501826786</v>
      </c>
      <c r="CK108" s="61">
        <f t="shared" si="116"/>
        <v>0.98825289853168263</v>
      </c>
      <c r="CL108" s="61">
        <f t="shared" si="116"/>
        <v>0.66282332494488161</v>
      </c>
      <c r="CM108" s="61">
        <f t="shared" si="116"/>
        <v>0.77158023394866648</v>
      </c>
      <c r="CN108" s="61">
        <f t="shared" si="116"/>
        <v>1.4634751943618836</v>
      </c>
      <c r="CO108" s="61">
        <f t="shared" si="116"/>
        <v>0.65674921231337025</v>
      </c>
      <c r="CP108" s="61">
        <f t="shared" si="116"/>
        <v>0.63098422815092892</v>
      </c>
      <c r="CQ108" s="61">
        <f t="shared" si="117"/>
        <v>0.6823611390470854</v>
      </c>
      <c r="CR108" s="61">
        <f t="shared" si="117"/>
        <v>0.73345518525818021</v>
      </c>
      <c r="CS108" s="61">
        <f t="shared" si="117"/>
        <v>0.61802525146859544</v>
      </c>
      <c r="CT108" s="61">
        <f t="shared" si="117"/>
        <v>0.61603120634644415</v>
      </c>
      <c r="CU108" s="61">
        <f t="shared" si="117"/>
        <v>0</v>
      </c>
      <c r="CV108" s="61">
        <f t="shared" si="117"/>
        <v>1.2097798442361041</v>
      </c>
      <c r="CW108" s="61">
        <f t="shared" si="117"/>
        <v>0.61603120634644415</v>
      </c>
      <c r="CX108" s="61">
        <f t="shared" si="117"/>
        <v>0.95046180950607739</v>
      </c>
      <c r="CY108" s="61">
        <f t="shared" si="117"/>
        <v>0.61846709096210917</v>
      </c>
      <c r="CZ108" s="61">
        <f t="shared" si="117"/>
        <v>0.61846709096210917</v>
      </c>
      <c r="DA108" s="61">
        <f t="shared" si="118"/>
        <v>0.61846709096210906</v>
      </c>
      <c r="DB108" s="61">
        <f t="shared" si="118"/>
        <v>0.62688343188684736</v>
      </c>
      <c r="DC108" s="61">
        <f t="shared" si="118"/>
        <v>0.62688343188684736</v>
      </c>
      <c r="DD108" s="61">
        <f t="shared" si="118"/>
        <v>0.5701901745667608</v>
      </c>
      <c r="DE108" s="61">
        <f t="shared" si="118"/>
        <v>0.58907790375778468</v>
      </c>
      <c r="DF108" s="61">
        <f t="shared" si="118"/>
        <v>0.77905701004446859</v>
      </c>
      <c r="DG108" s="61">
        <f t="shared" si="118"/>
        <v>0.87872737130558332</v>
      </c>
      <c r="DH108" s="61">
        <f t="shared" si="118"/>
        <v>0.87872737130558332</v>
      </c>
      <c r="DI108" s="61">
        <f t="shared" si="118"/>
        <v>0.87872737130558332</v>
      </c>
      <c r="DJ108" s="61">
        <f t="shared" si="118"/>
        <v>0.87872737130558332</v>
      </c>
      <c r="DK108" s="61">
        <f t="shared" si="119"/>
        <v>1.0397960007937013</v>
      </c>
      <c r="DL108" s="61">
        <f t="shared" si="119"/>
        <v>1.0397960007937013</v>
      </c>
      <c r="DM108" s="61">
        <f t="shared" si="119"/>
        <v>1.0397960007937013</v>
      </c>
      <c r="DN108" s="61">
        <f t="shared" si="119"/>
        <v>1.0397960007937013</v>
      </c>
      <c r="DO108" s="61">
        <f t="shared" si="119"/>
        <v>1.0397960007937013</v>
      </c>
      <c r="DP108" s="61">
        <f t="shared" si="119"/>
        <v>1.3474867466048319</v>
      </c>
      <c r="DQ108" s="61">
        <f t="shared" si="119"/>
        <v>1.3474867466048319</v>
      </c>
    </row>
    <row r="109" spans="1:121" x14ac:dyDescent="0.25">
      <c r="A109" s="48" t="str">
        <f>KMeans_Data!A100</f>
        <v>Tando Allahyar</v>
      </c>
      <c r="B109" s="59">
        <f>KMeans_Data!H100</f>
        <v>-0.88131147797298559</v>
      </c>
      <c r="C109" s="59">
        <f>KMeans_Data!I100</f>
        <v>-0.67265054538827607</v>
      </c>
      <c r="D109" s="59">
        <f>KMeans_Data!J100</f>
        <v>0.26515989636960624</v>
      </c>
      <c r="E109" s="61">
        <f t="shared" si="108"/>
        <v>6.9565010417417197</v>
      </c>
      <c r="F109" s="61">
        <f t="shared" si="108"/>
        <v>6.7990370312386146</v>
      </c>
      <c r="G109" s="61">
        <f t="shared" si="108"/>
        <v>4.8762304468318245</v>
      </c>
      <c r="H109" s="61">
        <f t="shared" si="108"/>
        <v>5.498245669632146</v>
      </c>
      <c r="I109" s="61">
        <f t="shared" si="108"/>
        <v>4.3434084328442051</v>
      </c>
      <c r="J109" s="61">
        <f t="shared" si="108"/>
        <v>3.9319084429372211</v>
      </c>
      <c r="K109" s="61">
        <f t="shared" si="108"/>
        <v>2.6102331722081829</v>
      </c>
      <c r="L109" s="61">
        <f t="shared" si="108"/>
        <v>2.9671299477843904</v>
      </c>
      <c r="M109" s="61">
        <f t="shared" si="108"/>
        <v>3.1904098485326071</v>
      </c>
      <c r="N109" s="61">
        <f t="shared" si="108"/>
        <v>2.4086991732628884</v>
      </c>
      <c r="O109" s="61">
        <f t="shared" si="109"/>
        <v>3.0380424606661132</v>
      </c>
      <c r="P109" s="61">
        <f t="shared" si="109"/>
        <v>3.2871624454859556</v>
      </c>
      <c r="Q109" s="61">
        <f t="shared" si="109"/>
        <v>2.6725598688159531</v>
      </c>
      <c r="R109" s="61">
        <f t="shared" si="109"/>
        <v>2.4978253127828713</v>
      </c>
      <c r="S109" s="61">
        <f t="shared" si="109"/>
        <v>2.1582931297108252</v>
      </c>
      <c r="T109" s="61">
        <f t="shared" si="109"/>
        <v>2.5966660072657008</v>
      </c>
      <c r="U109" s="61">
        <f t="shared" si="109"/>
        <v>2.4383080546001392</v>
      </c>
      <c r="V109" s="61">
        <f t="shared" si="109"/>
        <v>2.7111537791120948</v>
      </c>
      <c r="W109" s="61">
        <f t="shared" si="109"/>
        <v>2.7689321546864263</v>
      </c>
      <c r="X109" s="61">
        <f t="shared" si="109"/>
        <v>2.3962352973592815</v>
      </c>
      <c r="Y109" s="61">
        <f t="shared" si="110"/>
        <v>2.4447879898903166</v>
      </c>
      <c r="Z109" s="61">
        <f t="shared" si="110"/>
        <v>2.2541493384634013</v>
      </c>
      <c r="AA109" s="61">
        <f t="shared" si="110"/>
        <v>1.9869874607413076</v>
      </c>
      <c r="AB109" s="61">
        <f t="shared" si="110"/>
        <v>2.1030864772770017</v>
      </c>
      <c r="AC109" s="61">
        <f t="shared" si="110"/>
        <v>2.6705323673132875</v>
      </c>
      <c r="AD109" s="61">
        <f t="shared" si="110"/>
        <v>2.3939546269563023</v>
      </c>
      <c r="AE109" s="61">
        <f t="shared" si="110"/>
        <v>2.1443824203739674</v>
      </c>
      <c r="AF109" s="61">
        <f t="shared" si="110"/>
        <v>2.1017942029661003</v>
      </c>
      <c r="AG109" s="61">
        <f t="shared" si="110"/>
        <v>1.6034657966122481</v>
      </c>
      <c r="AH109" s="61">
        <f t="shared" si="110"/>
        <v>1.7577498702815841</v>
      </c>
      <c r="AI109" s="61">
        <f t="shared" si="111"/>
        <v>1.6005873050967812</v>
      </c>
      <c r="AJ109" s="61">
        <f t="shared" si="111"/>
        <v>2.0761763699553986</v>
      </c>
      <c r="AK109" s="61">
        <f t="shared" si="111"/>
        <v>1.7612792752947011</v>
      </c>
      <c r="AL109" s="61">
        <f t="shared" si="111"/>
        <v>1.4915551428974654</v>
      </c>
      <c r="AM109" s="61">
        <f t="shared" si="111"/>
        <v>2.4669185701023886</v>
      </c>
      <c r="AN109" s="61">
        <f t="shared" si="111"/>
        <v>2.3012446217358207</v>
      </c>
      <c r="AO109" s="61">
        <f t="shared" si="111"/>
        <v>1.7055541560171823</v>
      </c>
      <c r="AP109" s="61">
        <f t="shared" si="111"/>
        <v>1.6913050895296</v>
      </c>
      <c r="AQ109" s="61">
        <f t="shared" si="111"/>
        <v>2.3616221624574414</v>
      </c>
      <c r="AR109" s="61">
        <f t="shared" si="111"/>
        <v>1.5582789186107158</v>
      </c>
      <c r="AS109" s="61">
        <f t="shared" si="112"/>
        <v>1.4115389029408512</v>
      </c>
      <c r="AT109" s="61">
        <f t="shared" si="112"/>
        <v>1.3673285814855676</v>
      </c>
      <c r="AU109" s="61">
        <f t="shared" si="112"/>
        <v>1.5482948285143214</v>
      </c>
      <c r="AV109" s="61">
        <f t="shared" si="112"/>
        <v>1.1648661303303669</v>
      </c>
      <c r="AW109" s="61">
        <f t="shared" si="112"/>
        <v>1.5625233193828716</v>
      </c>
      <c r="AX109" s="61">
        <f t="shared" si="112"/>
        <v>1.3958377971846756</v>
      </c>
      <c r="AY109" s="61">
        <f t="shared" si="112"/>
        <v>1.7781206539906464</v>
      </c>
      <c r="AZ109" s="61">
        <f t="shared" si="112"/>
        <v>1.3267177890326962</v>
      </c>
      <c r="BA109" s="61">
        <f t="shared" si="112"/>
        <v>1.3096281641610119</v>
      </c>
      <c r="BB109" s="61">
        <f t="shared" si="112"/>
        <v>1.7741433758390415</v>
      </c>
      <c r="BC109" s="61">
        <f t="shared" si="113"/>
        <v>1.7701310009358551</v>
      </c>
      <c r="BD109" s="61">
        <f t="shared" si="113"/>
        <v>1.3000827459093316</v>
      </c>
      <c r="BE109" s="61">
        <f t="shared" si="113"/>
        <v>1.1530943926420734</v>
      </c>
      <c r="BF109" s="61">
        <f t="shared" si="113"/>
        <v>2.3457824864793912</v>
      </c>
      <c r="BG109" s="61">
        <f t="shared" si="113"/>
        <v>1.168631210673875</v>
      </c>
      <c r="BH109" s="61">
        <f t="shared" si="113"/>
        <v>1.7099148671548072</v>
      </c>
      <c r="BI109" s="61">
        <f t="shared" si="113"/>
        <v>1.7006328787378691</v>
      </c>
      <c r="BJ109" s="61">
        <f t="shared" si="113"/>
        <v>1.5419474421401165</v>
      </c>
      <c r="BK109" s="61">
        <f t="shared" si="113"/>
        <v>1.10881934501153</v>
      </c>
      <c r="BL109" s="61">
        <f t="shared" si="113"/>
        <v>0.88328210968197562</v>
      </c>
      <c r="BM109" s="61">
        <f t="shared" si="114"/>
        <v>1.5049446970525753</v>
      </c>
      <c r="BN109" s="61">
        <f t="shared" si="114"/>
        <v>1.202176431149204</v>
      </c>
      <c r="BO109" s="61">
        <f t="shared" si="114"/>
        <v>1.3615354079636404</v>
      </c>
      <c r="BP109" s="61">
        <f t="shared" si="114"/>
        <v>1.1432319176812424</v>
      </c>
      <c r="BQ109" s="61">
        <f t="shared" si="114"/>
        <v>0.94049510312462858</v>
      </c>
      <c r="BR109" s="61">
        <f t="shared" si="114"/>
        <v>0.92818687735287475</v>
      </c>
      <c r="BS109" s="61">
        <f t="shared" si="114"/>
        <v>0.78233487198813967</v>
      </c>
      <c r="BT109" s="61">
        <f t="shared" si="114"/>
        <v>0.67050352077298825</v>
      </c>
      <c r="BU109" s="61">
        <f t="shared" si="114"/>
        <v>0.68467723391933921</v>
      </c>
      <c r="BV109" s="61">
        <f t="shared" si="114"/>
        <v>1.54159235089802</v>
      </c>
      <c r="BW109" s="61">
        <f t="shared" si="115"/>
        <v>0.6057688079177912</v>
      </c>
      <c r="BX109" s="61">
        <f t="shared" si="115"/>
        <v>1.535206536175632</v>
      </c>
      <c r="BY109" s="61">
        <f t="shared" si="115"/>
        <v>0.72591030460186945</v>
      </c>
      <c r="BZ109" s="61">
        <f t="shared" si="115"/>
        <v>0.75249701480153719</v>
      </c>
      <c r="CA109" s="61">
        <f t="shared" si="115"/>
        <v>1.5157342123513471</v>
      </c>
      <c r="CB109" s="61">
        <f t="shared" si="115"/>
        <v>0.73915043178278572</v>
      </c>
      <c r="CC109" s="61">
        <f t="shared" si="115"/>
        <v>1.5091526781647415</v>
      </c>
      <c r="CD109" s="61">
        <f t="shared" si="115"/>
        <v>1.4958911156100727</v>
      </c>
      <c r="CE109" s="61">
        <f t="shared" si="115"/>
        <v>0.52613825530780955</v>
      </c>
      <c r="CF109" s="61">
        <f t="shared" si="115"/>
        <v>0.72086096528682653</v>
      </c>
      <c r="CG109" s="61">
        <f t="shared" si="116"/>
        <v>0.94178568324217315</v>
      </c>
      <c r="CH109" s="61">
        <f t="shared" si="116"/>
        <v>0.78143076832831959</v>
      </c>
      <c r="CI109" s="61">
        <f t="shared" si="116"/>
        <v>0.84888162932640632</v>
      </c>
      <c r="CJ109" s="61">
        <f t="shared" si="116"/>
        <v>1.1396670295536782</v>
      </c>
      <c r="CK109" s="61">
        <f t="shared" si="116"/>
        <v>0.40750221255777175</v>
      </c>
      <c r="CL109" s="61">
        <f t="shared" si="116"/>
        <v>1.4318548373203457</v>
      </c>
      <c r="CM109" s="61">
        <f t="shared" si="116"/>
        <v>0.62995443076977464</v>
      </c>
      <c r="CN109" s="61">
        <f t="shared" si="116"/>
        <v>0.66258612779697479</v>
      </c>
      <c r="CO109" s="61">
        <f t="shared" si="116"/>
        <v>0.7035406188854364</v>
      </c>
      <c r="CP109" s="61">
        <f t="shared" si="116"/>
        <v>1.417397125452817</v>
      </c>
      <c r="CQ109" s="61">
        <f t="shared" si="117"/>
        <v>0.67174137275617385</v>
      </c>
      <c r="CR109" s="61">
        <f t="shared" si="117"/>
        <v>0.58263456489321275</v>
      </c>
      <c r="CS109" s="61">
        <f t="shared" si="117"/>
        <v>1.4116758574543613</v>
      </c>
      <c r="CT109" s="61">
        <f t="shared" si="117"/>
        <v>1.4108040127031609</v>
      </c>
      <c r="CU109" s="61">
        <f t="shared" si="117"/>
        <v>1.2097798442361041</v>
      </c>
      <c r="CV109" s="61">
        <f t="shared" si="117"/>
        <v>0</v>
      </c>
      <c r="CW109" s="61">
        <f t="shared" si="117"/>
        <v>1.4108040127031609</v>
      </c>
      <c r="CX109" s="61">
        <f t="shared" si="117"/>
        <v>0.30461765069144331</v>
      </c>
      <c r="CY109" s="61">
        <f t="shared" si="117"/>
        <v>1.4118693486544069</v>
      </c>
      <c r="CZ109" s="61">
        <f t="shared" si="117"/>
        <v>1.4118693486544069</v>
      </c>
      <c r="DA109" s="61">
        <f t="shared" si="118"/>
        <v>0.77036203222728783</v>
      </c>
      <c r="DB109" s="61">
        <f t="shared" si="118"/>
        <v>1.4155763321844981</v>
      </c>
      <c r="DC109" s="61">
        <f t="shared" si="118"/>
        <v>1.4155763321844981</v>
      </c>
      <c r="DD109" s="61">
        <f t="shared" si="118"/>
        <v>0.90916558507507084</v>
      </c>
      <c r="DE109" s="61">
        <f t="shared" si="118"/>
        <v>1.1215737128143295</v>
      </c>
      <c r="DF109" s="61">
        <f t="shared" si="118"/>
        <v>1.4892291092931647</v>
      </c>
      <c r="DG109" s="61">
        <f t="shared" si="118"/>
        <v>1.5437082976224188</v>
      </c>
      <c r="DH109" s="61">
        <f t="shared" si="118"/>
        <v>1.5437082976224188</v>
      </c>
      <c r="DI109" s="61">
        <f t="shared" si="118"/>
        <v>1.5437082976224188</v>
      </c>
      <c r="DJ109" s="61">
        <f t="shared" si="118"/>
        <v>1.5437082976224188</v>
      </c>
      <c r="DK109" s="61">
        <f t="shared" si="119"/>
        <v>1.640746549084672</v>
      </c>
      <c r="DL109" s="61">
        <f t="shared" si="119"/>
        <v>1.640746549084672</v>
      </c>
      <c r="DM109" s="61">
        <f t="shared" si="119"/>
        <v>1.640746549084672</v>
      </c>
      <c r="DN109" s="61">
        <f t="shared" si="119"/>
        <v>1.640746549084672</v>
      </c>
      <c r="DO109" s="61">
        <f t="shared" si="119"/>
        <v>1.640746549084672</v>
      </c>
      <c r="DP109" s="61">
        <f t="shared" si="119"/>
        <v>1.8511061685766055</v>
      </c>
      <c r="DQ109" s="61">
        <f t="shared" si="119"/>
        <v>1.8511061685766055</v>
      </c>
    </row>
    <row r="110" spans="1:121" x14ac:dyDescent="0.25">
      <c r="A110" s="48" t="str">
        <f>KMeans_Data!A101</f>
        <v>Mirpur</v>
      </c>
      <c r="B110" s="59">
        <f>KMeans_Data!H101</f>
        <v>-0.88131147797298559</v>
      </c>
      <c r="C110" s="59">
        <f>KMeans_Data!I101</f>
        <v>-0.67265054538827607</v>
      </c>
      <c r="D110" s="59">
        <f>KMeans_Data!J101</f>
        <v>-1.1456441163335547</v>
      </c>
      <c r="E110" s="61">
        <f t="shared" si="108"/>
        <v>7.6689619977801469</v>
      </c>
      <c r="F110" s="61">
        <f t="shared" si="108"/>
        <v>7.4183860731507734</v>
      </c>
      <c r="G110" s="61">
        <f t="shared" si="108"/>
        <v>5.6314892832805281</v>
      </c>
      <c r="H110" s="61">
        <f t="shared" si="108"/>
        <v>6.0083370746718998</v>
      </c>
      <c r="I110" s="61">
        <f t="shared" si="108"/>
        <v>4.9894180823567025</v>
      </c>
      <c r="J110" s="61">
        <f t="shared" si="108"/>
        <v>4.5579497115061347</v>
      </c>
      <c r="K110" s="61">
        <f t="shared" si="108"/>
        <v>2.3935840049951693</v>
      </c>
      <c r="L110" s="61">
        <f t="shared" si="108"/>
        <v>3.8613537223559273</v>
      </c>
      <c r="M110" s="61">
        <f t="shared" si="108"/>
        <v>4.0255399221907915</v>
      </c>
      <c r="N110" s="61">
        <f t="shared" si="108"/>
        <v>2.1720402581329026</v>
      </c>
      <c r="O110" s="61">
        <f t="shared" si="109"/>
        <v>3.641514601434896</v>
      </c>
      <c r="P110" s="61">
        <f t="shared" si="109"/>
        <v>3.9166435913397839</v>
      </c>
      <c r="Q110" s="61">
        <f t="shared" si="109"/>
        <v>3.3813461581836992</v>
      </c>
      <c r="R110" s="61">
        <f t="shared" si="109"/>
        <v>3.4103119353684268</v>
      </c>
      <c r="S110" s="61">
        <f t="shared" si="109"/>
        <v>3.0319777888907335</v>
      </c>
      <c r="T110" s="61">
        <f t="shared" si="109"/>
        <v>3.2862582121119615</v>
      </c>
      <c r="U110" s="61">
        <f t="shared" si="109"/>
        <v>3.4139025045118228</v>
      </c>
      <c r="V110" s="61">
        <f t="shared" si="109"/>
        <v>3.2151557677934024</v>
      </c>
      <c r="W110" s="61">
        <f t="shared" si="109"/>
        <v>3.3978733110617942</v>
      </c>
      <c r="X110" s="61">
        <f t="shared" si="109"/>
        <v>3.1479075117945809</v>
      </c>
      <c r="Y110" s="61">
        <f t="shared" si="110"/>
        <v>3.2860405619599731</v>
      </c>
      <c r="Z110" s="61">
        <f t="shared" si="110"/>
        <v>2.8404332481641563</v>
      </c>
      <c r="AA110" s="61">
        <f t="shared" si="110"/>
        <v>2.8103635377479188</v>
      </c>
      <c r="AB110" s="61">
        <f t="shared" si="110"/>
        <v>2.7472903364272696</v>
      </c>
      <c r="AC110" s="61">
        <f t="shared" si="110"/>
        <v>3.2291941754156808</v>
      </c>
      <c r="AD110" s="61">
        <f t="shared" si="110"/>
        <v>3.2527472310569632</v>
      </c>
      <c r="AE110" s="61">
        <f t="shared" si="110"/>
        <v>1.6149328167294064</v>
      </c>
      <c r="AF110" s="61">
        <f t="shared" si="110"/>
        <v>2.8501930426314677</v>
      </c>
      <c r="AG110" s="61">
        <f t="shared" si="110"/>
        <v>1.6386234288787298</v>
      </c>
      <c r="AH110" s="61">
        <f t="shared" si="110"/>
        <v>2.5567728627721245</v>
      </c>
      <c r="AI110" s="61">
        <f t="shared" si="111"/>
        <v>1.635806804608023</v>
      </c>
      <c r="AJ110" s="61">
        <f t="shared" si="111"/>
        <v>2.9486433195988222</v>
      </c>
      <c r="AK110" s="61">
        <f t="shared" si="111"/>
        <v>2.2700876452760101</v>
      </c>
      <c r="AL110" s="61">
        <f t="shared" si="111"/>
        <v>2.2415403442755011</v>
      </c>
      <c r="AM110" s="61">
        <f t="shared" si="111"/>
        <v>2.8626912994882274</v>
      </c>
      <c r="AN110" s="61">
        <f t="shared" si="111"/>
        <v>2.9272062409258668</v>
      </c>
      <c r="AO110" s="61">
        <f t="shared" si="111"/>
        <v>2.3821667041796144</v>
      </c>
      <c r="AP110" s="61">
        <f t="shared" si="111"/>
        <v>2.3241386863243991</v>
      </c>
      <c r="AQ110" s="61">
        <f t="shared" si="111"/>
        <v>2.9313595174921501</v>
      </c>
      <c r="AR110" s="61">
        <f t="shared" si="111"/>
        <v>1.8570170992437252</v>
      </c>
      <c r="AS110" s="61">
        <f t="shared" si="112"/>
        <v>2.4672174974653283</v>
      </c>
      <c r="AT110" s="61">
        <f t="shared" si="112"/>
        <v>2.3013907143757453</v>
      </c>
      <c r="AU110" s="61">
        <f t="shared" si="112"/>
        <v>1.3576791675329927</v>
      </c>
      <c r="AV110" s="61">
        <f t="shared" si="112"/>
        <v>2.0129637432433016</v>
      </c>
      <c r="AW110" s="61">
        <f t="shared" si="112"/>
        <v>1.1650778082548783</v>
      </c>
      <c r="AX110" s="61">
        <f t="shared" si="112"/>
        <v>2.0657508606835218</v>
      </c>
      <c r="AY110" s="61">
        <f t="shared" si="112"/>
        <v>1.0822869757549445</v>
      </c>
      <c r="AZ110" s="61">
        <f t="shared" si="112"/>
        <v>2.4322264422566073</v>
      </c>
      <c r="BA110" s="61">
        <f t="shared" si="112"/>
        <v>2.2809565906049425</v>
      </c>
      <c r="BB110" s="61">
        <f t="shared" si="112"/>
        <v>1.0757400967586035</v>
      </c>
      <c r="BC110" s="61">
        <f t="shared" si="113"/>
        <v>1.069109815788271</v>
      </c>
      <c r="BD110" s="61">
        <f t="shared" si="113"/>
        <v>1.2298119611615159</v>
      </c>
      <c r="BE110" s="61">
        <f t="shared" si="113"/>
        <v>1.372425164587747</v>
      </c>
      <c r="BF110" s="61">
        <f t="shared" si="113"/>
        <v>2.9882281111623663</v>
      </c>
      <c r="BG110" s="61">
        <f t="shared" si="113"/>
        <v>2.0862815494900198</v>
      </c>
      <c r="BH110" s="61">
        <f t="shared" si="113"/>
        <v>0.9661474476795463</v>
      </c>
      <c r="BI110" s="61">
        <f t="shared" si="113"/>
        <v>0.94962320210961093</v>
      </c>
      <c r="BJ110" s="61">
        <f t="shared" si="113"/>
        <v>1.9069001117351327</v>
      </c>
      <c r="BK110" s="61">
        <f t="shared" si="113"/>
        <v>1.1590791692704743</v>
      </c>
      <c r="BL110" s="61">
        <f t="shared" si="113"/>
        <v>1.7463690863385468</v>
      </c>
      <c r="BM110" s="61">
        <f t="shared" si="114"/>
        <v>2.2188138358731346</v>
      </c>
      <c r="BN110" s="61">
        <f t="shared" si="114"/>
        <v>1.6758731258998287</v>
      </c>
      <c r="BO110" s="61">
        <f t="shared" si="114"/>
        <v>0.87732881111441896</v>
      </c>
      <c r="BP110" s="61">
        <f t="shared" si="114"/>
        <v>1.8158599009462353</v>
      </c>
      <c r="BQ110" s="61">
        <f t="shared" si="114"/>
        <v>1.7898308583122453</v>
      </c>
      <c r="BR110" s="61">
        <f t="shared" si="114"/>
        <v>1.821607533525075</v>
      </c>
      <c r="BS110" s="61">
        <f t="shared" si="114"/>
        <v>1.8813498489084877</v>
      </c>
      <c r="BT110" s="61">
        <f t="shared" si="114"/>
        <v>1.4961249157266756</v>
      </c>
      <c r="BU110" s="61">
        <f t="shared" si="114"/>
        <v>1.420989410101497</v>
      </c>
      <c r="BV110" s="61">
        <f t="shared" si="114"/>
        <v>0.62140084815515317</v>
      </c>
      <c r="BW110" s="61">
        <f t="shared" si="115"/>
        <v>1.5550398966902088</v>
      </c>
      <c r="BX110" s="61">
        <f t="shared" si="115"/>
        <v>0.60538512242789833</v>
      </c>
      <c r="BY110" s="61">
        <f t="shared" si="115"/>
        <v>1.1204745520822987</v>
      </c>
      <c r="BZ110" s="61">
        <f t="shared" si="115"/>
        <v>1.0583836314571089</v>
      </c>
      <c r="CA110" s="61">
        <f t="shared" si="115"/>
        <v>0.55415001600019609</v>
      </c>
      <c r="CB110" s="61">
        <f t="shared" si="115"/>
        <v>1.048936373120787</v>
      </c>
      <c r="CC110" s="61">
        <f t="shared" si="115"/>
        <v>0.53588603616111441</v>
      </c>
      <c r="CD110" s="61">
        <f t="shared" si="115"/>
        <v>0.4973150585914396</v>
      </c>
      <c r="CE110" s="61">
        <f t="shared" si="115"/>
        <v>1.2806810790360619</v>
      </c>
      <c r="CF110" s="61">
        <f t="shared" si="115"/>
        <v>1.4678055459573545</v>
      </c>
      <c r="CG110" s="61">
        <f t="shared" si="116"/>
        <v>1.0004721155159004</v>
      </c>
      <c r="CH110" s="61">
        <f t="shared" si="116"/>
        <v>0.85124510363063022</v>
      </c>
      <c r="CI110" s="61">
        <f t="shared" si="116"/>
        <v>0.7367647753609291</v>
      </c>
      <c r="CJ110" s="61">
        <f t="shared" si="116"/>
        <v>0.4634308081304338</v>
      </c>
      <c r="CK110" s="61">
        <f t="shared" si="116"/>
        <v>1.1449699327753411</v>
      </c>
      <c r="CL110" s="61">
        <f t="shared" si="116"/>
        <v>0.24462279717625002</v>
      </c>
      <c r="CM110" s="61">
        <f t="shared" si="116"/>
        <v>0.8655712383896671</v>
      </c>
      <c r="CN110" s="61">
        <f t="shared" si="116"/>
        <v>1.8586634335808718</v>
      </c>
      <c r="CO110" s="61">
        <f t="shared" si="116"/>
        <v>1.1061134001351542</v>
      </c>
      <c r="CP110" s="61">
        <f t="shared" si="116"/>
        <v>0.13655273333979134</v>
      </c>
      <c r="CQ110" s="61">
        <f t="shared" si="117"/>
        <v>0.75181158054214847</v>
      </c>
      <c r="CR110" s="61">
        <f t="shared" si="117"/>
        <v>0.83176560405516553</v>
      </c>
      <c r="CS110" s="61">
        <f t="shared" si="117"/>
        <v>4.9606090958321691E-2</v>
      </c>
      <c r="CT110" s="61">
        <f t="shared" si="117"/>
        <v>0</v>
      </c>
      <c r="CU110" s="61">
        <f t="shared" si="117"/>
        <v>0.61603120634644415</v>
      </c>
      <c r="CV110" s="61">
        <f t="shared" si="117"/>
        <v>1.4108040127031609</v>
      </c>
      <c r="CW110" s="61">
        <f t="shared" si="117"/>
        <v>0</v>
      </c>
      <c r="CX110" s="61">
        <f t="shared" si="117"/>
        <v>1.1125151715068267</v>
      </c>
      <c r="CY110" s="61">
        <f t="shared" si="117"/>
        <v>5.4836989436679806E-2</v>
      </c>
      <c r="CZ110" s="61">
        <f t="shared" si="117"/>
        <v>5.4836989436679806E-2</v>
      </c>
      <c r="DA110" s="61">
        <f t="shared" si="118"/>
        <v>0.64473248274159645</v>
      </c>
      <c r="DB110" s="61">
        <f t="shared" si="118"/>
        <v>0.11613952807539829</v>
      </c>
      <c r="DC110" s="61">
        <f t="shared" si="118"/>
        <v>0.11613952807539829</v>
      </c>
      <c r="DD110" s="61">
        <f t="shared" si="118"/>
        <v>0.52216655104840215</v>
      </c>
      <c r="DE110" s="61">
        <f t="shared" si="118"/>
        <v>0.41695895355399548</v>
      </c>
      <c r="DF110" s="61">
        <f t="shared" si="118"/>
        <v>0.4769018533270466</v>
      </c>
      <c r="DG110" s="61">
        <f t="shared" si="118"/>
        <v>0.6266317466335114</v>
      </c>
      <c r="DH110" s="61">
        <f t="shared" si="118"/>
        <v>0.6266317466335114</v>
      </c>
      <c r="DI110" s="61">
        <f t="shared" si="118"/>
        <v>0.6266317466335114</v>
      </c>
      <c r="DJ110" s="61">
        <f t="shared" si="118"/>
        <v>0.6266317466335114</v>
      </c>
      <c r="DK110" s="61">
        <f t="shared" si="119"/>
        <v>0.83766417857869468</v>
      </c>
      <c r="DL110" s="61">
        <f t="shared" si="119"/>
        <v>0.83766417857869468</v>
      </c>
      <c r="DM110" s="61">
        <f t="shared" si="119"/>
        <v>0.83766417857869468</v>
      </c>
      <c r="DN110" s="61">
        <f t="shared" si="119"/>
        <v>0.83766417857869468</v>
      </c>
      <c r="DO110" s="61">
        <f t="shared" si="119"/>
        <v>0.83766417857869468</v>
      </c>
      <c r="DP110" s="61">
        <f t="shared" si="119"/>
        <v>1.198426503830343</v>
      </c>
      <c r="DQ110" s="61">
        <f t="shared" si="119"/>
        <v>1.198426503830343</v>
      </c>
    </row>
    <row r="111" spans="1:121" x14ac:dyDescent="0.25">
      <c r="A111" s="48" t="str">
        <f>KMeans_Data!A102</f>
        <v>Tank</v>
      </c>
      <c r="B111" s="59">
        <f>KMeans_Data!H102</f>
        <v>-0.9361484674096654</v>
      </c>
      <c r="C111" s="59">
        <f>KMeans_Data!I102</f>
        <v>-0.67265054538827607</v>
      </c>
      <c r="D111" s="59">
        <f>KMeans_Data!J102</f>
        <v>-3.44812518432112E-2</v>
      </c>
      <c r="E111" s="61">
        <f t="shared" si="108"/>
        <v>7.1226294067257934</v>
      </c>
      <c r="F111" s="61">
        <f t="shared" si="108"/>
        <v>6.9440830014645831</v>
      </c>
      <c r="G111" s="61">
        <f t="shared" si="108"/>
        <v>5.0486834822094453</v>
      </c>
      <c r="H111" s="61">
        <f t="shared" si="108"/>
        <v>5.6125962144012691</v>
      </c>
      <c r="I111" s="61">
        <f t="shared" si="108"/>
        <v>4.4889362086953675</v>
      </c>
      <c r="J111" s="61">
        <f t="shared" si="108"/>
        <v>4.0643940140978474</v>
      </c>
      <c r="K111" s="61">
        <f t="shared" si="108"/>
        <v>2.5488606562234772</v>
      </c>
      <c r="L111" s="61">
        <f t="shared" si="108"/>
        <v>3.1641490275804998</v>
      </c>
      <c r="M111" s="61">
        <f t="shared" si="108"/>
        <v>3.3709703611317074</v>
      </c>
      <c r="N111" s="61">
        <f t="shared" si="108"/>
        <v>2.3388194761953582</v>
      </c>
      <c r="O111" s="61">
        <f t="shared" si="109"/>
        <v>3.1587483682815622</v>
      </c>
      <c r="P111" s="61">
        <f t="shared" si="109"/>
        <v>3.4145087309733944</v>
      </c>
      <c r="Q111" s="61">
        <f t="shared" si="109"/>
        <v>2.816909581272879</v>
      </c>
      <c r="R111" s="61">
        <f t="shared" si="109"/>
        <v>2.6952979135147523</v>
      </c>
      <c r="S111" s="61">
        <f t="shared" si="109"/>
        <v>2.3449077900921269</v>
      </c>
      <c r="T111" s="61">
        <f t="shared" si="109"/>
        <v>2.7344962504782435</v>
      </c>
      <c r="U111" s="61">
        <f t="shared" si="109"/>
        <v>2.6497564094067094</v>
      </c>
      <c r="V111" s="61">
        <f t="shared" si="109"/>
        <v>2.8008933352257319</v>
      </c>
      <c r="W111" s="61">
        <f t="shared" si="109"/>
        <v>2.8897777071945807</v>
      </c>
      <c r="X111" s="61">
        <f t="shared" si="109"/>
        <v>2.5467791264315576</v>
      </c>
      <c r="Y111" s="61">
        <f t="shared" si="110"/>
        <v>2.6180672917961436</v>
      </c>
      <c r="Z111" s="61">
        <f t="shared" si="110"/>
        <v>2.3597559563917003</v>
      </c>
      <c r="AA111" s="61">
        <f t="shared" si="110"/>
        <v>2.1539985667323922</v>
      </c>
      <c r="AB111" s="61">
        <f t="shared" si="110"/>
        <v>2.2224441440253462</v>
      </c>
      <c r="AC111" s="61">
        <f t="shared" si="110"/>
        <v>2.7716486811717629</v>
      </c>
      <c r="AD111" s="61">
        <f t="shared" si="110"/>
        <v>2.5700892009483525</v>
      </c>
      <c r="AE111" s="61">
        <f t="shared" si="110"/>
        <v>2.0032894147356153</v>
      </c>
      <c r="AF111" s="61">
        <f t="shared" si="110"/>
        <v>2.2444267875350685</v>
      </c>
      <c r="AG111" s="61">
        <f t="shared" si="110"/>
        <v>1.5573664135066498</v>
      </c>
      <c r="AH111" s="61">
        <f t="shared" si="110"/>
        <v>1.9110097146226086</v>
      </c>
      <c r="AI111" s="61">
        <f t="shared" si="111"/>
        <v>1.554290932237071</v>
      </c>
      <c r="AJ111" s="61">
        <f t="shared" si="111"/>
        <v>2.2518117837355809</v>
      </c>
      <c r="AK111" s="61">
        <f t="shared" si="111"/>
        <v>1.83378721556706</v>
      </c>
      <c r="AL111" s="61">
        <f t="shared" si="111"/>
        <v>1.6245794662330981</v>
      </c>
      <c r="AM111" s="61">
        <f t="shared" si="111"/>
        <v>2.5206276133961425</v>
      </c>
      <c r="AN111" s="61">
        <f t="shared" si="111"/>
        <v>2.4098359735399919</v>
      </c>
      <c r="AO111" s="61">
        <f t="shared" si="111"/>
        <v>1.8194987060711019</v>
      </c>
      <c r="AP111" s="61">
        <f t="shared" si="111"/>
        <v>1.7927609492809082</v>
      </c>
      <c r="AQ111" s="61">
        <f t="shared" si="111"/>
        <v>2.4554364860650164</v>
      </c>
      <c r="AR111" s="61">
        <f t="shared" si="111"/>
        <v>1.5666530369713547</v>
      </c>
      <c r="AS111" s="61">
        <f t="shared" si="112"/>
        <v>1.6320582906910597</v>
      </c>
      <c r="AT111" s="61">
        <f t="shared" si="112"/>
        <v>1.5473017703795251</v>
      </c>
      <c r="AU111" s="61">
        <f t="shared" si="112"/>
        <v>1.4405025949281043</v>
      </c>
      <c r="AV111" s="61">
        <f t="shared" si="112"/>
        <v>1.3130763956016829</v>
      </c>
      <c r="AW111" s="61">
        <f t="shared" si="112"/>
        <v>1.4156681926299028</v>
      </c>
      <c r="AX111" s="61">
        <f t="shared" si="112"/>
        <v>1.4943576796736169</v>
      </c>
      <c r="AY111" s="61">
        <f t="shared" si="112"/>
        <v>1.5898848460298964</v>
      </c>
      <c r="AZ111" s="61">
        <f t="shared" si="112"/>
        <v>1.559337518665149</v>
      </c>
      <c r="BA111" s="61">
        <f t="shared" si="112"/>
        <v>1.4979666321813194</v>
      </c>
      <c r="BB111" s="61">
        <f t="shared" si="112"/>
        <v>1.5852089639073463</v>
      </c>
      <c r="BC111" s="61">
        <f t="shared" si="113"/>
        <v>1.5804870554350512</v>
      </c>
      <c r="BD111" s="61">
        <f t="shared" si="113"/>
        <v>1.1989698041085328</v>
      </c>
      <c r="BE111" s="61">
        <f t="shared" si="113"/>
        <v>1.1094159170622437</v>
      </c>
      <c r="BF111" s="61">
        <f t="shared" si="113"/>
        <v>2.4518667699849859</v>
      </c>
      <c r="BG111" s="61">
        <f t="shared" si="113"/>
        <v>1.3333627991431298</v>
      </c>
      <c r="BH111" s="61">
        <f t="shared" si="113"/>
        <v>1.5090036886157445</v>
      </c>
      <c r="BI111" s="61">
        <f t="shared" si="113"/>
        <v>1.4978728877390084</v>
      </c>
      <c r="BJ111" s="61">
        <f t="shared" si="113"/>
        <v>1.5538136128775477</v>
      </c>
      <c r="BK111" s="61">
        <f t="shared" si="113"/>
        <v>1.0104736111172368</v>
      </c>
      <c r="BL111" s="61">
        <f t="shared" si="113"/>
        <v>1.0141756263183117</v>
      </c>
      <c r="BM111" s="61">
        <f t="shared" si="114"/>
        <v>1.6101267254453193</v>
      </c>
      <c r="BN111" s="61">
        <f t="shared" si="114"/>
        <v>1.2234016759000841</v>
      </c>
      <c r="BO111" s="61">
        <f t="shared" si="114"/>
        <v>1.1760649678306487</v>
      </c>
      <c r="BP111" s="61">
        <f t="shared" si="114"/>
        <v>1.2188629551025651</v>
      </c>
      <c r="BQ111" s="61">
        <f t="shared" si="114"/>
        <v>1.0638075200660253</v>
      </c>
      <c r="BR111" s="61">
        <f t="shared" si="114"/>
        <v>1.0654997166068281</v>
      </c>
      <c r="BS111" s="61">
        <f t="shared" si="114"/>
        <v>0.9907319785882186</v>
      </c>
      <c r="BT111" s="61">
        <f t="shared" si="114"/>
        <v>0.7567544026859151</v>
      </c>
      <c r="BU111" s="61">
        <f t="shared" si="114"/>
        <v>0.73569974471533828</v>
      </c>
      <c r="BV111" s="61">
        <f t="shared" si="114"/>
        <v>1.3007615171172862</v>
      </c>
      <c r="BW111" s="61">
        <f t="shared" si="115"/>
        <v>0.73420804729847489</v>
      </c>
      <c r="BX111" s="61">
        <f t="shared" si="115"/>
        <v>1.292507697624006</v>
      </c>
      <c r="BY111" s="61">
        <f t="shared" si="115"/>
        <v>0.64377311743326116</v>
      </c>
      <c r="BZ111" s="61">
        <f t="shared" si="115"/>
        <v>0.64399744903997647</v>
      </c>
      <c r="CA111" s="61">
        <f t="shared" si="115"/>
        <v>1.2671022390530919</v>
      </c>
      <c r="CB111" s="61">
        <f t="shared" si="115"/>
        <v>0.626754524954097</v>
      </c>
      <c r="CC111" s="61">
        <f t="shared" si="115"/>
        <v>1.2584262411416085</v>
      </c>
      <c r="CD111" s="61">
        <f t="shared" si="115"/>
        <v>1.2407879736538521</v>
      </c>
      <c r="CE111" s="61">
        <f t="shared" si="115"/>
        <v>0.53734412906897</v>
      </c>
      <c r="CF111" s="61">
        <f t="shared" si="115"/>
        <v>0.76760643599352452</v>
      </c>
      <c r="CG111" s="61">
        <f t="shared" si="116"/>
        <v>0.79134892952854918</v>
      </c>
      <c r="CH111" s="61">
        <f t="shared" si="116"/>
        <v>0.59152928988871001</v>
      </c>
      <c r="CI111" s="61">
        <f t="shared" si="116"/>
        <v>0.62647025092302167</v>
      </c>
      <c r="CJ111" s="61">
        <f t="shared" si="116"/>
        <v>0.88050532818407168</v>
      </c>
      <c r="CK111" s="61">
        <f t="shared" si="116"/>
        <v>0.33101308459551815</v>
      </c>
      <c r="CL111" s="61">
        <f t="shared" si="116"/>
        <v>1.1508080097134565</v>
      </c>
      <c r="CM111" s="61">
        <f t="shared" si="116"/>
        <v>0.41057096015309591</v>
      </c>
      <c r="CN111" s="61">
        <f t="shared" si="116"/>
        <v>0.87679540429221847</v>
      </c>
      <c r="CO111" s="61">
        <f t="shared" si="116"/>
        <v>0.57856091666735332</v>
      </c>
      <c r="CP111" s="61">
        <f t="shared" si="116"/>
        <v>1.1275251382593827</v>
      </c>
      <c r="CQ111" s="61">
        <f t="shared" si="117"/>
        <v>0.39485424184494072</v>
      </c>
      <c r="CR111" s="61">
        <f t="shared" si="117"/>
        <v>0.29966766019237107</v>
      </c>
      <c r="CS111" s="61">
        <f t="shared" si="117"/>
        <v>1.1160606025054294</v>
      </c>
      <c r="CT111" s="61">
        <f t="shared" si="117"/>
        <v>1.1125151715068267</v>
      </c>
      <c r="CU111" s="61">
        <f t="shared" si="117"/>
        <v>0.95046180950607739</v>
      </c>
      <c r="CV111" s="61">
        <f t="shared" si="117"/>
        <v>0.30461765069144331</v>
      </c>
      <c r="CW111" s="61">
        <f t="shared" si="117"/>
        <v>1.1125151715068267</v>
      </c>
      <c r="CX111" s="61">
        <f t="shared" si="117"/>
        <v>0</v>
      </c>
      <c r="CY111" s="61">
        <f t="shared" si="117"/>
        <v>1.1111628644903435</v>
      </c>
      <c r="CZ111" s="61">
        <f t="shared" si="117"/>
        <v>1.1111628644903435</v>
      </c>
      <c r="DA111" s="61">
        <f t="shared" si="118"/>
        <v>0.46876666362076763</v>
      </c>
      <c r="DB111" s="61">
        <f t="shared" si="118"/>
        <v>1.1128526015002782</v>
      </c>
      <c r="DC111" s="61">
        <f t="shared" si="118"/>
        <v>1.1128526015002782</v>
      </c>
      <c r="DD111" s="61">
        <f t="shared" si="118"/>
        <v>0.60518874302600467</v>
      </c>
      <c r="DE111" s="61">
        <f t="shared" si="118"/>
        <v>0.81766681220534321</v>
      </c>
      <c r="DF111" s="61">
        <f t="shared" si="118"/>
        <v>1.188621748393146</v>
      </c>
      <c r="DG111" s="61">
        <f t="shared" si="118"/>
        <v>1.249652814096847</v>
      </c>
      <c r="DH111" s="61">
        <f t="shared" si="118"/>
        <v>1.249652814096847</v>
      </c>
      <c r="DI111" s="61">
        <f t="shared" si="118"/>
        <v>1.249652814096847</v>
      </c>
      <c r="DJ111" s="61">
        <f t="shared" si="118"/>
        <v>1.249652814096847</v>
      </c>
      <c r="DK111" s="61">
        <f t="shared" si="119"/>
        <v>1.3592282072861692</v>
      </c>
      <c r="DL111" s="61">
        <f t="shared" si="119"/>
        <v>1.3592282072861692</v>
      </c>
      <c r="DM111" s="61">
        <f t="shared" si="119"/>
        <v>1.3592282072861692</v>
      </c>
      <c r="DN111" s="61">
        <f t="shared" si="119"/>
        <v>1.3592282072861692</v>
      </c>
      <c r="DO111" s="61">
        <f t="shared" si="119"/>
        <v>1.3592282072861692</v>
      </c>
      <c r="DP111" s="61">
        <f t="shared" si="119"/>
        <v>1.5945155655726664</v>
      </c>
      <c r="DQ111" s="61">
        <f t="shared" si="119"/>
        <v>1.5945155655726664</v>
      </c>
    </row>
    <row r="112" spans="1:121" x14ac:dyDescent="0.25">
      <c r="A112" s="48" t="str">
        <f>KMeans_Data!A103</f>
        <v>Sahiwal</v>
      </c>
      <c r="B112" s="59">
        <f>KMeans_Data!H103</f>
        <v>-0.9361484674096654</v>
      </c>
      <c r="C112" s="59">
        <f>KMeans_Data!I103</f>
        <v>-0.67265054538827607</v>
      </c>
      <c r="D112" s="59">
        <f>KMeans_Data!J103</f>
        <v>-1.1456441163335547</v>
      </c>
      <c r="E112" s="61">
        <f t="shared" si="108"/>
        <v>7.6988147546876338</v>
      </c>
      <c r="F112" s="61">
        <f t="shared" si="108"/>
        <v>7.4490652432169808</v>
      </c>
      <c r="G112" s="61">
        <f t="shared" si="108"/>
        <v>5.6632731880532097</v>
      </c>
      <c r="H112" s="61">
        <f t="shared" si="108"/>
        <v>6.0379623681719892</v>
      </c>
      <c r="I112" s="61">
        <f t="shared" si="108"/>
        <v>5.0231536532027237</v>
      </c>
      <c r="J112" s="61">
        <f t="shared" si="108"/>
        <v>4.5867630613444801</v>
      </c>
      <c r="K112" s="61">
        <f t="shared" si="108"/>
        <v>2.444547920601587</v>
      </c>
      <c r="L112" s="61">
        <f t="shared" si="108"/>
        <v>3.892824850927973</v>
      </c>
      <c r="M112" s="61">
        <f t="shared" si="108"/>
        <v>4.0549635307545628</v>
      </c>
      <c r="N112" s="61">
        <f t="shared" si="108"/>
        <v>2.2246798496647329</v>
      </c>
      <c r="O112" s="61">
        <f t="shared" si="109"/>
        <v>3.6722524541613222</v>
      </c>
      <c r="P112" s="61">
        <f t="shared" si="109"/>
        <v>3.945042719590913</v>
      </c>
      <c r="Q112" s="61">
        <f t="shared" si="109"/>
        <v>3.4128439953938385</v>
      </c>
      <c r="R112" s="61">
        <f t="shared" si="109"/>
        <v>3.4414619554110497</v>
      </c>
      <c r="S112" s="61">
        <f t="shared" si="109"/>
        <v>3.0664449660051734</v>
      </c>
      <c r="T112" s="61">
        <f t="shared" si="109"/>
        <v>3.3174703362708917</v>
      </c>
      <c r="U112" s="61">
        <f t="shared" si="109"/>
        <v>3.4425172811011731</v>
      </c>
      <c r="V112" s="61">
        <f t="shared" si="109"/>
        <v>3.2450643542858262</v>
      </c>
      <c r="W112" s="61">
        <f t="shared" si="109"/>
        <v>3.4261574483735848</v>
      </c>
      <c r="X112" s="61">
        <f t="shared" si="109"/>
        <v>3.1782544380762086</v>
      </c>
      <c r="Y112" s="61">
        <f t="shared" si="110"/>
        <v>3.3142647909511429</v>
      </c>
      <c r="Z112" s="61">
        <f t="shared" si="110"/>
        <v>2.8729579464152746</v>
      </c>
      <c r="AA112" s="61">
        <f t="shared" si="110"/>
        <v>2.8431913451727726</v>
      </c>
      <c r="AB112" s="61">
        <f t="shared" si="110"/>
        <v>2.7808628163915281</v>
      </c>
      <c r="AC112" s="61">
        <f t="shared" si="110"/>
        <v>3.2574391892876324</v>
      </c>
      <c r="AD112" s="61">
        <f t="shared" si="110"/>
        <v>3.2798933205372922</v>
      </c>
      <c r="AE112" s="61">
        <f t="shared" si="110"/>
        <v>1.6668789901397698</v>
      </c>
      <c r="AF112" s="61">
        <f t="shared" si="110"/>
        <v>2.8791199271108359</v>
      </c>
      <c r="AG112" s="61">
        <f t="shared" si="110"/>
        <v>1.687636010518154</v>
      </c>
      <c r="AH112" s="61">
        <f t="shared" si="110"/>
        <v>2.5884582349605934</v>
      </c>
      <c r="AI112" s="61">
        <f t="shared" si="111"/>
        <v>1.6847983440499485</v>
      </c>
      <c r="AJ112" s="61">
        <f t="shared" si="111"/>
        <v>2.9759836327983464</v>
      </c>
      <c r="AK112" s="61">
        <f t="shared" si="111"/>
        <v>2.304618247366693</v>
      </c>
      <c r="AL112" s="61">
        <f t="shared" si="111"/>
        <v>2.2753750436998259</v>
      </c>
      <c r="AM112" s="61">
        <f t="shared" si="111"/>
        <v>2.8892611426873223</v>
      </c>
      <c r="AN112" s="61">
        <f t="shared" si="111"/>
        <v>2.9526184916069997</v>
      </c>
      <c r="AO112" s="61">
        <f t="shared" si="111"/>
        <v>2.4128611624217648</v>
      </c>
      <c r="AP112" s="61">
        <f t="shared" si="111"/>
        <v>2.3554920766846061</v>
      </c>
      <c r="AQ112" s="61">
        <f t="shared" si="111"/>
        <v>2.9558825289620332</v>
      </c>
      <c r="AR112" s="61">
        <f t="shared" si="111"/>
        <v>1.8949759098802774</v>
      </c>
      <c r="AS112" s="61">
        <f t="shared" si="112"/>
        <v>2.4943146309701825</v>
      </c>
      <c r="AT112" s="61">
        <f t="shared" si="112"/>
        <v>2.3293953997141417</v>
      </c>
      <c r="AU112" s="61">
        <f t="shared" si="112"/>
        <v>1.4041801271934329</v>
      </c>
      <c r="AV112" s="61">
        <f t="shared" si="112"/>
        <v>2.0444594260393929</v>
      </c>
      <c r="AW112" s="61">
        <f t="shared" si="112"/>
        <v>1.2178835424200389</v>
      </c>
      <c r="AX112" s="61">
        <f t="shared" si="112"/>
        <v>2.0958275235513484</v>
      </c>
      <c r="AY112" s="61">
        <f t="shared" si="112"/>
        <v>1.1371239651916243</v>
      </c>
      <c r="AZ112" s="61">
        <f t="shared" si="112"/>
        <v>2.457118491391201</v>
      </c>
      <c r="BA112" s="61">
        <f t="shared" si="112"/>
        <v>2.3073254560810725</v>
      </c>
      <c r="BB112" s="61">
        <f t="shared" si="112"/>
        <v>1.1305770861952833</v>
      </c>
      <c r="BC112" s="61">
        <f t="shared" si="113"/>
        <v>1.1239468052249508</v>
      </c>
      <c r="BD112" s="61">
        <f t="shared" si="113"/>
        <v>1.2768943907518633</v>
      </c>
      <c r="BE112" s="61">
        <f t="shared" si="113"/>
        <v>1.4142241005425398</v>
      </c>
      <c r="BF112" s="61">
        <f t="shared" si="113"/>
        <v>3.007256360429952</v>
      </c>
      <c r="BG112" s="61">
        <f t="shared" si="113"/>
        <v>2.1126513063644379</v>
      </c>
      <c r="BH112" s="61">
        <f t="shared" si="113"/>
        <v>1.0209844371162262</v>
      </c>
      <c r="BI112" s="61">
        <f t="shared" si="113"/>
        <v>1.0044601915462907</v>
      </c>
      <c r="BJ112" s="61">
        <f t="shared" si="113"/>
        <v>1.9335522885523022</v>
      </c>
      <c r="BK112" s="61">
        <f t="shared" si="113"/>
        <v>1.2015748319781727</v>
      </c>
      <c r="BL112" s="61">
        <f t="shared" si="113"/>
        <v>1.7745633649061698</v>
      </c>
      <c r="BM112" s="61">
        <f t="shared" si="114"/>
        <v>2.2403442304741952</v>
      </c>
      <c r="BN112" s="61">
        <f t="shared" si="114"/>
        <v>1.7039447740311748</v>
      </c>
      <c r="BO112" s="61">
        <f t="shared" si="114"/>
        <v>0.92857562957040374</v>
      </c>
      <c r="BP112" s="61">
        <f t="shared" si="114"/>
        <v>1.840165766413016</v>
      </c>
      <c r="BQ112" s="61">
        <f t="shared" si="114"/>
        <v>1.8141319062915153</v>
      </c>
      <c r="BR112" s="61">
        <f t="shared" si="114"/>
        <v>1.8447706149808971</v>
      </c>
      <c r="BS112" s="61">
        <f t="shared" si="114"/>
        <v>1.9026748637406705</v>
      </c>
      <c r="BT112" s="61">
        <f t="shared" si="114"/>
        <v>1.5213530646511939</v>
      </c>
      <c r="BU112" s="61">
        <f t="shared" si="114"/>
        <v>1.4475276465359923</v>
      </c>
      <c r="BV112" s="61">
        <f t="shared" si="114"/>
        <v>0.67623783759183298</v>
      </c>
      <c r="BW112" s="61">
        <f t="shared" si="115"/>
        <v>1.5771972517209689</v>
      </c>
      <c r="BX112" s="61">
        <f t="shared" si="115"/>
        <v>0.66022211186457813</v>
      </c>
      <c r="BY112" s="61">
        <f t="shared" si="115"/>
        <v>1.1494265193544169</v>
      </c>
      <c r="BZ112" s="61">
        <f t="shared" si="115"/>
        <v>1.0880987289277997</v>
      </c>
      <c r="CA112" s="61">
        <f t="shared" si="115"/>
        <v>0.60898700543687589</v>
      </c>
      <c r="CB112" s="61">
        <f t="shared" si="115"/>
        <v>1.0779830073218835</v>
      </c>
      <c r="CC112" s="61">
        <f t="shared" si="115"/>
        <v>0.59072302559779422</v>
      </c>
      <c r="CD112" s="61">
        <f t="shared" si="115"/>
        <v>0.55215204802811946</v>
      </c>
      <c r="CE112" s="61">
        <f t="shared" si="115"/>
        <v>1.3020963272346278</v>
      </c>
      <c r="CF112" s="61">
        <f t="shared" si="115"/>
        <v>1.4865274770215662</v>
      </c>
      <c r="CG112" s="61">
        <f t="shared" si="116"/>
        <v>1.0241866462442508</v>
      </c>
      <c r="CH112" s="61">
        <f t="shared" si="116"/>
        <v>0.87899491402129681</v>
      </c>
      <c r="CI112" s="61">
        <f t="shared" si="116"/>
        <v>0.76511154040510476</v>
      </c>
      <c r="CJ112" s="61">
        <f t="shared" si="116"/>
        <v>0.50439421510769378</v>
      </c>
      <c r="CK112" s="61">
        <f t="shared" si="116"/>
        <v>1.1594190672900913</v>
      </c>
      <c r="CL112" s="61">
        <f t="shared" si="116"/>
        <v>0.29945978661292982</v>
      </c>
      <c r="CM112" s="61">
        <f t="shared" si="116"/>
        <v>0.88263776240729164</v>
      </c>
      <c r="CN112" s="61">
        <f t="shared" si="116"/>
        <v>1.8646295527293413</v>
      </c>
      <c r="CO112" s="61">
        <f t="shared" si="116"/>
        <v>1.1142128301901923</v>
      </c>
      <c r="CP112" s="61">
        <f t="shared" si="116"/>
        <v>0.19138972277647115</v>
      </c>
      <c r="CQ112" s="61">
        <f t="shared" si="117"/>
        <v>0.76068063626071647</v>
      </c>
      <c r="CR112" s="61">
        <f t="shared" si="117"/>
        <v>0.83682830549132703</v>
      </c>
      <c r="CS112" s="61">
        <f t="shared" si="117"/>
        <v>0.1044430803950015</v>
      </c>
      <c r="CT112" s="61">
        <f t="shared" si="117"/>
        <v>5.4836989436679806E-2</v>
      </c>
      <c r="CU112" s="61">
        <f t="shared" si="117"/>
        <v>0.61846709096210917</v>
      </c>
      <c r="CV112" s="61">
        <f t="shared" si="117"/>
        <v>1.4118693486544069</v>
      </c>
      <c r="CW112" s="61">
        <f t="shared" si="117"/>
        <v>5.4836989436679806E-2</v>
      </c>
      <c r="CX112" s="61">
        <f t="shared" si="117"/>
        <v>1.1111628644903435</v>
      </c>
      <c r="CY112" s="61">
        <f t="shared" si="117"/>
        <v>0</v>
      </c>
      <c r="CZ112" s="61">
        <f t="shared" si="117"/>
        <v>0</v>
      </c>
      <c r="DA112" s="61">
        <f t="shared" si="118"/>
        <v>0.64239620086957583</v>
      </c>
      <c r="DB112" s="61">
        <f t="shared" si="118"/>
        <v>6.1302538638718485E-2</v>
      </c>
      <c r="DC112" s="61">
        <f t="shared" si="118"/>
        <v>6.1302538638718485E-2</v>
      </c>
      <c r="DD112" s="61">
        <f t="shared" si="118"/>
        <v>0.51276458369875644</v>
      </c>
      <c r="DE112" s="61">
        <f t="shared" si="118"/>
        <v>0.38432135909368176</v>
      </c>
      <c r="DF112" s="61">
        <f t="shared" si="118"/>
        <v>0.42206486389036679</v>
      </c>
      <c r="DG112" s="61">
        <f t="shared" si="118"/>
        <v>0.57179475719683159</v>
      </c>
      <c r="DH112" s="61">
        <f t="shared" si="118"/>
        <v>0.57179475719683159</v>
      </c>
      <c r="DI112" s="61">
        <f t="shared" si="118"/>
        <v>0.57179475719683159</v>
      </c>
      <c r="DJ112" s="61">
        <f t="shared" si="118"/>
        <v>0.57179475719683159</v>
      </c>
      <c r="DK112" s="61">
        <f t="shared" si="119"/>
        <v>0.78282718914201488</v>
      </c>
      <c r="DL112" s="61">
        <f t="shared" si="119"/>
        <v>0.78282718914201488</v>
      </c>
      <c r="DM112" s="61">
        <f t="shared" si="119"/>
        <v>0.78282718914201488</v>
      </c>
      <c r="DN112" s="61">
        <f t="shared" si="119"/>
        <v>0.78282718914201488</v>
      </c>
      <c r="DO112" s="61">
        <f t="shared" si="119"/>
        <v>0.78282718914201488</v>
      </c>
      <c r="DP112" s="61">
        <f t="shared" si="119"/>
        <v>1.1435895143936632</v>
      </c>
      <c r="DQ112" s="61">
        <f t="shared" si="119"/>
        <v>1.1435895143936632</v>
      </c>
    </row>
    <row r="113" spans="1:121" x14ac:dyDescent="0.25">
      <c r="A113" s="48" t="str">
        <f>KMeans_Data!A104</f>
        <v>Chiniot</v>
      </c>
      <c r="B113" s="59">
        <f>KMeans_Data!H104</f>
        <v>-0.9361484674096654</v>
      </c>
      <c r="C113" s="59">
        <f>KMeans_Data!I104</f>
        <v>-0.67265054538827607</v>
      </c>
      <c r="D113" s="59">
        <f>KMeans_Data!J104</f>
        <v>-1.1456441163335547</v>
      </c>
      <c r="E113" s="61">
        <f t="shared" si="108"/>
        <v>7.6988147546876338</v>
      </c>
      <c r="F113" s="61">
        <f t="shared" si="108"/>
        <v>7.4490652432169808</v>
      </c>
      <c r="G113" s="61">
        <f t="shared" si="108"/>
        <v>5.6632731880532097</v>
      </c>
      <c r="H113" s="61">
        <f t="shared" si="108"/>
        <v>6.0379623681719892</v>
      </c>
      <c r="I113" s="61">
        <f t="shared" si="108"/>
        <v>5.0231536532027237</v>
      </c>
      <c r="J113" s="61">
        <f t="shared" si="108"/>
        <v>4.5867630613444801</v>
      </c>
      <c r="K113" s="61">
        <f t="shared" si="108"/>
        <v>2.444547920601587</v>
      </c>
      <c r="L113" s="61">
        <f t="shared" si="108"/>
        <v>3.892824850927973</v>
      </c>
      <c r="M113" s="61">
        <f t="shared" si="108"/>
        <v>4.0549635307545628</v>
      </c>
      <c r="N113" s="61">
        <f t="shared" si="108"/>
        <v>2.2246798496647329</v>
      </c>
      <c r="O113" s="61">
        <f t="shared" si="109"/>
        <v>3.6722524541613222</v>
      </c>
      <c r="P113" s="61">
        <f t="shared" si="109"/>
        <v>3.945042719590913</v>
      </c>
      <c r="Q113" s="61">
        <f t="shared" si="109"/>
        <v>3.4128439953938385</v>
      </c>
      <c r="R113" s="61">
        <f t="shared" si="109"/>
        <v>3.4414619554110497</v>
      </c>
      <c r="S113" s="61">
        <f t="shared" si="109"/>
        <v>3.0664449660051734</v>
      </c>
      <c r="T113" s="61">
        <f t="shared" si="109"/>
        <v>3.3174703362708917</v>
      </c>
      <c r="U113" s="61">
        <f t="shared" si="109"/>
        <v>3.4425172811011731</v>
      </c>
      <c r="V113" s="61">
        <f t="shared" si="109"/>
        <v>3.2450643542858262</v>
      </c>
      <c r="W113" s="61">
        <f t="shared" si="109"/>
        <v>3.4261574483735848</v>
      </c>
      <c r="X113" s="61">
        <f t="shared" si="109"/>
        <v>3.1782544380762086</v>
      </c>
      <c r="Y113" s="61">
        <f t="shared" si="110"/>
        <v>3.3142647909511429</v>
      </c>
      <c r="Z113" s="61">
        <f t="shared" si="110"/>
        <v>2.8729579464152746</v>
      </c>
      <c r="AA113" s="61">
        <f t="shared" si="110"/>
        <v>2.8431913451727726</v>
      </c>
      <c r="AB113" s="61">
        <f t="shared" si="110"/>
        <v>2.7808628163915281</v>
      </c>
      <c r="AC113" s="61">
        <f t="shared" si="110"/>
        <v>3.2574391892876324</v>
      </c>
      <c r="AD113" s="61">
        <f t="shared" si="110"/>
        <v>3.2798933205372922</v>
      </c>
      <c r="AE113" s="61">
        <f t="shared" si="110"/>
        <v>1.6668789901397698</v>
      </c>
      <c r="AF113" s="61">
        <f t="shared" si="110"/>
        <v>2.8791199271108359</v>
      </c>
      <c r="AG113" s="61">
        <f t="shared" si="110"/>
        <v>1.687636010518154</v>
      </c>
      <c r="AH113" s="61">
        <f t="shared" si="110"/>
        <v>2.5884582349605934</v>
      </c>
      <c r="AI113" s="61">
        <f t="shared" si="111"/>
        <v>1.6847983440499485</v>
      </c>
      <c r="AJ113" s="61">
        <f t="shared" si="111"/>
        <v>2.9759836327983464</v>
      </c>
      <c r="AK113" s="61">
        <f t="shared" si="111"/>
        <v>2.304618247366693</v>
      </c>
      <c r="AL113" s="61">
        <f t="shared" si="111"/>
        <v>2.2753750436998259</v>
      </c>
      <c r="AM113" s="61">
        <f t="shared" si="111"/>
        <v>2.8892611426873223</v>
      </c>
      <c r="AN113" s="61">
        <f t="shared" si="111"/>
        <v>2.9526184916069997</v>
      </c>
      <c r="AO113" s="61">
        <f t="shared" si="111"/>
        <v>2.4128611624217648</v>
      </c>
      <c r="AP113" s="61">
        <f t="shared" si="111"/>
        <v>2.3554920766846061</v>
      </c>
      <c r="AQ113" s="61">
        <f t="shared" si="111"/>
        <v>2.9558825289620332</v>
      </c>
      <c r="AR113" s="61">
        <f t="shared" si="111"/>
        <v>1.8949759098802774</v>
      </c>
      <c r="AS113" s="61">
        <f t="shared" si="112"/>
        <v>2.4943146309701825</v>
      </c>
      <c r="AT113" s="61">
        <f t="shared" si="112"/>
        <v>2.3293953997141417</v>
      </c>
      <c r="AU113" s="61">
        <f t="shared" si="112"/>
        <v>1.4041801271934329</v>
      </c>
      <c r="AV113" s="61">
        <f t="shared" si="112"/>
        <v>2.0444594260393929</v>
      </c>
      <c r="AW113" s="61">
        <f t="shared" si="112"/>
        <v>1.2178835424200389</v>
      </c>
      <c r="AX113" s="61">
        <f t="shared" si="112"/>
        <v>2.0958275235513484</v>
      </c>
      <c r="AY113" s="61">
        <f t="shared" si="112"/>
        <v>1.1371239651916243</v>
      </c>
      <c r="AZ113" s="61">
        <f t="shared" si="112"/>
        <v>2.457118491391201</v>
      </c>
      <c r="BA113" s="61">
        <f t="shared" si="112"/>
        <v>2.3073254560810725</v>
      </c>
      <c r="BB113" s="61">
        <f t="shared" si="112"/>
        <v>1.1305770861952833</v>
      </c>
      <c r="BC113" s="61">
        <f t="shared" si="113"/>
        <v>1.1239468052249508</v>
      </c>
      <c r="BD113" s="61">
        <f t="shared" si="113"/>
        <v>1.2768943907518633</v>
      </c>
      <c r="BE113" s="61">
        <f t="shared" si="113"/>
        <v>1.4142241005425398</v>
      </c>
      <c r="BF113" s="61">
        <f t="shared" si="113"/>
        <v>3.007256360429952</v>
      </c>
      <c r="BG113" s="61">
        <f t="shared" si="113"/>
        <v>2.1126513063644379</v>
      </c>
      <c r="BH113" s="61">
        <f t="shared" si="113"/>
        <v>1.0209844371162262</v>
      </c>
      <c r="BI113" s="61">
        <f t="shared" si="113"/>
        <v>1.0044601915462907</v>
      </c>
      <c r="BJ113" s="61">
        <f t="shared" si="113"/>
        <v>1.9335522885523022</v>
      </c>
      <c r="BK113" s="61">
        <f t="shared" si="113"/>
        <v>1.2015748319781727</v>
      </c>
      <c r="BL113" s="61">
        <f t="shared" si="113"/>
        <v>1.7745633649061698</v>
      </c>
      <c r="BM113" s="61">
        <f t="shared" si="114"/>
        <v>2.2403442304741952</v>
      </c>
      <c r="BN113" s="61">
        <f t="shared" si="114"/>
        <v>1.7039447740311748</v>
      </c>
      <c r="BO113" s="61">
        <f t="shared" si="114"/>
        <v>0.92857562957040374</v>
      </c>
      <c r="BP113" s="61">
        <f t="shared" si="114"/>
        <v>1.840165766413016</v>
      </c>
      <c r="BQ113" s="61">
        <f t="shared" si="114"/>
        <v>1.8141319062915153</v>
      </c>
      <c r="BR113" s="61">
        <f t="shared" si="114"/>
        <v>1.8447706149808971</v>
      </c>
      <c r="BS113" s="61">
        <f t="shared" si="114"/>
        <v>1.9026748637406705</v>
      </c>
      <c r="BT113" s="61">
        <f t="shared" si="114"/>
        <v>1.5213530646511939</v>
      </c>
      <c r="BU113" s="61">
        <f t="shared" si="114"/>
        <v>1.4475276465359923</v>
      </c>
      <c r="BV113" s="61">
        <f t="shared" si="114"/>
        <v>0.67623783759183298</v>
      </c>
      <c r="BW113" s="61">
        <f t="shared" si="115"/>
        <v>1.5771972517209689</v>
      </c>
      <c r="BX113" s="61">
        <f t="shared" si="115"/>
        <v>0.66022211186457813</v>
      </c>
      <c r="BY113" s="61">
        <f t="shared" si="115"/>
        <v>1.1494265193544169</v>
      </c>
      <c r="BZ113" s="61">
        <f t="shared" si="115"/>
        <v>1.0880987289277997</v>
      </c>
      <c r="CA113" s="61">
        <f t="shared" si="115"/>
        <v>0.60898700543687589</v>
      </c>
      <c r="CB113" s="61">
        <f t="shared" si="115"/>
        <v>1.0779830073218835</v>
      </c>
      <c r="CC113" s="61">
        <f t="shared" si="115"/>
        <v>0.59072302559779422</v>
      </c>
      <c r="CD113" s="61">
        <f t="shared" si="115"/>
        <v>0.55215204802811946</v>
      </c>
      <c r="CE113" s="61">
        <f t="shared" si="115"/>
        <v>1.3020963272346278</v>
      </c>
      <c r="CF113" s="61">
        <f t="shared" si="115"/>
        <v>1.4865274770215662</v>
      </c>
      <c r="CG113" s="61">
        <f t="shared" si="116"/>
        <v>1.0241866462442508</v>
      </c>
      <c r="CH113" s="61">
        <f t="shared" si="116"/>
        <v>0.87899491402129681</v>
      </c>
      <c r="CI113" s="61">
        <f t="shared" si="116"/>
        <v>0.76511154040510476</v>
      </c>
      <c r="CJ113" s="61">
        <f t="shared" si="116"/>
        <v>0.50439421510769378</v>
      </c>
      <c r="CK113" s="61">
        <f t="shared" si="116"/>
        <v>1.1594190672900913</v>
      </c>
      <c r="CL113" s="61">
        <f t="shared" si="116"/>
        <v>0.29945978661292982</v>
      </c>
      <c r="CM113" s="61">
        <f t="shared" si="116"/>
        <v>0.88263776240729164</v>
      </c>
      <c r="CN113" s="61">
        <f t="shared" si="116"/>
        <v>1.8646295527293413</v>
      </c>
      <c r="CO113" s="61">
        <f t="shared" si="116"/>
        <v>1.1142128301901923</v>
      </c>
      <c r="CP113" s="61">
        <f t="shared" si="116"/>
        <v>0.19138972277647115</v>
      </c>
      <c r="CQ113" s="61">
        <f t="shared" si="117"/>
        <v>0.76068063626071647</v>
      </c>
      <c r="CR113" s="61">
        <f t="shared" si="117"/>
        <v>0.83682830549132703</v>
      </c>
      <c r="CS113" s="61">
        <f t="shared" si="117"/>
        <v>0.1044430803950015</v>
      </c>
      <c r="CT113" s="61">
        <f t="shared" si="117"/>
        <v>5.4836989436679806E-2</v>
      </c>
      <c r="CU113" s="61">
        <f t="shared" si="117"/>
        <v>0.61846709096210917</v>
      </c>
      <c r="CV113" s="61">
        <f t="shared" si="117"/>
        <v>1.4118693486544069</v>
      </c>
      <c r="CW113" s="61">
        <f t="shared" si="117"/>
        <v>5.4836989436679806E-2</v>
      </c>
      <c r="CX113" s="61">
        <f t="shared" si="117"/>
        <v>1.1111628644903435</v>
      </c>
      <c r="CY113" s="61">
        <f t="shared" si="117"/>
        <v>0</v>
      </c>
      <c r="CZ113" s="61">
        <f t="shared" si="117"/>
        <v>0</v>
      </c>
      <c r="DA113" s="61">
        <f t="shared" si="118"/>
        <v>0.64239620086957583</v>
      </c>
      <c r="DB113" s="61">
        <f t="shared" si="118"/>
        <v>6.1302538638718485E-2</v>
      </c>
      <c r="DC113" s="61">
        <f t="shared" si="118"/>
        <v>6.1302538638718485E-2</v>
      </c>
      <c r="DD113" s="61">
        <f t="shared" si="118"/>
        <v>0.51276458369875644</v>
      </c>
      <c r="DE113" s="61">
        <f t="shared" si="118"/>
        <v>0.38432135909368176</v>
      </c>
      <c r="DF113" s="61">
        <f t="shared" si="118"/>
        <v>0.42206486389036679</v>
      </c>
      <c r="DG113" s="61">
        <f t="shared" si="118"/>
        <v>0.57179475719683159</v>
      </c>
      <c r="DH113" s="61">
        <f t="shared" si="118"/>
        <v>0.57179475719683159</v>
      </c>
      <c r="DI113" s="61">
        <f t="shared" si="118"/>
        <v>0.57179475719683159</v>
      </c>
      <c r="DJ113" s="61">
        <f t="shared" si="118"/>
        <v>0.57179475719683159</v>
      </c>
      <c r="DK113" s="61">
        <f t="shared" si="119"/>
        <v>0.78282718914201488</v>
      </c>
      <c r="DL113" s="61">
        <f t="shared" si="119"/>
        <v>0.78282718914201488</v>
      </c>
      <c r="DM113" s="61">
        <f t="shared" si="119"/>
        <v>0.78282718914201488</v>
      </c>
      <c r="DN113" s="61">
        <f t="shared" si="119"/>
        <v>0.78282718914201488</v>
      </c>
      <c r="DO113" s="61">
        <f t="shared" si="119"/>
        <v>0.78282718914201488</v>
      </c>
      <c r="DP113" s="61">
        <f t="shared" si="119"/>
        <v>1.1435895143936632</v>
      </c>
      <c r="DQ113" s="61">
        <f t="shared" si="119"/>
        <v>1.1435895143936632</v>
      </c>
    </row>
    <row r="114" spans="1:121" x14ac:dyDescent="0.25">
      <c r="A114" s="48" t="str">
        <f>KMeans_Data!A105</f>
        <v>South Waziristan</v>
      </c>
      <c r="B114" s="59">
        <f>KMeans_Data!H105</f>
        <v>-0.9361484674096654</v>
      </c>
      <c r="C114" s="59">
        <f>KMeans_Data!I105</f>
        <v>-0.67265054538827607</v>
      </c>
      <c r="D114" s="59">
        <f>KMeans_Data!J105</f>
        <v>-0.50324791546397885</v>
      </c>
      <c r="E114" s="61">
        <f t="shared" ref="E114:N123" si="120">SQRT(($B114-E$5)^2+($C114-E$6)^2+($D114-E$7)^2)</f>
        <v>7.3507445801816038</v>
      </c>
      <c r="F114" s="61">
        <f t="shared" si="120"/>
        <v>7.140408140692263</v>
      </c>
      <c r="G114" s="61">
        <f t="shared" si="120"/>
        <v>5.2882357000404303</v>
      </c>
      <c r="H114" s="61">
        <f t="shared" si="120"/>
        <v>5.7698169559794836</v>
      </c>
      <c r="I114" s="61">
        <f t="shared" si="120"/>
        <v>4.6896864286988036</v>
      </c>
      <c r="J114" s="61">
        <f t="shared" si="120"/>
        <v>4.2573040370410498</v>
      </c>
      <c r="K114" s="61">
        <f t="shared" si="120"/>
        <v>2.444547920601587</v>
      </c>
      <c r="L114" s="61">
        <f t="shared" si="120"/>
        <v>3.4467472139957351</v>
      </c>
      <c r="M114" s="61">
        <f t="shared" si="120"/>
        <v>3.6338833594531321</v>
      </c>
      <c r="N114" s="61">
        <f t="shared" si="120"/>
        <v>2.2246798496647329</v>
      </c>
      <c r="O114" s="61">
        <f t="shared" ref="O114:X123" si="121">SQRT(($B114-O$5)^2+($C114-O$6)^2+($D114-O$7)^2)</f>
        <v>3.3401155227340533</v>
      </c>
      <c r="P114" s="61">
        <f t="shared" si="121"/>
        <v>3.6062342442870525</v>
      </c>
      <c r="Q114" s="61">
        <f t="shared" si="121"/>
        <v>3.033158368079949</v>
      </c>
      <c r="R114" s="61">
        <f t="shared" si="121"/>
        <v>2.9824911910641334</v>
      </c>
      <c r="S114" s="61">
        <f t="shared" si="121"/>
        <v>2.616227836945745</v>
      </c>
      <c r="T114" s="61">
        <f t="shared" si="121"/>
        <v>2.9435953077602046</v>
      </c>
      <c r="U114" s="61">
        <f t="shared" si="121"/>
        <v>2.9593224151788751</v>
      </c>
      <c r="V114" s="61">
        <f t="shared" si="121"/>
        <v>2.9456368945672318</v>
      </c>
      <c r="W114" s="61">
        <f t="shared" si="121"/>
        <v>3.0787770594905957</v>
      </c>
      <c r="X114" s="61">
        <f t="shared" si="121"/>
        <v>2.7767072218887034</v>
      </c>
      <c r="Y114" s="61">
        <f t="shared" ref="Y114:AH123" si="122">SQRT(($B114-Y$5)^2+($C114-Y$6)^2+($D114-Y$7)^2)</f>
        <v>2.8801907044985398</v>
      </c>
      <c r="Z114" s="61">
        <f t="shared" si="122"/>
        <v>2.529865888352556</v>
      </c>
      <c r="AA114" s="61">
        <f t="shared" si="122"/>
        <v>2.4065553915885678</v>
      </c>
      <c r="AB114" s="61">
        <f t="shared" si="122"/>
        <v>2.4118052368704674</v>
      </c>
      <c r="AC114" s="61">
        <f t="shared" si="122"/>
        <v>2.9353888049787757</v>
      </c>
      <c r="AD114" s="61">
        <f t="shared" si="122"/>
        <v>2.8383048478878066</v>
      </c>
      <c r="AE114" s="61">
        <f t="shared" si="122"/>
        <v>1.7863813833168558</v>
      </c>
      <c r="AF114" s="61">
        <f t="shared" si="122"/>
        <v>2.4714751475441603</v>
      </c>
      <c r="AG114" s="61">
        <f t="shared" si="122"/>
        <v>1.5174292179184801</v>
      </c>
      <c r="AH114" s="61">
        <f t="shared" si="122"/>
        <v>2.1533117841308975</v>
      </c>
      <c r="AI114" s="61">
        <f t="shared" ref="AI114:AR123" si="123">SQRT(($B114-AI$5)^2+($C114-AI$6)^2+($D114-AI$7)^2)</f>
        <v>1.514272626546656</v>
      </c>
      <c r="AJ114" s="61">
        <f t="shared" si="123"/>
        <v>2.5232218576787888</v>
      </c>
      <c r="AK114" s="61">
        <f t="shared" si="123"/>
        <v>1.9706982672909683</v>
      </c>
      <c r="AL114" s="61">
        <f t="shared" si="123"/>
        <v>1.8463104610615664</v>
      </c>
      <c r="AM114" s="61">
        <f t="shared" si="123"/>
        <v>2.6255954551841492</v>
      </c>
      <c r="AN114" s="61">
        <f t="shared" si="123"/>
        <v>2.5950127093022242</v>
      </c>
      <c r="AO114" s="61">
        <f t="shared" si="123"/>
        <v>2.0171500967522067</v>
      </c>
      <c r="AP114" s="61">
        <f t="shared" si="123"/>
        <v>1.9742470483091268</v>
      </c>
      <c r="AQ114" s="61">
        <f t="shared" si="123"/>
        <v>2.6211619922797844</v>
      </c>
      <c r="AR114" s="61">
        <f t="shared" si="123"/>
        <v>1.6225710916720968</v>
      </c>
      <c r="AS114" s="61">
        <f t="shared" ref="AS114:BB123" si="124">SQRT(($B114-AS$5)^2+($C114-AS$6)^2+($D114-AS$7)^2)</f>
        <v>1.9655765896557813</v>
      </c>
      <c r="AT114" s="61">
        <f t="shared" si="124"/>
        <v>1.8363263580118356</v>
      </c>
      <c r="AU114" s="61">
        <f t="shared" si="124"/>
        <v>1.315417679061939</v>
      </c>
      <c r="AV114" s="61">
        <f t="shared" si="124"/>
        <v>1.568119698751915</v>
      </c>
      <c r="AW114" s="61">
        <f t="shared" si="124"/>
        <v>1.2178835424200389</v>
      </c>
      <c r="AX114" s="61">
        <f t="shared" si="124"/>
        <v>1.6861058012601842</v>
      </c>
      <c r="AY114" s="61">
        <f t="shared" si="124"/>
        <v>1.3060336102508185</v>
      </c>
      <c r="AZ114" s="61">
        <f t="shared" si="124"/>
        <v>1.9109214855268291</v>
      </c>
      <c r="BA114" s="61">
        <f t="shared" si="124"/>
        <v>1.8005738298608851</v>
      </c>
      <c r="BB114" s="61">
        <f t="shared" si="124"/>
        <v>1.3003374280245421</v>
      </c>
      <c r="BC114" s="61">
        <f t="shared" ref="BC114:BL123" si="125">SQRT(($B114-BC$5)^2+($C114-BC$6)^2+($D114-BC$7)^2)</f>
        <v>1.2945768806320612</v>
      </c>
      <c r="BD114" s="61">
        <f t="shared" si="125"/>
        <v>1.1035335999605573</v>
      </c>
      <c r="BE114" s="61">
        <f t="shared" si="125"/>
        <v>1.1199033206892568</v>
      </c>
      <c r="BF114" s="61">
        <f t="shared" si="125"/>
        <v>2.6437856157914936</v>
      </c>
      <c r="BG114" s="61">
        <f t="shared" si="125"/>
        <v>1.6154348001273717</v>
      </c>
      <c r="BH114" s="61">
        <f t="shared" si="125"/>
        <v>1.2062678391324217</v>
      </c>
      <c r="BI114" s="61">
        <f t="shared" si="125"/>
        <v>1.1923142015814772</v>
      </c>
      <c r="BJ114" s="61">
        <f t="shared" si="125"/>
        <v>1.6345887970882</v>
      </c>
      <c r="BK114" s="61">
        <f t="shared" si="125"/>
        <v>0.94776484648800574</v>
      </c>
      <c r="BL114" s="61">
        <f t="shared" si="125"/>
        <v>1.273579217958885</v>
      </c>
      <c r="BM114" s="61">
        <f t="shared" ref="BM114:BV123" si="126">SQRT(($B114-BM$5)^2+($C114-BM$6)^2+($D114-BM$7)^2)</f>
        <v>1.8207413766534437</v>
      </c>
      <c r="BN114" s="61">
        <f t="shared" si="126"/>
        <v>1.3375460964727428</v>
      </c>
      <c r="BO114" s="61">
        <f t="shared" si="126"/>
        <v>0.92857562957040363</v>
      </c>
      <c r="BP114" s="61">
        <f t="shared" si="126"/>
        <v>1.4093589503408777</v>
      </c>
      <c r="BQ114" s="61">
        <f t="shared" si="126"/>
        <v>1.3196720569871738</v>
      </c>
      <c r="BR114" s="61">
        <f t="shared" si="126"/>
        <v>1.3382491667445418</v>
      </c>
      <c r="BS114" s="61">
        <f t="shared" si="126"/>
        <v>1.3392431512055447</v>
      </c>
      <c r="BT114" s="61">
        <f t="shared" si="126"/>
        <v>1.0031814746633423</v>
      </c>
      <c r="BU114" s="61">
        <f t="shared" si="126"/>
        <v>0.94643614511130958</v>
      </c>
      <c r="BV114" s="61">
        <f t="shared" si="126"/>
        <v>0.93272208716345018</v>
      </c>
      <c r="BW114" s="61">
        <f t="shared" ref="BW114:CF123" si="127">SQRT(($B114-BW$5)^2+($C114-BW$6)^2+($D114-BW$7)^2)</f>
        <v>1.0295326927515576</v>
      </c>
      <c r="BX114" s="61">
        <f t="shared" si="127"/>
        <v>0.92117648465784663</v>
      </c>
      <c r="BY114" s="61">
        <f t="shared" si="127"/>
        <v>0.70415592421840845</v>
      </c>
      <c r="BZ114" s="61">
        <f t="shared" si="127"/>
        <v>0.6619006609981305</v>
      </c>
      <c r="CA114" s="61">
        <f t="shared" si="127"/>
        <v>0.88517684768787197</v>
      </c>
      <c r="CB114" s="61">
        <f t="shared" si="127"/>
        <v>0.64513642371997637</v>
      </c>
      <c r="CC114" s="61">
        <f t="shared" si="127"/>
        <v>0.87271219302991099</v>
      </c>
      <c r="CD114" s="61">
        <f t="shared" si="127"/>
        <v>0.84708013967588169</v>
      </c>
      <c r="CE114" s="61">
        <f t="shared" si="127"/>
        <v>0.76227069512032775</v>
      </c>
      <c r="CF114" s="61">
        <f t="shared" si="127"/>
        <v>0.98577142546591889</v>
      </c>
      <c r="CG114" s="61">
        <f t="shared" ref="CG114:CP123" si="128">SQRT(($B114-CG$5)^2+($C114-CG$6)^2+($D114-CG$7)^2)</f>
        <v>0.70953112246053385</v>
      </c>
      <c r="CH114" s="61">
        <f t="shared" si="128"/>
        <v>0.47655869131762352</v>
      </c>
      <c r="CI114" s="61">
        <f t="shared" si="128"/>
        <v>0.41559931468832789</v>
      </c>
      <c r="CJ114" s="61">
        <f t="shared" si="128"/>
        <v>0.50439421510769367</v>
      </c>
      <c r="CK114" s="61">
        <f t="shared" si="128"/>
        <v>0.57385699185039607</v>
      </c>
      <c r="CL114" s="61">
        <f t="shared" si="128"/>
        <v>0.70876585886308452</v>
      </c>
      <c r="CM114" s="61">
        <f t="shared" si="128"/>
        <v>0.3535228161228342</v>
      </c>
      <c r="CN114" s="61">
        <f t="shared" si="128"/>
        <v>1.2688940198695742</v>
      </c>
      <c r="CO114" s="61">
        <f t="shared" si="128"/>
        <v>0.64507710638117488</v>
      </c>
      <c r="CP114" s="61">
        <f t="shared" si="128"/>
        <v>0.67030060784406198</v>
      </c>
      <c r="CQ114" s="61">
        <f t="shared" ref="CQ114:CZ123" si="129">SQRT(($B114-CQ$5)^2+($C114-CQ$6)^2+($D114-CQ$7)^2)</f>
        <v>0.18196471574749701</v>
      </c>
      <c r="CR114" s="61">
        <f t="shared" si="129"/>
        <v>0.21496645032086878</v>
      </c>
      <c r="CS114" s="61">
        <f t="shared" si="129"/>
        <v>0.65083118850748167</v>
      </c>
      <c r="CT114" s="61">
        <f t="shared" si="129"/>
        <v>0.64473248274159645</v>
      </c>
      <c r="CU114" s="61">
        <f t="shared" si="129"/>
        <v>0.61846709096210906</v>
      </c>
      <c r="CV114" s="61">
        <f t="shared" si="129"/>
        <v>0.77036203222728783</v>
      </c>
      <c r="CW114" s="61">
        <f t="shared" si="129"/>
        <v>0.64473248274159645</v>
      </c>
      <c r="CX114" s="61">
        <f t="shared" si="129"/>
        <v>0.46876666362076763</v>
      </c>
      <c r="CY114" s="61">
        <f t="shared" si="129"/>
        <v>0.64239620086957583</v>
      </c>
      <c r="CZ114" s="61">
        <f t="shared" si="129"/>
        <v>0.64239620086957583</v>
      </c>
      <c r="DA114" s="61">
        <f t="shared" ref="DA114:DJ123" si="130">SQRT(($B114-DA$5)^2+($C114-DA$6)^2+($D114-DA$7)^2)</f>
        <v>0</v>
      </c>
      <c r="DB114" s="61">
        <f t="shared" si="130"/>
        <v>0.64531455906032065</v>
      </c>
      <c r="DC114" s="61">
        <f t="shared" si="130"/>
        <v>0.64531455906032065</v>
      </c>
      <c r="DD114" s="61">
        <f t="shared" si="130"/>
        <v>0.14672886246233927</v>
      </c>
      <c r="DE114" s="61">
        <f t="shared" si="130"/>
        <v>0.38432135909368159</v>
      </c>
      <c r="DF114" s="61">
        <f t="shared" si="130"/>
        <v>0.76864271818736318</v>
      </c>
      <c r="DG114" s="61">
        <f t="shared" si="130"/>
        <v>0.86001286225814555</v>
      </c>
      <c r="DH114" s="61">
        <f t="shared" si="130"/>
        <v>0.86001286225814555</v>
      </c>
      <c r="DI114" s="61">
        <f t="shared" si="130"/>
        <v>0.86001286225814555</v>
      </c>
      <c r="DJ114" s="61">
        <f t="shared" si="130"/>
        <v>0.86001286225814555</v>
      </c>
      <c r="DK114" s="61">
        <f t="shared" ref="DK114:DQ123" si="131">SQRT(($B114-DK$5)^2+($C114-DK$6)^2+($D114-DK$7)^2)</f>
        <v>1.012665436830769</v>
      </c>
      <c r="DL114" s="61">
        <f t="shared" si="131"/>
        <v>1.012665436830769</v>
      </c>
      <c r="DM114" s="61">
        <f t="shared" si="131"/>
        <v>1.012665436830769</v>
      </c>
      <c r="DN114" s="61">
        <f t="shared" si="131"/>
        <v>1.012665436830769</v>
      </c>
      <c r="DO114" s="61">
        <f t="shared" si="131"/>
        <v>1.012665436830769</v>
      </c>
      <c r="DP114" s="61">
        <f t="shared" si="131"/>
        <v>1.3116668236723832</v>
      </c>
      <c r="DQ114" s="61">
        <f t="shared" si="131"/>
        <v>1.3116668236723832</v>
      </c>
    </row>
    <row r="115" spans="1:121" x14ac:dyDescent="0.25">
      <c r="A115" s="48" t="str">
        <f>KMeans_Data!A106</f>
        <v>Toba Tek Singh</v>
      </c>
      <c r="B115" s="59">
        <f>KMeans_Data!H106</f>
        <v>-0.99745100604838388</v>
      </c>
      <c r="C115" s="59">
        <f>KMeans_Data!I106</f>
        <v>-0.67265054538827607</v>
      </c>
      <c r="D115" s="59">
        <f>KMeans_Data!J106</f>
        <v>-1.1456441163335547</v>
      </c>
      <c r="E115" s="61">
        <f t="shared" si="120"/>
        <v>7.7325112391913207</v>
      </c>
      <c r="F115" s="61">
        <f t="shared" si="120"/>
        <v>7.4836884366753393</v>
      </c>
      <c r="G115" s="61">
        <f t="shared" si="120"/>
        <v>5.6992193655609942</v>
      </c>
      <c r="H115" s="61">
        <f t="shared" si="120"/>
        <v>6.0714958362826961</v>
      </c>
      <c r="I115" s="61">
        <f t="shared" si="120"/>
        <v>5.0613039809504299</v>
      </c>
      <c r="J115" s="61">
        <f t="shared" si="120"/>
        <v>4.6195315318713819</v>
      </c>
      <c r="K115" s="61">
        <f t="shared" si="120"/>
        <v>2.5017146434448057</v>
      </c>
      <c r="L115" s="61">
        <f t="shared" si="120"/>
        <v>3.9286143070275314</v>
      </c>
      <c r="M115" s="61">
        <f t="shared" si="120"/>
        <v>4.0884763952405265</v>
      </c>
      <c r="N115" s="61">
        <f t="shared" si="120"/>
        <v>2.2836483359971416</v>
      </c>
      <c r="O115" s="61">
        <f t="shared" si="121"/>
        <v>3.7072730366597746</v>
      </c>
      <c r="P115" s="61">
        <f t="shared" si="121"/>
        <v>3.9774452585574456</v>
      </c>
      <c r="Q115" s="61">
        <f t="shared" si="121"/>
        <v>3.4487473084174671</v>
      </c>
      <c r="R115" s="61">
        <f t="shared" si="121"/>
        <v>3.4769782447328597</v>
      </c>
      <c r="S115" s="61">
        <f t="shared" si="121"/>
        <v>3.1056694708519097</v>
      </c>
      <c r="T115" s="61">
        <f t="shared" si="121"/>
        <v>3.3530803160990379</v>
      </c>
      <c r="U115" s="61">
        <f t="shared" si="121"/>
        <v>3.4752513778776937</v>
      </c>
      <c r="V115" s="61">
        <f t="shared" si="121"/>
        <v>3.2792620329910305</v>
      </c>
      <c r="W115" s="61">
        <f t="shared" si="121"/>
        <v>3.4585319674271657</v>
      </c>
      <c r="X115" s="61">
        <f t="shared" si="121"/>
        <v>3.2129481510757079</v>
      </c>
      <c r="Y115" s="61">
        <f t="shared" si="122"/>
        <v>3.3465988123348684</v>
      </c>
      <c r="Z115" s="61">
        <f t="shared" si="122"/>
        <v>2.9101105076464528</v>
      </c>
      <c r="AA115" s="61">
        <f t="shared" si="122"/>
        <v>2.8806827145631448</v>
      </c>
      <c r="AB115" s="61">
        <f t="shared" si="122"/>
        <v>2.8191831938181227</v>
      </c>
      <c r="AC115" s="61">
        <f t="shared" si="122"/>
        <v>3.2898095263109823</v>
      </c>
      <c r="AD115" s="61">
        <f t="shared" si="122"/>
        <v>3.311051830863267</v>
      </c>
      <c r="AE115" s="61">
        <f t="shared" si="122"/>
        <v>1.7251617082042925</v>
      </c>
      <c r="AF115" s="61">
        <f t="shared" si="122"/>
        <v>2.9123397626117216</v>
      </c>
      <c r="AG115" s="61">
        <f t="shared" si="122"/>
        <v>1.7428383111821468</v>
      </c>
      <c r="AH115" s="61">
        <f t="shared" si="122"/>
        <v>2.6247830594283248</v>
      </c>
      <c r="AI115" s="61">
        <f t="shared" si="123"/>
        <v>1.7399792002579773</v>
      </c>
      <c r="AJ115" s="61">
        <f t="shared" si="123"/>
        <v>3.0074370745668748</v>
      </c>
      <c r="AK115" s="61">
        <f t="shared" si="123"/>
        <v>2.3441368103715692</v>
      </c>
      <c r="AL115" s="61">
        <f t="shared" si="123"/>
        <v>2.3141518827280012</v>
      </c>
      <c r="AM115" s="61">
        <f t="shared" si="123"/>
        <v>2.9198967956906317</v>
      </c>
      <c r="AN115" s="61">
        <f t="shared" si="123"/>
        <v>2.9819645343443826</v>
      </c>
      <c r="AO115" s="61">
        <f t="shared" si="123"/>
        <v>2.4481733504028074</v>
      </c>
      <c r="AP115" s="61">
        <f t="shared" si="123"/>
        <v>2.3915442995563385</v>
      </c>
      <c r="AQ115" s="61">
        <f t="shared" si="123"/>
        <v>2.9842513882948203</v>
      </c>
      <c r="AR115" s="61">
        <f t="shared" si="123"/>
        <v>1.9383670173772867</v>
      </c>
      <c r="AS115" s="61">
        <f t="shared" si="124"/>
        <v>2.5256721772542976</v>
      </c>
      <c r="AT115" s="61">
        <f t="shared" si="124"/>
        <v>2.3618163830882977</v>
      </c>
      <c r="AU115" s="61">
        <f t="shared" si="124"/>
        <v>1.4568503715076455</v>
      </c>
      <c r="AV115" s="61">
        <f t="shared" si="124"/>
        <v>2.0808153513563727</v>
      </c>
      <c r="AW115" s="61">
        <f t="shared" si="124"/>
        <v>1.2771180216072431</v>
      </c>
      <c r="AX115" s="61">
        <f t="shared" si="124"/>
        <v>2.1306188715682555</v>
      </c>
      <c r="AY115" s="61">
        <f t="shared" si="124"/>
        <v>1.1984265038303428</v>
      </c>
      <c r="AZ115" s="61">
        <f t="shared" si="124"/>
        <v>2.4860825516475651</v>
      </c>
      <c r="BA115" s="61">
        <f t="shared" si="124"/>
        <v>2.3379741770482312</v>
      </c>
      <c r="BB115" s="61">
        <f t="shared" si="124"/>
        <v>1.1918796248340018</v>
      </c>
      <c r="BC115" s="61">
        <f t="shared" si="125"/>
        <v>1.1852493438636693</v>
      </c>
      <c r="BD115" s="61">
        <f t="shared" si="125"/>
        <v>1.3302315996391514</v>
      </c>
      <c r="BE115" s="61">
        <f t="shared" si="125"/>
        <v>1.4619719112379184</v>
      </c>
      <c r="BF115" s="61">
        <f t="shared" si="125"/>
        <v>3.0295618576576127</v>
      </c>
      <c r="BG115" s="61">
        <f t="shared" si="125"/>
        <v>2.143407340807868</v>
      </c>
      <c r="BH115" s="61">
        <f t="shared" si="125"/>
        <v>1.0822869757549447</v>
      </c>
      <c r="BI115" s="61">
        <f t="shared" si="125"/>
        <v>1.0657627301850092</v>
      </c>
      <c r="BJ115" s="61">
        <f t="shared" si="125"/>
        <v>1.964731238341124</v>
      </c>
      <c r="BK115" s="61">
        <f t="shared" si="125"/>
        <v>1.2502188653899884</v>
      </c>
      <c r="BL115" s="61">
        <f t="shared" si="125"/>
        <v>1.8075312916986741</v>
      </c>
      <c r="BM115" s="61">
        <f t="shared" si="126"/>
        <v>2.2657425046708624</v>
      </c>
      <c r="BN115" s="61">
        <f t="shared" si="126"/>
        <v>1.7368393618485363</v>
      </c>
      <c r="BO115" s="61">
        <f t="shared" si="126"/>
        <v>0.98632192095062809</v>
      </c>
      <c r="BP115" s="61">
        <f t="shared" si="126"/>
        <v>1.8688686231164393</v>
      </c>
      <c r="BQ115" s="61">
        <f t="shared" si="126"/>
        <v>1.8428511638610141</v>
      </c>
      <c r="BR115" s="61">
        <f t="shared" si="126"/>
        <v>1.8722275270303588</v>
      </c>
      <c r="BS115" s="61">
        <f t="shared" si="126"/>
        <v>1.9280819304423238</v>
      </c>
      <c r="BT115" s="61">
        <f t="shared" si="126"/>
        <v>1.5513657641251672</v>
      </c>
      <c r="BU115" s="61">
        <f t="shared" si="126"/>
        <v>1.4790391726597751</v>
      </c>
      <c r="BV115" s="61">
        <f t="shared" si="126"/>
        <v>0.73754037623055146</v>
      </c>
      <c r="BW115" s="61">
        <f t="shared" si="127"/>
        <v>1.6038253505681839</v>
      </c>
      <c r="BX115" s="61">
        <f t="shared" si="127"/>
        <v>0.72152465050329662</v>
      </c>
      <c r="BY115" s="61">
        <f t="shared" si="127"/>
        <v>1.1839626507450554</v>
      </c>
      <c r="BZ115" s="61">
        <f t="shared" si="127"/>
        <v>1.1235576282507223</v>
      </c>
      <c r="CA115" s="61">
        <f t="shared" si="127"/>
        <v>0.67028954407559438</v>
      </c>
      <c r="CB115" s="61">
        <f t="shared" si="127"/>
        <v>1.1127582880038513</v>
      </c>
      <c r="CC115" s="61">
        <f t="shared" si="127"/>
        <v>0.6520255642365127</v>
      </c>
      <c r="CD115" s="61">
        <f t="shared" si="127"/>
        <v>0.61345458666683794</v>
      </c>
      <c r="CE115" s="61">
        <f t="shared" si="127"/>
        <v>1.3283097261369128</v>
      </c>
      <c r="CF115" s="61">
        <f t="shared" si="127"/>
        <v>1.5095415936939651</v>
      </c>
      <c r="CG115" s="61">
        <f t="shared" si="128"/>
        <v>1.053448068154186</v>
      </c>
      <c r="CH115" s="61">
        <f t="shared" si="128"/>
        <v>0.91292201464749856</v>
      </c>
      <c r="CI115" s="61">
        <f t="shared" si="128"/>
        <v>0.80006765751306064</v>
      </c>
      <c r="CJ115" s="61">
        <f t="shared" si="128"/>
        <v>0.55303975461874044</v>
      </c>
      <c r="CK115" s="61">
        <f t="shared" si="128"/>
        <v>1.1783863796124143</v>
      </c>
      <c r="CL115" s="61">
        <f t="shared" si="128"/>
        <v>0.36076232525164831</v>
      </c>
      <c r="CM115" s="61">
        <f t="shared" si="128"/>
        <v>0.90527493677338988</v>
      </c>
      <c r="CN115" s="61">
        <f t="shared" si="128"/>
        <v>1.8731779732828078</v>
      </c>
      <c r="CO115" s="61">
        <f t="shared" si="128"/>
        <v>1.1263629894288547</v>
      </c>
      <c r="CP115" s="61">
        <f t="shared" si="128"/>
        <v>0.25269226141518963</v>
      </c>
      <c r="CQ115" s="61">
        <f t="shared" si="129"/>
        <v>0.77508107754295075</v>
      </c>
      <c r="CR115" s="61">
        <f t="shared" si="129"/>
        <v>0.84666691565098962</v>
      </c>
      <c r="CS115" s="61">
        <f t="shared" si="129"/>
        <v>0.16574561903371998</v>
      </c>
      <c r="CT115" s="61">
        <f t="shared" si="129"/>
        <v>0.11613952807539829</v>
      </c>
      <c r="CU115" s="61">
        <f t="shared" si="129"/>
        <v>0.62688343188684736</v>
      </c>
      <c r="CV115" s="61">
        <f t="shared" si="129"/>
        <v>1.4155763321844981</v>
      </c>
      <c r="CW115" s="61">
        <f t="shared" si="129"/>
        <v>0.11613952807539829</v>
      </c>
      <c r="CX115" s="61">
        <f t="shared" si="129"/>
        <v>1.1128526015002782</v>
      </c>
      <c r="CY115" s="61">
        <f t="shared" si="129"/>
        <v>6.1302538638718485E-2</v>
      </c>
      <c r="CZ115" s="61">
        <f t="shared" si="129"/>
        <v>6.1302538638718485E-2</v>
      </c>
      <c r="DA115" s="61">
        <f t="shared" si="130"/>
        <v>0.64531455906032065</v>
      </c>
      <c r="DB115" s="61">
        <f t="shared" si="130"/>
        <v>0</v>
      </c>
      <c r="DC115" s="61">
        <f t="shared" si="130"/>
        <v>0</v>
      </c>
      <c r="DD115" s="61">
        <f t="shared" si="130"/>
        <v>0.50908694449200653</v>
      </c>
      <c r="DE115" s="61">
        <f t="shared" si="130"/>
        <v>0.35438292943154243</v>
      </c>
      <c r="DF115" s="61">
        <f t="shared" si="130"/>
        <v>0.36076232525164831</v>
      </c>
      <c r="DG115" s="61">
        <f t="shared" si="130"/>
        <v>0.51049221855811311</v>
      </c>
      <c r="DH115" s="61">
        <f t="shared" si="130"/>
        <v>0.51049221855811311</v>
      </c>
      <c r="DI115" s="61">
        <f t="shared" si="130"/>
        <v>0.51049221855811311</v>
      </c>
      <c r="DJ115" s="61">
        <f t="shared" si="130"/>
        <v>0.51049221855811311</v>
      </c>
      <c r="DK115" s="61">
        <f t="shared" si="131"/>
        <v>0.72152465050329639</v>
      </c>
      <c r="DL115" s="61">
        <f t="shared" si="131"/>
        <v>0.72152465050329639</v>
      </c>
      <c r="DM115" s="61">
        <f t="shared" si="131"/>
        <v>0.72152465050329639</v>
      </c>
      <c r="DN115" s="61">
        <f t="shared" si="131"/>
        <v>0.72152465050329639</v>
      </c>
      <c r="DO115" s="61">
        <f t="shared" si="131"/>
        <v>0.72152465050329639</v>
      </c>
      <c r="DP115" s="61">
        <f t="shared" si="131"/>
        <v>1.0822869757549447</v>
      </c>
      <c r="DQ115" s="61">
        <f t="shared" si="131"/>
        <v>1.0822869757549447</v>
      </c>
    </row>
    <row r="116" spans="1:121" x14ac:dyDescent="0.25">
      <c r="A116" s="48" t="str">
        <f>KMeans_Data!A107</f>
        <v>Khanewal</v>
      </c>
      <c r="B116" s="59">
        <f>KMeans_Data!H107</f>
        <v>-0.99745100604838388</v>
      </c>
      <c r="C116" s="59">
        <f>KMeans_Data!I107</f>
        <v>-0.67265054538827607</v>
      </c>
      <c r="D116" s="59">
        <f>KMeans_Data!J107</f>
        <v>-1.1456441163335547</v>
      </c>
      <c r="E116" s="61">
        <f t="shared" si="120"/>
        <v>7.7325112391913207</v>
      </c>
      <c r="F116" s="61">
        <f t="shared" si="120"/>
        <v>7.4836884366753393</v>
      </c>
      <c r="G116" s="61">
        <f t="shared" si="120"/>
        <v>5.6992193655609942</v>
      </c>
      <c r="H116" s="61">
        <f t="shared" si="120"/>
        <v>6.0714958362826961</v>
      </c>
      <c r="I116" s="61">
        <f t="shared" si="120"/>
        <v>5.0613039809504299</v>
      </c>
      <c r="J116" s="61">
        <f t="shared" si="120"/>
        <v>4.6195315318713819</v>
      </c>
      <c r="K116" s="61">
        <f t="shared" si="120"/>
        <v>2.5017146434448057</v>
      </c>
      <c r="L116" s="61">
        <f t="shared" si="120"/>
        <v>3.9286143070275314</v>
      </c>
      <c r="M116" s="61">
        <f t="shared" si="120"/>
        <v>4.0884763952405265</v>
      </c>
      <c r="N116" s="61">
        <f t="shared" si="120"/>
        <v>2.2836483359971416</v>
      </c>
      <c r="O116" s="61">
        <f t="shared" si="121"/>
        <v>3.7072730366597746</v>
      </c>
      <c r="P116" s="61">
        <f t="shared" si="121"/>
        <v>3.9774452585574456</v>
      </c>
      <c r="Q116" s="61">
        <f t="shared" si="121"/>
        <v>3.4487473084174671</v>
      </c>
      <c r="R116" s="61">
        <f t="shared" si="121"/>
        <v>3.4769782447328597</v>
      </c>
      <c r="S116" s="61">
        <f t="shared" si="121"/>
        <v>3.1056694708519097</v>
      </c>
      <c r="T116" s="61">
        <f t="shared" si="121"/>
        <v>3.3530803160990379</v>
      </c>
      <c r="U116" s="61">
        <f t="shared" si="121"/>
        <v>3.4752513778776937</v>
      </c>
      <c r="V116" s="61">
        <f t="shared" si="121"/>
        <v>3.2792620329910305</v>
      </c>
      <c r="W116" s="61">
        <f t="shared" si="121"/>
        <v>3.4585319674271657</v>
      </c>
      <c r="X116" s="61">
        <f t="shared" si="121"/>
        <v>3.2129481510757079</v>
      </c>
      <c r="Y116" s="61">
        <f t="shared" si="122"/>
        <v>3.3465988123348684</v>
      </c>
      <c r="Z116" s="61">
        <f t="shared" si="122"/>
        <v>2.9101105076464528</v>
      </c>
      <c r="AA116" s="61">
        <f t="shared" si="122"/>
        <v>2.8806827145631448</v>
      </c>
      <c r="AB116" s="61">
        <f t="shared" si="122"/>
        <v>2.8191831938181227</v>
      </c>
      <c r="AC116" s="61">
        <f t="shared" si="122"/>
        <v>3.2898095263109823</v>
      </c>
      <c r="AD116" s="61">
        <f t="shared" si="122"/>
        <v>3.311051830863267</v>
      </c>
      <c r="AE116" s="61">
        <f t="shared" si="122"/>
        <v>1.7251617082042925</v>
      </c>
      <c r="AF116" s="61">
        <f t="shared" si="122"/>
        <v>2.9123397626117216</v>
      </c>
      <c r="AG116" s="61">
        <f t="shared" si="122"/>
        <v>1.7428383111821468</v>
      </c>
      <c r="AH116" s="61">
        <f t="shared" si="122"/>
        <v>2.6247830594283248</v>
      </c>
      <c r="AI116" s="61">
        <f t="shared" si="123"/>
        <v>1.7399792002579773</v>
      </c>
      <c r="AJ116" s="61">
        <f t="shared" si="123"/>
        <v>3.0074370745668748</v>
      </c>
      <c r="AK116" s="61">
        <f t="shared" si="123"/>
        <v>2.3441368103715692</v>
      </c>
      <c r="AL116" s="61">
        <f t="shared" si="123"/>
        <v>2.3141518827280012</v>
      </c>
      <c r="AM116" s="61">
        <f t="shared" si="123"/>
        <v>2.9198967956906317</v>
      </c>
      <c r="AN116" s="61">
        <f t="shared" si="123"/>
        <v>2.9819645343443826</v>
      </c>
      <c r="AO116" s="61">
        <f t="shared" si="123"/>
        <v>2.4481733504028074</v>
      </c>
      <c r="AP116" s="61">
        <f t="shared" si="123"/>
        <v>2.3915442995563385</v>
      </c>
      <c r="AQ116" s="61">
        <f t="shared" si="123"/>
        <v>2.9842513882948203</v>
      </c>
      <c r="AR116" s="61">
        <f t="shared" si="123"/>
        <v>1.9383670173772867</v>
      </c>
      <c r="AS116" s="61">
        <f t="shared" si="124"/>
        <v>2.5256721772542976</v>
      </c>
      <c r="AT116" s="61">
        <f t="shared" si="124"/>
        <v>2.3618163830882977</v>
      </c>
      <c r="AU116" s="61">
        <f t="shared" si="124"/>
        <v>1.4568503715076455</v>
      </c>
      <c r="AV116" s="61">
        <f t="shared" si="124"/>
        <v>2.0808153513563727</v>
      </c>
      <c r="AW116" s="61">
        <f t="shared" si="124"/>
        <v>1.2771180216072431</v>
      </c>
      <c r="AX116" s="61">
        <f t="shared" si="124"/>
        <v>2.1306188715682555</v>
      </c>
      <c r="AY116" s="61">
        <f t="shared" si="124"/>
        <v>1.1984265038303428</v>
      </c>
      <c r="AZ116" s="61">
        <f t="shared" si="124"/>
        <v>2.4860825516475651</v>
      </c>
      <c r="BA116" s="61">
        <f t="shared" si="124"/>
        <v>2.3379741770482312</v>
      </c>
      <c r="BB116" s="61">
        <f t="shared" si="124"/>
        <v>1.1918796248340018</v>
      </c>
      <c r="BC116" s="61">
        <f t="shared" si="125"/>
        <v>1.1852493438636693</v>
      </c>
      <c r="BD116" s="61">
        <f t="shared" si="125"/>
        <v>1.3302315996391514</v>
      </c>
      <c r="BE116" s="61">
        <f t="shared" si="125"/>
        <v>1.4619719112379184</v>
      </c>
      <c r="BF116" s="61">
        <f t="shared" si="125"/>
        <v>3.0295618576576127</v>
      </c>
      <c r="BG116" s="61">
        <f t="shared" si="125"/>
        <v>2.143407340807868</v>
      </c>
      <c r="BH116" s="61">
        <f t="shared" si="125"/>
        <v>1.0822869757549447</v>
      </c>
      <c r="BI116" s="61">
        <f t="shared" si="125"/>
        <v>1.0657627301850092</v>
      </c>
      <c r="BJ116" s="61">
        <f t="shared" si="125"/>
        <v>1.964731238341124</v>
      </c>
      <c r="BK116" s="61">
        <f t="shared" si="125"/>
        <v>1.2502188653899884</v>
      </c>
      <c r="BL116" s="61">
        <f t="shared" si="125"/>
        <v>1.8075312916986741</v>
      </c>
      <c r="BM116" s="61">
        <f t="shared" si="126"/>
        <v>2.2657425046708624</v>
      </c>
      <c r="BN116" s="61">
        <f t="shared" si="126"/>
        <v>1.7368393618485363</v>
      </c>
      <c r="BO116" s="61">
        <f t="shared" si="126"/>
        <v>0.98632192095062809</v>
      </c>
      <c r="BP116" s="61">
        <f t="shared" si="126"/>
        <v>1.8688686231164393</v>
      </c>
      <c r="BQ116" s="61">
        <f t="shared" si="126"/>
        <v>1.8428511638610141</v>
      </c>
      <c r="BR116" s="61">
        <f t="shared" si="126"/>
        <v>1.8722275270303588</v>
      </c>
      <c r="BS116" s="61">
        <f t="shared" si="126"/>
        <v>1.9280819304423238</v>
      </c>
      <c r="BT116" s="61">
        <f t="shared" si="126"/>
        <v>1.5513657641251672</v>
      </c>
      <c r="BU116" s="61">
        <f t="shared" si="126"/>
        <v>1.4790391726597751</v>
      </c>
      <c r="BV116" s="61">
        <f t="shared" si="126"/>
        <v>0.73754037623055146</v>
      </c>
      <c r="BW116" s="61">
        <f t="shared" si="127"/>
        <v>1.6038253505681839</v>
      </c>
      <c r="BX116" s="61">
        <f t="shared" si="127"/>
        <v>0.72152465050329662</v>
      </c>
      <c r="BY116" s="61">
        <f t="shared" si="127"/>
        <v>1.1839626507450554</v>
      </c>
      <c r="BZ116" s="61">
        <f t="shared" si="127"/>
        <v>1.1235576282507223</v>
      </c>
      <c r="CA116" s="61">
        <f t="shared" si="127"/>
        <v>0.67028954407559438</v>
      </c>
      <c r="CB116" s="61">
        <f t="shared" si="127"/>
        <v>1.1127582880038513</v>
      </c>
      <c r="CC116" s="61">
        <f t="shared" si="127"/>
        <v>0.6520255642365127</v>
      </c>
      <c r="CD116" s="61">
        <f t="shared" si="127"/>
        <v>0.61345458666683794</v>
      </c>
      <c r="CE116" s="61">
        <f t="shared" si="127"/>
        <v>1.3283097261369128</v>
      </c>
      <c r="CF116" s="61">
        <f t="shared" si="127"/>
        <v>1.5095415936939651</v>
      </c>
      <c r="CG116" s="61">
        <f t="shared" si="128"/>
        <v>1.053448068154186</v>
      </c>
      <c r="CH116" s="61">
        <f t="shared" si="128"/>
        <v>0.91292201464749856</v>
      </c>
      <c r="CI116" s="61">
        <f t="shared" si="128"/>
        <v>0.80006765751306064</v>
      </c>
      <c r="CJ116" s="61">
        <f t="shared" si="128"/>
        <v>0.55303975461874044</v>
      </c>
      <c r="CK116" s="61">
        <f t="shared" si="128"/>
        <v>1.1783863796124143</v>
      </c>
      <c r="CL116" s="61">
        <f t="shared" si="128"/>
        <v>0.36076232525164831</v>
      </c>
      <c r="CM116" s="61">
        <f t="shared" si="128"/>
        <v>0.90527493677338988</v>
      </c>
      <c r="CN116" s="61">
        <f t="shared" si="128"/>
        <v>1.8731779732828078</v>
      </c>
      <c r="CO116" s="61">
        <f t="shared" si="128"/>
        <v>1.1263629894288547</v>
      </c>
      <c r="CP116" s="61">
        <f t="shared" si="128"/>
        <v>0.25269226141518963</v>
      </c>
      <c r="CQ116" s="61">
        <f t="shared" si="129"/>
        <v>0.77508107754295075</v>
      </c>
      <c r="CR116" s="61">
        <f t="shared" si="129"/>
        <v>0.84666691565098962</v>
      </c>
      <c r="CS116" s="61">
        <f t="shared" si="129"/>
        <v>0.16574561903371998</v>
      </c>
      <c r="CT116" s="61">
        <f t="shared" si="129"/>
        <v>0.11613952807539829</v>
      </c>
      <c r="CU116" s="61">
        <f t="shared" si="129"/>
        <v>0.62688343188684736</v>
      </c>
      <c r="CV116" s="61">
        <f t="shared" si="129"/>
        <v>1.4155763321844981</v>
      </c>
      <c r="CW116" s="61">
        <f t="shared" si="129"/>
        <v>0.11613952807539829</v>
      </c>
      <c r="CX116" s="61">
        <f t="shared" si="129"/>
        <v>1.1128526015002782</v>
      </c>
      <c r="CY116" s="61">
        <f t="shared" si="129"/>
        <v>6.1302538638718485E-2</v>
      </c>
      <c r="CZ116" s="61">
        <f t="shared" si="129"/>
        <v>6.1302538638718485E-2</v>
      </c>
      <c r="DA116" s="61">
        <f t="shared" si="130"/>
        <v>0.64531455906032065</v>
      </c>
      <c r="DB116" s="61">
        <f t="shared" si="130"/>
        <v>0</v>
      </c>
      <c r="DC116" s="61">
        <f t="shared" si="130"/>
        <v>0</v>
      </c>
      <c r="DD116" s="61">
        <f t="shared" si="130"/>
        <v>0.50908694449200653</v>
      </c>
      <c r="DE116" s="61">
        <f t="shared" si="130"/>
        <v>0.35438292943154243</v>
      </c>
      <c r="DF116" s="61">
        <f t="shared" si="130"/>
        <v>0.36076232525164831</v>
      </c>
      <c r="DG116" s="61">
        <f t="shared" si="130"/>
        <v>0.51049221855811311</v>
      </c>
      <c r="DH116" s="61">
        <f t="shared" si="130"/>
        <v>0.51049221855811311</v>
      </c>
      <c r="DI116" s="61">
        <f t="shared" si="130"/>
        <v>0.51049221855811311</v>
      </c>
      <c r="DJ116" s="61">
        <f t="shared" si="130"/>
        <v>0.51049221855811311</v>
      </c>
      <c r="DK116" s="61">
        <f t="shared" si="131"/>
        <v>0.72152465050329639</v>
      </c>
      <c r="DL116" s="61">
        <f t="shared" si="131"/>
        <v>0.72152465050329639</v>
      </c>
      <c r="DM116" s="61">
        <f t="shared" si="131"/>
        <v>0.72152465050329639</v>
      </c>
      <c r="DN116" s="61">
        <f t="shared" si="131"/>
        <v>0.72152465050329639</v>
      </c>
      <c r="DO116" s="61">
        <f t="shared" si="131"/>
        <v>0.72152465050329639</v>
      </c>
      <c r="DP116" s="61">
        <f t="shared" si="131"/>
        <v>1.0822869757549447</v>
      </c>
      <c r="DQ116" s="61">
        <f t="shared" si="131"/>
        <v>1.0822869757549447</v>
      </c>
    </row>
    <row r="117" spans="1:121" x14ac:dyDescent="0.25">
      <c r="A117" s="48" t="str">
        <f>KMeans_Data!A108</f>
        <v>Tharparkar</v>
      </c>
      <c r="B117" s="59">
        <f>KMeans_Data!H108</f>
        <v>-0.99745100604838388</v>
      </c>
      <c r="C117" s="59">
        <f>KMeans_Data!I108</f>
        <v>-0.67265054538827607</v>
      </c>
      <c r="D117" s="59">
        <f>KMeans_Data!J108</f>
        <v>-0.63655717184154814</v>
      </c>
      <c r="E117" s="61">
        <f t="shared" si="120"/>
        <v>7.454703706650184</v>
      </c>
      <c r="F117" s="61">
        <f t="shared" si="120"/>
        <v>7.2366476331446297</v>
      </c>
      <c r="G117" s="61">
        <f t="shared" si="120"/>
        <v>5.39984587511535</v>
      </c>
      <c r="H117" s="61">
        <f t="shared" si="120"/>
        <v>5.8554282579399697</v>
      </c>
      <c r="I117" s="61">
        <f t="shared" si="120"/>
        <v>4.7939705368724095</v>
      </c>
      <c r="J117" s="61">
        <f t="shared" si="120"/>
        <v>4.3546649943538176</v>
      </c>
      <c r="K117" s="61">
        <f t="shared" si="120"/>
        <v>2.4881137745739066</v>
      </c>
      <c r="L117" s="61">
        <f t="shared" si="120"/>
        <v>3.5737299464318437</v>
      </c>
      <c r="M117" s="61">
        <f t="shared" si="120"/>
        <v>3.7526016736917187</v>
      </c>
      <c r="N117" s="61">
        <f t="shared" si="120"/>
        <v>2.2687405582174343</v>
      </c>
      <c r="O117" s="61">
        <f t="shared" si="121"/>
        <v>3.4395153623517825</v>
      </c>
      <c r="P117" s="61">
        <f t="shared" si="121"/>
        <v>3.7046851039678486</v>
      </c>
      <c r="Q117" s="61">
        <f t="shared" si="121"/>
        <v>3.1442694273475285</v>
      </c>
      <c r="R117" s="61">
        <f t="shared" si="121"/>
        <v>3.1120659850710299</v>
      </c>
      <c r="S117" s="61">
        <f t="shared" si="121"/>
        <v>2.7476906297692514</v>
      </c>
      <c r="T117" s="61">
        <f t="shared" si="121"/>
        <v>3.0528997753287856</v>
      </c>
      <c r="U117" s="61">
        <f t="shared" si="121"/>
        <v>3.0916169390737469</v>
      </c>
      <c r="V117" s="61">
        <f t="shared" si="121"/>
        <v>3.0359015086366634</v>
      </c>
      <c r="W117" s="61">
        <f t="shared" si="121"/>
        <v>3.1784930459128926</v>
      </c>
      <c r="X117" s="61">
        <f t="shared" si="121"/>
        <v>2.8913993185018065</v>
      </c>
      <c r="Y117" s="61">
        <f t="shared" si="122"/>
        <v>3.0001653837924223</v>
      </c>
      <c r="Z117" s="61">
        <f t="shared" si="122"/>
        <v>2.6328466829346899</v>
      </c>
      <c r="AA117" s="61">
        <f t="shared" si="122"/>
        <v>2.5325716281561244</v>
      </c>
      <c r="AB117" s="61">
        <f t="shared" si="122"/>
        <v>2.5221463000527633</v>
      </c>
      <c r="AC117" s="61">
        <f t="shared" si="122"/>
        <v>3.028936120668714</v>
      </c>
      <c r="AD117" s="61">
        <f t="shared" si="122"/>
        <v>2.9587381088532236</v>
      </c>
      <c r="AE117" s="61">
        <f t="shared" si="122"/>
        <v>1.7987085468486994</v>
      </c>
      <c r="AF117" s="61">
        <f t="shared" si="122"/>
        <v>2.5856029534390901</v>
      </c>
      <c r="AG117" s="61">
        <f t="shared" si="122"/>
        <v>1.5928910622697872</v>
      </c>
      <c r="AH117" s="61">
        <f t="shared" si="122"/>
        <v>2.277376234132237</v>
      </c>
      <c r="AI117" s="61">
        <f t="shared" si="123"/>
        <v>1.5897623013095774</v>
      </c>
      <c r="AJ117" s="61">
        <f t="shared" si="123"/>
        <v>2.6464444321575447</v>
      </c>
      <c r="AK117" s="61">
        <f t="shared" si="123"/>
        <v>2.072620169906799</v>
      </c>
      <c r="AL117" s="61">
        <f t="shared" si="123"/>
        <v>1.971282373312145</v>
      </c>
      <c r="AM117" s="61">
        <f t="shared" si="123"/>
        <v>2.7028876007456817</v>
      </c>
      <c r="AN117" s="61">
        <f t="shared" si="123"/>
        <v>2.692966889858508</v>
      </c>
      <c r="AO117" s="61">
        <f t="shared" si="123"/>
        <v>2.1298975497328749</v>
      </c>
      <c r="AP117" s="61">
        <f t="shared" si="123"/>
        <v>2.0841007793585216</v>
      </c>
      <c r="AQ117" s="61">
        <f t="shared" si="123"/>
        <v>2.7126601177194916</v>
      </c>
      <c r="AR117" s="61">
        <f t="shared" si="123"/>
        <v>1.7117382195700621</v>
      </c>
      <c r="AS117" s="61">
        <f t="shared" si="124"/>
        <v>2.1076984357547381</v>
      </c>
      <c r="AT117" s="61">
        <f t="shared" si="124"/>
        <v>1.9704221126864807</v>
      </c>
      <c r="AU117" s="61">
        <f t="shared" si="124"/>
        <v>1.365006772111317</v>
      </c>
      <c r="AV117" s="61">
        <f t="shared" si="124"/>
        <v>1.7024138560220285</v>
      </c>
      <c r="AW117" s="61">
        <f t="shared" si="124"/>
        <v>1.2502657473962246</v>
      </c>
      <c r="AX117" s="61">
        <f t="shared" si="124"/>
        <v>1.8010244836264027</v>
      </c>
      <c r="AY117" s="61">
        <f t="shared" si="124"/>
        <v>1.3020735778500485</v>
      </c>
      <c r="AZ117" s="61">
        <f t="shared" si="124"/>
        <v>2.0547580093175175</v>
      </c>
      <c r="BA117" s="61">
        <f t="shared" si="124"/>
        <v>1.9361201412633029</v>
      </c>
      <c r="BB117" s="61">
        <f t="shared" si="124"/>
        <v>1.2960503682907729</v>
      </c>
      <c r="BC117" s="61">
        <f t="shared" si="125"/>
        <v>1.2899556287645968</v>
      </c>
      <c r="BD117" s="61">
        <f t="shared" si="125"/>
        <v>1.1724395880482763</v>
      </c>
      <c r="BE117" s="61">
        <f t="shared" si="125"/>
        <v>1.2159056756990017</v>
      </c>
      <c r="BF117" s="61">
        <f t="shared" si="125"/>
        <v>2.7354399507416374</v>
      </c>
      <c r="BG117" s="61">
        <f t="shared" si="125"/>
        <v>1.7485232391235068</v>
      </c>
      <c r="BH117" s="61">
        <f t="shared" si="125"/>
        <v>1.1960412262714826</v>
      </c>
      <c r="BI117" s="61">
        <f t="shared" si="125"/>
        <v>1.1811095267178282</v>
      </c>
      <c r="BJ117" s="61">
        <f t="shared" si="125"/>
        <v>1.7166619596627948</v>
      </c>
      <c r="BK117" s="61">
        <f t="shared" si="125"/>
        <v>1.0309528450476109</v>
      </c>
      <c r="BL117" s="61">
        <f t="shared" si="125"/>
        <v>1.4103645431298735</v>
      </c>
      <c r="BM117" s="61">
        <f t="shared" si="126"/>
        <v>1.9275115773201237</v>
      </c>
      <c r="BN117" s="61">
        <f t="shared" si="126"/>
        <v>1.4372213684636252</v>
      </c>
      <c r="BO117" s="61">
        <f t="shared" si="126"/>
        <v>0.95129644682715953</v>
      </c>
      <c r="BP117" s="61">
        <f t="shared" si="126"/>
        <v>1.5216424150611454</v>
      </c>
      <c r="BQ117" s="61">
        <f t="shared" si="126"/>
        <v>1.4492249055556761</v>
      </c>
      <c r="BR117" s="61">
        <f t="shared" si="126"/>
        <v>1.469584266772942</v>
      </c>
      <c r="BS117" s="61">
        <f t="shared" si="126"/>
        <v>1.4839434412982746</v>
      </c>
      <c r="BT117" s="61">
        <f t="shared" si="126"/>
        <v>1.1411361285530646</v>
      </c>
      <c r="BU117" s="61">
        <f t="shared" si="126"/>
        <v>1.0812189405908643</v>
      </c>
      <c r="BV117" s="61">
        <f t="shared" si="126"/>
        <v>0.89617817626993723</v>
      </c>
      <c r="BW117" s="61">
        <f t="shared" si="127"/>
        <v>1.1717647964035489</v>
      </c>
      <c r="BX117" s="61">
        <f t="shared" si="127"/>
        <v>0.88304435807954273</v>
      </c>
      <c r="BY117" s="61">
        <f t="shared" si="127"/>
        <v>0.82451835531391826</v>
      </c>
      <c r="BZ117" s="61">
        <f t="shared" si="127"/>
        <v>0.77681818139689651</v>
      </c>
      <c r="CA117" s="61">
        <f t="shared" si="127"/>
        <v>0.84169922772286987</v>
      </c>
      <c r="CB117" s="61">
        <f t="shared" si="127"/>
        <v>0.76111480767992956</v>
      </c>
      <c r="CC117" s="61">
        <f t="shared" si="127"/>
        <v>0.82722841674482517</v>
      </c>
      <c r="CD117" s="61">
        <f t="shared" si="127"/>
        <v>0.79718005930579339</v>
      </c>
      <c r="CE117" s="61">
        <f t="shared" si="127"/>
        <v>0.90188747726750529</v>
      </c>
      <c r="CF117" s="61">
        <f t="shared" si="127"/>
        <v>1.1089378990405463</v>
      </c>
      <c r="CG117" s="61">
        <f t="shared" si="128"/>
        <v>0.78074924888373731</v>
      </c>
      <c r="CH117" s="61">
        <f t="shared" si="128"/>
        <v>0.57727217338338843</v>
      </c>
      <c r="CI117" s="61">
        <f t="shared" si="128"/>
        <v>0.49518353722908859</v>
      </c>
      <c r="CJ117" s="61">
        <f t="shared" si="128"/>
        <v>0.48783908021703049</v>
      </c>
      <c r="CK117" s="61">
        <f t="shared" si="128"/>
        <v>0.71861461276230065</v>
      </c>
      <c r="CL117" s="61">
        <f t="shared" si="128"/>
        <v>0.62395430311296318</v>
      </c>
      <c r="CM117" s="61">
        <f t="shared" si="128"/>
        <v>0.48302968339833124</v>
      </c>
      <c r="CN117" s="61">
        <f t="shared" si="128"/>
        <v>1.4005585619024479</v>
      </c>
      <c r="CO117" s="61">
        <f t="shared" si="128"/>
        <v>0.73942987757150913</v>
      </c>
      <c r="CP117" s="61">
        <f t="shared" si="128"/>
        <v>0.56835103240104168</v>
      </c>
      <c r="CQ117" s="61">
        <f t="shared" si="129"/>
        <v>0.3171233736259042</v>
      </c>
      <c r="CR117" s="61">
        <f t="shared" si="129"/>
        <v>0.36144132297205184</v>
      </c>
      <c r="CS117" s="61">
        <f t="shared" si="129"/>
        <v>0.53538876275196357</v>
      </c>
      <c r="CT117" s="61">
        <f t="shared" si="129"/>
        <v>0.52216655104840215</v>
      </c>
      <c r="CU117" s="61">
        <f t="shared" si="129"/>
        <v>0.5701901745667608</v>
      </c>
      <c r="CV117" s="61">
        <f t="shared" si="129"/>
        <v>0.90916558507507084</v>
      </c>
      <c r="CW117" s="61">
        <f t="shared" si="129"/>
        <v>0.52216655104840215</v>
      </c>
      <c r="CX117" s="61">
        <f t="shared" si="129"/>
        <v>0.60518874302600467</v>
      </c>
      <c r="CY117" s="61">
        <f t="shared" si="129"/>
        <v>0.51276458369875644</v>
      </c>
      <c r="CZ117" s="61">
        <f t="shared" si="129"/>
        <v>0.51276458369875644</v>
      </c>
      <c r="DA117" s="61">
        <f t="shared" si="130"/>
        <v>0.14672886246233927</v>
      </c>
      <c r="DB117" s="61">
        <f t="shared" si="130"/>
        <v>0.50908694449200653</v>
      </c>
      <c r="DC117" s="61">
        <f t="shared" si="130"/>
        <v>0.50908694449200653</v>
      </c>
      <c r="DD117" s="61">
        <f t="shared" si="130"/>
        <v>0</v>
      </c>
      <c r="DE117" s="61">
        <f t="shared" si="130"/>
        <v>0.24025248941628716</v>
      </c>
      <c r="DF117" s="61">
        <f t="shared" si="130"/>
        <v>0.62395430311296318</v>
      </c>
      <c r="DG117" s="61">
        <f t="shared" si="130"/>
        <v>0.72095202493688282</v>
      </c>
      <c r="DH117" s="61">
        <f t="shared" si="130"/>
        <v>0.72095202493688282</v>
      </c>
      <c r="DI117" s="61">
        <f t="shared" si="130"/>
        <v>0.72095202493688282</v>
      </c>
      <c r="DJ117" s="61">
        <f t="shared" si="130"/>
        <v>0.72095202493688282</v>
      </c>
      <c r="DK117" s="61">
        <f t="shared" si="131"/>
        <v>0.88304435807954251</v>
      </c>
      <c r="DL117" s="61">
        <f t="shared" si="131"/>
        <v>0.88304435807954251</v>
      </c>
      <c r="DM117" s="61">
        <f t="shared" si="131"/>
        <v>0.88304435807954251</v>
      </c>
      <c r="DN117" s="61">
        <f t="shared" si="131"/>
        <v>0.88304435807954251</v>
      </c>
      <c r="DO117" s="61">
        <f t="shared" si="131"/>
        <v>0.88304435807954251</v>
      </c>
      <c r="DP117" s="61">
        <f t="shared" si="131"/>
        <v>1.1960412262714826</v>
      </c>
      <c r="DQ117" s="61">
        <f t="shared" si="131"/>
        <v>1.1960412262714826</v>
      </c>
    </row>
    <row r="118" spans="1:121" x14ac:dyDescent="0.25">
      <c r="A118" s="48" t="str">
        <f>KMeans_Data!A109</f>
        <v>Chakwal</v>
      </c>
      <c r="B118" s="59">
        <f>KMeans_Data!H109</f>
        <v>-1.1471808993548489</v>
      </c>
      <c r="C118" s="59">
        <f>KMeans_Data!I109</f>
        <v>-0.67265054538827607</v>
      </c>
      <c r="D118" s="59">
        <f>KMeans_Data!J109</f>
        <v>-0.82444601589876665</v>
      </c>
      <c r="E118" s="61">
        <f t="shared" si="120"/>
        <v>7.6400948807562985</v>
      </c>
      <c r="F118" s="61">
        <f t="shared" si="120"/>
        <v>7.4125068132462371</v>
      </c>
      <c r="G118" s="61">
        <f t="shared" si="120"/>
        <v>5.5994211927358934</v>
      </c>
      <c r="H118" s="61">
        <f t="shared" si="120"/>
        <v>6.0166611396913403</v>
      </c>
      <c r="I118" s="61">
        <f t="shared" si="120"/>
        <v>4.9865271128445876</v>
      </c>
      <c r="J118" s="61">
        <f t="shared" si="120"/>
        <v>4.5330407892460576</v>
      </c>
      <c r="K118" s="61">
        <f t="shared" si="120"/>
        <v>2.6225262395932956</v>
      </c>
      <c r="L118" s="61">
        <f t="shared" si="120"/>
        <v>3.7959373503106124</v>
      </c>
      <c r="M118" s="61">
        <f t="shared" si="120"/>
        <v>3.9612919779105655</v>
      </c>
      <c r="N118" s="61">
        <f t="shared" si="120"/>
        <v>2.4068256067047797</v>
      </c>
      <c r="O118" s="61">
        <f t="shared" si="121"/>
        <v>3.6247746730535346</v>
      </c>
      <c r="P118" s="61">
        <f t="shared" si="121"/>
        <v>3.8853940149898456</v>
      </c>
      <c r="Q118" s="61">
        <f t="shared" si="121"/>
        <v>3.3466809619892399</v>
      </c>
      <c r="R118" s="61">
        <f t="shared" si="121"/>
        <v>3.3382274243213987</v>
      </c>
      <c r="S118" s="61">
        <f t="shared" si="121"/>
        <v>2.9808912639305243</v>
      </c>
      <c r="T118" s="61">
        <f t="shared" si="121"/>
        <v>3.2528956574050398</v>
      </c>
      <c r="U118" s="61">
        <f t="shared" si="121"/>
        <v>3.3184672016487742</v>
      </c>
      <c r="V118" s="61">
        <f t="shared" si="121"/>
        <v>3.2093789600596359</v>
      </c>
      <c r="W118" s="61">
        <f t="shared" si="121"/>
        <v>3.3622060011573707</v>
      </c>
      <c r="X118" s="61">
        <f t="shared" si="121"/>
        <v>3.0979747139390752</v>
      </c>
      <c r="Y118" s="61">
        <f t="shared" si="122"/>
        <v>3.2108828730514896</v>
      </c>
      <c r="Z118" s="61">
        <f t="shared" si="122"/>
        <v>2.8275642665150653</v>
      </c>
      <c r="AA118" s="61">
        <f t="shared" si="122"/>
        <v>2.7576789945289808</v>
      </c>
      <c r="AB118" s="61">
        <f t="shared" si="122"/>
        <v>2.7280344114277786</v>
      </c>
      <c r="AC118" s="61">
        <f t="shared" si="122"/>
        <v>3.2049531857679958</v>
      </c>
      <c r="AD118" s="61">
        <f t="shared" si="122"/>
        <v>3.1689473663458632</v>
      </c>
      <c r="AE118" s="61">
        <f t="shared" si="122"/>
        <v>1.8957372607825711</v>
      </c>
      <c r="AF118" s="61">
        <f t="shared" si="122"/>
        <v>2.7909662158277166</v>
      </c>
      <c r="AG118" s="61">
        <f t="shared" si="122"/>
        <v>1.7764246912558124</v>
      </c>
      <c r="AH118" s="61">
        <f t="shared" si="122"/>
        <v>2.4997530183828753</v>
      </c>
      <c r="AI118" s="61">
        <f t="shared" si="123"/>
        <v>1.7733525997269111</v>
      </c>
      <c r="AJ118" s="61">
        <f t="shared" si="123"/>
        <v>2.8614444053534784</v>
      </c>
      <c r="AK118" s="61">
        <f t="shared" si="123"/>
        <v>2.2711918483649032</v>
      </c>
      <c r="AL118" s="61">
        <f t="shared" si="123"/>
        <v>2.1986756623719934</v>
      </c>
      <c r="AM118" s="61">
        <f t="shared" si="123"/>
        <v>2.856898394537597</v>
      </c>
      <c r="AN118" s="61">
        <f t="shared" si="123"/>
        <v>2.8729745079507825</v>
      </c>
      <c r="AO118" s="61">
        <f t="shared" si="123"/>
        <v>2.3376783607671743</v>
      </c>
      <c r="AP118" s="61">
        <f t="shared" si="123"/>
        <v>2.2892304577920495</v>
      </c>
      <c r="AQ118" s="61">
        <f t="shared" si="123"/>
        <v>2.8831239134365538</v>
      </c>
      <c r="AR118" s="61">
        <f t="shared" si="123"/>
        <v>1.9007530289257903</v>
      </c>
      <c r="AS118" s="61">
        <f t="shared" si="124"/>
        <v>2.3479508847826609</v>
      </c>
      <c r="AT118" s="61">
        <f t="shared" si="124"/>
        <v>2.2025206129006052</v>
      </c>
      <c r="AU118" s="61">
        <f t="shared" si="124"/>
        <v>1.5159824988529307</v>
      </c>
      <c r="AV118" s="61">
        <f t="shared" si="124"/>
        <v>1.9401372609980791</v>
      </c>
      <c r="AW118" s="61">
        <f t="shared" si="124"/>
        <v>1.3857971331405619</v>
      </c>
      <c r="AX118" s="61">
        <f t="shared" si="124"/>
        <v>2.0130442042793013</v>
      </c>
      <c r="AY118" s="61">
        <f t="shared" si="124"/>
        <v>1.3858910097348256</v>
      </c>
      <c r="AZ118" s="61">
        <f t="shared" si="124"/>
        <v>2.2947402122020648</v>
      </c>
      <c r="BA118" s="61">
        <f t="shared" si="124"/>
        <v>2.1682831388317751</v>
      </c>
      <c r="BB118" s="61">
        <f t="shared" si="124"/>
        <v>1.3795232215834614</v>
      </c>
      <c r="BC118" s="61">
        <f t="shared" si="125"/>
        <v>1.3730760297224149</v>
      </c>
      <c r="BD118" s="61">
        <f t="shared" si="125"/>
        <v>1.3532376258304826</v>
      </c>
      <c r="BE118" s="61">
        <f t="shared" si="125"/>
        <v>1.4241834179565211</v>
      </c>
      <c r="BF118" s="61">
        <f t="shared" si="125"/>
        <v>2.8997534406610104</v>
      </c>
      <c r="BG118" s="61">
        <f t="shared" si="125"/>
        <v>1.9787648592158615</v>
      </c>
      <c r="BH118" s="61">
        <f t="shared" si="125"/>
        <v>1.2731982506172379</v>
      </c>
      <c r="BI118" s="61">
        <f t="shared" si="125"/>
        <v>1.2572153902514489</v>
      </c>
      <c r="BJ118" s="61">
        <f t="shared" si="125"/>
        <v>1.8847004006399781</v>
      </c>
      <c r="BK118" s="61">
        <f t="shared" si="125"/>
        <v>1.2288274818620981</v>
      </c>
      <c r="BL118" s="61">
        <f t="shared" si="125"/>
        <v>1.6493955334986616</v>
      </c>
      <c r="BM118" s="61">
        <f t="shared" si="126"/>
        <v>2.1188512577133563</v>
      </c>
      <c r="BN118" s="61">
        <f t="shared" si="126"/>
        <v>1.6322648462118505</v>
      </c>
      <c r="BO118" s="61">
        <f t="shared" si="126"/>
        <v>1.0822869757549449</v>
      </c>
      <c r="BP118" s="61">
        <f t="shared" si="126"/>
        <v>1.7266054657968644</v>
      </c>
      <c r="BQ118" s="61">
        <f t="shared" si="126"/>
        <v>1.6751963709482034</v>
      </c>
      <c r="BR118" s="61">
        <f t="shared" si="126"/>
        <v>1.6961143837506203</v>
      </c>
      <c r="BS118" s="61">
        <f t="shared" si="126"/>
        <v>1.7234708436331969</v>
      </c>
      <c r="BT118" s="61">
        <f t="shared" si="126"/>
        <v>1.3807030021817324</v>
      </c>
      <c r="BU118" s="61">
        <f t="shared" si="126"/>
        <v>1.3196346097111853</v>
      </c>
      <c r="BV118" s="61">
        <f t="shared" si="126"/>
        <v>0.94361896490437602</v>
      </c>
      <c r="BW118" s="61">
        <f t="shared" si="127"/>
        <v>1.4120082830959388</v>
      </c>
      <c r="BX118" s="61">
        <f t="shared" si="127"/>
        <v>0.92857562957040396</v>
      </c>
      <c r="BY118" s="61">
        <f t="shared" si="127"/>
        <v>1.0556297433122959</v>
      </c>
      <c r="BZ118" s="61">
        <f t="shared" si="127"/>
        <v>1.0047060015907774</v>
      </c>
      <c r="CA118" s="61">
        <f t="shared" si="127"/>
        <v>0.88068160955438679</v>
      </c>
      <c r="CB118" s="61">
        <f t="shared" si="127"/>
        <v>0.98985558827946585</v>
      </c>
      <c r="CC118" s="61">
        <f t="shared" si="127"/>
        <v>0.86370135661747438</v>
      </c>
      <c r="CD118" s="61">
        <f t="shared" si="127"/>
        <v>0.82802099622837899</v>
      </c>
      <c r="CE118" s="61">
        <f t="shared" si="127"/>
        <v>1.1419502961708283</v>
      </c>
      <c r="CF118" s="61">
        <f t="shared" si="127"/>
        <v>1.3253487735342278</v>
      </c>
      <c r="CG118" s="61">
        <f t="shared" si="128"/>
        <v>0.95598623100318458</v>
      </c>
      <c r="CH118" s="61">
        <f t="shared" si="128"/>
        <v>0.7984882255850333</v>
      </c>
      <c r="CI118" s="61">
        <f t="shared" si="128"/>
        <v>0.70415592421840867</v>
      </c>
      <c r="CJ118" s="61">
        <f t="shared" si="128"/>
        <v>0.59993512480188038</v>
      </c>
      <c r="CK118" s="61">
        <f t="shared" si="128"/>
        <v>0.95804888729710735</v>
      </c>
      <c r="CL118" s="61">
        <f t="shared" si="128"/>
        <v>0.6031339195662111</v>
      </c>
      <c r="CM118" s="61">
        <f t="shared" si="128"/>
        <v>0.72095202493688271</v>
      </c>
      <c r="CN118" s="61">
        <f t="shared" si="128"/>
        <v>1.606826842129452</v>
      </c>
      <c r="CO118" s="61">
        <f t="shared" si="128"/>
        <v>0.9224655532713526</v>
      </c>
      <c r="CP118" s="61">
        <f t="shared" si="128"/>
        <v>0.51489009539292518</v>
      </c>
      <c r="CQ118" s="61">
        <f t="shared" si="129"/>
        <v>0.5571671999750456</v>
      </c>
      <c r="CR118" s="61">
        <f t="shared" si="129"/>
        <v>0.59891094157521396</v>
      </c>
      <c r="CS118" s="61">
        <f t="shared" si="129"/>
        <v>0.45021441403981993</v>
      </c>
      <c r="CT118" s="61">
        <f t="shared" si="129"/>
        <v>0.41695895355399548</v>
      </c>
      <c r="CU118" s="61">
        <f t="shared" si="129"/>
        <v>0.58907790375778468</v>
      </c>
      <c r="CV118" s="61">
        <f t="shared" si="129"/>
        <v>1.1215737128143295</v>
      </c>
      <c r="CW118" s="61">
        <f t="shared" si="129"/>
        <v>0.41695895355399548</v>
      </c>
      <c r="CX118" s="61">
        <f t="shared" si="129"/>
        <v>0.81766681220534321</v>
      </c>
      <c r="CY118" s="61">
        <f t="shared" si="129"/>
        <v>0.38432135909368176</v>
      </c>
      <c r="CZ118" s="61">
        <f t="shared" si="129"/>
        <v>0.38432135909368176</v>
      </c>
      <c r="DA118" s="61">
        <f t="shared" si="130"/>
        <v>0.38432135909368159</v>
      </c>
      <c r="DB118" s="61">
        <f t="shared" si="130"/>
        <v>0.35438292943154243</v>
      </c>
      <c r="DC118" s="61">
        <f t="shared" si="130"/>
        <v>0.35438292943154243</v>
      </c>
      <c r="DD118" s="61">
        <f t="shared" si="130"/>
        <v>0.24025248941628716</v>
      </c>
      <c r="DE118" s="61">
        <f t="shared" si="130"/>
        <v>0</v>
      </c>
      <c r="DF118" s="61">
        <f t="shared" si="130"/>
        <v>0.38432135909368165</v>
      </c>
      <c r="DG118" s="61">
        <f t="shared" si="130"/>
        <v>0.48302968339833119</v>
      </c>
      <c r="DH118" s="61">
        <f t="shared" si="130"/>
        <v>0.48302968339833119</v>
      </c>
      <c r="DI118" s="61">
        <f t="shared" si="130"/>
        <v>0.48302968339833119</v>
      </c>
      <c r="DJ118" s="61">
        <f t="shared" si="130"/>
        <v>0.48302968339833119</v>
      </c>
      <c r="DK118" s="61">
        <f t="shared" si="131"/>
        <v>0.65583341183619148</v>
      </c>
      <c r="DL118" s="61">
        <f t="shared" si="131"/>
        <v>0.65583341183619148</v>
      </c>
      <c r="DM118" s="61">
        <f t="shared" si="131"/>
        <v>0.65583341183619148</v>
      </c>
      <c r="DN118" s="61">
        <f t="shared" si="131"/>
        <v>0.65583341183619148</v>
      </c>
      <c r="DO118" s="61">
        <f t="shared" si="131"/>
        <v>0.65583341183619148</v>
      </c>
      <c r="DP118" s="61">
        <f t="shared" si="131"/>
        <v>0.98632192095062787</v>
      </c>
      <c r="DQ118" s="61">
        <f t="shared" si="131"/>
        <v>0.98632192095062787</v>
      </c>
    </row>
    <row r="119" spans="1:121" x14ac:dyDescent="0.25">
      <c r="A119" s="48" t="str">
        <f>KMeans_Data!A110</f>
        <v>Pishin</v>
      </c>
      <c r="B119" s="59">
        <f>KMeans_Data!H110</f>
        <v>-1.3582133313000322</v>
      </c>
      <c r="C119" s="59">
        <f>KMeans_Data!I110</f>
        <v>-0.67265054538827607</v>
      </c>
      <c r="D119" s="59">
        <f>KMeans_Data!J110</f>
        <v>-1.1456441163335547</v>
      </c>
      <c r="E119" s="61">
        <f t="shared" si="120"/>
        <v>7.9375096538498271</v>
      </c>
      <c r="F119" s="61">
        <f t="shared" si="120"/>
        <v>7.6941855911649712</v>
      </c>
      <c r="G119" s="61">
        <f t="shared" si="120"/>
        <v>5.9192063980105338</v>
      </c>
      <c r="H119" s="61">
        <f t="shared" si="120"/>
        <v>6.2773434387762057</v>
      </c>
      <c r="I119" s="61">
        <f t="shared" si="120"/>
        <v>5.2946342941564764</v>
      </c>
      <c r="J119" s="61">
        <f t="shared" si="120"/>
        <v>4.8236589581190596</v>
      </c>
      <c r="K119" s="61">
        <f t="shared" si="120"/>
        <v>2.8416331629371849</v>
      </c>
      <c r="L119" s="61">
        <f t="shared" si="120"/>
        <v>4.15133956595822</v>
      </c>
      <c r="M119" s="61">
        <f t="shared" si="120"/>
        <v>4.2981351552176728</v>
      </c>
      <c r="N119" s="61">
        <f t="shared" si="120"/>
        <v>2.632835806271745</v>
      </c>
      <c r="O119" s="61">
        <f t="shared" si="121"/>
        <v>3.9264509381530499</v>
      </c>
      <c r="P119" s="61">
        <f t="shared" si="121"/>
        <v>4.1812741709771251</v>
      </c>
      <c r="Q119" s="61">
        <f t="shared" si="121"/>
        <v>3.6736770477193916</v>
      </c>
      <c r="R119" s="61">
        <f t="shared" si="121"/>
        <v>3.6996860383442045</v>
      </c>
      <c r="S119" s="61">
        <f t="shared" si="121"/>
        <v>3.3499527122119281</v>
      </c>
      <c r="T119" s="61">
        <f t="shared" si="121"/>
        <v>3.5767740764790368</v>
      </c>
      <c r="U119" s="61">
        <f t="shared" si="121"/>
        <v>3.6826981676439883</v>
      </c>
      <c r="V119" s="61">
        <f t="shared" si="121"/>
        <v>3.4955479853697455</v>
      </c>
      <c r="W119" s="61">
        <f t="shared" si="121"/>
        <v>3.6640682336035919</v>
      </c>
      <c r="X119" s="61">
        <f t="shared" si="121"/>
        <v>3.4322292281306233</v>
      </c>
      <c r="Y119" s="61">
        <f t="shared" si="122"/>
        <v>3.552385813610651</v>
      </c>
      <c r="Z119" s="61">
        <f t="shared" si="122"/>
        <v>3.1441093752614782</v>
      </c>
      <c r="AA119" s="61">
        <f t="shared" si="122"/>
        <v>3.1166462479819503</v>
      </c>
      <c r="AB119" s="61">
        <f t="shared" si="122"/>
        <v>3.0598929414905403</v>
      </c>
      <c r="AC119" s="61">
        <f t="shared" si="122"/>
        <v>3.4960475145005327</v>
      </c>
      <c r="AD119" s="61">
        <f t="shared" si="122"/>
        <v>3.5105393069881123</v>
      </c>
      <c r="AE119" s="61">
        <f t="shared" si="122"/>
        <v>2.0716869674950886</v>
      </c>
      <c r="AF119" s="61">
        <f t="shared" si="122"/>
        <v>3.1250921978345163</v>
      </c>
      <c r="AG119" s="61">
        <f t="shared" si="122"/>
        <v>2.0746526818060786</v>
      </c>
      <c r="AH119" s="61">
        <f t="shared" si="122"/>
        <v>2.8559034437919699</v>
      </c>
      <c r="AI119" s="61">
        <f t="shared" si="123"/>
        <v>2.0717005363997734</v>
      </c>
      <c r="AJ119" s="61">
        <f t="shared" si="123"/>
        <v>3.2100600369620316</v>
      </c>
      <c r="AK119" s="61">
        <f t="shared" si="123"/>
        <v>2.5939119062847866</v>
      </c>
      <c r="AL119" s="61">
        <f t="shared" si="123"/>
        <v>2.5602524938176905</v>
      </c>
      <c r="AM119" s="61">
        <f t="shared" si="123"/>
        <v>3.1185559467886046</v>
      </c>
      <c r="AN119" s="61">
        <f t="shared" si="123"/>
        <v>3.1732128670073876</v>
      </c>
      <c r="AO119" s="61">
        <f t="shared" si="123"/>
        <v>2.6750685109136918</v>
      </c>
      <c r="AP119" s="61">
        <f t="shared" si="123"/>
        <v>2.6227669709906603</v>
      </c>
      <c r="AQ119" s="61">
        <f t="shared" si="123"/>
        <v>3.1701297488901807</v>
      </c>
      <c r="AR119" s="61">
        <f t="shared" si="123"/>
        <v>2.2109710582733508</v>
      </c>
      <c r="AS119" s="61">
        <f t="shared" si="124"/>
        <v>2.7308718752463901</v>
      </c>
      <c r="AT119" s="61">
        <f t="shared" si="124"/>
        <v>2.5740057151230906</v>
      </c>
      <c r="AU119" s="61">
        <f t="shared" si="124"/>
        <v>1.7780573717907084</v>
      </c>
      <c r="AV119" s="61">
        <f t="shared" si="124"/>
        <v>2.3161760743785629</v>
      </c>
      <c r="AW119" s="61">
        <f t="shared" si="124"/>
        <v>1.6288133348099916</v>
      </c>
      <c r="AX119" s="61">
        <f t="shared" si="124"/>
        <v>2.3573601714275552</v>
      </c>
      <c r="AY119" s="61">
        <f t="shared" si="124"/>
        <v>1.5591888290819911</v>
      </c>
      <c r="AZ119" s="61">
        <f t="shared" si="124"/>
        <v>2.6787030767252871</v>
      </c>
      <c r="BA119" s="61">
        <f t="shared" si="124"/>
        <v>2.5409138587554838</v>
      </c>
      <c r="BB119" s="61">
        <f t="shared" si="124"/>
        <v>1.5526419500856501</v>
      </c>
      <c r="BC119" s="61">
        <f t="shared" si="125"/>
        <v>1.5460116691153176</v>
      </c>
      <c r="BD119" s="61">
        <f t="shared" si="125"/>
        <v>1.6553318554887912</v>
      </c>
      <c r="BE119" s="61">
        <f t="shared" si="125"/>
        <v>1.7600622666215653</v>
      </c>
      <c r="BF119" s="61">
        <f t="shared" si="125"/>
        <v>3.18165734564487</v>
      </c>
      <c r="BG119" s="61">
        <f t="shared" si="125"/>
        <v>2.3487862731172036</v>
      </c>
      <c r="BH119" s="61">
        <f t="shared" si="125"/>
        <v>1.443049301006593</v>
      </c>
      <c r="BI119" s="61">
        <f t="shared" si="125"/>
        <v>1.4265250554366575</v>
      </c>
      <c r="BJ119" s="61">
        <f t="shared" si="125"/>
        <v>2.1743312716534176</v>
      </c>
      <c r="BK119" s="61">
        <f t="shared" si="125"/>
        <v>1.5547287770643106</v>
      </c>
      <c r="BL119" s="61">
        <f t="shared" si="125"/>
        <v>2.0284015976983287</v>
      </c>
      <c r="BM119" s="61">
        <f t="shared" si="126"/>
        <v>2.4411816724857442</v>
      </c>
      <c r="BN119" s="61">
        <f t="shared" si="126"/>
        <v>1.9583036818327615</v>
      </c>
      <c r="BO119" s="61">
        <f t="shared" si="126"/>
        <v>1.3326077104897474</v>
      </c>
      <c r="BP119" s="61">
        <f t="shared" si="126"/>
        <v>2.066747694384707</v>
      </c>
      <c r="BQ119" s="61">
        <f t="shared" si="126"/>
        <v>2.041185253374747</v>
      </c>
      <c r="BR119" s="61">
        <f t="shared" si="126"/>
        <v>2.0635171400669932</v>
      </c>
      <c r="BS119" s="61">
        <f t="shared" si="126"/>
        <v>2.1077326903020026</v>
      </c>
      <c r="BT119" s="61">
        <f t="shared" si="126"/>
        <v>1.7611684483520622</v>
      </c>
      <c r="BU119" s="61">
        <f t="shared" si="126"/>
        <v>1.6978031227540074</v>
      </c>
      <c r="BV119" s="61">
        <f t="shared" si="126"/>
        <v>1.0983027014821998</v>
      </c>
      <c r="BW119" s="61">
        <f t="shared" si="127"/>
        <v>1.7952724115660104</v>
      </c>
      <c r="BX119" s="61">
        <f t="shared" si="127"/>
        <v>1.0822869757549449</v>
      </c>
      <c r="BY119" s="61">
        <f t="shared" si="127"/>
        <v>1.4241764491910807</v>
      </c>
      <c r="BZ119" s="61">
        <f t="shared" si="127"/>
        <v>1.3697304947859348</v>
      </c>
      <c r="CA119" s="61">
        <f t="shared" si="127"/>
        <v>1.0310518693272428</v>
      </c>
      <c r="CB119" s="61">
        <f t="shared" si="127"/>
        <v>1.3560357591882313</v>
      </c>
      <c r="CC119" s="61">
        <f t="shared" si="127"/>
        <v>1.012787889488161</v>
      </c>
      <c r="CD119" s="61">
        <f t="shared" si="127"/>
        <v>0.97421691191848625</v>
      </c>
      <c r="CE119" s="61">
        <f t="shared" si="127"/>
        <v>1.5239587131288326</v>
      </c>
      <c r="CF119" s="61">
        <f t="shared" si="127"/>
        <v>1.6842681656623102</v>
      </c>
      <c r="CG119" s="61">
        <f t="shared" si="128"/>
        <v>1.2727100015739927</v>
      </c>
      <c r="CH119" s="61">
        <f t="shared" si="128"/>
        <v>1.1590791692704745</v>
      </c>
      <c r="CI119" s="61">
        <f t="shared" si="128"/>
        <v>1.0556297433122959</v>
      </c>
      <c r="CJ119" s="61">
        <f t="shared" si="128"/>
        <v>0.87225947849204721</v>
      </c>
      <c r="CK119" s="61">
        <f t="shared" si="128"/>
        <v>1.3423149063904842</v>
      </c>
      <c r="CL119" s="61">
        <f t="shared" si="128"/>
        <v>0.72152465050329662</v>
      </c>
      <c r="CM119" s="61">
        <f t="shared" si="128"/>
        <v>1.0999868531546153</v>
      </c>
      <c r="CN119" s="61">
        <f t="shared" si="128"/>
        <v>1.9619120218872905</v>
      </c>
      <c r="CO119" s="61">
        <f t="shared" si="128"/>
        <v>1.2574445255670585</v>
      </c>
      <c r="CP119" s="61">
        <f t="shared" si="128"/>
        <v>0.61345458666683794</v>
      </c>
      <c r="CQ119" s="61">
        <f t="shared" si="129"/>
        <v>0.93976871292367825</v>
      </c>
      <c r="CR119" s="61">
        <f t="shared" si="129"/>
        <v>0.98314997392294812</v>
      </c>
      <c r="CS119" s="61">
        <f t="shared" si="129"/>
        <v>0.52650794428536829</v>
      </c>
      <c r="CT119" s="61">
        <f t="shared" si="129"/>
        <v>0.4769018533270466</v>
      </c>
      <c r="CU119" s="61">
        <f t="shared" si="129"/>
        <v>0.77905701004446859</v>
      </c>
      <c r="CV119" s="61">
        <f t="shared" si="129"/>
        <v>1.4892291092931647</v>
      </c>
      <c r="CW119" s="61">
        <f t="shared" si="129"/>
        <v>0.4769018533270466</v>
      </c>
      <c r="CX119" s="61">
        <f t="shared" si="129"/>
        <v>1.188621748393146</v>
      </c>
      <c r="CY119" s="61">
        <f t="shared" si="129"/>
        <v>0.42206486389036679</v>
      </c>
      <c r="CZ119" s="61">
        <f t="shared" si="129"/>
        <v>0.42206486389036679</v>
      </c>
      <c r="DA119" s="61">
        <f t="shared" si="130"/>
        <v>0.76864271818736318</v>
      </c>
      <c r="DB119" s="61">
        <f t="shared" si="130"/>
        <v>0.36076232525164831</v>
      </c>
      <c r="DC119" s="61">
        <f t="shared" si="130"/>
        <v>0.36076232525164831</v>
      </c>
      <c r="DD119" s="61">
        <f t="shared" si="130"/>
        <v>0.62395430311296318</v>
      </c>
      <c r="DE119" s="61">
        <f t="shared" si="130"/>
        <v>0.38432135909368165</v>
      </c>
      <c r="DF119" s="61">
        <f t="shared" si="130"/>
        <v>0</v>
      </c>
      <c r="DG119" s="61">
        <f t="shared" si="130"/>
        <v>0.1497298933064648</v>
      </c>
      <c r="DH119" s="61">
        <f t="shared" si="130"/>
        <v>0.1497298933064648</v>
      </c>
      <c r="DI119" s="61">
        <f t="shared" si="130"/>
        <v>0.1497298933064648</v>
      </c>
      <c r="DJ119" s="61">
        <f t="shared" si="130"/>
        <v>0.1497298933064648</v>
      </c>
      <c r="DK119" s="61">
        <f t="shared" si="131"/>
        <v>0.36076232525164809</v>
      </c>
      <c r="DL119" s="61">
        <f t="shared" si="131"/>
        <v>0.36076232525164809</v>
      </c>
      <c r="DM119" s="61">
        <f t="shared" si="131"/>
        <v>0.36076232525164809</v>
      </c>
      <c r="DN119" s="61">
        <f t="shared" si="131"/>
        <v>0.36076232525164809</v>
      </c>
      <c r="DO119" s="61">
        <f t="shared" si="131"/>
        <v>0.36076232525164809</v>
      </c>
      <c r="DP119" s="61">
        <f t="shared" si="131"/>
        <v>0.72152465050329639</v>
      </c>
      <c r="DQ119" s="61">
        <f t="shared" si="131"/>
        <v>0.72152465050329639</v>
      </c>
    </row>
    <row r="120" spans="1:121" x14ac:dyDescent="0.25">
      <c r="A120" s="48" t="str">
        <f>KMeans_Data!A111</f>
        <v>Kohistan Lower</v>
      </c>
      <c r="B120" s="59">
        <f>KMeans_Data!H111</f>
        <v>-1.507943224606497</v>
      </c>
      <c r="C120" s="59">
        <f>KMeans_Data!I111</f>
        <v>-0.67265054538827607</v>
      </c>
      <c r="D120" s="59">
        <f>KMeans_Data!J111</f>
        <v>-1.1456441163335547</v>
      </c>
      <c r="E120" s="61">
        <f t="shared" si="120"/>
        <v>8.0258166331110399</v>
      </c>
      <c r="F120" s="61">
        <f t="shared" si="120"/>
        <v>7.7847884280926083</v>
      </c>
      <c r="G120" s="61">
        <f t="shared" si="120"/>
        <v>6.0145021339637186</v>
      </c>
      <c r="H120" s="61">
        <f t="shared" si="120"/>
        <v>6.3668275603991029</v>
      </c>
      <c r="I120" s="61">
        <f t="shared" si="120"/>
        <v>5.3955969001723227</v>
      </c>
      <c r="J120" s="61">
        <f t="shared" si="120"/>
        <v>4.9136701002887495</v>
      </c>
      <c r="K120" s="61">
        <f t="shared" si="120"/>
        <v>2.9841495910048361</v>
      </c>
      <c r="L120" s="61">
        <f t="shared" si="120"/>
        <v>4.2493483848774032</v>
      </c>
      <c r="M120" s="61">
        <f t="shared" si="120"/>
        <v>4.3909194052974829</v>
      </c>
      <c r="N120" s="61">
        <f t="shared" si="120"/>
        <v>2.7786302722806906</v>
      </c>
      <c r="O120" s="61">
        <f t="shared" si="121"/>
        <v>4.0234152471988187</v>
      </c>
      <c r="P120" s="61">
        <f t="shared" si="121"/>
        <v>4.2719655787240773</v>
      </c>
      <c r="Q120" s="61">
        <f t="shared" si="121"/>
        <v>3.7732277653418573</v>
      </c>
      <c r="R120" s="61">
        <f t="shared" si="121"/>
        <v>3.7983505335880898</v>
      </c>
      <c r="S120" s="61">
        <f t="shared" si="121"/>
        <v>3.4573303841659211</v>
      </c>
      <c r="T120" s="61">
        <f t="shared" si="121"/>
        <v>3.676020324028646</v>
      </c>
      <c r="U120" s="61">
        <f t="shared" si="121"/>
        <v>3.7755778747705664</v>
      </c>
      <c r="V120" s="61">
        <f t="shared" si="121"/>
        <v>3.5921364881294036</v>
      </c>
      <c r="W120" s="61">
        <f t="shared" si="121"/>
        <v>3.7562517505043296</v>
      </c>
      <c r="X120" s="61">
        <f t="shared" si="121"/>
        <v>3.5300722582308555</v>
      </c>
      <c r="Y120" s="61">
        <f t="shared" si="122"/>
        <v>3.6448756516877938</v>
      </c>
      <c r="Z120" s="61">
        <f t="shared" si="122"/>
        <v>3.2480509973269918</v>
      </c>
      <c r="AA120" s="61">
        <f t="shared" si="122"/>
        <v>3.2213755578704082</v>
      </c>
      <c r="AB120" s="61">
        <f t="shared" si="122"/>
        <v>3.1664998757569132</v>
      </c>
      <c r="AC120" s="61">
        <f t="shared" si="122"/>
        <v>3.5888201088408036</v>
      </c>
      <c r="AD120" s="61">
        <f t="shared" si="122"/>
        <v>3.6007102536662932</v>
      </c>
      <c r="AE120" s="61">
        <f t="shared" si="122"/>
        <v>2.2168421962261942</v>
      </c>
      <c r="AF120" s="61">
        <f t="shared" si="122"/>
        <v>3.2211401511744948</v>
      </c>
      <c r="AG120" s="61">
        <f t="shared" si="122"/>
        <v>2.2150275438168836</v>
      </c>
      <c r="AH120" s="61">
        <f t="shared" si="122"/>
        <v>2.9594505824570096</v>
      </c>
      <c r="AI120" s="61">
        <f t="shared" si="123"/>
        <v>2.2120485761190105</v>
      </c>
      <c r="AJ120" s="61">
        <f t="shared" si="123"/>
        <v>3.302088553751795</v>
      </c>
      <c r="AK120" s="61">
        <f t="shared" si="123"/>
        <v>2.7049441464220436</v>
      </c>
      <c r="AL120" s="61">
        <f t="shared" si="123"/>
        <v>2.6700571582209882</v>
      </c>
      <c r="AM120" s="61">
        <f t="shared" si="123"/>
        <v>3.2093151277676064</v>
      </c>
      <c r="AN120" s="61">
        <f t="shared" si="123"/>
        <v>3.261025063537399</v>
      </c>
      <c r="AO120" s="61">
        <f t="shared" si="123"/>
        <v>2.7775678514965731</v>
      </c>
      <c r="AP120" s="61">
        <f t="shared" si="123"/>
        <v>2.7270031761451965</v>
      </c>
      <c r="AQ120" s="61">
        <f t="shared" si="123"/>
        <v>3.2559096229433111</v>
      </c>
      <c r="AR120" s="61">
        <f t="shared" si="123"/>
        <v>2.3311561097116362</v>
      </c>
      <c r="AS120" s="61">
        <f t="shared" si="124"/>
        <v>2.8252033045963687</v>
      </c>
      <c r="AT120" s="61">
        <f t="shared" si="124"/>
        <v>2.671445692975071</v>
      </c>
      <c r="AU120" s="61">
        <f t="shared" si="124"/>
        <v>1.9155101298386772</v>
      </c>
      <c r="AV120" s="61">
        <f t="shared" si="124"/>
        <v>2.42293647849278</v>
      </c>
      <c r="AW120" s="61">
        <f t="shared" si="124"/>
        <v>1.7758485750260933</v>
      </c>
      <c r="AX120" s="61">
        <f t="shared" si="124"/>
        <v>2.4608797850991166</v>
      </c>
      <c r="AY120" s="61">
        <f t="shared" si="124"/>
        <v>1.7089187223884559</v>
      </c>
      <c r="AZ120" s="61">
        <f t="shared" si="124"/>
        <v>2.7685345524759559</v>
      </c>
      <c r="BA120" s="61">
        <f t="shared" si="124"/>
        <v>2.6350742125458591</v>
      </c>
      <c r="BB120" s="61">
        <f t="shared" si="124"/>
        <v>1.7023718433921149</v>
      </c>
      <c r="BC120" s="61">
        <f t="shared" si="125"/>
        <v>1.6957415624217824</v>
      </c>
      <c r="BD120" s="61">
        <f t="shared" si="125"/>
        <v>1.7942680912247591</v>
      </c>
      <c r="BE120" s="61">
        <f t="shared" si="125"/>
        <v>1.8902065837393893</v>
      </c>
      <c r="BF120" s="61">
        <f t="shared" si="125"/>
        <v>3.2544530536709906</v>
      </c>
      <c r="BG120" s="61">
        <f t="shared" si="125"/>
        <v>2.4446159819680218</v>
      </c>
      <c r="BH120" s="61">
        <f t="shared" si="125"/>
        <v>1.5927791943130578</v>
      </c>
      <c r="BI120" s="61">
        <f t="shared" si="125"/>
        <v>1.5762549487431223</v>
      </c>
      <c r="BJ120" s="61">
        <f t="shared" si="125"/>
        <v>2.2724914141333019</v>
      </c>
      <c r="BK120" s="61">
        <f t="shared" si="125"/>
        <v>1.6876360105181543</v>
      </c>
      <c r="BL120" s="61">
        <f t="shared" si="125"/>
        <v>2.1313110710279997</v>
      </c>
      <c r="BM120" s="61">
        <f t="shared" si="126"/>
        <v>2.5255757950936459</v>
      </c>
      <c r="BN120" s="61">
        <f t="shared" si="126"/>
        <v>2.0618030979296771</v>
      </c>
      <c r="BO120" s="61">
        <f t="shared" si="126"/>
        <v>1.4783637931370386</v>
      </c>
      <c r="BP120" s="61">
        <f t="shared" si="126"/>
        <v>2.1612735281407494</v>
      </c>
      <c r="BQ120" s="61">
        <f t="shared" si="126"/>
        <v>2.1360224376315649</v>
      </c>
      <c r="BR120" s="61">
        <f t="shared" si="126"/>
        <v>2.1556917684606081</v>
      </c>
      <c r="BS120" s="61">
        <f t="shared" si="126"/>
        <v>2.195424936160153</v>
      </c>
      <c r="BT120" s="61">
        <f t="shared" si="126"/>
        <v>1.8618787329935014</v>
      </c>
      <c r="BU120" s="61">
        <f t="shared" si="126"/>
        <v>1.8020581446046446</v>
      </c>
      <c r="BV120" s="61">
        <f t="shared" si="126"/>
        <v>1.2480325947886646</v>
      </c>
      <c r="BW120" s="61">
        <f t="shared" si="127"/>
        <v>1.8893182631555574</v>
      </c>
      <c r="BX120" s="61">
        <f t="shared" si="127"/>
        <v>1.2320168690614097</v>
      </c>
      <c r="BY120" s="61">
        <f t="shared" si="127"/>
        <v>1.5377711346586211</v>
      </c>
      <c r="BZ120" s="61">
        <f t="shared" si="127"/>
        <v>1.4857116954751635</v>
      </c>
      <c r="CA120" s="61">
        <f t="shared" si="127"/>
        <v>1.1807817626337074</v>
      </c>
      <c r="CB120" s="61">
        <f t="shared" si="127"/>
        <v>1.4712380046807698</v>
      </c>
      <c r="CC120" s="61">
        <f t="shared" si="127"/>
        <v>1.1625177827946258</v>
      </c>
      <c r="CD120" s="61">
        <f t="shared" si="127"/>
        <v>1.1239468052249511</v>
      </c>
      <c r="CE120" s="61">
        <f t="shared" si="127"/>
        <v>1.6218800987545621</v>
      </c>
      <c r="CF120" s="61">
        <f t="shared" si="127"/>
        <v>1.7733595657052474</v>
      </c>
      <c r="CG120" s="61">
        <f t="shared" si="128"/>
        <v>1.3812717164408996</v>
      </c>
      <c r="CH120" s="61">
        <f t="shared" si="128"/>
        <v>1.2773352446283825</v>
      </c>
      <c r="CI120" s="61">
        <f t="shared" si="128"/>
        <v>1.1779728061740729</v>
      </c>
      <c r="CJ120" s="61">
        <f t="shared" si="128"/>
        <v>1.0129697973100027</v>
      </c>
      <c r="CK120" s="61">
        <f t="shared" si="128"/>
        <v>1.4316930224821751</v>
      </c>
      <c r="CL120" s="61">
        <f t="shared" si="128"/>
        <v>0.87125454380976142</v>
      </c>
      <c r="CM120" s="61">
        <f t="shared" si="128"/>
        <v>1.2035188972086166</v>
      </c>
      <c r="CN120" s="61">
        <f t="shared" si="128"/>
        <v>2.0166242235250182</v>
      </c>
      <c r="CO120" s="61">
        <f t="shared" si="128"/>
        <v>1.3368959403962988</v>
      </c>
      <c r="CP120" s="61">
        <f t="shared" si="128"/>
        <v>0.76318447997330274</v>
      </c>
      <c r="CQ120" s="61">
        <f t="shared" si="129"/>
        <v>1.0376963962143972</v>
      </c>
      <c r="CR120" s="61">
        <f t="shared" si="129"/>
        <v>1.0708271890552497</v>
      </c>
      <c r="CS120" s="61">
        <f t="shared" si="129"/>
        <v>0.67623783759183309</v>
      </c>
      <c r="CT120" s="61">
        <f t="shared" si="129"/>
        <v>0.6266317466335114</v>
      </c>
      <c r="CU120" s="61">
        <f t="shared" si="129"/>
        <v>0.87872737130558332</v>
      </c>
      <c r="CV120" s="61">
        <f t="shared" si="129"/>
        <v>1.5437082976224188</v>
      </c>
      <c r="CW120" s="61">
        <f t="shared" si="129"/>
        <v>0.6266317466335114</v>
      </c>
      <c r="CX120" s="61">
        <f t="shared" si="129"/>
        <v>1.249652814096847</v>
      </c>
      <c r="CY120" s="61">
        <f t="shared" si="129"/>
        <v>0.57179475719683159</v>
      </c>
      <c r="CZ120" s="61">
        <f t="shared" si="129"/>
        <v>0.57179475719683159</v>
      </c>
      <c r="DA120" s="61">
        <f t="shared" si="130"/>
        <v>0.86001286225814555</v>
      </c>
      <c r="DB120" s="61">
        <f t="shared" si="130"/>
        <v>0.51049221855811311</v>
      </c>
      <c r="DC120" s="61">
        <f t="shared" si="130"/>
        <v>0.51049221855811311</v>
      </c>
      <c r="DD120" s="61">
        <f t="shared" si="130"/>
        <v>0.72095202493688282</v>
      </c>
      <c r="DE120" s="61">
        <f t="shared" si="130"/>
        <v>0.48302968339833119</v>
      </c>
      <c r="DF120" s="61">
        <f t="shared" si="130"/>
        <v>0.1497298933064648</v>
      </c>
      <c r="DG120" s="61">
        <f t="shared" si="130"/>
        <v>0</v>
      </c>
      <c r="DH120" s="61">
        <f t="shared" si="130"/>
        <v>0</v>
      </c>
      <c r="DI120" s="61">
        <f t="shared" si="130"/>
        <v>0</v>
      </c>
      <c r="DJ120" s="61">
        <f t="shared" si="130"/>
        <v>0</v>
      </c>
      <c r="DK120" s="61">
        <f t="shared" si="131"/>
        <v>0.21103243194518329</v>
      </c>
      <c r="DL120" s="61">
        <f t="shared" si="131"/>
        <v>0.21103243194518329</v>
      </c>
      <c r="DM120" s="61">
        <f t="shared" si="131"/>
        <v>0.21103243194518329</v>
      </c>
      <c r="DN120" s="61">
        <f t="shared" si="131"/>
        <v>0.21103243194518329</v>
      </c>
      <c r="DO120" s="61">
        <f t="shared" si="131"/>
        <v>0.21103243194518329</v>
      </c>
      <c r="DP120" s="61">
        <f t="shared" si="131"/>
        <v>0.57179475719683159</v>
      </c>
      <c r="DQ120" s="61">
        <f t="shared" si="131"/>
        <v>0.57179475719683159</v>
      </c>
    </row>
    <row r="121" spans="1:121" x14ac:dyDescent="0.25">
      <c r="A121" s="48" t="str">
        <f>KMeans_Data!A112</f>
        <v>Bhambore</v>
      </c>
      <c r="B121" s="59">
        <f>KMeans_Data!H112</f>
        <v>-1.507943224606497</v>
      </c>
      <c r="C121" s="59">
        <f>KMeans_Data!I112</f>
        <v>-0.67265054538827607</v>
      </c>
      <c r="D121" s="59">
        <f>KMeans_Data!J112</f>
        <v>-1.1456441163335547</v>
      </c>
      <c r="E121" s="61">
        <f t="shared" si="120"/>
        <v>8.0258166331110399</v>
      </c>
      <c r="F121" s="61">
        <f t="shared" si="120"/>
        <v>7.7847884280926083</v>
      </c>
      <c r="G121" s="61">
        <f t="shared" si="120"/>
        <v>6.0145021339637186</v>
      </c>
      <c r="H121" s="61">
        <f t="shared" si="120"/>
        <v>6.3668275603991029</v>
      </c>
      <c r="I121" s="61">
        <f t="shared" si="120"/>
        <v>5.3955969001723227</v>
      </c>
      <c r="J121" s="61">
        <f t="shared" si="120"/>
        <v>4.9136701002887495</v>
      </c>
      <c r="K121" s="61">
        <f t="shared" si="120"/>
        <v>2.9841495910048361</v>
      </c>
      <c r="L121" s="61">
        <f t="shared" si="120"/>
        <v>4.2493483848774032</v>
      </c>
      <c r="M121" s="61">
        <f t="shared" si="120"/>
        <v>4.3909194052974829</v>
      </c>
      <c r="N121" s="61">
        <f t="shared" si="120"/>
        <v>2.7786302722806906</v>
      </c>
      <c r="O121" s="61">
        <f t="shared" si="121"/>
        <v>4.0234152471988187</v>
      </c>
      <c r="P121" s="61">
        <f t="shared" si="121"/>
        <v>4.2719655787240773</v>
      </c>
      <c r="Q121" s="61">
        <f t="shared" si="121"/>
        <v>3.7732277653418573</v>
      </c>
      <c r="R121" s="61">
        <f t="shared" si="121"/>
        <v>3.7983505335880898</v>
      </c>
      <c r="S121" s="61">
        <f t="shared" si="121"/>
        <v>3.4573303841659211</v>
      </c>
      <c r="T121" s="61">
        <f t="shared" si="121"/>
        <v>3.676020324028646</v>
      </c>
      <c r="U121" s="61">
        <f t="shared" si="121"/>
        <v>3.7755778747705664</v>
      </c>
      <c r="V121" s="61">
        <f t="shared" si="121"/>
        <v>3.5921364881294036</v>
      </c>
      <c r="W121" s="61">
        <f t="shared" si="121"/>
        <v>3.7562517505043296</v>
      </c>
      <c r="X121" s="61">
        <f t="shared" si="121"/>
        <v>3.5300722582308555</v>
      </c>
      <c r="Y121" s="61">
        <f t="shared" si="122"/>
        <v>3.6448756516877938</v>
      </c>
      <c r="Z121" s="61">
        <f t="shared" si="122"/>
        <v>3.2480509973269918</v>
      </c>
      <c r="AA121" s="61">
        <f t="shared" si="122"/>
        <v>3.2213755578704082</v>
      </c>
      <c r="AB121" s="61">
        <f t="shared" si="122"/>
        <v>3.1664998757569132</v>
      </c>
      <c r="AC121" s="61">
        <f t="shared" si="122"/>
        <v>3.5888201088408036</v>
      </c>
      <c r="AD121" s="61">
        <f t="shared" si="122"/>
        <v>3.6007102536662932</v>
      </c>
      <c r="AE121" s="61">
        <f t="shared" si="122"/>
        <v>2.2168421962261942</v>
      </c>
      <c r="AF121" s="61">
        <f t="shared" si="122"/>
        <v>3.2211401511744948</v>
      </c>
      <c r="AG121" s="61">
        <f t="shared" si="122"/>
        <v>2.2150275438168836</v>
      </c>
      <c r="AH121" s="61">
        <f t="shared" si="122"/>
        <v>2.9594505824570096</v>
      </c>
      <c r="AI121" s="61">
        <f t="shared" si="123"/>
        <v>2.2120485761190105</v>
      </c>
      <c r="AJ121" s="61">
        <f t="shared" si="123"/>
        <v>3.302088553751795</v>
      </c>
      <c r="AK121" s="61">
        <f t="shared" si="123"/>
        <v>2.7049441464220436</v>
      </c>
      <c r="AL121" s="61">
        <f t="shared" si="123"/>
        <v>2.6700571582209882</v>
      </c>
      <c r="AM121" s="61">
        <f t="shared" si="123"/>
        <v>3.2093151277676064</v>
      </c>
      <c r="AN121" s="61">
        <f t="shared" si="123"/>
        <v>3.261025063537399</v>
      </c>
      <c r="AO121" s="61">
        <f t="shared" si="123"/>
        <v>2.7775678514965731</v>
      </c>
      <c r="AP121" s="61">
        <f t="shared" si="123"/>
        <v>2.7270031761451965</v>
      </c>
      <c r="AQ121" s="61">
        <f t="shared" si="123"/>
        <v>3.2559096229433111</v>
      </c>
      <c r="AR121" s="61">
        <f t="shared" si="123"/>
        <v>2.3311561097116362</v>
      </c>
      <c r="AS121" s="61">
        <f t="shared" si="124"/>
        <v>2.8252033045963687</v>
      </c>
      <c r="AT121" s="61">
        <f t="shared" si="124"/>
        <v>2.671445692975071</v>
      </c>
      <c r="AU121" s="61">
        <f t="shared" si="124"/>
        <v>1.9155101298386772</v>
      </c>
      <c r="AV121" s="61">
        <f t="shared" si="124"/>
        <v>2.42293647849278</v>
      </c>
      <c r="AW121" s="61">
        <f t="shared" si="124"/>
        <v>1.7758485750260933</v>
      </c>
      <c r="AX121" s="61">
        <f t="shared" si="124"/>
        <v>2.4608797850991166</v>
      </c>
      <c r="AY121" s="61">
        <f t="shared" si="124"/>
        <v>1.7089187223884559</v>
      </c>
      <c r="AZ121" s="61">
        <f t="shared" si="124"/>
        <v>2.7685345524759559</v>
      </c>
      <c r="BA121" s="61">
        <f t="shared" si="124"/>
        <v>2.6350742125458591</v>
      </c>
      <c r="BB121" s="61">
        <f t="shared" si="124"/>
        <v>1.7023718433921149</v>
      </c>
      <c r="BC121" s="61">
        <f t="shared" si="125"/>
        <v>1.6957415624217824</v>
      </c>
      <c r="BD121" s="61">
        <f t="shared" si="125"/>
        <v>1.7942680912247591</v>
      </c>
      <c r="BE121" s="61">
        <f t="shared" si="125"/>
        <v>1.8902065837393893</v>
      </c>
      <c r="BF121" s="61">
        <f t="shared" si="125"/>
        <v>3.2544530536709906</v>
      </c>
      <c r="BG121" s="61">
        <f t="shared" si="125"/>
        <v>2.4446159819680218</v>
      </c>
      <c r="BH121" s="61">
        <f t="shared" si="125"/>
        <v>1.5927791943130578</v>
      </c>
      <c r="BI121" s="61">
        <f t="shared" si="125"/>
        <v>1.5762549487431223</v>
      </c>
      <c r="BJ121" s="61">
        <f t="shared" si="125"/>
        <v>2.2724914141333019</v>
      </c>
      <c r="BK121" s="61">
        <f t="shared" si="125"/>
        <v>1.6876360105181543</v>
      </c>
      <c r="BL121" s="61">
        <f t="shared" si="125"/>
        <v>2.1313110710279997</v>
      </c>
      <c r="BM121" s="61">
        <f t="shared" si="126"/>
        <v>2.5255757950936459</v>
      </c>
      <c r="BN121" s="61">
        <f t="shared" si="126"/>
        <v>2.0618030979296771</v>
      </c>
      <c r="BO121" s="61">
        <f t="shared" si="126"/>
        <v>1.4783637931370386</v>
      </c>
      <c r="BP121" s="61">
        <f t="shared" si="126"/>
        <v>2.1612735281407494</v>
      </c>
      <c r="BQ121" s="61">
        <f t="shared" si="126"/>
        <v>2.1360224376315649</v>
      </c>
      <c r="BR121" s="61">
        <f t="shared" si="126"/>
        <v>2.1556917684606081</v>
      </c>
      <c r="BS121" s="61">
        <f t="shared" si="126"/>
        <v>2.195424936160153</v>
      </c>
      <c r="BT121" s="61">
        <f t="shared" si="126"/>
        <v>1.8618787329935014</v>
      </c>
      <c r="BU121" s="61">
        <f t="shared" si="126"/>
        <v>1.8020581446046446</v>
      </c>
      <c r="BV121" s="61">
        <f t="shared" si="126"/>
        <v>1.2480325947886646</v>
      </c>
      <c r="BW121" s="61">
        <f t="shared" si="127"/>
        <v>1.8893182631555574</v>
      </c>
      <c r="BX121" s="61">
        <f t="shared" si="127"/>
        <v>1.2320168690614097</v>
      </c>
      <c r="BY121" s="61">
        <f t="shared" si="127"/>
        <v>1.5377711346586211</v>
      </c>
      <c r="BZ121" s="61">
        <f t="shared" si="127"/>
        <v>1.4857116954751635</v>
      </c>
      <c r="CA121" s="61">
        <f t="shared" si="127"/>
        <v>1.1807817626337074</v>
      </c>
      <c r="CB121" s="61">
        <f t="shared" si="127"/>
        <v>1.4712380046807698</v>
      </c>
      <c r="CC121" s="61">
        <f t="shared" si="127"/>
        <v>1.1625177827946258</v>
      </c>
      <c r="CD121" s="61">
        <f t="shared" si="127"/>
        <v>1.1239468052249511</v>
      </c>
      <c r="CE121" s="61">
        <f t="shared" si="127"/>
        <v>1.6218800987545621</v>
      </c>
      <c r="CF121" s="61">
        <f t="shared" si="127"/>
        <v>1.7733595657052474</v>
      </c>
      <c r="CG121" s="61">
        <f t="shared" si="128"/>
        <v>1.3812717164408996</v>
      </c>
      <c r="CH121" s="61">
        <f t="shared" si="128"/>
        <v>1.2773352446283825</v>
      </c>
      <c r="CI121" s="61">
        <f t="shared" si="128"/>
        <v>1.1779728061740729</v>
      </c>
      <c r="CJ121" s="61">
        <f t="shared" si="128"/>
        <v>1.0129697973100027</v>
      </c>
      <c r="CK121" s="61">
        <f t="shared" si="128"/>
        <v>1.4316930224821751</v>
      </c>
      <c r="CL121" s="61">
        <f t="shared" si="128"/>
        <v>0.87125454380976142</v>
      </c>
      <c r="CM121" s="61">
        <f t="shared" si="128"/>
        <v>1.2035188972086166</v>
      </c>
      <c r="CN121" s="61">
        <f t="shared" si="128"/>
        <v>2.0166242235250182</v>
      </c>
      <c r="CO121" s="61">
        <f t="shared" si="128"/>
        <v>1.3368959403962988</v>
      </c>
      <c r="CP121" s="61">
        <f t="shared" si="128"/>
        <v>0.76318447997330274</v>
      </c>
      <c r="CQ121" s="61">
        <f t="shared" si="129"/>
        <v>1.0376963962143972</v>
      </c>
      <c r="CR121" s="61">
        <f t="shared" si="129"/>
        <v>1.0708271890552497</v>
      </c>
      <c r="CS121" s="61">
        <f t="shared" si="129"/>
        <v>0.67623783759183309</v>
      </c>
      <c r="CT121" s="61">
        <f t="shared" si="129"/>
        <v>0.6266317466335114</v>
      </c>
      <c r="CU121" s="61">
        <f t="shared" si="129"/>
        <v>0.87872737130558332</v>
      </c>
      <c r="CV121" s="61">
        <f t="shared" si="129"/>
        <v>1.5437082976224188</v>
      </c>
      <c r="CW121" s="61">
        <f t="shared" si="129"/>
        <v>0.6266317466335114</v>
      </c>
      <c r="CX121" s="61">
        <f t="shared" si="129"/>
        <v>1.249652814096847</v>
      </c>
      <c r="CY121" s="61">
        <f t="shared" si="129"/>
        <v>0.57179475719683159</v>
      </c>
      <c r="CZ121" s="61">
        <f t="shared" si="129"/>
        <v>0.57179475719683159</v>
      </c>
      <c r="DA121" s="61">
        <f t="shared" si="130"/>
        <v>0.86001286225814555</v>
      </c>
      <c r="DB121" s="61">
        <f t="shared" si="130"/>
        <v>0.51049221855811311</v>
      </c>
      <c r="DC121" s="61">
        <f t="shared" si="130"/>
        <v>0.51049221855811311</v>
      </c>
      <c r="DD121" s="61">
        <f t="shared" si="130"/>
        <v>0.72095202493688282</v>
      </c>
      <c r="DE121" s="61">
        <f t="shared" si="130"/>
        <v>0.48302968339833119</v>
      </c>
      <c r="DF121" s="61">
        <f t="shared" si="130"/>
        <v>0.1497298933064648</v>
      </c>
      <c r="DG121" s="61">
        <f t="shared" si="130"/>
        <v>0</v>
      </c>
      <c r="DH121" s="61">
        <f t="shared" si="130"/>
        <v>0</v>
      </c>
      <c r="DI121" s="61">
        <f t="shared" si="130"/>
        <v>0</v>
      </c>
      <c r="DJ121" s="61">
        <f t="shared" si="130"/>
        <v>0</v>
      </c>
      <c r="DK121" s="61">
        <f t="shared" si="131"/>
        <v>0.21103243194518329</v>
      </c>
      <c r="DL121" s="61">
        <f t="shared" si="131"/>
        <v>0.21103243194518329</v>
      </c>
      <c r="DM121" s="61">
        <f t="shared" si="131"/>
        <v>0.21103243194518329</v>
      </c>
      <c r="DN121" s="61">
        <f t="shared" si="131"/>
        <v>0.21103243194518329</v>
      </c>
      <c r="DO121" s="61">
        <f t="shared" si="131"/>
        <v>0.21103243194518329</v>
      </c>
      <c r="DP121" s="61">
        <f t="shared" si="131"/>
        <v>0.57179475719683159</v>
      </c>
      <c r="DQ121" s="61">
        <f t="shared" si="131"/>
        <v>0.57179475719683159</v>
      </c>
    </row>
    <row r="122" spans="1:121" x14ac:dyDescent="0.25">
      <c r="A122" s="48" t="str">
        <f>KMeans_Data!A113</f>
        <v>Jhang</v>
      </c>
      <c r="B122" s="59">
        <f>KMeans_Data!H113</f>
        <v>-1.507943224606497</v>
      </c>
      <c r="C122" s="59">
        <f>KMeans_Data!I113</f>
        <v>-0.67265054538827607</v>
      </c>
      <c r="D122" s="59">
        <f>KMeans_Data!J113</f>
        <v>-1.1456441163335547</v>
      </c>
      <c r="E122" s="61">
        <f t="shared" si="120"/>
        <v>8.0258166331110399</v>
      </c>
      <c r="F122" s="61">
        <f t="shared" si="120"/>
        <v>7.7847884280926083</v>
      </c>
      <c r="G122" s="61">
        <f t="shared" si="120"/>
        <v>6.0145021339637186</v>
      </c>
      <c r="H122" s="61">
        <f t="shared" si="120"/>
        <v>6.3668275603991029</v>
      </c>
      <c r="I122" s="61">
        <f t="shared" si="120"/>
        <v>5.3955969001723227</v>
      </c>
      <c r="J122" s="61">
        <f t="shared" si="120"/>
        <v>4.9136701002887495</v>
      </c>
      <c r="K122" s="61">
        <f t="shared" si="120"/>
        <v>2.9841495910048361</v>
      </c>
      <c r="L122" s="61">
        <f t="shared" si="120"/>
        <v>4.2493483848774032</v>
      </c>
      <c r="M122" s="61">
        <f t="shared" si="120"/>
        <v>4.3909194052974829</v>
      </c>
      <c r="N122" s="61">
        <f t="shared" si="120"/>
        <v>2.7786302722806906</v>
      </c>
      <c r="O122" s="61">
        <f t="shared" si="121"/>
        <v>4.0234152471988187</v>
      </c>
      <c r="P122" s="61">
        <f t="shared" si="121"/>
        <v>4.2719655787240773</v>
      </c>
      <c r="Q122" s="61">
        <f t="shared" si="121"/>
        <v>3.7732277653418573</v>
      </c>
      <c r="R122" s="61">
        <f t="shared" si="121"/>
        <v>3.7983505335880898</v>
      </c>
      <c r="S122" s="61">
        <f t="shared" si="121"/>
        <v>3.4573303841659211</v>
      </c>
      <c r="T122" s="61">
        <f t="shared" si="121"/>
        <v>3.676020324028646</v>
      </c>
      <c r="U122" s="61">
        <f t="shared" si="121"/>
        <v>3.7755778747705664</v>
      </c>
      <c r="V122" s="61">
        <f t="shared" si="121"/>
        <v>3.5921364881294036</v>
      </c>
      <c r="W122" s="61">
        <f t="shared" si="121"/>
        <v>3.7562517505043296</v>
      </c>
      <c r="X122" s="61">
        <f t="shared" si="121"/>
        <v>3.5300722582308555</v>
      </c>
      <c r="Y122" s="61">
        <f t="shared" si="122"/>
        <v>3.6448756516877938</v>
      </c>
      <c r="Z122" s="61">
        <f t="shared" si="122"/>
        <v>3.2480509973269918</v>
      </c>
      <c r="AA122" s="61">
        <f t="shared" si="122"/>
        <v>3.2213755578704082</v>
      </c>
      <c r="AB122" s="61">
        <f t="shared" si="122"/>
        <v>3.1664998757569132</v>
      </c>
      <c r="AC122" s="61">
        <f t="shared" si="122"/>
        <v>3.5888201088408036</v>
      </c>
      <c r="AD122" s="61">
        <f t="shared" si="122"/>
        <v>3.6007102536662932</v>
      </c>
      <c r="AE122" s="61">
        <f t="shared" si="122"/>
        <v>2.2168421962261942</v>
      </c>
      <c r="AF122" s="61">
        <f t="shared" si="122"/>
        <v>3.2211401511744948</v>
      </c>
      <c r="AG122" s="61">
        <f t="shared" si="122"/>
        <v>2.2150275438168836</v>
      </c>
      <c r="AH122" s="61">
        <f t="shared" si="122"/>
        <v>2.9594505824570096</v>
      </c>
      <c r="AI122" s="61">
        <f t="shared" si="123"/>
        <v>2.2120485761190105</v>
      </c>
      <c r="AJ122" s="61">
        <f t="shared" si="123"/>
        <v>3.302088553751795</v>
      </c>
      <c r="AK122" s="61">
        <f t="shared" si="123"/>
        <v>2.7049441464220436</v>
      </c>
      <c r="AL122" s="61">
        <f t="shared" si="123"/>
        <v>2.6700571582209882</v>
      </c>
      <c r="AM122" s="61">
        <f t="shared" si="123"/>
        <v>3.2093151277676064</v>
      </c>
      <c r="AN122" s="61">
        <f t="shared" si="123"/>
        <v>3.261025063537399</v>
      </c>
      <c r="AO122" s="61">
        <f t="shared" si="123"/>
        <v>2.7775678514965731</v>
      </c>
      <c r="AP122" s="61">
        <f t="shared" si="123"/>
        <v>2.7270031761451965</v>
      </c>
      <c r="AQ122" s="61">
        <f t="shared" si="123"/>
        <v>3.2559096229433111</v>
      </c>
      <c r="AR122" s="61">
        <f t="shared" si="123"/>
        <v>2.3311561097116362</v>
      </c>
      <c r="AS122" s="61">
        <f t="shared" si="124"/>
        <v>2.8252033045963687</v>
      </c>
      <c r="AT122" s="61">
        <f t="shared" si="124"/>
        <v>2.671445692975071</v>
      </c>
      <c r="AU122" s="61">
        <f t="shared" si="124"/>
        <v>1.9155101298386772</v>
      </c>
      <c r="AV122" s="61">
        <f t="shared" si="124"/>
        <v>2.42293647849278</v>
      </c>
      <c r="AW122" s="61">
        <f t="shared" si="124"/>
        <v>1.7758485750260933</v>
      </c>
      <c r="AX122" s="61">
        <f t="shared" si="124"/>
        <v>2.4608797850991166</v>
      </c>
      <c r="AY122" s="61">
        <f t="shared" si="124"/>
        <v>1.7089187223884559</v>
      </c>
      <c r="AZ122" s="61">
        <f t="shared" si="124"/>
        <v>2.7685345524759559</v>
      </c>
      <c r="BA122" s="61">
        <f t="shared" si="124"/>
        <v>2.6350742125458591</v>
      </c>
      <c r="BB122" s="61">
        <f t="shared" si="124"/>
        <v>1.7023718433921149</v>
      </c>
      <c r="BC122" s="61">
        <f t="shared" si="125"/>
        <v>1.6957415624217824</v>
      </c>
      <c r="BD122" s="61">
        <f t="shared" si="125"/>
        <v>1.7942680912247591</v>
      </c>
      <c r="BE122" s="61">
        <f t="shared" si="125"/>
        <v>1.8902065837393893</v>
      </c>
      <c r="BF122" s="61">
        <f t="shared" si="125"/>
        <v>3.2544530536709906</v>
      </c>
      <c r="BG122" s="61">
        <f t="shared" si="125"/>
        <v>2.4446159819680218</v>
      </c>
      <c r="BH122" s="61">
        <f t="shared" si="125"/>
        <v>1.5927791943130578</v>
      </c>
      <c r="BI122" s="61">
        <f t="shared" si="125"/>
        <v>1.5762549487431223</v>
      </c>
      <c r="BJ122" s="61">
        <f t="shared" si="125"/>
        <v>2.2724914141333019</v>
      </c>
      <c r="BK122" s="61">
        <f t="shared" si="125"/>
        <v>1.6876360105181543</v>
      </c>
      <c r="BL122" s="61">
        <f t="shared" si="125"/>
        <v>2.1313110710279997</v>
      </c>
      <c r="BM122" s="61">
        <f t="shared" si="126"/>
        <v>2.5255757950936459</v>
      </c>
      <c r="BN122" s="61">
        <f t="shared" si="126"/>
        <v>2.0618030979296771</v>
      </c>
      <c r="BO122" s="61">
        <f t="shared" si="126"/>
        <v>1.4783637931370386</v>
      </c>
      <c r="BP122" s="61">
        <f t="shared" si="126"/>
        <v>2.1612735281407494</v>
      </c>
      <c r="BQ122" s="61">
        <f t="shared" si="126"/>
        <v>2.1360224376315649</v>
      </c>
      <c r="BR122" s="61">
        <f t="shared" si="126"/>
        <v>2.1556917684606081</v>
      </c>
      <c r="BS122" s="61">
        <f t="shared" si="126"/>
        <v>2.195424936160153</v>
      </c>
      <c r="BT122" s="61">
        <f t="shared" si="126"/>
        <v>1.8618787329935014</v>
      </c>
      <c r="BU122" s="61">
        <f t="shared" si="126"/>
        <v>1.8020581446046446</v>
      </c>
      <c r="BV122" s="61">
        <f t="shared" si="126"/>
        <v>1.2480325947886646</v>
      </c>
      <c r="BW122" s="61">
        <f t="shared" si="127"/>
        <v>1.8893182631555574</v>
      </c>
      <c r="BX122" s="61">
        <f t="shared" si="127"/>
        <v>1.2320168690614097</v>
      </c>
      <c r="BY122" s="61">
        <f t="shared" si="127"/>
        <v>1.5377711346586211</v>
      </c>
      <c r="BZ122" s="61">
        <f t="shared" si="127"/>
        <v>1.4857116954751635</v>
      </c>
      <c r="CA122" s="61">
        <f t="shared" si="127"/>
        <v>1.1807817626337074</v>
      </c>
      <c r="CB122" s="61">
        <f t="shared" si="127"/>
        <v>1.4712380046807698</v>
      </c>
      <c r="CC122" s="61">
        <f t="shared" si="127"/>
        <v>1.1625177827946258</v>
      </c>
      <c r="CD122" s="61">
        <f t="shared" si="127"/>
        <v>1.1239468052249511</v>
      </c>
      <c r="CE122" s="61">
        <f t="shared" si="127"/>
        <v>1.6218800987545621</v>
      </c>
      <c r="CF122" s="61">
        <f t="shared" si="127"/>
        <v>1.7733595657052474</v>
      </c>
      <c r="CG122" s="61">
        <f t="shared" si="128"/>
        <v>1.3812717164408996</v>
      </c>
      <c r="CH122" s="61">
        <f t="shared" si="128"/>
        <v>1.2773352446283825</v>
      </c>
      <c r="CI122" s="61">
        <f t="shared" si="128"/>
        <v>1.1779728061740729</v>
      </c>
      <c r="CJ122" s="61">
        <f t="shared" si="128"/>
        <v>1.0129697973100027</v>
      </c>
      <c r="CK122" s="61">
        <f t="shared" si="128"/>
        <v>1.4316930224821751</v>
      </c>
      <c r="CL122" s="61">
        <f t="shared" si="128"/>
        <v>0.87125454380976142</v>
      </c>
      <c r="CM122" s="61">
        <f t="shared" si="128"/>
        <v>1.2035188972086166</v>
      </c>
      <c r="CN122" s="61">
        <f t="shared" si="128"/>
        <v>2.0166242235250182</v>
      </c>
      <c r="CO122" s="61">
        <f t="shared" si="128"/>
        <v>1.3368959403962988</v>
      </c>
      <c r="CP122" s="61">
        <f t="shared" si="128"/>
        <v>0.76318447997330274</v>
      </c>
      <c r="CQ122" s="61">
        <f t="shared" si="129"/>
        <v>1.0376963962143972</v>
      </c>
      <c r="CR122" s="61">
        <f t="shared" si="129"/>
        <v>1.0708271890552497</v>
      </c>
      <c r="CS122" s="61">
        <f t="shared" si="129"/>
        <v>0.67623783759183309</v>
      </c>
      <c r="CT122" s="61">
        <f t="shared" si="129"/>
        <v>0.6266317466335114</v>
      </c>
      <c r="CU122" s="61">
        <f t="shared" si="129"/>
        <v>0.87872737130558332</v>
      </c>
      <c r="CV122" s="61">
        <f t="shared" si="129"/>
        <v>1.5437082976224188</v>
      </c>
      <c r="CW122" s="61">
        <f t="shared" si="129"/>
        <v>0.6266317466335114</v>
      </c>
      <c r="CX122" s="61">
        <f t="shared" si="129"/>
        <v>1.249652814096847</v>
      </c>
      <c r="CY122" s="61">
        <f t="shared" si="129"/>
        <v>0.57179475719683159</v>
      </c>
      <c r="CZ122" s="61">
        <f t="shared" si="129"/>
        <v>0.57179475719683159</v>
      </c>
      <c r="DA122" s="61">
        <f t="shared" si="130"/>
        <v>0.86001286225814555</v>
      </c>
      <c r="DB122" s="61">
        <f t="shared" si="130"/>
        <v>0.51049221855811311</v>
      </c>
      <c r="DC122" s="61">
        <f t="shared" si="130"/>
        <v>0.51049221855811311</v>
      </c>
      <c r="DD122" s="61">
        <f t="shared" si="130"/>
        <v>0.72095202493688282</v>
      </c>
      <c r="DE122" s="61">
        <f t="shared" si="130"/>
        <v>0.48302968339833119</v>
      </c>
      <c r="DF122" s="61">
        <f t="shared" si="130"/>
        <v>0.1497298933064648</v>
      </c>
      <c r="DG122" s="61">
        <f t="shared" si="130"/>
        <v>0</v>
      </c>
      <c r="DH122" s="61">
        <f t="shared" si="130"/>
        <v>0</v>
      </c>
      <c r="DI122" s="61">
        <f t="shared" si="130"/>
        <v>0</v>
      </c>
      <c r="DJ122" s="61">
        <f t="shared" si="130"/>
        <v>0</v>
      </c>
      <c r="DK122" s="61">
        <f t="shared" si="131"/>
        <v>0.21103243194518329</v>
      </c>
      <c r="DL122" s="61">
        <f t="shared" si="131"/>
        <v>0.21103243194518329</v>
      </c>
      <c r="DM122" s="61">
        <f t="shared" si="131"/>
        <v>0.21103243194518329</v>
      </c>
      <c r="DN122" s="61">
        <f t="shared" si="131"/>
        <v>0.21103243194518329</v>
      </c>
      <c r="DO122" s="61">
        <f t="shared" si="131"/>
        <v>0.21103243194518329</v>
      </c>
      <c r="DP122" s="61">
        <f t="shared" si="131"/>
        <v>0.57179475719683159</v>
      </c>
      <c r="DQ122" s="61">
        <f t="shared" si="131"/>
        <v>0.57179475719683159</v>
      </c>
    </row>
    <row r="123" spans="1:121" x14ac:dyDescent="0.25">
      <c r="A123" s="48" t="str">
        <f>KMeans_Data!A114</f>
        <v>Tor Ghar</v>
      </c>
      <c r="B123" s="59">
        <f>KMeans_Data!H114</f>
        <v>-1.507943224606497</v>
      </c>
      <c r="C123" s="59">
        <f>KMeans_Data!I114</f>
        <v>-0.67265054538827607</v>
      </c>
      <c r="D123" s="59">
        <f>KMeans_Data!J114</f>
        <v>-1.1456441163335547</v>
      </c>
      <c r="E123" s="61">
        <f t="shared" si="120"/>
        <v>8.0258166331110399</v>
      </c>
      <c r="F123" s="61">
        <f t="shared" si="120"/>
        <v>7.7847884280926083</v>
      </c>
      <c r="G123" s="61">
        <f t="shared" si="120"/>
        <v>6.0145021339637186</v>
      </c>
      <c r="H123" s="61">
        <f t="shared" si="120"/>
        <v>6.3668275603991029</v>
      </c>
      <c r="I123" s="61">
        <f t="shared" si="120"/>
        <v>5.3955969001723227</v>
      </c>
      <c r="J123" s="61">
        <f t="shared" si="120"/>
        <v>4.9136701002887495</v>
      </c>
      <c r="K123" s="61">
        <f t="shared" si="120"/>
        <v>2.9841495910048361</v>
      </c>
      <c r="L123" s="61">
        <f t="shared" si="120"/>
        <v>4.2493483848774032</v>
      </c>
      <c r="M123" s="61">
        <f t="shared" si="120"/>
        <v>4.3909194052974829</v>
      </c>
      <c r="N123" s="61">
        <f t="shared" si="120"/>
        <v>2.7786302722806906</v>
      </c>
      <c r="O123" s="61">
        <f t="shared" si="121"/>
        <v>4.0234152471988187</v>
      </c>
      <c r="P123" s="61">
        <f t="shared" si="121"/>
        <v>4.2719655787240773</v>
      </c>
      <c r="Q123" s="61">
        <f t="shared" si="121"/>
        <v>3.7732277653418573</v>
      </c>
      <c r="R123" s="61">
        <f t="shared" si="121"/>
        <v>3.7983505335880898</v>
      </c>
      <c r="S123" s="61">
        <f t="shared" si="121"/>
        <v>3.4573303841659211</v>
      </c>
      <c r="T123" s="61">
        <f t="shared" si="121"/>
        <v>3.676020324028646</v>
      </c>
      <c r="U123" s="61">
        <f t="shared" si="121"/>
        <v>3.7755778747705664</v>
      </c>
      <c r="V123" s="61">
        <f t="shared" si="121"/>
        <v>3.5921364881294036</v>
      </c>
      <c r="W123" s="61">
        <f t="shared" si="121"/>
        <v>3.7562517505043296</v>
      </c>
      <c r="X123" s="61">
        <f t="shared" si="121"/>
        <v>3.5300722582308555</v>
      </c>
      <c r="Y123" s="61">
        <f t="shared" si="122"/>
        <v>3.6448756516877938</v>
      </c>
      <c r="Z123" s="61">
        <f t="shared" si="122"/>
        <v>3.2480509973269918</v>
      </c>
      <c r="AA123" s="61">
        <f t="shared" si="122"/>
        <v>3.2213755578704082</v>
      </c>
      <c r="AB123" s="61">
        <f t="shared" si="122"/>
        <v>3.1664998757569132</v>
      </c>
      <c r="AC123" s="61">
        <f t="shared" si="122"/>
        <v>3.5888201088408036</v>
      </c>
      <c r="AD123" s="61">
        <f t="shared" si="122"/>
        <v>3.6007102536662932</v>
      </c>
      <c r="AE123" s="61">
        <f t="shared" si="122"/>
        <v>2.2168421962261942</v>
      </c>
      <c r="AF123" s="61">
        <f t="shared" si="122"/>
        <v>3.2211401511744948</v>
      </c>
      <c r="AG123" s="61">
        <f t="shared" si="122"/>
        <v>2.2150275438168836</v>
      </c>
      <c r="AH123" s="61">
        <f t="shared" si="122"/>
        <v>2.9594505824570096</v>
      </c>
      <c r="AI123" s="61">
        <f t="shared" si="123"/>
        <v>2.2120485761190105</v>
      </c>
      <c r="AJ123" s="61">
        <f t="shared" si="123"/>
        <v>3.302088553751795</v>
      </c>
      <c r="AK123" s="61">
        <f t="shared" si="123"/>
        <v>2.7049441464220436</v>
      </c>
      <c r="AL123" s="61">
        <f t="shared" si="123"/>
        <v>2.6700571582209882</v>
      </c>
      <c r="AM123" s="61">
        <f t="shared" si="123"/>
        <v>3.2093151277676064</v>
      </c>
      <c r="AN123" s="61">
        <f t="shared" si="123"/>
        <v>3.261025063537399</v>
      </c>
      <c r="AO123" s="61">
        <f t="shared" si="123"/>
        <v>2.7775678514965731</v>
      </c>
      <c r="AP123" s="61">
        <f t="shared" si="123"/>
        <v>2.7270031761451965</v>
      </c>
      <c r="AQ123" s="61">
        <f t="shared" si="123"/>
        <v>3.2559096229433111</v>
      </c>
      <c r="AR123" s="61">
        <f t="shared" si="123"/>
        <v>2.3311561097116362</v>
      </c>
      <c r="AS123" s="61">
        <f t="shared" si="124"/>
        <v>2.8252033045963687</v>
      </c>
      <c r="AT123" s="61">
        <f t="shared" si="124"/>
        <v>2.671445692975071</v>
      </c>
      <c r="AU123" s="61">
        <f t="shared" si="124"/>
        <v>1.9155101298386772</v>
      </c>
      <c r="AV123" s="61">
        <f t="shared" si="124"/>
        <v>2.42293647849278</v>
      </c>
      <c r="AW123" s="61">
        <f t="shared" si="124"/>
        <v>1.7758485750260933</v>
      </c>
      <c r="AX123" s="61">
        <f t="shared" si="124"/>
        <v>2.4608797850991166</v>
      </c>
      <c r="AY123" s="61">
        <f t="shared" si="124"/>
        <v>1.7089187223884559</v>
      </c>
      <c r="AZ123" s="61">
        <f t="shared" si="124"/>
        <v>2.7685345524759559</v>
      </c>
      <c r="BA123" s="61">
        <f t="shared" si="124"/>
        <v>2.6350742125458591</v>
      </c>
      <c r="BB123" s="61">
        <f t="shared" si="124"/>
        <v>1.7023718433921149</v>
      </c>
      <c r="BC123" s="61">
        <f t="shared" si="125"/>
        <v>1.6957415624217824</v>
      </c>
      <c r="BD123" s="61">
        <f t="shared" si="125"/>
        <v>1.7942680912247591</v>
      </c>
      <c r="BE123" s="61">
        <f t="shared" si="125"/>
        <v>1.8902065837393893</v>
      </c>
      <c r="BF123" s="61">
        <f t="shared" si="125"/>
        <v>3.2544530536709906</v>
      </c>
      <c r="BG123" s="61">
        <f t="shared" si="125"/>
        <v>2.4446159819680218</v>
      </c>
      <c r="BH123" s="61">
        <f t="shared" si="125"/>
        <v>1.5927791943130578</v>
      </c>
      <c r="BI123" s="61">
        <f t="shared" si="125"/>
        <v>1.5762549487431223</v>
      </c>
      <c r="BJ123" s="61">
        <f t="shared" si="125"/>
        <v>2.2724914141333019</v>
      </c>
      <c r="BK123" s="61">
        <f t="shared" si="125"/>
        <v>1.6876360105181543</v>
      </c>
      <c r="BL123" s="61">
        <f t="shared" si="125"/>
        <v>2.1313110710279997</v>
      </c>
      <c r="BM123" s="61">
        <f t="shared" si="126"/>
        <v>2.5255757950936459</v>
      </c>
      <c r="BN123" s="61">
        <f t="shared" si="126"/>
        <v>2.0618030979296771</v>
      </c>
      <c r="BO123" s="61">
        <f t="shared" si="126"/>
        <v>1.4783637931370386</v>
      </c>
      <c r="BP123" s="61">
        <f t="shared" si="126"/>
        <v>2.1612735281407494</v>
      </c>
      <c r="BQ123" s="61">
        <f t="shared" si="126"/>
        <v>2.1360224376315649</v>
      </c>
      <c r="BR123" s="61">
        <f t="shared" si="126"/>
        <v>2.1556917684606081</v>
      </c>
      <c r="BS123" s="61">
        <f t="shared" si="126"/>
        <v>2.195424936160153</v>
      </c>
      <c r="BT123" s="61">
        <f t="shared" si="126"/>
        <v>1.8618787329935014</v>
      </c>
      <c r="BU123" s="61">
        <f t="shared" si="126"/>
        <v>1.8020581446046446</v>
      </c>
      <c r="BV123" s="61">
        <f t="shared" si="126"/>
        <v>1.2480325947886646</v>
      </c>
      <c r="BW123" s="61">
        <f t="shared" si="127"/>
        <v>1.8893182631555574</v>
      </c>
      <c r="BX123" s="61">
        <f t="shared" si="127"/>
        <v>1.2320168690614097</v>
      </c>
      <c r="BY123" s="61">
        <f t="shared" si="127"/>
        <v>1.5377711346586211</v>
      </c>
      <c r="BZ123" s="61">
        <f t="shared" si="127"/>
        <v>1.4857116954751635</v>
      </c>
      <c r="CA123" s="61">
        <f t="shared" si="127"/>
        <v>1.1807817626337074</v>
      </c>
      <c r="CB123" s="61">
        <f t="shared" si="127"/>
        <v>1.4712380046807698</v>
      </c>
      <c r="CC123" s="61">
        <f t="shared" si="127"/>
        <v>1.1625177827946258</v>
      </c>
      <c r="CD123" s="61">
        <f t="shared" si="127"/>
        <v>1.1239468052249511</v>
      </c>
      <c r="CE123" s="61">
        <f t="shared" si="127"/>
        <v>1.6218800987545621</v>
      </c>
      <c r="CF123" s="61">
        <f t="shared" si="127"/>
        <v>1.7733595657052474</v>
      </c>
      <c r="CG123" s="61">
        <f t="shared" si="128"/>
        <v>1.3812717164408996</v>
      </c>
      <c r="CH123" s="61">
        <f t="shared" si="128"/>
        <v>1.2773352446283825</v>
      </c>
      <c r="CI123" s="61">
        <f t="shared" si="128"/>
        <v>1.1779728061740729</v>
      </c>
      <c r="CJ123" s="61">
        <f t="shared" si="128"/>
        <v>1.0129697973100027</v>
      </c>
      <c r="CK123" s="61">
        <f t="shared" si="128"/>
        <v>1.4316930224821751</v>
      </c>
      <c r="CL123" s="61">
        <f t="shared" si="128"/>
        <v>0.87125454380976142</v>
      </c>
      <c r="CM123" s="61">
        <f t="shared" si="128"/>
        <v>1.2035188972086166</v>
      </c>
      <c r="CN123" s="61">
        <f t="shared" si="128"/>
        <v>2.0166242235250182</v>
      </c>
      <c r="CO123" s="61">
        <f t="shared" si="128"/>
        <v>1.3368959403962988</v>
      </c>
      <c r="CP123" s="61">
        <f t="shared" si="128"/>
        <v>0.76318447997330274</v>
      </c>
      <c r="CQ123" s="61">
        <f t="shared" si="129"/>
        <v>1.0376963962143972</v>
      </c>
      <c r="CR123" s="61">
        <f t="shared" si="129"/>
        <v>1.0708271890552497</v>
      </c>
      <c r="CS123" s="61">
        <f t="shared" si="129"/>
        <v>0.67623783759183309</v>
      </c>
      <c r="CT123" s="61">
        <f t="shared" si="129"/>
        <v>0.6266317466335114</v>
      </c>
      <c r="CU123" s="61">
        <f t="shared" si="129"/>
        <v>0.87872737130558332</v>
      </c>
      <c r="CV123" s="61">
        <f t="shared" si="129"/>
        <v>1.5437082976224188</v>
      </c>
      <c r="CW123" s="61">
        <f t="shared" si="129"/>
        <v>0.6266317466335114</v>
      </c>
      <c r="CX123" s="61">
        <f t="shared" si="129"/>
        <v>1.249652814096847</v>
      </c>
      <c r="CY123" s="61">
        <f t="shared" si="129"/>
        <v>0.57179475719683159</v>
      </c>
      <c r="CZ123" s="61">
        <f t="shared" si="129"/>
        <v>0.57179475719683159</v>
      </c>
      <c r="DA123" s="61">
        <f t="shared" si="130"/>
        <v>0.86001286225814555</v>
      </c>
      <c r="DB123" s="61">
        <f t="shared" si="130"/>
        <v>0.51049221855811311</v>
      </c>
      <c r="DC123" s="61">
        <f t="shared" si="130"/>
        <v>0.51049221855811311</v>
      </c>
      <c r="DD123" s="61">
        <f t="shared" si="130"/>
        <v>0.72095202493688282</v>
      </c>
      <c r="DE123" s="61">
        <f t="shared" si="130"/>
        <v>0.48302968339833119</v>
      </c>
      <c r="DF123" s="61">
        <f t="shared" si="130"/>
        <v>0.1497298933064648</v>
      </c>
      <c r="DG123" s="61">
        <f t="shared" si="130"/>
        <v>0</v>
      </c>
      <c r="DH123" s="61">
        <f t="shared" si="130"/>
        <v>0</v>
      </c>
      <c r="DI123" s="61">
        <f t="shared" si="130"/>
        <v>0</v>
      </c>
      <c r="DJ123" s="61">
        <f t="shared" si="130"/>
        <v>0</v>
      </c>
      <c r="DK123" s="61">
        <f t="shared" si="131"/>
        <v>0.21103243194518329</v>
      </c>
      <c r="DL123" s="61">
        <f t="shared" si="131"/>
        <v>0.21103243194518329</v>
      </c>
      <c r="DM123" s="61">
        <f t="shared" si="131"/>
        <v>0.21103243194518329</v>
      </c>
      <c r="DN123" s="61">
        <f t="shared" si="131"/>
        <v>0.21103243194518329</v>
      </c>
      <c r="DO123" s="61">
        <f t="shared" si="131"/>
        <v>0.21103243194518329</v>
      </c>
      <c r="DP123" s="61">
        <f t="shared" si="131"/>
        <v>0.57179475719683159</v>
      </c>
      <c r="DQ123" s="61">
        <f t="shared" si="131"/>
        <v>0.57179475719683159</v>
      </c>
    </row>
    <row r="124" spans="1:121" x14ac:dyDescent="0.25">
      <c r="A124" s="48" t="str">
        <f>KMeans_Data!A115</f>
        <v>Trarkhel</v>
      </c>
      <c r="B124" s="59">
        <f>KMeans_Data!H115</f>
        <v>-1.7189756565516803</v>
      </c>
      <c r="C124" s="59">
        <f>KMeans_Data!I115</f>
        <v>-0.67265054538827607</v>
      </c>
      <c r="D124" s="59">
        <f>KMeans_Data!J115</f>
        <v>-1.1456441163335547</v>
      </c>
      <c r="E124" s="61">
        <f t="shared" ref="E124:N130" si="132">SQRT(($B124-E$5)^2+($C124-E$6)^2+($D124-E$7)^2)</f>
        <v>8.153323730623006</v>
      </c>
      <c r="F124" s="61">
        <f t="shared" si="132"/>
        <v>7.9155347334210528</v>
      </c>
      <c r="G124" s="61">
        <f t="shared" si="132"/>
        <v>6.1524959405394304</v>
      </c>
      <c r="H124" s="61">
        <f t="shared" si="132"/>
        <v>6.4967159794266198</v>
      </c>
      <c r="I124" s="61">
        <f t="shared" si="132"/>
        <v>5.541642855757936</v>
      </c>
      <c r="J124" s="61">
        <f t="shared" si="132"/>
        <v>5.0453541823317503</v>
      </c>
      <c r="K124" s="61">
        <f t="shared" si="132"/>
        <v>3.186138857429877</v>
      </c>
      <c r="L124" s="61">
        <f t="shared" si="132"/>
        <v>4.3924399735273445</v>
      </c>
      <c r="M124" s="61">
        <f t="shared" si="132"/>
        <v>4.5268743412247572</v>
      </c>
      <c r="N124" s="61">
        <f t="shared" si="132"/>
        <v>2.9847777059125553</v>
      </c>
      <c r="O124" s="61">
        <f t="shared" ref="O124:X130" si="133">SQRT(($B124-O$5)^2+($C124-O$6)^2+($D124-O$7)^2)</f>
        <v>4.1653882750283069</v>
      </c>
      <c r="P124" s="61">
        <f t="shared" si="133"/>
        <v>4.405262252304821</v>
      </c>
      <c r="Q124" s="61">
        <f t="shared" si="133"/>
        <v>3.9189599404951507</v>
      </c>
      <c r="R124" s="61">
        <f t="shared" si="133"/>
        <v>3.9428764577316429</v>
      </c>
      <c r="S124" s="61">
        <f t="shared" si="133"/>
        <v>3.6137905856001775</v>
      </c>
      <c r="T124" s="61">
        <f t="shared" si="133"/>
        <v>3.8214888319575211</v>
      </c>
      <c r="U124" s="61">
        <f t="shared" si="133"/>
        <v>3.9124747103512276</v>
      </c>
      <c r="V124" s="61">
        <f t="shared" si="133"/>
        <v>3.7342269435146078</v>
      </c>
      <c r="W124" s="61">
        <f t="shared" si="133"/>
        <v>3.8922548197583651</v>
      </c>
      <c r="X124" s="61">
        <f t="shared" si="133"/>
        <v>3.6739158996919632</v>
      </c>
      <c r="Y124" s="61">
        <f t="shared" ref="Y124:AH130" si="134">SQRT(($B124-Y$5)^2+($C124-Y$6)^2+($D124-Y$7)^2)</f>
        <v>3.781463372479656</v>
      </c>
      <c r="Z124" s="61">
        <f t="shared" si="134"/>
        <v>3.4003534038599428</v>
      </c>
      <c r="AA124" s="61">
        <f t="shared" si="134"/>
        <v>3.3747494245912533</v>
      </c>
      <c r="AB124" s="61">
        <f t="shared" si="134"/>
        <v>3.3224079606668799</v>
      </c>
      <c r="AC124" s="61">
        <f t="shared" si="134"/>
        <v>3.7258755532795464</v>
      </c>
      <c r="AD124" s="61">
        <f t="shared" si="134"/>
        <v>3.7343014254069136</v>
      </c>
      <c r="AE124" s="61">
        <f t="shared" si="134"/>
        <v>2.4223727569813844</v>
      </c>
      <c r="AF124" s="61">
        <f t="shared" si="134"/>
        <v>3.3631798208964363</v>
      </c>
      <c r="AG124" s="61">
        <f t="shared" si="134"/>
        <v>2.4147838478770773</v>
      </c>
      <c r="AH124" s="61">
        <f t="shared" si="134"/>
        <v>3.1117811237466078</v>
      </c>
      <c r="AI124" s="61">
        <f t="shared" ref="AI124:AR130" si="135">SQRT(($B124-AI$5)^2+($C124-AI$6)^2+($D124-AI$7)^2)</f>
        <v>2.4117747652610055</v>
      </c>
      <c r="AJ124" s="61">
        <f t="shared" si="135"/>
        <v>3.4386904534959157</v>
      </c>
      <c r="AK124" s="61">
        <f t="shared" si="135"/>
        <v>2.867416865409512</v>
      </c>
      <c r="AL124" s="61">
        <f t="shared" si="135"/>
        <v>2.8310396744849422</v>
      </c>
      <c r="AM124" s="61">
        <f t="shared" si="135"/>
        <v>3.3444407603751443</v>
      </c>
      <c r="AN124" s="61">
        <f t="shared" si="135"/>
        <v>3.3921595223746079</v>
      </c>
      <c r="AO124" s="61">
        <f t="shared" si="135"/>
        <v>2.9289467788239918</v>
      </c>
      <c r="AP124" s="61">
        <f t="shared" si="135"/>
        <v>2.8807339242180245</v>
      </c>
      <c r="AQ124" s="61">
        <f t="shared" si="135"/>
        <v>3.384374064978549</v>
      </c>
      <c r="AR124" s="61">
        <f t="shared" si="135"/>
        <v>2.5059565554156347</v>
      </c>
      <c r="AS124" s="61">
        <f t="shared" ref="AS124:BB130" si="136">SQRT(($B124-AS$5)^2+($C124-AS$6)^2+($D124-AS$7)^2)</f>
        <v>2.9659064991514752</v>
      </c>
      <c r="AT124" s="61">
        <f t="shared" si="136"/>
        <v>2.8165818159944025</v>
      </c>
      <c r="AU124" s="61">
        <f t="shared" si="136"/>
        <v>2.1120752686489537</v>
      </c>
      <c r="AV124" s="61">
        <f t="shared" si="136"/>
        <v>2.5806684403946556</v>
      </c>
      <c r="AW124" s="61">
        <f t="shared" si="136"/>
        <v>1.9837676851984569</v>
      </c>
      <c r="AX124" s="61">
        <f t="shared" si="136"/>
        <v>2.6143940197347968</v>
      </c>
      <c r="AY124" s="61">
        <f t="shared" si="136"/>
        <v>1.9199511543336392</v>
      </c>
      <c r="AZ124" s="61">
        <f t="shared" si="136"/>
        <v>2.9035483125910826</v>
      </c>
      <c r="BA124" s="61">
        <f t="shared" si="136"/>
        <v>2.7760875586567808</v>
      </c>
      <c r="BB124" s="61">
        <f t="shared" si="136"/>
        <v>1.9134042753372982</v>
      </c>
      <c r="BC124" s="61">
        <f t="shared" ref="BC124:BL130" si="137">SQRT(($B124-BC$5)^2+($C124-BC$6)^2+($D124-BC$7)^2)</f>
        <v>1.9067739943669657</v>
      </c>
      <c r="BD124" s="61">
        <f t="shared" si="137"/>
        <v>1.9927443151481685</v>
      </c>
      <c r="BE124" s="61">
        <f t="shared" si="137"/>
        <v>2.0781182368102598</v>
      </c>
      <c r="BF124" s="61">
        <f t="shared" si="137"/>
        <v>3.3657006390141153</v>
      </c>
      <c r="BG124" s="61">
        <f t="shared" si="137"/>
        <v>2.5883774445742067</v>
      </c>
      <c r="BH124" s="61">
        <f t="shared" si="137"/>
        <v>1.8038116262582411</v>
      </c>
      <c r="BI124" s="61">
        <f t="shared" si="137"/>
        <v>1.7872873806883056</v>
      </c>
      <c r="BJ124" s="61">
        <f t="shared" si="137"/>
        <v>2.4198270660335304</v>
      </c>
      <c r="BK124" s="61">
        <f t="shared" si="137"/>
        <v>1.8792591199003652</v>
      </c>
      <c r="BL124" s="61">
        <f t="shared" si="137"/>
        <v>2.2851598682066729</v>
      </c>
      <c r="BM124" s="61">
        <f t="shared" ref="BM124:BV130" si="138">SQRT(($B124-BM$5)^2+($C124-BM$6)^2+($D124-BM$7)^2)</f>
        <v>2.6543258521384199</v>
      </c>
      <c r="BN124" s="61">
        <f t="shared" si="138"/>
        <v>2.2166629338568868</v>
      </c>
      <c r="BO124" s="61">
        <f t="shared" si="138"/>
        <v>1.6849791093683231</v>
      </c>
      <c r="BP124" s="61">
        <f t="shared" si="138"/>
        <v>2.304456778649107</v>
      </c>
      <c r="BQ124" s="61">
        <f t="shared" si="138"/>
        <v>2.2797089673217328</v>
      </c>
      <c r="BR124" s="61">
        <f t="shared" si="138"/>
        <v>2.2959244265376562</v>
      </c>
      <c r="BS124" s="61">
        <f t="shared" si="138"/>
        <v>2.3297796392962122</v>
      </c>
      <c r="BT124" s="61">
        <f t="shared" si="138"/>
        <v>2.0141975532414662</v>
      </c>
      <c r="BU124" s="61">
        <f t="shared" si="138"/>
        <v>1.9590336708812224</v>
      </c>
      <c r="BV124" s="61">
        <f t="shared" si="138"/>
        <v>1.4590650267338479</v>
      </c>
      <c r="BW124" s="61">
        <f t="shared" ref="BW124:CF130" si="139">SQRT(($B124-BW$5)^2+($C124-BW$6)^2+($D124-BW$7)^2)</f>
        <v>2.0332361444202367</v>
      </c>
      <c r="BX124" s="61">
        <f t="shared" si="139"/>
        <v>1.443049301006593</v>
      </c>
      <c r="BY124" s="61">
        <f t="shared" si="139"/>
        <v>1.7073630162164468</v>
      </c>
      <c r="BZ124" s="61">
        <f t="shared" si="139"/>
        <v>1.6583848839562565</v>
      </c>
      <c r="CA124" s="61">
        <f t="shared" si="139"/>
        <v>1.3918141945788909</v>
      </c>
      <c r="CB124" s="61">
        <f t="shared" si="139"/>
        <v>1.6430866877663806</v>
      </c>
      <c r="CC124" s="61">
        <f t="shared" si="139"/>
        <v>1.3735502147398091</v>
      </c>
      <c r="CD124" s="61">
        <f t="shared" si="139"/>
        <v>1.3349792371701343</v>
      </c>
      <c r="CE124" s="61">
        <f t="shared" si="139"/>
        <v>1.7722281175781536</v>
      </c>
      <c r="CF124" s="61">
        <f t="shared" si="139"/>
        <v>1.9118319997522799</v>
      </c>
      <c r="CG124" s="61">
        <f t="shared" ref="CG124:CP130" si="140">SQRT(($B124-CG$5)^2+($C124-CG$6)^2+($D124-CG$7)^2)</f>
        <v>1.5460037433839253</v>
      </c>
      <c r="CH124" s="61">
        <f t="shared" si="140"/>
        <v>1.4538917934589806</v>
      </c>
      <c r="CI124" s="61">
        <f t="shared" si="140"/>
        <v>1.3597422417409424</v>
      </c>
      <c r="CJ124" s="61">
        <f t="shared" si="140"/>
        <v>1.2149564338245349</v>
      </c>
      <c r="CK124" s="61">
        <f t="shared" si="140"/>
        <v>1.5733159462810029</v>
      </c>
      <c r="CL124" s="61">
        <f t="shared" si="140"/>
        <v>1.0822869757549447</v>
      </c>
      <c r="CM124" s="61">
        <f t="shared" si="140"/>
        <v>1.3640815055259248</v>
      </c>
      <c r="CN124" s="61">
        <f t="shared" si="140"/>
        <v>2.1094313817476538</v>
      </c>
      <c r="CO124" s="61">
        <f t="shared" si="140"/>
        <v>1.4676303337162171</v>
      </c>
      <c r="CP124" s="61">
        <f t="shared" si="140"/>
        <v>0.97421691191848603</v>
      </c>
      <c r="CQ124" s="61">
        <f t="shared" ref="CQ124:CZ130" si="141">SQRT(($B124-CQ$5)^2+($C124-CQ$6)^2+($D124-CQ$7)^2)</f>
        <v>1.194101629450887</v>
      </c>
      <c r="CR124" s="61">
        <f t="shared" si="141"/>
        <v>1.2151632758742252</v>
      </c>
      <c r="CS124" s="61">
        <f t="shared" si="141"/>
        <v>0.88727026953701638</v>
      </c>
      <c r="CT124" s="61">
        <f t="shared" si="141"/>
        <v>0.83766417857869468</v>
      </c>
      <c r="CU124" s="61">
        <f t="shared" si="141"/>
        <v>1.0397960007937013</v>
      </c>
      <c r="CV124" s="61">
        <f t="shared" si="141"/>
        <v>1.640746549084672</v>
      </c>
      <c r="CW124" s="61">
        <f t="shared" si="141"/>
        <v>0.83766417857869468</v>
      </c>
      <c r="CX124" s="61">
        <f t="shared" si="141"/>
        <v>1.3592282072861692</v>
      </c>
      <c r="CY124" s="61">
        <f t="shared" si="141"/>
        <v>0.78282718914201488</v>
      </c>
      <c r="CZ124" s="61">
        <f t="shared" si="141"/>
        <v>0.78282718914201488</v>
      </c>
      <c r="DA124" s="61">
        <f t="shared" ref="DA124:DJ130" si="142">SQRT(($B124-DA$5)^2+($C124-DA$6)^2+($D124-DA$7)^2)</f>
        <v>1.012665436830769</v>
      </c>
      <c r="DB124" s="61">
        <f t="shared" si="142"/>
        <v>0.72152465050329639</v>
      </c>
      <c r="DC124" s="61">
        <f t="shared" si="142"/>
        <v>0.72152465050329639</v>
      </c>
      <c r="DD124" s="61">
        <f t="shared" si="142"/>
        <v>0.88304435807954251</v>
      </c>
      <c r="DE124" s="61">
        <f t="shared" si="142"/>
        <v>0.65583341183619148</v>
      </c>
      <c r="DF124" s="61">
        <f t="shared" si="142"/>
        <v>0.36076232525164809</v>
      </c>
      <c r="DG124" s="61">
        <f t="shared" si="142"/>
        <v>0.21103243194518329</v>
      </c>
      <c r="DH124" s="61">
        <f t="shared" si="142"/>
        <v>0.21103243194518329</v>
      </c>
      <c r="DI124" s="61">
        <f t="shared" si="142"/>
        <v>0.21103243194518329</v>
      </c>
      <c r="DJ124" s="61">
        <f t="shared" si="142"/>
        <v>0.21103243194518329</v>
      </c>
      <c r="DK124" s="61">
        <f t="shared" ref="DK124:DQ130" si="143">SQRT(($B124-DK$5)^2+($C124-DK$6)^2+($D124-DK$7)^2)</f>
        <v>0</v>
      </c>
      <c r="DL124" s="61">
        <f t="shared" si="143"/>
        <v>0</v>
      </c>
      <c r="DM124" s="61">
        <f t="shared" si="143"/>
        <v>0</v>
      </c>
      <c r="DN124" s="61">
        <f t="shared" si="143"/>
        <v>0</v>
      </c>
      <c r="DO124" s="61">
        <f t="shared" si="143"/>
        <v>0</v>
      </c>
      <c r="DP124" s="61">
        <f t="shared" si="143"/>
        <v>0.36076232525164831</v>
      </c>
      <c r="DQ124" s="61">
        <f t="shared" si="143"/>
        <v>0.36076232525164831</v>
      </c>
    </row>
    <row r="125" spans="1:121" x14ac:dyDescent="0.25">
      <c r="A125" s="48" t="str">
        <f>KMeans_Data!A116</f>
        <v>Kohistan Upper</v>
      </c>
      <c r="B125" s="59">
        <f>KMeans_Data!H116</f>
        <v>-1.7189756565516803</v>
      </c>
      <c r="C125" s="59">
        <f>KMeans_Data!I116</f>
        <v>-0.67265054538827607</v>
      </c>
      <c r="D125" s="59">
        <f>KMeans_Data!J116</f>
        <v>-1.1456441163335547</v>
      </c>
      <c r="E125" s="61">
        <f t="shared" si="132"/>
        <v>8.153323730623006</v>
      </c>
      <c r="F125" s="61">
        <f t="shared" si="132"/>
        <v>7.9155347334210528</v>
      </c>
      <c r="G125" s="61">
        <f t="shared" si="132"/>
        <v>6.1524959405394304</v>
      </c>
      <c r="H125" s="61">
        <f t="shared" si="132"/>
        <v>6.4967159794266198</v>
      </c>
      <c r="I125" s="61">
        <f t="shared" si="132"/>
        <v>5.541642855757936</v>
      </c>
      <c r="J125" s="61">
        <f t="shared" si="132"/>
        <v>5.0453541823317503</v>
      </c>
      <c r="K125" s="61">
        <f t="shared" si="132"/>
        <v>3.186138857429877</v>
      </c>
      <c r="L125" s="61">
        <f t="shared" si="132"/>
        <v>4.3924399735273445</v>
      </c>
      <c r="M125" s="61">
        <f t="shared" si="132"/>
        <v>4.5268743412247572</v>
      </c>
      <c r="N125" s="61">
        <f t="shared" si="132"/>
        <v>2.9847777059125553</v>
      </c>
      <c r="O125" s="61">
        <f t="shared" si="133"/>
        <v>4.1653882750283069</v>
      </c>
      <c r="P125" s="61">
        <f t="shared" si="133"/>
        <v>4.405262252304821</v>
      </c>
      <c r="Q125" s="61">
        <f t="shared" si="133"/>
        <v>3.9189599404951507</v>
      </c>
      <c r="R125" s="61">
        <f t="shared" si="133"/>
        <v>3.9428764577316429</v>
      </c>
      <c r="S125" s="61">
        <f t="shared" si="133"/>
        <v>3.6137905856001775</v>
      </c>
      <c r="T125" s="61">
        <f t="shared" si="133"/>
        <v>3.8214888319575211</v>
      </c>
      <c r="U125" s="61">
        <f t="shared" si="133"/>
        <v>3.9124747103512276</v>
      </c>
      <c r="V125" s="61">
        <f t="shared" si="133"/>
        <v>3.7342269435146078</v>
      </c>
      <c r="W125" s="61">
        <f t="shared" si="133"/>
        <v>3.8922548197583651</v>
      </c>
      <c r="X125" s="61">
        <f t="shared" si="133"/>
        <v>3.6739158996919632</v>
      </c>
      <c r="Y125" s="61">
        <f t="shared" si="134"/>
        <v>3.781463372479656</v>
      </c>
      <c r="Z125" s="61">
        <f t="shared" si="134"/>
        <v>3.4003534038599428</v>
      </c>
      <c r="AA125" s="61">
        <f t="shared" si="134"/>
        <v>3.3747494245912533</v>
      </c>
      <c r="AB125" s="61">
        <f t="shared" si="134"/>
        <v>3.3224079606668799</v>
      </c>
      <c r="AC125" s="61">
        <f t="shared" si="134"/>
        <v>3.7258755532795464</v>
      </c>
      <c r="AD125" s="61">
        <f t="shared" si="134"/>
        <v>3.7343014254069136</v>
      </c>
      <c r="AE125" s="61">
        <f t="shared" si="134"/>
        <v>2.4223727569813844</v>
      </c>
      <c r="AF125" s="61">
        <f t="shared" si="134"/>
        <v>3.3631798208964363</v>
      </c>
      <c r="AG125" s="61">
        <f t="shared" si="134"/>
        <v>2.4147838478770773</v>
      </c>
      <c r="AH125" s="61">
        <f t="shared" si="134"/>
        <v>3.1117811237466078</v>
      </c>
      <c r="AI125" s="61">
        <f t="shared" si="135"/>
        <v>2.4117747652610055</v>
      </c>
      <c r="AJ125" s="61">
        <f t="shared" si="135"/>
        <v>3.4386904534959157</v>
      </c>
      <c r="AK125" s="61">
        <f t="shared" si="135"/>
        <v>2.867416865409512</v>
      </c>
      <c r="AL125" s="61">
        <f t="shared" si="135"/>
        <v>2.8310396744849422</v>
      </c>
      <c r="AM125" s="61">
        <f t="shared" si="135"/>
        <v>3.3444407603751443</v>
      </c>
      <c r="AN125" s="61">
        <f t="shared" si="135"/>
        <v>3.3921595223746079</v>
      </c>
      <c r="AO125" s="61">
        <f t="shared" si="135"/>
        <v>2.9289467788239918</v>
      </c>
      <c r="AP125" s="61">
        <f t="shared" si="135"/>
        <v>2.8807339242180245</v>
      </c>
      <c r="AQ125" s="61">
        <f t="shared" si="135"/>
        <v>3.384374064978549</v>
      </c>
      <c r="AR125" s="61">
        <f t="shared" si="135"/>
        <v>2.5059565554156347</v>
      </c>
      <c r="AS125" s="61">
        <f t="shared" si="136"/>
        <v>2.9659064991514752</v>
      </c>
      <c r="AT125" s="61">
        <f t="shared" si="136"/>
        <v>2.8165818159944025</v>
      </c>
      <c r="AU125" s="61">
        <f t="shared" si="136"/>
        <v>2.1120752686489537</v>
      </c>
      <c r="AV125" s="61">
        <f t="shared" si="136"/>
        <v>2.5806684403946556</v>
      </c>
      <c r="AW125" s="61">
        <f t="shared" si="136"/>
        <v>1.9837676851984569</v>
      </c>
      <c r="AX125" s="61">
        <f t="shared" si="136"/>
        <v>2.6143940197347968</v>
      </c>
      <c r="AY125" s="61">
        <f t="shared" si="136"/>
        <v>1.9199511543336392</v>
      </c>
      <c r="AZ125" s="61">
        <f t="shared" si="136"/>
        <v>2.9035483125910826</v>
      </c>
      <c r="BA125" s="61">
        <f t="shared" si="136"/>
        <v>2.7760875586567808</v>
      </c>
      <c r="BB125" s="61">
        <f t="shared" si="136"/>
        <v>1.9134042753372982</v>
      </c>
      <c r="BC125" s="61">
        <f t="shared" si="137"/>
        <v>1.9067739943669657</v>
      </c>
      <c r="BD125" s="61">
        <f t="shared" si="137"/>
        <v>1.9927443151481685</v>
      </c>
      <c r="BE125" s="61">
        <f t="shared" si="137"/>
        <v>2.0781182368102598</v>
      </c>
      <c r="BF125" s="61">
        <f t="shared" si="137"/>
        <v>3.3657006390141153</v>
      </c>
      <c r="BG125" s="61">
        <f t="shared" si="137"/>
        <v>2.5883774445742067</v>
      </c>
      <c r="BH125" s="61">
        <f t="shared" si="137"/>
        <v>1.8038116262582411</v>
      </c>
      <c r="BI125" s="61">
        <f t="shared" si="137"/>
        <v>1.7872873806883056</v>
      </c>
      <c r="BJ125" s="61">
        <f t="shared" si="137"/>
        <v>2.4198270660335304</v>
      </c>
      <c r="BK125" s="61">
        <f t="shared" si="137"/>
        <v>1.8792591199003652</v>
      </c>
      <c r="BL125" s="61">
        <f t="shared" si="137"/>
        <v>2.2851598682066729</v>
      </c>
      <c r="BM125" s="61">
        <f t="shared" si="138"/>
        <v>2.6543258521384199</v>
      </c>
      <c r="BN125" s="61">
        <f t="shared" si="138"/>
        <v>2.2166629338568868</v>
      </c>
      <c r="BO125" s="61">
        <f t="shared" si="138"/>
        <v>1.6849791093683231</v>
      </c>
      <c r="BP125" s="61">
        <f t="shared" si="138"/>
        <v>2.304456778649107</v>
      </c>
      <c r="BQ125" s="61">
        <f t="shared" si="138"/>
        <v>2.2797089673217328</v>
      </c>
      <c r="BR125" s="61">
        <f t="shared" si="138"/>
        <v>2.2959244265376562</v>
      </c>
      <c r="BS125" s="61">
        <f t="shared" si="138"/>
        <v>2.3297796392962122</v>
      </c>
      <c r="BT125" s="61">
        <f t="shared" si="138"/>
        <v>2.0141975532414662</v>
      </c>
      <c r="BU125" s="61">
        <f t="shared" si="138"/>
        <v>1.9590336708812224</v>
      </c>
      <c r="BV125" s="61">
        <f t="shared" si="138"/>
        <v>1.4590650267338479</v>
      </c>
      <c r="BW125" s="61">
        <f t="shared" si="139"/>
        <v>2.0332361444202367</v>
      </c>
      <c r="BX125" s="61">
        <f t="shared" si="139"/>
        <v>1.443049301006593</v>
      </c>
      <c r="BY125" s="61">
        <f t="shared" si="139"/>
        <v>1.7073630162164468</v>
      </c>
      <c r="BZ125" s="61">
        <f t="shared" si="139"/>
        <v>1.6583848839562565</v>
      </c>
      <c r="CA125" s="61">
        <f t="shared" si="139"/>
        <v>1.3918141945788909</v>
      </c>
      <c r="CB125" s="61">
        <f t="shared" si="139"/>
        <v>1.6430866877663806</v>
      </c>
      <c r="CC125" s="61">
        <f t="shared" si="139"/>
        <v>1.3735502147398091</v>
      </c>
      <c r="CD125" s="61">
        <f t="shared" si="139"/>
        <v>1.3349792371701343</v>
      </c>
      <c r="CE125" s="61">
        <f t="shared" si="139"/>
        <v>1.7722281175781536</v>
      </c>
      <c r="CF125" s="61">
        <f t="shared" si="139"/>
        <v>1.9118319997522799</v>
      </c>
      <c r="CG125" s="61">
        <f t="shared" si="140"/>
        <v>1.5460037433839253</v>
      </c>
      <c r="CH125" s="61">
        <f t="shared" si="140"/>
        <v>1.4538917934589806</v>
      </c>
      <c r="CI125" s="61">
        <f t="shared" si="140"/>
        <v>1.3597422417409424</v>
      </c>
      <c r="CJ125" s="61">
        <f t="shared" si="140"/>
        <v>1.2149564338245349</v>
      </c>
      <c r="CK125" s="61">
        <f t="shared" si="140"/>
        <v>1.5733159462810029</v>
      </c>
      <c r="CL125" s="61">
        <f t="shared" si="140"/>
        <v>1.0822869757549447</v>
      </c>
      <c r="CM125" s="61">
        <f t="shared" si="140"/>
        <v>1.3640815055259248</v>
      </c>
      <c r="CN125" s="61">
        <f t="shared" si="140"/>
        <v>2.1094313817476538</v>
      </c>
      <c r="CO125" s="61">
        <f t="shared" si="140"/>
        <v>1.4676303337162171</v>
      </c>
      <c r="CP125" s="61">
        <f t="shared" si="140"/>
        <v>0.97421691191848603</v>
      </c>
      <c r="CQ125" s="61">
        <f t="shared" si="141"/>
        <v>1.194101629450887</v>
      </c>
      <c r="CR125" s="61">
        <f t="shared" si="141"/>
        <v>1.2151632758742252</v>
      </c>
      <c r="CS125" s="61">
        <f t="shared" si="141"/>
        <v>0.88727026953701638</v>
      </c>
      <c r="CT125" s="61">
        <f t="shared" si="141"/>
        <v>0.83766417857869468</v>
      </c>
      <c r="CU125" s="61">
        <f t="shared" si="141"/>
        <v>1.0397960007937013</v>
      </c>
      <c r="CV125" s="61">
        <f t="shared" si="141"/>
        <v>1.640746549084672</v>
      </c>
      <c r="CW125" s="61">
        <f t="shared" si="141"/>
        <v>0.83766417857869468</v>
      </c>
      <c r="CX125" s="61">
        <f t="shared" si="141"/>
        <v>1.3592282072861692</v>
      </c>
      <c r="CY125" s="61">
        <f t="shared" si="141"/>
        <v>0.78282718914201488</v>
      </c>
      <c r="CZ125" s="61">
        <f t="shared" si="141"/>
        <v>0.78282718914201488</v>
      </c>
      <c r="DA125" s="61">
        <f t="shared" si="142"/>
        <v>1.012665436830769</v>
      </c>
      <c r="DB125" s="61">
        <f t="shared" si="142"/>
        <v>0.72152465050329639</v>
      </c>
      <c r="DC125" s="61">
        <f t="shared" si="142"/>
        <v>0.72152465050329639</v>
      </c>
      <c r="DD125" s="61">
        <f t="shared" si="142"/>
        <v>0.88304435807954251</v>
      </c>
      <c r="DE125" s="61">
        <f t="shared" si="142"/>
        <v>0.65583341183619148</v>
      </c>
      <c r="DF125" s="61">
        <f t="shared" si="142"/>
        <v>0.36076232525164809</v>
      </c>
      <c r="DG125" s="61">
        <f t="shared" si="142"/>
        <v>0.21103243194518329</v>
      </c>
      <c r="DH125" s="61">
        <f t="shared" si="142"/>
        <v>0.21103243194518329</v>
      </c>
      <c r="DI125" s="61">
        <f t="shared" si="142"/>
        <v>0.21103243194518329</v>
      </c>
      <c r="DJ125" s="61">
        <f t="shared" si="142"/>
        <v>0.21103243194518329</v>
      </c>
      <c r="DK125" s="61">
        <f t="shared" si="143"/>
        <v>0</v>
      </c>
      <c r="DL125" s="61">
        <f t="shared" si="143"/>
        <v>0</v>
      </c>
      <c r="DM125" s="61">
        <f t="shared" si="143"/>
        <v>0</v>
      </c>
      <c r="DN125" s="61">
        <f t="shared" si="143"/>
        <v>0</v>
      </c>
      <c r="DO125" s="61">
        <f t="shared" si="143"/>
        <v>0</v>
      </c>
      <c r="DP125" s="61">
        <f t="shared" si="143"/>
        <v>0.36076232525164831</v>
      </c>
      <c r="DQ125" s="61">
        <f t="shared" si="143"/>
        <v>0.36076232525164831</v>
      </c>
    </row>
    <row r="126" spans="1:121" x14ac:dyDescent="0.25">
      <c r="A126" s="48" t="str">
        <f>KMeans_Data!A117</f>
        <v>Okara</v>
      </c>
      <c r="B126" s="59">
        <f>KMeans_Data!H117</f>
        <v>-1.7189756565516803</v>
      </c>
      <c r="C126" s="59">
        <f>KMeans_Data!I117</f>
        <v>-0.67265054538827607</v>
      </c>
      <c r="D126" s="59">
        <f>KMeans_Data!J117</f>
        <v>-1.1456441163335547</v>
      </c>
      <c r="E126" s="61">
        <f t="shared" si="132"/>
        <v>8.153323730623006</v>
      </c>
      <c r="F126" s="61">
        <f t="shared" si="132"/>
        <v>7.9155347334210528</v>
      </c>
      <c r="G126" s="61">
        <f t="shared" si="132"/>
        <v>6.1524959405394304</v>
      </c>
      <c r="H126" s="61">
        <f t="shared" si="132"/>
        <v>6.4967159794266198</v>
      </c>
      <c r="I126" s="61">
        <f t="shared" si="132"/>
        <v>5.541642855757936</v>
      </c>
      <c r="J126" s="61">
        <f t="shared" si="132"/>
        <v>5.0453541823317503</v>
      </c>
      <c r="K126" s="61">
        <f t="shared" si="132"/>
        <v>3.186138857429877</v>
      </c>
      <c r="L126" s="61">
        <f t="shared" si="132"/>
        <v>4.3924399735273445</v>
      </c>
      <c r="M126" s="61">
        <f t="shared" si="132"/>
        <v>4.5268743412247572</v>
      </c>
      <c r="N126" s="61">
        <f t="shared" si="132"/>
        <v>2.9847777059125553</v>
      </c>
      <c r="O126" s="61">
        <f t="shared" si="133"/>
        <v>4.1653882750283069</v>
      </c>
      <c r="P126" s="61">
        <f t="shared" si="133"/>
        <v>4.405262252304821</v>
      </c>
      <c r="Q126" s="61">
        <f t="shared" si="133"/>
        <v>3.9189599404951507</v>
      </c>
      <c r="R126" s="61">
        <f t="shared" si="133"/>
        <v>3.9428764577316429</v>
      </c>
      <c r="S126" s="61">
        <f t="shared" si="133"/>
        <v>3.6137905856001775</v>
      </c>
      <c r="T126" s="61">
        <f t="shared" si="133"/>
        <v>3.8214888319575211</v>
      </c>
      <c r="U126" s="61">
        <f t="shared" si="133"/>
        <v>3.9124747103512276</v>
      </c>
      <c r="V126" s="61">
        <f t="shared" si="133"/>
        <v>3.7342269435146078</v>
      </c>
      <c r="W126" s="61">
        <f t="shared" si="133"/>
        <v>3.8922548197583651</v>
      </c>
      <c r="X126" s="61">
        <f t="shared" si="133"/>
        <v>3.6739158996919632</v>
      </c>
      <c r="Y126" s="61">
        <f t="shared" si="134"/>
        <v>3.781463372479656</v>
      </c>
      <c r="Z126" s="61">
        <f t="shared" si="134"/>
        <v>3.4003534038599428</v>
      </c>
      <c r="AA126" s="61">
        <f t="shared" si="134"/>
        <v>3.3747494245912533</v>
      </c>
      <c r="AB126" s="61">
        <f t="shared" si="134"/>
        <v>3.3224079606668799</v>
      </c>
      <c r="AC126" s="61">
        <f t="shared" si="134"/>
        <v>3.7258755532795464</v>
      </c>
      <c r="AD126" s="61">
        <f t="shared" si="134"/>
        <v>3.7343014254069136</v>
      </c>
      <c r="AE126" s="61">
        <f t="shared" si="134"/>
        <v>2.4223727569813844</v>
      </c>
      <c r="AF126" s="61">
        <f t="shared" si="134"/>
        <v>3.3631798208964363</v>
      </c>
      <c r="AG126" s="61">
        <f t="shared" si="134"/>
        <v>2.4147838478770773</v>
      </c>
      <c r="AH126" s="61">
        <f t="shared" si="134"/>
        <v>3.1117811237466078</v>
      </c>
      <c r="AI126" s="61">
        <f t="shared" si="135"/>
        <v>2.4117747652610055</v>
      </c>
      <c r="AJ126" s="61">
        <f t="shared" si="135"/>
        <v>3.4386904534959157</v>
      </c>
      <c r="AK126" s="61">
        <f t="shared" si="135"/>
        <v>2.867416865409512</v>
      </c>
      <c r="AL126" s="61">
        <f t="shared" si="135"/>
        <v>2.8310396744849422</v>
      </c>
      <c r="AM126" s="61">
        <f t="shared" si="135"/>
        <v>3.3444407603751443</v>
      </c>
      <c r="AN126" s="61">
        <f t="shared" si="135"/>
        <v>3.3921595223746079</v>
      </c>
      <c r="AO126" s="61">
        <f t="shared" si="135"/>
        <v>2.9289467788239918</v>
      </c>
      <c r="AP126" s="61">
        <f t="shared" si="135"/>
        <v>2.8807339242180245</v>
      </c>
      <c r="AQ126" s="61">
        <f t="shared" si="135"/>
        <v>3.384374064978549</v>
      </c>
      <c r="AR126" s="61">
        <f t="shared" si="135"/>
        <v>2.5059565554156347</v>
      </c>
      <c r="AS126" s="61">
        <f t="shared" si="136"/>
        <v>2.9659064991514752</v>
      </c>
      <c r="AT126" s="61">
        <f t="shared" si="136"/>
        <v>2.8165818159944025</v>
      </c>
      <c r="AU126" s="61">
        <f t="shared" si="136"/>
        <v>2.1120752686489537</v>
      </c>
      <c r="AV126" s="61">
        <f t="shared" si="136"/>
        <v>2.5806684403946556</v>
      </c>
      <c r="AW126" s="61">
        <f t="shared" si="136"/>
        <v>1.9837676851984569</v>
      </c>
      <c r="AX126" s="61">
        <f t="shared" si="136"/>
        <v>2.6143940197347968</v>
      </c>
      <c r="AY126" s="61">
        <f t="shared" si="136"/>
        <v>1.9199511543336392</v>
      </c>
      <c r="AZ126" s="61">
        <f t="shared" si="136"/>
        <v>2.9035483125910826</v>
      </c>
      <c r="BA126" s="61">
        <f t="shared" si="136"/>
        <v>2.7760875586567808</v>
      </c>
      <c r="BB126" s="61">
        <f t="shared" si="136"/>
        <v>1.9134042753372982</v>
      </c>
      <c r="BC126" s="61">
        <f t="shared" si="137"/>
        <v>1.9067739943669657</v>
      </c>
      <c r="BD126" s="61">
        <f t="shared" si="137"/>
        <v>1.9927443151481685</v>
      </c>
      <c r="BE126" s="61">
        <f t="shared" si="137"/>
        <v>2.0781182368102598</v>
      </c>
      <c r="BF126" s="61">
        <f t="shared" si="137"/>
        <v>3.3657006390141153</v>
      </c>
      <c r="BG126" s="61">
        <f t="shared" si="137"/>
        <v>2.5883774445742067</v>
      </c>
      <c r="BH126" s="61">
        <f t="shared" si="137"/>
        <v>1.8038116262582411</v>
      </c>
      <c r="BI126" s="61">
        <f t="shared" si="137"/>
        <v>1.7872873806883056</v>
      </c>
      <c r="BJ126" s="61">
        <f t="shared" si="137"/>
        <v>2.4198270660335304</v>
      </c>
      <c r="BK126" s="61">
        <f t="shared" si="137"/>
        <v>1.8792591199003652</v>
      </c>
      <c r="BL126" s="61">
        <f t="shared" si="137"/>
        <v>2.2851598682066729</v>
      </c>
      <c r="BM126" s="61">
        <f t="shared" si="138"/>
        <v>2.6543258521384199</v>
      </c>
      <c r="BN126" s="61">
        <f t="shared" si="138"/>
        <v>2.2166629338568868</v>
      </c>
      <c r="BO126" s="61">
        <f t="shared" si="138"/>
        <v>1.6849791093683231</v>
      </c>
      <c r="BP126" s="61">
        <f t="shared" si="138"/>
        <v>2.304456778649107</v>
      </c>
      <c r="BQ126" s="61">
        <f t="shared" si="138"/>
        <v>2.2797089673217328</v>
      </c>
      <c r="BR126" s="61">
        <f t="shared" si="138"/>
        <v>2.2959244265376562</v>
      </c>
      <c r="BS126" s="61">
        <f t="shared" si="138"/>
        <v>2.3297796392962122</v>
      </c>
      <c r="BT126" s="61">
        <f t="shared" si="138"/>
        <v>2.0141975532414662</v>
      </c>
      <c r="BU126" s="61">
        <f t="shared" si="138"/>
        <v>1.9590336708812224</v>
      </c>
      <c r="BV126" s="61">
        <f t="shared" si="138"/>
        <v>1.4590650267338479</v>
      </c>
      <c r="BW126" s="61">
        <f t="shared" si="139"/>
        <v>2.0332361444202367</v>
      </c>
      <c r="BX126" s="61">
        <f t="shared" si="139"/>
        <v>1.443049301006593</v>
      </c>
      <c r="BY126" s="61">
        <f t="shared" si="139"/>
        <v>1.7073630162164468</v>
      </c>
      <c r="BZ126" s="61">
        <f t="shared" si="139"/>
        <v>1.6583848839562565</v>
      </c>
      <c r="CA126" s="61">
        <f t="shared" si="139"/>
        <v>1.3918141945788909</v>
      </c>
      <c r="CB126" s="61">
        <f t="shared" si="139"/>
        <v>1.6430866877663806</v>
      </c>
      <c r="CC126" s="61">
        <f t="shared" si="139"/>
        <v>1.3735502147398091</v>
      </c>
      <c r="CD126" s="61">
        <f t="shared" si="139"/>
        <v>1.3349792371701343</v>
      </c>
      <c r="CE126" s="61">
        <f t="shared" si="139"/>
        <v>1.7722281175781536</v>
      </c>
      <c r="CF126" s="61">
        <f t="shared" si="139"/>
        <v>1.9118319997522799</v>
      </c>
      <c r="CG126" s="61">
        <f t="shared" si="140"/>
        <v>1.5460037433839253</v>
      </c>
      <c r="CH126" s="61">
        <f t="shared" si="140"/>
        <v>1.4538917934589806</v>
      </c>
      <c r="CI126" s="61">
        <f t="shared" si="140"/>
        <v>1.3597422417409424</v>
      </c>
      <c r="CJ126" s="61">
        <f t="shared" si="140"/>
        <v>1.2149564338245349</v>
      </c>
      <c r="CK126" s="61">
        <f t="shared" si="140"/>
        <v>1.5733159462810029</v>
      </c>
      <c r="CL126" s="61">
        <f t="shared" si="140"/>
        <v>1.0822869757549447</v>
      </c>
      <c r="CM126" s="61">
        <f t="shared" si="140"/>
        <v>1.3640815055259248</v>
      </c>
      <c r="CN126" s="61">
        <f t="shared" si="140"/>
        <v>2.1094313817476538</v>
      </c>
      <c r="CO126" s="61">
        <f t="shared" si="140"/>
        <v>1.4676303337162171</v>
      </c>
      <c r="CP126" s="61">
        <f t="shared" si="140"/>
        <v>0.97421691191848603</v>
      </c>
      <c r="CQ126" s="61">
        <f t="shared" si="141"/>
        <v>1.194101629450887</v>
      </c>
      <c r="CR126" s="61">
        <f t="shared" si="141"/>
        <v>1.2151632758742252</v>
      </c>
      <c r="CS126" s="61">
        <f t="shared" si="141"/>
        <v>0.88727026953701638</v>
      </c>
      <c r="CT126" s="61">
        <f t="shared" si="141"/>
        <v>0.83766417857869468</v>
      </c>
      <c r="CU126" s="61">
        <f t="shared" si="141"/>
        <v>1.0397960007937013</v>
      </c>
      <c r="CV126" s="61">
        <f t="shared" si="141"/>
        <v>1.640746549084672</v>
      </c>
      <c r="CW126" s="61">
        <f t="shared" si="141"/>
        <v>0.83766417857869468</v>
      </c>
      <c r="CX126" s="61">
        <f t="shared" si="141"/>
        <v>1.3592282072861692</v>
      </c>
      <c r="CY126" s="61">
        <f t="shared" si="141"/>
        <v>0.78282718914201488</v>
      </c>
      <c r="CZ126" s="61">
        <f t="shared" si="141"/>
        <v>0.78282718914201488</v>
      </c>
      <c r="DA126" s="61">
        <f t="shared" si="142"/>
        <v>1.012665436830769</v>
      </c>
      <c r="DB126" s="61">
        <f t="shared" si="142"/>
        <v>0.72152465050329639</v>
      </c>
      <c r="DC126" s="61">
        <f t="shared" si="142"/>
        <v>0.72152465050329639</v>
      </c>
      <c r="DD126" s="61">
        <f t="shared" si="142"/>
        <v>0.88304435807954251</v>
      </c>
      <c r="DE126" s="61">
        <f t="shared" si="142"/>
        <v>0.65583341183619148</v>
      </c>
      <c r="DF126" s="61">
        <f t="shared" si="142"/>
        <v>0.36076232525164809</v>
      </c>
      <c r="DG126" s="61">
        <f t="shared" si="142"/>
        <v>0.21103243194518329</v>
      </c>
      <c r="DH126" s="61">
        <f t="shared" si="142"/>
        <v>0.21103243194518329</v>
      </c>
      <c r="DI126" s="61">
        <f t="shared" si="142"/>
        <v>0.21103243194518329</v>
      </c>
      <c r="DJ126" s="61">
        <f t="shared" si="142"/>
        <v>0.21103243194518329</v>
      </c>
      <c r="DK126" s="61">
        <f t="shared" si="143"/>
        <v>0</v>
      </c>
      <c r="DL126" s="61">
        <f t="shared" si="143"/>
        <v>0</v>
      </c>
      <c r="DM126" s="61">
        <f t="shared" si="143"/>
        <v>0</v>
      </c>
      <c r="DN126" s="61">
        <f t="shared" si="143"/>
        <v>0</v>
      </c>
      <c r="DO126" s="61">
        <f t="shared" si="143"/>
        <v>0</v>
      </c>
      <c r="DP126" s="61">
        <f t="shared" si="143"/>
        <v>0.36076232525164831</v>
      </c>
      <c r="DQ126" s="61">
        <f t="shared" si="143"/>
        <v>0.36076232525164831</v>
      </c>
    </row>
    <row r="127" spans="1:121" x14ac:dyDescent="0.25">
      <c r="A127" s="48" t="str">
        <f>KMeans_Data!A118</f>
        <v>Ziarat</v>
      </c>
      <c r="B127" s="59">
        <f>KMeans_Data!H118</f>
        <v>-1.7189756565516803</v>
      </c>
      <c r="C127" s="59">
        <f>KMeans_Data!I118</f>
        <v>-0.67265054538827607</v>
      </c>
      <c r="D127" s="59">
        <f>KMeans_Data!J118</f>
        <v>-1.1456441163335547</v>
      </c>
      <c r="E127" s="61">
        <f t="shared" si="132"/>
        <v>8.153323730623006</v>
      </c>
      <c r="F127" s="61">
        <f t="shared" si="132"/>
        <v>7.9155347334210528</v>
      </c>
      <c r="G127" s="61">
        <f t="shared" si="132"/>
        <v>6.1524959405394304</v>
      </c>
      <c r="H127" s="61">
        <f t="shared" si="132"/>
        <v>6.4967159794266198</v>
      </c>
      <c r="I127" s="61">
        <f t="shared" si="132"/>
        <v>5.541642855757936</v>
      </c>
      <c r="J127" s="61">
        <f t="shared" si="132"/>
        <v>5.0453541823317503</v>
      </c>
      <c r="K127" s="61">
        <f t="shared" si="132"/>
        <v>3.186138857429877</v>
      </c>
      <c r="L127" s="61">
        <f t="shared" si="132"/>
        <v>4.3924399735273445</v>
      </c>
      <c r="M127" s="61">
        <f t="shared" si="132"/>
        <v>4.5268743412247572</v>
      </c>
      <c r="N127" s="61">
        <f t="shared" si="132"/>
        <v>2.9847777059125553</v>
      </c>
      <c r="O127" s="61">
        <f t="shared" si="133"/>
        <v>4.1653882750283069</v>
      </c>
      <c r="P127" s="61">
        <f t="shared" si="133"/>
        <v>4.405262252304821</v>
      </c>
      <c r="Q127" s="61">
        <f t="shared" si="133"/>
        <v>3.9189599404951507</v>
      </c>
      <c r="R127" s="61">
        <f t="shared" si="133"/>
        <v>3.9428764577316429</v>
      </c>
      <c r="S127" s="61">
        <f t="shared" si="133"/>
        <v>3.6137905856001775</v>
      </c>
      <c r="T127" s="61">
        <f t="shared" si="133"/>
        <v>3.8214888319575211</v>
      </c>
      <c r="U127" s="61">
        <f t="shared" si="133"/>
        <v>3.9124747103512276</v>
      </c>
      <c r="V127" s="61">
        <f t="shared" si="133"/>
        <v>3.7342269435146078</v>
      </c>
      <c r="W127" s="61">
        <f t="shared" si="133"/>
        <v>3.8922548197583651</v>
      </c>
      <c r="X127" s="61">
        <f t="shared" si="133"/>
        <v>3.6739158996919632</v>
      </c>
      <c r="Y127" s="61">
        <f t="shared" si="134"/>
        <v>3.781463372479656</v>
      </c>
      <c r="Z127" s="61">
        <f t="shared" si="134"/>
        <v>3.4003534038599428</v>
      </c>
      <c r="AA127" s="61">
        <f t="shared" si="134"/>
        <v>3.3747494245912533</v>
      </c>
      <c r="AB127" s="61">
        <f t="shared" si="134"/>
        <v>3.3224079606668799</v>
      </c>
      <c r="AC127" s="61">
        <f t="shared" si="134"/>
        <v>3.7258755532795464</v>
      </c>
      <c r="AD127" s="61">
        <f t="shared" si="134"/>
        <v>3.7343014254069136</v>
      </c>
      <c r="AE127" s="61">
        <f t="shared" si="134"/>
        <v>2.4223727569813844</v>
      </c>
      <c r="AF127" s="61">
        <f t="shared" si="134"/>
        <v>3.3631798208964363</v>
      </c>
      <c r="AG127" s="61">
        <f t="shared" si="134"/>
        <v>2.4147838478770773</v>
      </c>
      <c r="AH127" s="61">
        <f t="shared" si="134"/>
        <v>3.1117811237466078</v>
      </c>
      <c r="AI127" s="61">
        <f t="shared" si="135"/>
        <v>2.4117747652610055</v>
      </c>
      <c r="AJ127" s="61">
        <f t="shared" si="135"/>
        <v>3.4386904534959157</v>
      </c>
      <c r="AK127" s="61">
        <f t="shared" si="135"/>
        <v>2.867416865409512</v>
      </c>
      <c r="AL127" s="61">
        <f t="shared" si="135"/>
        <v>2.8310396744849422</v>
      </c>
      <c r="AM127" s="61">
        <f t="shared" si="135"/>
        <v>3.3444407603751443</v>
      </c>
      <c r="AN127" s="61">
        <f t="shared" si="135"/>
        <v>3.3921595223746079</v>
      </c>
      <c r="AO127" s="61">
        <f t="shared" si="135"/>
        <v>2.9289467788239918</v>
      </c>
      <c r="AP127" s="61">
        <f t="shared" si="135"/>
        <v>2.8807339242180245</v>
      </c>
      <c r="AQ127" s="61">
        <f t="shared" si="135"/>
        <v>3.384374064978549</v>
      </c>
      <c r="AR127" s="61">
        <f t="shared" si="135"/>
        <v>2.5059565554156347</v>
      </c>
      <c r="AS127" s="61">
        <f t="shared" si="136"/>
        <v>2.9659064991514752</v>
      </c>
      <c r="AT127" s="61">
        <f t="shared" si="136"/>
        <v>2.8165818159944025</v>
      </c>
      <c r="AU127" s="61">
        <f t="shared" si="136"/>
        <v>2.1120752686489537</v>
      </c>
      <c r="AV127" s="61">
        <f t="shared" si="136"/>
        <v>2.5806684403946556</v>
      </c>
      <c r="AW127" s="61">
        <f t="shared" si="136"/>
        <v>1.9837676851984569</v>
      </c>
      <c r="AX127" s="61">
        <f t="shared" si="136"/>
        <v>2.6143940197347968</v>
      </c>
      <c r="AY127" s="61">
        <f t="shared" si="136"/>
        <v>1.9199511543336392</v>
      </c>
      <c r="AZ127" s="61">
        <f t="shared" si="136"/>
        <v>2.9035483125910826</v>
      </c>
      <c r="BA127" s="61">
        <f t="shared" si="136"/>
        <v>2.7760875586567808</v>
      </c>
      <c r="BB127" s="61">
        <f t="shared" si="136"/>
        <v>1.9134042753372982</v>
      </c>
      <c r="BC127" s="61">
        <f t="shared" si="137"/>
        <v>1.9067739943669657</v>
      </c>
      <c r="BD127" s="61">
        <f t="shared" si="137"/>
        <v>1.9927443151481685</v>
      </c>
      <c r="BE127" s="61">
        <f t="shared" si="137"/>
        <v>2.0781182368102598</v>
      </c>
      <c r="BF127" s="61">
        <f t="shared" si="137"/>
        <v>3.3657006390141153</v>
      </c>
      <c r="BG127" s="61">
        <f t="shared" si="137"/>
        <v>2.5883774445742067</v>
      </c>
      <c r="BH127" s="61">
        <f t="shared" si="137"/>
        <v>1.8038116262582411</v>
      </c>
      <c r="BI127" s="61">
        <f t="shared" si="137"/>
        <v>1.7872873806883056</v>
      </c>
      <c r="BJ127" s="61">
        <f t="shared" si="137"/>
        <v>2.4198270660335304</v>
      </c>
      <c r="BK127" s="61">
        <f t="shared" si="137"/>
        <v>1.8792591199003652</v>
      </c>
      <c r="BL127" s="61">
        <f t="shared" si="137"/>
        <v>2.2851598682066729</v>
      </c>
      <c r="BM127" s="61">
        <f t="shared" si="138"/>
        <v>2.6543258521384199</v>
      </c>
      <c r="BN127" s="61">
        <f t="shared" si="138"/>
        <v>2.2166629338568868</v>
      </c>
      <c r="BO127" s="61">
        <f t="shared" si="138"/>
        <v>1.6849791093683231</v>
      </c>
      <c r="BP127" s="61">
        <f t="shared" si="138"/>
        <v>2.304456778649107</v>
      </c>
      <c r="BQ127" s="61">
        <f t="shared" si="138"/>
        <v>2.2797089673217328</v>
      </c>
      <c r="BR127" s="61">
        <f t="shared" si="138"/>
        <v>2.2959244265376562</v>
      </c>
      <c r="BS127" s="61">
        <f t="shared" si="138"/>
        <v>2.3297796392962122</v>
      </c>
      <c r="BT127" s="61">
        <f t="shared" si="138"/>
        <v>2.0141975532414662</v>
      </c>
      <c r="BU127" s="61">
        <f t="shared" si="138"/>
        <v>1.9590336708812224</v>
      </c>
      <c r="BV127" s="61">
        <f t="shared" si="138"/>
        <v>1.4590650267338479</v>
      </c>
      <c r="BW127" s="61">
        <f t="shared" si="139"/>
        <v>2.0332361444202367</v>
      </c>
      <c r="BX127" s="61">
        <f t="shared" si="139"/>
        <v>1.443049301006593</v>
      </c>
      <c r="BY127" s="61">
        <f t="shared" si="139"/>
        <v>1.7073630162164468</v>
      </c>
      <c r="BZ127" s="61">
        <f t="shared" si="139"/>
        <v>1.6583848839562565</v>
      </c>
      <c r="CA127" s="61">
        <f t="shared" si="139"/>
        <v>1.3918141945788909</v>
      </c>
      <c r="CB127" s="61">
        <f t="shared" si="139"/>
        <v>1.6430866877663806</v>
      </c>
      <c r="CC127" s="61">
        <f t="shared" si="139"/>
        <v>1.3735502147398091</v>
      </c>
      <c r="CD127" s="61">
        <f t="shared" si="139"/>
        <v>1.3349792371701343</v>
      </c>
      <c r="CE127" s="61">
        <f t="shared" si="139"/>
        <v>1.7722281175781536</v>
      </c>
      <c r="CF127" s="61">
        <f t="shared" si="139"/>
        <v>1.9118319997522799</v>
      </c>
      <c r="CG127" s="61">
        <f t="shared" si="140"/>
        <v>1.5460037433839253</v>
      </c>
      <c r="CH127" s="61">
        <f t="shared" si="140"/>
        <v>1.4538917934589806</v>
      </c>
      <c r="CI127" s="61">
        <f t="shared" si="140"/>
        <v>1.3597422417409424</v>
      </c>
      <c r="CJ127" s="61">
        <f t="shared" si="140"/>
        <v>1.2149564338245349</v>
      </c>
      <c r="CK127" s="61">
        <f t="shared" si="140"/>
        <v>1.5733159462810029</v>
      </c>
      <c r="CL127" s="61">
        <f t="shared" si="140"/>
        <v>1.0822869757549447</v>
      </c>
      <c r="CM127" s="61">
        <f t="shared" si="140"/>
        <v>1.3640815055259248</v>
      </c>
      <c r="CN127" s="61">
        <f t="shared" si="140"/>
        <v>2.1094313817476538</v>
      </c>
      <c r="CO127" s="61">
        <f t="shared" si="140"/>
        <v>1.4676303337162171</v>
      </c>
      <c r="CP127" s="61">
        <f t="shared" si="140"/>
        <v>0.97421691191848603</v>
      </c>
      <c r="CQ127" s="61">
        <f t="shared" si="141"/>
        <v>1.194101629450887</v>
      </c>
      <c r="CR127" s="61">
        <f t="shared" si="141"/>
        <v>1.2151632758742252</v>
      </c>
      <c r="CS127" s="61">
        <f t="shared" si="141"/>
        <v>0.88727026953701638</v>
      </c>
      <c r="CT127" s="61">
        <f t="shared" si="141"/>
        <v>0.83766417857869468</v>
      </c>
      <c r="CU127" s="61">
        <f t="shared" si="141"/>
        <v>1.0397960007937013</v>
      </c>
      <c r="CV127" s="61">
        <f t="shared" si="141"/>
        <v>1.640746549084672</v>
      </c>
      <c r="CW127" s="61">
        <f t="shared" si="141"/>
        <v>0.83766417857869468</v>
      </c>
      <c r="CX127" s="61">
        <f t="shared" si="141"/>
        <v>1.3592282072861692</v>
      </c>
      <c r="CY127" s="61">
        <f t="shared" si="141"/>
        <v>0.78282718914201488</v>
      </c>
      <c r="CZ127" s="61">
        <f t="shared" si="141"/>
        <v>0.78282718914201488</v>
      </c>
      <c r="DA127" s="61">
        <f t="shared" si="142"/>
        <v>1.012665436830769</v>
      </c>
      <c r="DB127" s="61">
        <f t="shared" si="142"/>
        <v>0.72152465050329639</v>
      </c>
      <c r="DC127" s="61">
        <f t="shared" si="142"/>
        <v>0.72152465050329639</v>
      </c>
      <c r="DD127" s="61">
        <f t="shared" si="142"/>
        <v>0.88304435807954251</v>
      </c>
      <c r="DE127" s="61">
        <f t="shared" si="142"/>
        <v>0.65583341183619148</v>
      </c>
      <c r="DF127" s="61">
        <f t="shared" si="142"/>
        <v>0.36076232525164809</v>
      </c>
      <c r="DG127" s="61">
        <f t="shared" si="142"/>
        <v>0.21103243194518329</v>
      </c>
      <c r="DH127" s="61">
        <f t="shared" si="142"/>
        <v>0.21103243194518329</v>
      </c>
      <c r="DI127" s="61">
        <f t="shared" si="142"/>
        <v>0.21103243194518329</v>
      </c>
      <c r="DJ127" s="61">
        <f t="shared" si="142"/>
        <v>0.21103243194518329</v>
      </c>
      <c r="DK127" s="61">
        <f t="shared" si="143"/>
        <v>0</v>
      </c>
      <c r="DL127" s="61">
        <f t="shared" si="143"/>
        <v>0</v>
      </c>
      <c r="DM127" s="61">
        <f t="shared" si="143"/>
        <v>0</v>
      </c>
      <c r="DN127" s="61">
        <f t="shared" si="143"/>
        <v>0</v>
      </c>
      <c r="DO127" s="61">
        <f t="shared" si="143"/>
        <v>0</v>
      </c>
      <c r="DP127" s="61">
        <f t="shared" si="143"/>
        <v>0.36076232525164831</v>
      </c>
      <c r="DQ127" s="61">
        <f t="shared" si="143"/>
        <v>0.36076232525164831</v>
      </c>
    </row>
    <row r="128" spans="1:121" x14ac:dyDescent="0.25">
      <c r="A128" s="48" t="str">
        <f>KMeans_Data!A119</f>
        <v>Pakpatan</v>
      </c>
      <c r="B128" s="59">
        <f>KMeans_Data!H119</f>
        <v>-1.7189756565516803</v>
      </c>
      <c r="C128" s="59">
        <f>KMeans_Data!I119</f>
        <v>-0.67265054538827607</v>
      </c>
      <c r="D128" s="59">
        <f>KMeans_Data!J119</f>
        <v>-1.1456441163335547</v>
      </c>
      <c r="E128" s="61">
        <f t="shared" si="132"/>
        <v>8.153323730623006</v>
      </c>
      <c r="F128" s="61">
        <f t="shared" si="132"/>
        <v>7.9155347334210528</v>
      </c>
      <c r="G128" s="61">
        <f t="shared" si="132"/>
        <v>6.1524959405394304</v>
      </c>
      <c r="H128" s="61">
        <f t="shared" si="132"/>
        <v>6.4967159794266198</v>
      </c>
      <c r="I128" s="61">
        <f t="shared" si="132"/>
        <v>5.541642855757936</v>
      </c>
      <c r="J128" s="61">
        <f t="shared" si="132"/>
        <v>5.0453541823317503</v>
      </c>
      <c r="K128" s="61">
        <f t="shared" si="132"/>
        <v>3.186138857429877</v>
      </c>
      <c r="L128" s="61">
        <f t="shared" si="132"/>
        <v>4.3924399735273445</v>
      </c>
      <c r="M128" s="61">
        <f t="shared" si="132"/>
        <v>4.5268743412247572</v>
      </c>
      <c r="N128" s="61">
        <f t="shared" si="132"/>
        <v>2.9847777059125553</v>
      </c>
      <c r="O128" s="61">
        <f t="shared" si="133"/>
        <v>4.1653882750283069</v>
      </c>
      <c r="P128" s="61">
        <f t="shared" si="133"/>
        <v>4.405262252304821</v>
      </c>
      <c r="Q128" s="61">
        <f t="shared" si="133"/>
        <v>3.9189599404951507</v>
      </c>
      <c r="R128" s="61">
        <f t="shared" si="133"/>
        <v>3.9428764577316429</v>
      </c>
      <c r="S128" s="61">
        <f t="shared" si="133"/>
        <v>3.6137905856001775</v>
      </c>
      <c r="T128" s="61">
        <f t="shared" si="133"/>
        <v>3.8214888319575211</v>
      </c>
      <c r="U128" s="61">
        <f t="shared" si="133"/>
        <v>3.9124747103512276</v>
      </c>
      <c r="V128" s="61">
        <f t="shared" si="133"/>
        <v>3.7342269435146078</v>
      </c>
      <c r="W128" s="61">
        <f t="shared" si="133"/>
        <v>3.8922548197583651</v>
      </c>
      <c r="X128" s="61">
        <f t="shared" si="133"/>
        <v>3.6739158996919632</v>
      </c>
      <c r="Y128" s="61">
        <f t="shared" si="134"/>
        <v>3.781463372479656</v>
      </c>
      <c r="Z128" s="61">
        <f t="shared" si="134"/>
        <v>3.4003534038599428</v>
      </c>
      <c r="AA128" s="61">
        <f t="shared" si="134"/>
        <v>3.3747494245912533</v>
      </c>
      <c r="AB128" s="61">
        <f t="shared" si="134"/>
        <v>3.3224079606668799</v>
      </c>
      <c r="AC128" s="61">
        <f t="shared" si="134"/>
        <v>3.7258755532795464</v>
      </c>
      <c r="AD128" s="61">
        <f t="shared" si="134"/>
        <v>3.7343014254069136</v>
      </c>
      <c r="AE128" s="61">
        <f t="shared" si="134"/>
        <v>2.4223727569813844</v>
      </c>
      <c r="AF128" s="61">
        <f t="shared" si="134"/>
        <v>3.3631798208964363</v>
      </c>
      <c r="AG128" s="61">
        <f t="shared" si="134"/>
        <v>2.4147838478770773</v>
      </c>
      <c r="AH128" s="61">
        <f t="shared" si="134"/>
        <v>3.1117811237466078</v>
      </c>
      <c r="AI128" s="61">
        <f t="shared" si="135"/>
        <v>2.4117747652610055</v>
      </c>
      <c r="AJ128" s="61">
        <f t="shared" si="135"/>
        <v>3.4386904534959157</v>
      </c>
      <c r="AK128" s="61">
        <f t="shared" si="135"/>
        <v>2.867416865409512</v>
      </c>
      <c r="AL128" s="61">
        <f t="shared" si="135"/>
        <v>2.8310396744849422</v>
      </c>
      <c r="AM128" s="61">
        <f t="shared" si="135"/>
        <v>3.3444407603751443</v>
      </c>
      <c r="AN128" s="61">
        <f t="shared" si="135"/>
        <v>3.3921595223746079</v>
      </c>
      <c r="AO128" s="61">
        <f t="shared" si="135"/>
        <v>2.9289467788239918</v>
      </c>
      <c r="AP128" s="61">
        <f t="shared" si="135"/>
        <v>2.8807339242180245</v>
      </c>
      <c r="AQ128" s="61">
        <f t="shared" si="135"/>
        <v>3.384374064978549</v>
      </c>
      <c r="AR128" s="61">
        <f t="shared" si="135"/>
        <v>2.5059565554156347</v>
      </c>
      <c r="AS128" s="61">
        <f t="shared" si="136"/>
        <v>2.9659064991514752</v>
      </c>
      <c r="AT128" s="61">
        <f t="shared" si="136"/>
        <v>2.8165818159944025</v>
      </c>
      <c r="AU128" s="61">
        <f t="shared" si="136"/>
        <v>2.1120752686489537</v>
      </c>
      <c r="AV128" s="61">
        <f t="shared" si="136"/>
        <v>2.5806684403946556</v>
      </c>
      <c r="AW128" s="61">
        <f t="shared" si="136"/>
        <v>1.9837676851984569</v>
      </c>
      <c r="AX128" s="61">
        <f t="shared" si="136"/>
        <v>2.6143940197347968</v>
      </c>
      <c r="AY128" s="61">
        <f t="shared" si="136"/>
        <v>1.9199511543336392</v>
      </c>
      <c r="AZ128" s="61">
        <f t="shared" si="136"/>
        <v>2.9035483125910826</v>
      </c>
      <c r="BA128" s="61">
        <f t="shared" si="136"/>
        <v>2.7760875586567808</v>
      </c>
      <c r="BB128" s="61">
        <f t="shared" si="136"/>
        <v>1.9134042753372982</v>
      </c>
      <c r="BC128" s="61">
        <f t="shared" si="137"/>
        <v>1.9067739943669657</v>
      </c>
      <c r="BD128" s="61">
        <f t="shared" si="137"/>
        <v>1.9927443151481685</v>
      </c>
      <c r="BE128" s="61">
        <f t="shared" si="137"/>
        <v>2.0781182368102598</v>
      </c>
      <c r="BF128" s="61">
        <f t="shared" si="137"/>
        <v>3.3657006390141153</v>
      </c>
      <c r="BG128" s="61">
        <f t="shared" si="137"/>
        <v>2.5883774445742067</v>
      </c>
      <c r="BH128" s="61">
        <f t="shared" si="137"/>
        <v>1.8038116262582411</v>
      </c>
      <c r="BI128" s="61">
        <f t="shared" si="137"/>
        <v>1.7872873806883056</v>
      </c>
      <c r="BJ128" s="61">
        <f t="shared" si="137"/>
        <v>2.4198270660335304</v>
      </c>
      <c r="BK128" s="61">
        <f t="shared" si="137"/>
        <v>1.8792591199003652</v>
      </c>
      <c r="BL128" s="61">
        <f t="shared" si="137"/>
        <v>2.2851598682066729</v>
      </c>
      <c r="BM128" s="61">
        <f t="shared" si="138"/>
        <v>2.6543258521384199</v>
      </c>
      <c r="BN128" s="61">
        <f t="shared" si="138"/>
        <v>2.2166629338568868</v>
      </c>
      <c r="BO128" s="61">
        <f t="shared" si="138"/>
        <v>1.6849791093683231</v>
      </c>
      <c r="BP128" s="61">
        <f t="shared" si="138"/>
        <v>2.304456778649107</v>
      </c>
      <c r="BQ128" s="61">
        <f t="shared" si="138"/>
        <v>2.2797089673217328</v>
      </c>
      <c r="BR128" s="61">
        <f t="shared" si="138"/>
        <v>2.2959244265376562</v>
      </c>
      <c r="BS128" s="61">
        <f t="shared" si="138"/>
        <v>2.3297796392962122</v>
      </c>
      <c r="BT128" s="61">
        <f t="shared" si="138"/>
        <v>2.0141975532414662</v>
      </c>
      <c r="BU128" s="61">
        <f t="shared" si="138"/>
        <v>1.9590336708812224</v>
      </c>
      <c r="BV128" s="61">
        <f t="shared" si="138"/>
        <v>1.4590650267338479</v>
      </c>
      <c r="BW128" s="61">
        <f t="shared" si="139"/>
        <v>2.0332361444202367</v>
      </c>
      <c r="BX128" s="61">
        <f t="shared" si="139"/>
        <v>1.443049301006593</v>
      </c>
      <c r="BY128" s="61">
        <f t="shared" si="139"/>
        <v>1.7073630162164468</v>
      </c>
      <c r="BZ128" s="61">
        <f t="shared" si="139"/>
        <v>1.6583848839562565</v>
      </c>
      <c r="CA128" s="61">
        <f t="shared" si="139"/>
        <v>1.3918141945788909</v>
      </c>
      <c r="CB128" s="61">
        <f t="shared" si="139"/>
        <v>1.6430866877663806</v>
      </c>
      <c r="CC128" s="61">
        <f t="shared" si="139"/>
        <v>1.3735502147398091</v>
      </c>
      <c r="CD128" s="61">
        <f t="shared" si="139"/>
        <v>1.3349792371701343</v>
      </c>
      <c r="CE128" s="61">
        <f t="shared" si="139"/>
        <v>1.7722281175781536</v>
      </c>
      <c r="CF128" s="61">
        <f t="shared" si="139"/>
        <v>1.9118319997522799</v>
      </c>
      <c r="CG128" s="61">
        <f t="shared" si="140"/>
        <v>1.5460037433839253</v>
      </c>
      <c r="CH128" s="61">
        <f t="shared" si="140"/>
        <v>1.4538917934589806</v>
      </c>
      <c r="CI128" s="61">
        <f t="shared" si="140"/>
        <v>1.3597422417409424</v>
      </c>
      <c r="CJ128" s="61">
        <f t="shared" si="140"/>
        <v>1.2149564338245349</v>
      </c>
      <c r="CK128" s="61">
        <f t="shared" si="140"/>
        <v>1.5733159462810029</v>
      </c>
      <c r="CL128" s="61">
        <f t="shared" si="140"/>
        <v>1.0822869757549447</v>
      </c>
      <c r="CM128" s="61">
        <f t="shared" si="140"/>
        <v>1.3640815055259248</v>
      </c>
      <c r="CN128" s="61">
        <f t="shared" si="140"/>
        <v>2.1094313817476538</v>
      </c>
      <c r="CO128" s="61">
        <f t="shared" si="140"/>
        <v>1.4676303337162171</v>
      </c>
      <c r="CP128" s="61">
        <f t="shared" si="140"/>
        <v>0.97421691191848603</v>
      </c>
      <c r="CQ128" s="61">
        <f t="shared" si="141"/>
        <v>1.194101629450887</v>
      </c>
      <c r="CR128" s="61">
        <f t="shared" si="141"/>
        <v>1.2151632758742252</v>
      </c>
      <c r="CS128" s="61">
        <f t="shared" si="141"/>
        <v>0.88727026953701638</v>
      </c>
      <c r="CT128" s="61">
        <f t="shared" si="141"/>
        <v>0.83766417857869468</v>
      </c>
      <c r="CU128" s="61">
        <f t="shared" si="141"/>
        <v>1.0397960007937013</v>
      </c>
      <c r="CV128" s="61">
        <f t="shared" si="141"/>
        <v>1.640746549084672</v>
      </c>
      <c r="CW128" s="61">
        <f t="shared" si="141"/>
        <v>0.83766417857869468</v>
      </c>
      <c r="CX128" s="61">
        <f t="shared" si="141"/>
        <v>1.3592282072861692</v>
      </c>
      <c r="CY128" s="61">
        <f t="shared" si="141"/>
        <v>0.78282718914201488</v>
      </c>
      <c r="CZ128" s="61">
        <f t="shared" si="141"/>
        <v>0.78282718914201488</v>
      </c>
      <c r="DA128" s="61">
        <f t="shared" si="142"/>
        <v>1.012665436830769</v>
      </c>
      <c r="DB128" s="61">
        <f t="shared" si="142"/>
        <v>0.72152465050329639</v>
      </c>
      <c r="DC128" s="61">
        <f t="shared" si="142"/>
        <v>0.72152465050329639</v>
      </c>
      <c r="DD128" s="61">
        <f t="shared" si="142"/>
        <v>0.88304435807954251</v>
      </c>
      <c r="DE128" s="61">
        <f t="shared" si="142"/>
        <v>0.65583341183619148</v>
      </c>
      <c r="DF128" s="61">
        <f t="shared" si="142"/>
        <v>0.36076232525164809</v>
      </c>
      <c r="DG128" s="61">
        <f t="shared" si="142"/>
        <v>0.21103243194518329</v>
      </c>
      <c r="DH128" s="61">
        <f t="shared" si="142"/>
        <v>0.21103243194518329</v>
      </c>
      <c r="DI128" s="61">
        <f t="shared" si="142"/>
        <v>0.21103243194518329</v>
      </c>
      <c r="DJ128" s="61">
        <f t="shared" si="142"/>
        <v>0.21103243194518329</v>
      </c>
      <c r="DK128" s="61">
        <f t="shared" si="143"/>
        <v>0</v>
      </c>
      <c r="DL128" s="61">
        <f t="shared" si="143"/>
        <v>0</v>
      </c>
      <c r="DM128" s="61">
        <f t="shared" si="143"/>
        <v>0</v>
      </c>
      <c r="DN128" s="61">
        <f t="shared" si="143"/>
        <v>0</v>
      </c>
      <c r="DO128" s="61">
        <f t="shared" si="143"/>
        <v>0</v>
      </c>
      <c r="DP128" s="61">
        <f t="shared" si="143"/>
        <v>0.36076232525164831</v>
      </c>
      <c r="DQ128" s="61">
        <f t="shared" si="143"/>
        <v>0.36076232525164831</v>
      </c>
    </row>
    <row r="129" spans="1:121" x14ac:dyDescent="0.25">
      <c r="A129" s="48" t="str">
        <f>KMeans_Data!A120</f>
        <v>Chitral</v>
      </c>
      <c r="B129" s="59">
        <f>KMeans_Data!H120</f>
        <v>-2.0797379818033286</v>
      </c>
      <c r="C129" s="59">
        <f>KMeans_Data!I120</f>
        <v>-0.67265054538827607</v>
      </c>
      <c r="D129" s="59">
        <f>KMeans_Data!J120</f>
        <v>-1.1456441163335547</v>
      </c>
      <c r="E129" s="61">
        <f t="shared" si="132"/>
        <v>8.3791178007212217</v>
      </c>
      <c r="F129" s="61">
        <f t="shared" si="132"/>
        <v>8.1468513691696547</v>
      </c>
      <c r="G129" s="61">
        <f t="shared" si="132"/>
        <v>6.3976329314131073</v>
      </c>
      <c r="H129" s="61">
        <f t="shared" si="132"/>
        <v>6.7282906668016098</v>
      </c>
      <c r="I129" s="61">
        <f t="shared" si="132"/>
        <v>5.8005825296542461</v>
      </c>
      <c r="J129" s="61">
        <f t="shared" si="132"/>
        <v>5.2824057792586023</v>
      </c>
      <c r="K129" s="61">
        <f t="shared" si="132"/>
        <v>3.5338904221249825</v>
      </c>
      <c r="L129" s="61">
        <f t="shared" si="132"/>
        <v>4.6490575992165946</v>
      </c>
      <c r="M129" s="61">
        <f t="shared" si="132"/>
        <v>4.7719509323338665</v>
      </c>
      <c r="N129" s="61">
        <f t="shared" si="132"/>
        <v>3.3386030664456947</v>
      </c>
      <c r="O129" s="61">
        <f t="shared" si="133"/>
        <v>4.4208823671757642</v>
      </c>
      <c r="P129" s="61">
        <f t="shared" si="133"/>
        <v>4.6464950490584824</v>
      </c>
      <c r="Q129" s="61">
        <f t="shared" si="133"/>
        <v>4.1810154137617337</v>
      </c>
      <c r="R129" s="61">
        <f t="shared" si="133"/>
        <v>4.2029955567656474</v>
      </c>
      <c r="S129" s="61">
        <f t="shared" si="133"/>
        <v>3.8932095409482974</v>
      </c>
      <c r="T129" s="61">
        <f t="shared" si="133"/>
        <v>4.0834470612488181</v>
      </c>
      <c r="U129" s="61">
        <f t="shared" si="133"/>
        <v>4.160883299847451</v>
      </c>
      <c r="V129" s="61">
        <f t="shared" si="133"/>
        <v>3.9912836185819178</v>
      </c>
      <c r="W129" s="61">
        <f t="shared" si="133"/>
        <v>4.1393475396496306</v>
      </c>
      <c r="X129" s="61">
        <f t="shared" si="133"/>
        <v>3.9338807191152401</v>
      </c>
      <c r="Y129" s="61">
        <f t="shared" si="134"/>
        <v>4.0298615877856374</v>
      </c>
      <c r="Z129" s="61">
        <f t="shared" si="134"/>
        <v>3.6741912973222601</v>
      </c>
      <c r="AA129" s="61">
        <f t="shared" si="134"/>
        <v>3.6502989512011172</v>
      </c>
      <c r="AB129" s="61">
        <f t="shared" si="134"/>
        <v>3.6019638270620704</v>
      </c>
      <c r="AC129" s="61">
        <f t="shared" si="134"/>
        <v>3.9752041411792853</v>
      </c>
      <c r="AD129" s="61">
        <f t="shared" si="134"/>
        <v>3.9782442052148572</v>
      </c>
      <c r="AE129" s="61">
        <f t="shared" si="134"/>
        <v>2.7756425502726647</v>
      </c>
      <c r="AF129" s="61">
        <f t="shared" si="134"/>
        <v>3.6216094048151786</v>
      </c>
      <c r="AG129" s="61">
        <f t="shared" si="134"/>
        <v>2.7601589128984672</v>
      </c>
      <c r="AH129" s="61">
        <f t="shared" si="134"/>
        <v>3.3868094062982825</v>
      </c>
      <c r="AI129" s="61">
        <f t="shared" si="135"/>
        <v>2.7571127715097909</v>
      </c>
      <c r="AJ129" s="61">
        <f t="shared" si="135"/>
        <v>3.6884952947874514</v>
      </c>
      <c r="AK129" s="61">
        <f t="shared" si="135"/>
        <v>3.1584931364728011</v>
      </c>
      <c r="AL129" s="61">
        <f t="shared" si="135"/>
        <v>3.1200925235572523</v>
      </c>
      <c r="AM129" s="61">
        <f t="shared" si="135"/>
        <v>3.592419201138521</v>
      </c>
      <c r="AN129" s="61">
        <f t="shared" si="135"/>
        <v>3.6338012413689014</v>
      </c>
      <c r="AO129" s="61">
        <f t="shared" si="135"/>
        <v>3.2033991070309726</v>
      </c>
      <c r="AP129" s="61">
        <f t="shared" si="135"/>
        <v>3.158899841844244</v>
      </c>
      <c r="AQ129" s="61">
        <f t="shared" si="135"/>
        <v>3.6219541561486244</v>
      </c>
      <c r="AR129" s="61">
        <f t="shared" si="135"/>
        <v>2.8162994168555233</v>
      </c>
      <c r="AS129" s="61">
        <f t="shared" si="136"/>
        <v>3.2242581216534347</v>
      </c>
      <c r="AT129" s="61">
        <f t="shared" si="136"/>
        <v>3.0823789094685083</v>
      </c>
      <c r="AU129" s="61">
        <f t="shared" si="136"/>
        <v>2.4536778056908317</v>
      </c>
      <c r="AV129" s="61">
        <f t="shared" si="136"/>
        <v>2.8662390866109257</v>
      </c>
      <c r="AW129" s="61">
        <f t="shared" si="136"/>
        <v>2.3404987692076227</v>
      </c>
      <c r="AX129" s="61">
        <f t="shared" si="136"/>
        <v>2.8936592946750208</v>
      </c>
      <c r="AY129" s="61">
        <f t="shared" si="136"/>
        <v>2.2807134795852875</v>
      </c>
      <c r="AZ129" s="61">
        <f t="shared" si="136"/>
        <v>3.1537333978136894</v>
      </c>
      <c r="BA129" s="61">
        <f t="shared" si="136"/>
        <v>3.0360138240271897</v>
      </c>
      <c r="BB129" s="61">
        <f t="shared" si="136"/>
        <v>2.2741666005889467</v>
      </c>
      <c r="BC129" s="61">
        <f t="shared" si="137"/>
        <v>2.267536319618614</v>
      </c>
      <c r="BD129" s="61">
        <f t="shared" si="137"/>
        <v>2.3371425223885418</v>
      </c>
      <c r="BE129" s="61">
        <f t="shared" si="137"/>
        <v>2.4082422097006102</v>
      </c>
      <c r="BF129" s="61">
        <f t="shared" si="137"/>
        <v>3.5767634851169623</v>
      </c>
      <c r="BG129" s="61">
        <f t="shared" si="137"/>
        <v>2.8535762728581746</v>
      </c>
      <c r="BH129" s="61">
        <f t="shared" si="137"/>
        <v>2.1645739515098894</v>
      </c>
      <c r="BI129" s="61">
        <f t="shared" si="137"/>
        <v>2.1480497059399539</v>
      </c>
      <c r="BJ129" s="61">
        <f t="shared" si="137"/>
        <v>2.6914138460610011</v>
      </c>
      <c r="BK129" s="61">
        <f t="shared" si="137"/>
        <v>2.215027543816884</v>
      </c>
      <c r="BL129" s="61">
        <f t="shared" si="137"/>
        <v>2.5670600140280122</v>
      </c>
      <c r="BM129" s="61">
        <f t="shared" si="138"/>
        <v>2.8968642376235647</v>
      </c>
      <c r="BN129" s="61">
        <f t="shared" si="138"/>
        <v>2.5005068936182209</v>
      </c>
      <c r="BO129" s="61">
        <f t="shared" si="138"/>
        <v>2.0402854698792918</v>
      </c>
      <c r="BP129" s="61">
        <f t="shared" si="138"/>
        <v>2.5709715999444818</v>
      </c>
      <c r="BQ129" s="61">
        <f t="shared" si="138"/>
        <v>2.5471567724468125</v>
      </c>
      <c r="BR129" s="61">
        <f t="shared" si="138"/>
        <v>2.5582677475268727</v>
      </c>
      <c r="BS129" s="61">
        <f t="shared" si="138"/>
        <v>2.5833134057316025</v>
      </c>
      <c r="BT129" s="61">
        <f t="shared" si="138"/>
        <v>2.2962073456330026</v>
      </c>
      <c r="BU129" s="61">
        <f t="shared" si="138"/>
        <v>2.2479744914703566</v>
      </c>
      <c r="BV129" s="61">
        <f t="shared" si="138"/>
        <v>1.8198273519854962</v>
      </c>
      <c r="BW129" s="61">
        <f t="shared" si="139"/>
        <v>2.30334415944853</v>
      </c>
      <c r="BX129" s="61">
        <f t="shared" si="139"/>
        <v>1.8038116262582413</v>
      </c>
      <c r="BY129" s="61">
        <f t="shared" si="139"/>
        <v>2.0154893426904752</v>
      </c>
      <c r="BZ129" s="61">
        <f t="shared" si="139"/>
        <v>1.9709434616357322</v>
      </c>
      <c r="CA129" s="61">
        <f t="shared" si="139"/>
        <v>1.752576519830539</v>
      </c>
      <c r="CB129" s="61">
        <f t="shared" si="139"/>
        <v>1.9547208643371412</v>
      </c>
      <c r="CC129" s="61">
        <f t="shared" si="139"/>
        <v>1.7343125399914574</v>
      </c>
      <c r="CD129" s="61">
        <f t="shared" si="139"/>
        <v>1.6957415624217826</v>
      </c>
      <c r="CE129" s="61">
        <f t="shared" si="139"/>
        <v>2.0541260313792522</v>
      </c>
      <c r="CF129" s="61">
        <f t="shared" si="139"/>
        <v>2.1757166284541909</v>
      </c>
      <c r="CG129" s="61">
        <f t="shared" si="140"/>
        <v>1.8495305652109939</v>
      </c>
      <c r="CH129" s="61">
        <f t="shared" si="140"/>
        <v>1.7732560684176326</v>
      </c>
      <c r="CI129" s="61">
        <f t="shared" si="140"/>
        <v>1.6863400260996402</v>
      </c>
      <c r="CJ129" s="61">
        <f t="shared" si="140"/>
        <v>1.5657907219695728</v>
      </c>
      <c r="CK129" s="61">
        <f t="shared" si="140"/>
        <v>1.8463845039341165</v>
      </c>
      <c r="CL129" s="61">
        <f t="shared" si="140"/>
        <v>1.443049301006593</v>
      </c>
      <c r="CM129" s="61">
        <f t="shared" si="140"/>
        <v>1.6648617182711321</v>
      </c>
      <c r="CN129" s="61">
        <f t="shared" si="140"/>
        <v>2.3044742649072281</v>
      </c>
      <c r="CO129" s="61">
        <f t="shared" si="140"/>
        <v>1.7282967825727553</v>
      </c>
      <c r="CP129" s="61">
        <f t="shared" si="140"/>
        <v>1.3349792371701343</v>
      </c>
      <c r="CQ129" s="61">
        <f t="shared" si="141"/>
        <v>1.4929471121798834</v>
      </c>
      <c r="CR129" s="61">
        <f t="shared" si="141"/>
        <v>1.4989858616691543</v>
      </c>
      <c r="CS129" s="61">
        <f t="shared" si="141"/>
        <v>1.2480325947886648</v>
      </c>
      <c r="CT129" s="61">
        <f t="shared" si="141"/>
        <v>1.198426503830343</v>
      </c>
      <c r="CU129" s="61">
        <f t="shared" si="141"/>
        <v>1.3474867466048319</v>
      </c>
      <c r="CV129" s="61">
        <f t="shared" si="141"/>
        <v>1.8511061685766055</v>
      </c>
      <c r="CW129" s="61">
        <f t="shared" si="141"/>
        <v>1.198426503830343</v>
      </c>
      <c r="CX129" s="61">
        <f t="shared" si="141"/>
        <v>1.5945155655726664</v>
      </c>
      <c r="CY129" s="61">
        <f t="shared" si="141"/>
        <v>1.1435895143936632</v>
      </c>
      <c r="CZ129" s="61">
        <f t="shared" si="141"/>
        <v>1.1435895143936632</v>
      </c>
      <c r="DA129" s="61">
        <f t="shared" si="142"/>
        <v>1.3116668236723832</v>
      </c>
      <c r="DB129" s="61">
        <f t="shared" si="142"/>
        <v>1.0822869757549447</v>
      </c>
      <c r="DC129" s="61">
        <f t="shared" si="142"/>
        <v>1.0822869757549447</v>
      </c>
      <c r="DD129" s="61">
        <f t="shared" si="142"/>
        <v>1.1960412262714826</v>
      </c>
      <c r="DE129" s="61">
        <f t="shared" si="142"/>
        <v>0.98632192095062787</v>
      </c>
      <c r="DF129" s="61">
        <f t="shared" si="142"/>
        <v>0.72152465050329639</v>
      </c>
      <c r="DG129" s="61">
        <f t="shared" si="142"/>
        <v>0.57179475719683159</v>
      </c>
      <c r="DH129" s="61">
        <f t="shared" si="142"/>
        <v>0.57179475719683159</v>
      </c>
      <c r="DI129" s="61">
        <f t="shared" si="142"/>
        <v>0.57179475719683159</v>
      </c>
      <c r="DJ129" s="61">
        <f t="shared" si="142"/>
        <v>0.57179475719683159</v>
      </c>
      <c r="DK129" s="61">
        <f t="shared" si="143"/>
        <v>0.36076232525164831</v>
      </c>
      <c r="DL129" s="61">
        <f t="shared" si="143"/>
        <v>0.36076232525164831</v>
      </c>
      <c r="DM129" s="61">
        <f t="shared" si="143"/>
        <v>0.36076232525164831</v>
      </c>
      <c r="DN129" s="61">
        <f t="shared" si="143"/>
        <v>0.36076232525164831</v>
      </c>
      <c r="DO129" s="61">
        <f t="shared" si="143"/>
        <v>0.36076232525164831</v>
      </c>
      <c r="DP129" s="61">
        <f t="shared" si="143"/>
        <v>0</v>
      </c>
      <c r="DQ129" s="61">
        <f t="shared" si="143"/>
        <v>0</v>
      </c>
    </row>
    <row r="130" spans="1:121" x14ac:dyDescent="0.25">
      <c r="A130" s="48" t="str">
        <f>KMeans_Data!A121</f>
        <v>Kolai Pallas</v>
      </c>
      <c r="B130" s="59">
        <f>KMeans_Data!H121</f>
        <v>-2.0797379818033286</v>
      </c>
      <c r="C130" s="59">
        <f>KMeans_Data!I121</f>
        <v>-0.67265054538827607</v>
      </c>
      <c r="D130" s="59">
        <f>KMeans_Data!J121</f>
        <v>-1.1456441163335547</v>
      </c>
      <c r="E130" s="61">
        <f t="shared" si="132"/>
        <v>8.3791178007212217</v>
      </c>
      <c r="F130" s="61">
        <f t="shared" si="132"/>
        <v>8.1468513691696547</v>
      </c>
      <c r="G130" s="61">
        <f t="shared" si="132"/>
        <v>6.3976329314131073</v>
      </c>
      <c r="H130" s="61">
        <f t="shared" si="132"/>
        <v>6.7282906668016098</v>
      </c>
      <c r="I130" s="61">
        <f t="shared" si="132"/>
        <v>5.8005825296542461</v>
      </c>
      <c r="J130" s="61">
        <f t="shared" si="132"/>
        <v>5.2824057792586023</v>
      </c>
      <c r="K130" s="61">
        <f t="shared" si="132"/>
        <v>3.5338904221249825</v>
      </c>
      <c r="L130" s="61">
        <f t="shared" si="132"/>
        <v>4.6490575992165946</v>
      </c>
      <c r="M130" s="61">
        <f t="shared" si="132"/>
        <v>4.7719509323338665</v>
      </c>
      <c r="N130" s="61">
        <f t="shared" si="132"/>
        <v>3.3386030664456947</v>
      </c>
      <c r="O130" s="61">
        <f t="shared" si="133"/>
        <v>4.4208823671757642</v>
      </c>
      <c r="P130" s="61">
        <f t="shared" si="133"/>
        <v>4.6464950490584824</v>
      </c>
      <c r="Q130" s="61">
        <f t="shared" si="133"/>
        <v>4.1810154137617337</v>
      </c>
      <c r="R130" s="61">
        <f t="shared" si="133"/>
        <v>4.2029955567656474</v>
      </c>
      <c r="S130" s="61">
        <f t="shared" si="133"/>
        <v>3.8932095409482974</v>
      </c>
      <c r="T130" s="61">
        <f t="shared" si="133"/>
        <v>4.0834470612488181</v>
      </c>
      <c r="U130" s="61">
        <f t="shared" si="133"/>
        <v>4.160883299847451</v>
      </c>
      <c r="V130" s="61">
        <f t="shared" si="133"/>
        <v>3.9912836185819178</v>
      </c>
      <c r="W130" s="61">
        <f t="shared" si="133"/>
        <v>4.1393475396496306</v>
      </c>
      <c r="X130" s="61">
        <f t="shared" si="133"/>
        <v>3.9338807191152401</v>
      </c>
      <c r="Y130" s="61">
        <f t="shared" si="134"/>
        <v>4.0298615877856374</v>
      </c>
      <c r="Z130" s="61">
        <f t="shared" si="134"/>
        <v>3.6741912973222601</v>
      </c>
      <c r="AA130" s="61">
        <f t="shared" si="134"/>
        <v>3.6502989512011172</v>
      </c>
      <c r="AB130" s="61">
        <f t="shared" si="134"/>
        <v>3.6019638270620704</v>
      </c>
      <c r="AC130" s="61">
        <f t="shared" si="134"/>
        <v>3.9752041411792853</v>
      </c>
      <c r="AD130" s="61">
        <f t="shared" si="134"/>
        <v>3.9782442052148572</v>
      </c>
      <c r="AE130" s="61">
        <f t="shared" si="134"/>
        <v>2.7756425502726647</v>
      </c>
      <c r="AF130" s="61">
        <f t="shared" si="134"/>
        <v>3.6216094048151786</v>
      </c>
      <c r="AG130" s="61">
        <f t="shared" si="134"/>
        <v>2.7601589128984672</v>
      </c>
      <c r="AH130" s="61">
        <f t="shared" si="134"/>
        <v>3.3868094062982825</v>
      </c>
      <c r="AI130" s="61">
        <f t="shared" si="135"/>
        <v>2.7571127715097909</v>
      </c>
      <c r="AJ130" s="61">
        <f t="shared" si="135"/>
        <v>3.6884952947874514</v>
      </c>
      <c r="AK130" s="61">
        <f t="shared" si="135"/>
        <v>3.1584931364728011</v>
      </c>
      <c r="AL130" s="61">
        <f t="shared" si="135"/>
        <v>3.1200925235572523</v>
      </c>
      <c r="AM130" s="61">
        <f t="shared" si="135"/>
        <v>3.592419201138521</v>
      </c>
      <c r="AN130" s="61">
        <f t="shared" si="135"/>
        <v>3.6338012413689014</v>
      </c>
      <c r="AO130" s="61">
        <f t="shared" si="135"/>
        <v>3.2033991070309726</v>
      </c>
      <c r="AP130" s="61">
        <f t="shared" si="135"/>
        <v>3.158899841844244</v>
      </c>
      <c r="AQ130" s="61">
        <f t="shared" si="135"/>
        <v>3.6219541561486244</v>
      </c>
      <c r="AR130" s="61">
        <f t="shared" si="135"/>
        <v>2.8162994168555233</v>
      </c>
      <c r="AS130" s="61">
        <f t="shared" si="136"/>
        <v>3.2242581216534347</v>
      </c>
      <c r="AT130" s="61">
        <f t="shared" si="136"/>
        <v>3.0823789094685083</v>
      </c>
      <c r="AU130" s="61">
        <f t="shared" si="136"/>
        <v>2.4536778056908317</v>
      </c>
      <c r="AV130" s="61">
        <f t="shared" si="136"/>
        <v>2.8662390866109257</v>
      </c>
      <c r="AW130" s="61">
        <f t="shared" si="136"/>
        <v>2.3404987692076227</v>
      </c>
      <c r="AX130" s="61">
        <f t="shared" si="136"/>
        <v>2.8936592946750208</v>
      </c>
      <c r="AY130" s="61">
        <f t="shared" si="136"/>
        <v>2.2807134795852875</v>
      </c>
      <c r="AZ130" s="61">
        <f t="shared" si="136"/>
        <v>3.1537333978136894</v>
      </c>
      <c r="BA130" s="61">
        <f t="shared" si="136"/>
        <v>3.0360138240271897</v>
      </c>
      <c r="BB130" s="61">
        <f t="shared" si="136"/>
        <v>2.2741666005889467</v>
      </c>
      <c r="BC130" s="61">
        <f t="shared" si="137"/>
        <v>2.267536319618614</v>
      </c>
      <c r="BD130" s="61">
        <f t="shared" si="137"/>
        <v>2.3371425223885418</v>
      </c>
      <c r="BE130" s="61">
        <f t="shared" si="137"/>
        <v>2.4082422097006102</v>
      </c>
      <c r="BF130" s="61">
        <f t="shared" si="137"/>
        <v>3.5767634851169623</v>
      </c>
      <c r="BG130" s="61">
        <f t="shared" si="137"/>
        <v>2.8535762728581746</v>
      </c>
      <c r="BH130" s="61">
        <f t="shared" si="137"/>
        <v>2.1645739515098894</v>
      </c>
      <c r="BI130" s="61">
        <f t="shared" si="137"/>
        <v>2.1480497059399539</v>
      </c>
      <c r="BJ130" s="61">
        <f t="shared" si="137"/>
        <v>2.6914138460610011</v>
      </c>
      <c r="BK130" s="61">
        <f t="shared" si="137"/>
        <v>2.215027543816884</v>
      </c>
      <c r="BL130" s="61">
        <f t="shared" si="137"/>
        <v>2.5670600140280122</v>
      </c>
      <c r="BM130" s="61">
        <f t="shared" si="138"/>
        <v>2.8968642376235647</v>
      </c>
      <c r="BN130" s="61">
        <f t="shared" si="138"/>
        <v>2.5005068936182209</v>
      </c>
      <c r="BO130" s="61">
        <f t="shared" si="138"/>
        <v>2.0402854698792918</v>
      </c>
      <c r="BP130" s="61">
        <f t="shared" si="138"/>
        <v>2.5709715999444818</v>
      </c>
      <c r="BQ130" s="61">
        <f t="shared" si="138"/>
        <v>2.5471567724468125</v>
      </c>
      <c r="BR130" s="61">
        <f t="shared" si="138"/>
        <v>2.5582677475268727</v>
      </c>
      <c r="BS130" s="61">
        <f t="shared" si="138"/>
        <v>2.5833134057316025</v>
      </c>
      <c r="BT130" s="61">
        <f t="shared" si="138"/>
        <v>2.2962073456330026</v>
      </c>
      <c r="BU130" s="61">
        <f t="shared" si="138"/>
        <v>2.2479744914703566</v>
      </c>
      <c r="BV130" s="61">
        <f t="shared" si="138"/>
        <v>1.8198273519854962</v>
      </c>
      <c r="BW130" s="61">
        <f t="shared" si="139"/>
        <v>2.30334415944853</v>
      </c>
      <c r="BX130" s="61">
        <f t="shared" si="139"/>
        <v>1.8038116262582413</v>
      </c>
      <c r="BY130" s="61">
        <f t="shared" si="139"/>
        <v>2.0154893426904752</v>
      </c>
      <c r="BZ130" s="61">
        <f t="shared" si="139"/>
        <v>1.9709434616357322</v>
      </c>
      <c r="CA130" s="61">
        <f t="shared" si="139"/>
        <v>1.752576519830539</v>
      </c>
      <c r="CB130" s="61">
        <f t="shared" si="139"/>
        <v>1.9547208643371412</v>
      </c>
      <c r="CC130" s="61">
        <f t="shared" si="139"/>
        <v>1.7343125399914574</v>
      </c>
      <c r="CD130" s="61">
        <f t="shared" si="139"/>
        <v>1.6957415624217826</v>
      </c>
      <c r="CE130" s="61">
        <f t="shared" si="139"/>
        <v>2.0541260313792522</v>
      </c>
      <c r="CF130" s="61">
        <f t="shared" si="139"/>
        <v>2.1757166284541909</v>
      </c>
      <c r="CG130" s="61">
        <f t="shared" si="140"/>
        <v>1.8495305652109939</v>
      </c>
      <c r="CH130" s="61">
        <f t="shared" si="140"/>
        <v>1.7732560684176326</v>
      </c>
      <c r="CI130" s="61">
        <f t="shared" si="140"/>
        <v>1.6863400260996402</v>
      </c>
      <c r="CJ130" s="61">
        <f t="shared" si="140"/>
        <v>1.5657907219695728</v>
      </c>
      <c r="CK130" s="61">
        <f t="shared" si="140"/>
        <v>1.8463845039341165</v>
      </c>
      <c r="CL130" s="61">
        <f t="shared" si="140"/>
        <v>1.443049301006593</v>
      </c>
      <c r="CM130" s="61">
        <f t="shared" si="140"/>
        <v>1.6648617182711321</v>
      </c>
      <c r="CN130" s="61">
        <f t="shared" si="140"/>
        <v>2.3044742649072281</v>
      </c>
      <c r="CO130" s="61">
        <f t="shared" si="140"/>
        <v>1.7282967825727553</v>
      </c>
      <c r="CP130" s="61">
        <f t="shared" si="140"/>
        <v>1.3349792371701343</v>
      </c>
      <c r="CQ130" s="61">
        <f t="shared" si="141"/>
        <v>1.4929471121798834</v>
      </c>
      <c r="CR130" s="61">
        <f t="shared" si="141"/>
        <v>1.4989858616691543</v>
      </c>
      <c r="CS130" s="61">
        <f t="shared" si="141"/>
        <v>1.2480325947886648</v>
      </c>
      <c r="CT130" s="61">
        <f t="shared" si="141"/>
        <v>1.198426503830343</v>
      </c>
      <c r="CU130" s="61">
        <f t="shared" si="141"/>
        <v>1.3474867466048319</v>
      </c>
      <c r="CV130" s="61">
        <f t="shared" si="141"/>
        <v>1.8511061685766055</v>
      </c>
      <c r="CW130" s="61">
        <f t="shared" si="141"/>
        <v>1.198426503830343</v>
      </c>
      <c r="CX130" s="61">
        <f t="shared" si="141"/>
        <v>1.5945155655726664</v>
      </c>
      <c r="CY130" s="61">
        <f t="shared" si="141"/>
        <v>1.1435895143936632</v>
      </c>
      <c r="CZ130" s="61">
        <f t="shared" si="141"/>
        <v>1.1435895143936632</v>
      </c>
      <c r="DA130" s="61">
        <f t="shared" si="142"/>
        <v>1.3116668236723832</v>
      </c>
      <c r="DB130" s="61">
        <f t="shared" si="142"/>
        <v>1.0822869757549447</v>
      </c>
      <c r="DC130" s="61">
        <f t="shared" si="142"/>
        <v>1.0822869757549447</v>
      </c>
      <c r="DD130" s="61">
        <f t="shared" si="142"/>
        <v>1.1960412262714826</v>
      </c>
      <c r="DE130" s="61">
        <f t="shared" si="142"/>
        <v>0.98632192095062787</v>
      </c>
      <c r="DF130" s="61">
        <f t="shared" si="142"/>
        <v>0.72152465050329639</v>
      </c>
      <c r="DG130" s="61">
        <f t="shared" si="142"/>
        <v>0.57179475719683159</v>
      </c>
      <c r="DH130" s="61">
        <f t="shared" si="142"/>
        <v>0.57179475719683159</v>
      </c>
      <c r="DI130" s="61">
        <f t="shared" si="142"/>
        <v>0.57179475719683159</v>
      </c>
      <c r="DJ130" s="61">
        <f t="shared" si="142"/>
        <v>0.57179475719683159</v>
      </c>
      <c r="DK130" s="61">
        <f t="shared" si="143"/>
        <v>0.36076232525164831</v>
      </c>
      <c r="DL130" s="61">
        <f t="shared" si="143"/>
        <v>0.36076232525164831</v>
      </c>
      <c r="DM130" s="61">
        <f t="shared" si="143"/>
        <v>0.36076232525164831</v>
      </c>
      <c r="DN130" s="61">
        <f t="shared" si="143"/>
        <v>0.36076232525164831</v>
      </c>
      <c r="DO130" s="61">
        <f t="shared" si="143"/>
        <v>0.36076232525164831</v>
      </c>
      <c r="DP130" s="61">
        <f t="shared" si="143"/>
        <v>0</v>
      </c>
      <c r="DQ130" s="61">
        <f t="shared" si="143"/>
        <v>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48235"/>
    <pageSetUpPr fitToPage="1"/>
  </sheetPr>
  <dimension ref="A1:M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0" customWidth="1"/>
    <col min="2" max="2" width="26" customWidth="1"/>
    <col min="3" max="6" width="13" customWidth="1"/>
    <col min="7" max="7" width="11" customWidth="1"/>
    <col min="8" max="8" width="7.5703125" bestFit="1" customWidth="1"/>
    <col min="9" max="10" width="12" customWidth="1"/>
    <col min="11" max="11" width="13" customWidth="1"/>
    <col min="12" max="13" width="12" customWidth="1"/>
    <col min="14" max="14" width="13" customWidth="1"/>
  </cols>
  <sheetData>
    <row r="1" spans="1:13" ht="20.25" x14ac:dyDescent="0.3">
      <c r="A1" s="8" t="s">
        <v>517</v>
      </c>
    </row>
    <row r="2" spans="1:13" x14ac:dyDescent="0.25">
      <c r="A2" s="9" t="s">
        <v>518</v>
      </c>
    </row>
    <row r="4" spans="1:13" ht="31.5" customHeight="1" x14ac:dyDescent="0.25">
      <c r="A4" s="11" t="s">
        <v>63</v>
      </c>
      <c r="B4" s="11" t="s">
        <v>39</v>
      </c>
      <c r="C4" s="11" t="s">
        <v>330</v>
      </c>
      <c r="D4" s="11" t="s">
        <v>331</v>
      </c>
      <c r="E4" s="11" t="s">
        <v>332</v>
      </c>
      <c r="F4" s="11" t="s">
        <v>333</v>
      </c>
      <c r="G4" s="11" t="s">
        <v>334</v>
      </c>
      <c r="H4" s="11" t="s">
        <v>442</v>
      </c>
      <c r="I4" s="11" t="s">
        <v>443</v>
      </c>
      <c r="J4" s="11" t="s">
        <v>444</v>
      </c>
      <c r="K4" s="11" t="s">
        <v>445</v>
      </c>
      <c r="L4" s="11" t="s">
        <v>446</v>
      </c>
      <c r="M4" s="11" t="s">
        <v>447</v>
      </c>
    </row>
    <row r="5" spans="1:13" x14ac:dyDescent="0.25">
      <c r="A5" s="36" t="s">
        <v>70</v>
      </c>
      <c r="B5" s="13">
        <f>COUNTIF(Data!$F$2:$F$2797,$A5)</f>
        <v>529</v>
      </c>
      <c r="C5" s="14">
        <f>SUMIF(Data!$F$2:$F$2797,$A5,Data!$B$2:$B$2797)</f>
        <v>32858</v>
      </c>
      <c r="D5" s="14">
        <f>SUMIF(Data!$F$2:$F$2797,$A5,Data!$C$2:$C$2797)</f>
        <v>546</v>
      </c>
      <c r="E5" s="14">
        <f>SUMIF(Data!$F$2:$F$2797,$A5,Data!$D$2:$D$2797)</f>
        <v>15805</v>
      </c>
      <c r="F5" s="14">
        <f t="shared" ref="F5:F12" si="0">C5-D5-E5</f>
        <v>16507</v>
      </c>
      <c r="G5" s="26">
        <f t="shared" ref="G5:G13" si="1">IF(C5=0,0,D5/C5*100)</f>
        <v>1.6616957818491693</v>
      </c>
      <c r="H5" s="38">
        <f>IF(Clustering_Guide!$C$7=1,LN(1+MAX(C5,0)),C5)</f>
        <v>10.399980958991856</v>
      </c>
      <c r="I5" s="38">
        <f>IF(Clustering_Guide!$C$7=1,LN(1+MAX(D5,0)),D5)</f>
        <v>6.3044488024219811</v>
      </c>
      <c r="J5" s="38">
        <f>IF(Clustering_Guide!$C$7=1,LN(1+MAX(E5,0)),E5)</f>
        <v>9.6681448937649215</v>
      </c>
      <c r="K5" s="38">
        <f t="shared" ref="K5:M12" si="2">(H5-AVERAGE(H$5:H$12))/STDEV(H$5:H$12)</f>
        <v>1.1079996031362669</v>
      </c>
      <c r="L5" s="38">
        <f t="shared" si="2"/>
        <v>1.070951178441117</v>
      </c>
      <c r="M5" s="38">
        <f t="shared" si="2"/>
        <v>1.4168629470098362</v>
      </c>
    </row>
    <row r="6" spans="1:13" x14ac:dyDescent="0.25">
      <c r="A6" s="36" t="s">
        <v>71</v>
      </c>
      <c r="B6" s="13">
        <f>COUNTIF(Data!$F$2:$F$2797,$A6)</f>
        <v>341</v>
      </c>
      <c r="C6" s="14">
        <f>SUMIF(Data!$F$2:$F$2797,$A6,Data!$B$2:$B$2797)</f>
        <v>31096</v>
      </c>
      <c r="D6" s="14">
        <f>SUMIF(Data!$F$2:$F$2797,$A6,Data!$C$2:$C$2797)</f>
        <v>593</v>
      </c>
      <c r="E6" s="14">
        <f>SUMIF(Data!$F$2:$F$2797,$A6,Data!$D$2:$D$2797)</f>
        <v>4081</v>
      </c>
      <c r="F6" s="14">
        <f t="shared" si="0"/>
        <v>26422</v>
      </c>
      <c r="G6" s="26">
        <f t="shared" si="1"/>
        <v>1.9069976845896577</v>
      </c>
      <c r="H6" s="38">
        <f>IF(Clustering_Guide!$C$7=1,LN(1+MAX(C6,0)),C6)</f>
        <v>10.344866630491961</v>
      </c>
      <c r="I6" s="38">
        <f>IF(Clustering_Guide!$C$7=1,LN(1+MAX(D6,0)),D6)</f>
        <v>6.3868793193626452</v>
      </c>
      <c r="J6" s="38">
        <f>IF(Clustering_Guide!$C$7=1,LN(1+MAX(E6,0)),E6)</f>
        <v>8.3143423433697894</v>
      </c>
      <c r="K6" s="38">
        <f t="shared" si="2"/>
        <v>1.0838104247566931</v>
      </c>
      <c r="L6" s="38">
        <f t="shared" si="2"/>
        <v>1.1097505112137804</v>
      </c>
      <c r="M6" s="38">
        <f t="shared" si="2"/>
        <v>0.79535855385239185</v>
      </c>
    </row>
    <row r="7" spans="1:13" x14ac:dyDescent="0.25">
      <c r="A7" s="36" t="s">
        <v>72</v>
      </c>
      <c r="B7" s="13">
        <f>COUNTIF(Data!$F$2:$F$2797,$A7)</f>
        <v>1491</v>
      </c>
      <c r="C7" s="14">
        <f>SUMIF(Data!$F$2:$F$2797,$A7,Data!$B$2:$B$2797)</f>
        <v>10259</v>
      </c>
      <c r="D7" s="14">
        <f>SUMIF(Data!$F$2:$F$2797,$A7,Data!$C$2:$C$2797)</f>
        <v>473</v>
      </c>
      <c r="E7" s="14">
        <f>SUMIF(Data!$F$2:$F$2797,$A7,Data!$D$2:$D$2797)</f>
        <v>1939</v>
      </c>
      <c r="F7" s="14">
        <f t="shared" si="0"/>
        <v>7847</v>
      </c>
      <c r="G7" s="26">
        <f t="shared" si="1"/>
        <v>4.6105858270786628</v>
      </c>
      <c r="H7" s="38">
        <f>IF(Clustering_Guide!$C$7=1,LN(1+MAX(C7,0)),C7)</f>
        <v>9.2360081187247598</v>
      </c>
      <c r="I7" s="38">
        <f>IF(Clustering_Guide!$C$7=1,LN(1+MAX(D7,0)),D7)</f>
        <v>6.1612073216950769</v>
      </c>
      <c r="J7" s="38">
        <f>IF(Clustering_Guide!$C$7=1,LN(1+MAX(E7,0)),E7)</f>
        <v>7.5704432520573741</v>
      </c>
      <c r="K7" s="38">
        <f t="shared" si="2"/>
        <v>0.5971424915912471</v>
      </c>
      <c r="L7" s="38">
        <f t="shared" si="2"/>
        <v>1.0035286499426876</v>
      </c>
      <c r="M7" s="38">
        <f t="shared" si="2"/>
        <v>0.45384896430289989</v>
      </c>
    </row>
    <row r="8" spans="1:13" x14ac:dyDescent="0.25">
      <c r="A8" s="36" t="s">
        <v>73</v>
      </c>
      <c r="B8" s="13">
        <f>COUNTIF(Data!$F$2:$F$2797,$A8)</f>
        <v>83</v>
      </c>
      <c r="C8" s="14">
        <f>SUMIF(Data!$F$2:$F$2797,$A8,Data!$B$2:$B$2797)</f>
        <v>5125</v>
      </c>
      <c r="D8" s="14">
        <f>SUMIF(Data!$F$2:$F$2797,$A8,Data!$C$2:$C$2797)</f>
        <v>49</v>
      </c>
      <c r="E8" s="14">
        <f>SUMIF(Data!$F$2:$F$2797,$A8,Data!$D$2:$D$2797)</f>
        <v>1981</v>
      </c>
      <c r="F8" s="14">
        <f t="shared" si="0"/>
        <v>3095</v>
      </c>
      <c r="G8" s="26">
        <f t="shared" si="1"/>
        <v>0.95609756097560972</v>
      </c>
      <c r="H8" s="38">
        <f>IF(Clustering_Guide!$C$7=1,LN(1+MAX(C8,0)),C8)</f>
        <v>8.5420809069240171</v>
      </c>
      <c r="I8" s="38">
        <f>IF(Clustering_Guide!$C$7=1,LN(1+MAX(D8,0)),D8)</f>
        <v>3.912023005428146</v>
      </c>
      <c r="J8" s="38">
        <f>IF(Clustering_Guide!$C$7=1,LN(1+MAX(E8,0)),E8)</f>
        <v>7.5918617148899337</v>
      </c>
      <c r="K8" s="38">
        <f t="shared" si="2"/>
        <v>0.29258413869903505</v>
      </c>
      <c r="L8" s="38">
        <f t="shared" si="2"/>
        <v>-5.5142992462672652E-2</v>
      </c>
      <c r="M8" s="38">
        <f t="shared" si="2"/>
        <v>0.46368176358461932</v>
      </c>
    </row>
    <row r="9" spans="1:13" x14ac:dyDescent="0.25">
      <c r="A9" s="36" t="s">
        <v>74</v>
      </c>
      <c r="B9" s="13">
        <f>COUNTIF(Data!$F$2:$F$2797,$A9)</f>
        <v>74</v>
      </c>
      <c r="C9" s="14">
        <f>SUMIF(Data!$F$2:$F$2797,$A9,Data!$B$2:$B$2797)</f>
        <v>3523</v>
      </c>
      <c r="D9" s="14">
        <f>SUMIF(Data!$F$2:$F$2797,$A9,Data!$C$2:$C$2797)</f>
        <v>36</v>
      </c>
      <c r="E9" s="14">
        <f>SUMIF(Data!$F$2:$F$2797,$A9,Data!$D$2:$D$2797)</f>
        <v>460</v>
      </c>
      <c r="F9" s="14">
        <f t="shared" si="0"/>
        <v>3027</v>
      </c>
      <c r="G9" s="26">
        <f t="shared" si="1"/>
        <v>1.0218563724098779</v>
      </c>
      <c r="H9" s="38">
        <f>IF(Clustering_Guide!$C$7=1,LN(1+MAX(C9,0)),C9)</f>
        <v>8.1673519870560707</v>
      </c>
      <c r="I9" s="38">
        <f>IF(Clustering_Guide!$C$7=1,LN(1+MAX(D9,0)),D9)</f>
        <v>3.6109179126442243</v>
      </c>
      <c r="J9" s="38">
        <f>IF(Clustering_Guide!$C$7=1,LN(1+MAX(E9,0)),E9)</f>
        <v>6.1333980429966486</v>
      </c>
      <c r="K9" s="38">
        <f t="shared" si="2"/>
        <v>0.12811901804192732</v>
      </c>
      <c r="L9" s="38">
        <f t="shared" si="2"/>
        <v>-0.1968705604564116</v>
      </c>
      <c r="M9" s="38">
        <f t="shared" si="2"/>
        <v>-0.20587051276295637</v>
      </c>
    </row>
    <row r="10" spans="1:13" x14ac:dyDescent="0.25">
      <c r="A10" s="36" t="s">
        <v>75</v>
      </c>
      <c r="B10" s="13">
        <f>COUNTIF(Data!$F$2:$F$2797,$A10)</f>
        <v>188</v>
      </c>
      <c r="C10" s="14">
        <f>SUMIF(Data!$F$2:$F$2797,$A10,Data!$B$2:$B$2797)</f>
        <v>786</v>
      </c>
      <c r="D10" s="14">
        <f>SUMIF(Data!$F$2:$F$2797,$A10,Data!$C$2:$C$2797)</f>
        <v>24</v>
      </c>
      <c r="E10" s="14">
        <f>SUMIF(Data!$F$2:$F$2797,$A10,Data!$D$2:$D$2797)</f>
        <v>362</v>
      </c>
      <c r="F10" s="14">
        <f t="shared" si="0"/>
        <v>400</v>
      </c>
      <c r="G10" s="26">
        <f t="shared" si="1"/>
        <v>3.0534351145038165</v>
      </c>
      <c r="H10" s="38">
        <f>IF(Clustering_Guide!$C$7=1,LN(1+MAX(C10,0)),C10)</f>
        <v>6.6682282484174031</v>
      </c>
      <c r="I10" s="38">
        <f>IF(Clustering_Guide!$C$7=1,LN(1+MAX(D10,0)),D10)</f>
        <v>3.2188758248682006</v>
      </c>
      <c r="J10" s="38">
        <f>IF(Clustering_Guide!$C$7=1,LN(1+MAX(E10,0)),E10)</f>
        <v>5.8944028342648505</v>
      </c>
      <c r="K10" s="38">
        <f t="shared" si="2"/>
        <v>-0.52983277986581823</v>
      </c>
      <c r="L10" s="38">
        <f t="shared" si="2"/>
        <v>-0.38140138701256326</v>
      </c>
      <c r="M10" s="38">
        <f t="shared" si="2"/>
        <v>-0.31558855999742186</v>
      </c>
    </row>
    <row r="11" spans="1:13" x14ac:dyDescent="0.25">
      <c r="A11" s="36" t="s">
        <v>76</v>
      </c>
      <c r="B11" s="13">
        <f>COUNTIF(Data!$F$2:$F$2797,$A11)</f>
        <v>54</v>
      </c>
      <c r="C11" s="14">
        <f>SUMIF(Data!$F$2:$F$2797,$A11,Data!$B$2:$B$2797)</f>
        <v>285</v>
      </c>
      <c r="D11" s="14">
        <f>SUMIF(Data!$F$2:$F$2797,$A11,Data!$C$2:$C$2797)</f>
        <v>6</v>
      </c>
      <c r="E11" s="14">
        <f>SUMIF(Data!$F$2:$F$2797,$A11,Data!$D$2:$D$2797)</f>
        <v>110</v>
      </c>
      <c r="F11" s="14">
        <f t="shared" si="0"/>
        <v>169</v>
      </c>
      <c r="G11" s="26">
        <f t="shared" si="1"/>
        <v>2.1052631578947367</v>
      </c>
      <c r="H11" s="38">
        <f>IF(Clustering_Guide!$C$7=1,LN(1+MAX(C11,0)),C11)</f>
        <v>5.6559918108198524</v>
      </c>
      <c r="I11" s="38">
        <f>IF(Clustering_Guide!$C$7=1,LN(1+MAX(D11,0)),D11)</f>
        <v>1.9459101490553132</v>
      </c>
      <c r="J11" s="38">
        <f>IF(Clustering_Guide!$C$7=1,LN(1+MAX(E11,0)),E11)</f>
        <v>4.7095302013123339</v>
      </c>
      <c r="K11" s="38">
        <f t="shared" si="2"/>
        <v>-0.97409416193813958</v>
      </c>
      <c r="L11" s="38">
        <f t="shared" si="2"/>
        <v>-0.98057534220678966</v>
      </c>
      <c r="M11" s="38">
        <f t="shared" si="2"/>
        <v>-0.85954051702179324</v>
      </c>
    </row>
    <row r="12" spans="1:13" x14ac:dyDescent="0.25">
      <c r="A12" s="36" t="s">
        <v>77</v>
      </c>
      <c r="B12" s="13">
        <f>COUNTIF(Data!$F$2:$F$2797,$A12)</f>
        <v>36</v>
      </c>
      <c r="C12" s="14">
        <f>SUMIF(Data!$F$2:$F$2797,$A12,Data!$B$2:$B$2797)</f>
        <v>53</v>
      </c>
      <c r="D12" s="14">
        <f>SUMIF(Data!$F$2:$F$2797,$A12,Data!$C$2:$C$2797)</f>
        <v>1</v>
      </c>
      <c r="E12" s="14">
        <f>SUMIF(Data!$F$2:$F$2797,$A12,Data!$D$2:$D$2797)</f>
        <v>15</v>
      </c>
      <c r="F12" s="14">
        <f t="shared" si="0"/>
        <v>37</v>
      </c>
      <c r="G12" s="26">
        <f t="shared" si="1"/>
        <v>1.8867924528301887</v>
      </c>
      <c r="H12" s="38">
        <f>IF(Clustering_Guide!$C$7=1,LN(1+MAX(C12,0)),C12)</f>
        <v>3.9889840465642745</v>
      </c>
      <c r="I12" s="38">
        <f>IF(Clustering_Guide!$C$7=1,LN(1+MAX(D12,0)),D12)</f>
        <v>0.69314718055994529</v>
      </c>
      <c r="J12" s="38">
        <f>IF(Clustering_Guide!$C$7=1,LN(1+MAX(E12,0)),E12)</f>
        <v>2.7725887222397811</v>
      </c>
      <c r="K12" s="38">
        <f t="shared" si="2"/>
        <v>-1.7057287344212133</v>
      </c>
      <c r="L12" s="38">
        <f t="shared" si="2"/>
        <v>-1.5702400574591462</v>
      </c>
      <c r="M12" s="38">
        <f t="shared" si="2"/>
        <v>-1.7487526389675774</v>
      </c>
    </row>
    <row r="13" spans="1:13" x14ac:dyDescent="0.25">
      <c r="A13" s="20" t="s">
        <v>53</v>
      </c>
      <c r="B13" s="20"/>
      <c r="C13" s="22">
        <f>SUM(C5:C12)</f>
        <v>83985</v>
      </c>
      <c r="D13" s="22">
        <f>SUM(D5:D12)</f>
        <v>1728</v>
      </c>
      <c r="E13" s="22">
        <f>SUM(E5:E12)</f>
        <v>24753</v>
      </c>
      <c r="F13" s="22">
        <f>SUM(F5:F12)</f>
        <v>57504</v>
      </c>
      <c r="G13" s="27">
        <f t="shared" si="1"/>
        <v>2.0575102696910164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48235"/>
    <pageSetUpPr fitToPage="1"/>
  </sheetPr>
  <dimension ref="A1:BJ30"/>
  <sheetViews>
    <sheetView showGridLines="0" zoomScaleNormal="100" workbookViewId="0">
      <pane xSplit="1" ySplit="22" topLeftCell="AS107" activePane="bottomRight" state="frozen"/>
      <selection pane="topRight" activeCell="B1" sqref="B1"/>
      <selection pane="bottomLeft" activeCell="A23" sqref="A23"/>
      <selection pane="bottomRight"/>
    </sheetView>
  </sheetViews>
  <sheetFormatPr defaultColWidth="8.7109375" defaultRowHeight="15" x14ac:dyDescent="0.25"/>
  <cols>
    <col min="1" max="1" width="28" customWidth="1"/>
    <col min="2" max="4" width="11" customWidth="1"/>
    <col min="5" max="5" width="10" customWidth="1"/>
    <col min="6" max="6" width="14" customWidth="1"/>
    <col min="7" max="7" width="16" customWidth="1"/>
    <col min="8" max="10" width="11" customWidth="1"/>
    <col min="11" max="11" width="3" customWidth="1"/>
    <col min="12" max="14" width="10" customWidth="1"/>
    <col min="15" max="21" width="11" customWidth="1"/>
    <col min="23" max="23" width="13" customWidth="1"/>
    <col min="24" max="26" width="10" customWidth="1"/>
    <col min="27" max="27" width="9" customWidth="1"/>
    <col min="28" max="28" width="2" customWidth="1"/>
    <col min="29" max="31" width="10" customWidth="1"/>
    <col min="32" max="32" width="9" customWidth="1"/>
    <col min="33" max="33" width="2" customWidth="1"/>
    <col min="34" max="36" width="10" customWidth="1"/>
    <col min="37" max="37" width="9" customWidth="1"/>
    <col min="38" max="38" width="2" customWidth="1"/>
    <col min="39" max="41" width="10" customWidth="1"/>
    <col min="42" max="42" width="9" customWidth="1"/>
    <col min="43" max="43" width="2" customWidth="1"/>
    <col min="44" max="46" width="10" customWidth="1"/>
    <col min="47" max="47" width="9" customWidth="1"/>
    <col min="48" max="48" width="2" customWidth="1"/>
    <col min="49" max="51" width="10" customWidth="1"/>
    <col min="52" max="52" width="9" customWidth="1"/>
    <col min="53" max="53" width="2" customWidth="1"/>
    <col min="54" max="56" width="10" customWidth="1"/>
    <col min="57" max="57" width="9" customWidth="1"/>
    <col min="58" max="58" width="2" customWidth="1"/>
    <col min="59" max="61" width="10" customWidth="1"/>
    <col min="62" max="62" width="9" customWidth="1"/>
    <col min="63" max="63" width="2" customWidth="1"/>
  </cols>
  <sheetData>
    <row r="1" spans="1:61" ht="20.25" x14ac:dyDescent="0.3">
      <c r="A1" s="8" t="s">
        <v>519</v>
      </c>
    </row>
    <row r="2" spans="1:61" x14ac:dyDescent="0.25">
      <c r="A2" s="9" t="s">
        <v>520</v>
      </c>
    </row>
    <row r="4" spans="1:61" ht="31.5" customHeight="1" x14ac:dyDescent="0.25">
      <c r="A4" s="54" t="s">
        <v>450</v>
      </c>
      <c r="B4" s="55"/>
      <c r="L4" s="11" t="s">
        <v>451</v>
      </c>
      <c r="M4" s="11" t="s">
        <v>452</v>
      </c>
      <c r="N4" s="11" t="s">
        <v>453</v>
      </c>
      <c r="O4" s="11" t="s">
        <v>156</v>
      </c>
      <c r="P4" s="11" t="s">
        <v>158</v>
      </c>
      <c r="Q4" s="11" t="s">
        <v>454</v>
      </c>
      <c r="R4" s="11" t="s">
        <v>334</v>
      </c>
      <c r="S4" s="11" t="s">
        <v>66</v>
      </c>
    </row>
    <row r="5" spans="1:61" x14ac:dyDescent="0.25">
      <c r="A5" s="40" t="s">
        <v>455</v>
      </c>
      <c r="B5" s="16">
        <v>3</v>
      </c>
      <c r="L5" s="56">
        <v>1</v>
      </c>
      <c r="M5" s="36" t="str">
        <f>CHOOSE(RANK(O5,$O$5:$O$7,0),"High burden","Medium burden","Low burden")</f>
        <v>High burden</v>
      </c>
      <c r="N5" s="16">
        <f>COUNTIF($E$23:$E$30,L5)</f>
        <v>3</v>
      </c>
      <c r="O5" s="17">
        <f>IFERROR(AVERAGEIF($E$23:$E$30,L5,Province_Agg!$C$5:$C$12),0)</f>
        <v>24737.666666666668</v>
      </c>
      <c r="P5" s="17">
        <f>IFERROR(AVERAGEIF($E$23:$E$30,L5,Province_Agg!$D$5:$D$12),0)</f>
        <v>537.33333333333337</v>
      </c>
      <c r="Q5" s="17">
        <f>IFERROR(AVERAGEIF($E$23:$E$30,L5,Province_Agg!$E$5:$E$12),0)</f>
        <v>7275</v>
      </c>
      <c r="R5" s="26">
        <f>IFERROR(SUMIF($E$23:$E$30,L5,Province_Agg!$D$5:$D$12)/SUMIF($E$23:$E$30,L5,Province_Agg!$C$5:$C$12)*100,0)</f>
        <v>2.1721261773543716</v>
      </c>
      <c r="S5" s="15">
        <f>SUMIF($E$23:$E$30,L5,Province_Agg!$C$5:$C$12)/SUM(Province_Agg!$C$5:$C$12)</f>
        <v>0.88364588914687148</v>
      </c>
    </row>
    <row r="6" spans="1:61" x14ac:dyDescent="0.25">
      <c r="A6" s="40" t="s">
        <v>456</v>
      </c>
      <c r="B6" s="16">
        <f>Clustering_Guide!$C$7</f>
        <v>1</v>
      </c>
      <c r="L6" s="56">
        <v>2</v>
      </c>
      <c r="M6" s="36" t="str">
        <f>CHOOSE(RANK(O6,$O$5:$O$7,0),"High burden","Medium burden","Low burden")</f>
        <v>Low burden</v>
      </c>
      <c r="N6" s="16">
        <f>COUNTIF($E$23:$E$30,L6)</f>
        <v>2</v>
      </c>
      <c r="O6" s="17">
        <f>IFERROR(AVERAGEIF($E$23:$E$30,L6,Province_Agg!$C$5:$C$12),0)</f>
        <v>169</v>
      </c>
      <c r="P6" s="17">
        <f>IFERROR(AVERAGEIF($E$23:$E$30,L6,Province_Agg!$D$5:$D$12),0)</f>
        <v>3.5</v>
      </c>
      <c r="Q6" s="17">
        <f>IFERROR(AVERAGEIF($E$23:$E$30,L6,Province_Agg!$E$5:$E$12),0)</f>
        <v>62.5</v>
      </c>
      <c r="R6" s="26">
        <f>IFERROR(SUMIF($E$23:$E$30,L6,Province_Agg!$D$5:$D$12)/SUMIF($E$23:$E$30,L6,Province_Agg!$C$5:$C$12)*100,0)</f>
        <v>2.0710059171597637</v>
      </c>
      <c r="S6" s="15">
        <f>SUMIF($E$23:$E$30,L6,Province_Agg!$C$5:$C$12)/SUM(Province_Agg!$C$5:$C$12)</f>
        <v>4.0245281895576589E-3</v>
      </c>
    </row>
    <row r="7" spans="1:61" x14ac:dyDescent="0.25">
      <c r="A7" s="54" t="s">
        <v>457</v>
      </c>
      <c r="B7" s="55"/>
      <c r="L7" s="56">
        <v>3</v>
      </c>
      <c r="M7" s="36" t="str">
        <f>CHOOSE(RANK(O7,$O$5:$O$7,0),"High burden","Medium burden","Low burden")</f>
        <v>Medium burden</v>
      </c>
      <c r="N7" s="16">
        <f>COUNTIF($E$23:$E$30,L7)</f>
        <v>3</v>
      </c>
      <c r="O7" s="17">
        <f>IFERROR(AVERAGEIF($E$23:$E$30,L7,Province_Agg!$C$5:$C$12),0)</f>
        <v>3144.6666666666665</v>
      </c>
      <c r="P7" s="17">
        <f>IFERROR(AVERAGEIF($E$23:$E$30,L7,Province_Agg!$D$5:$D$12),0)</f>
        <v>36.333333333333336</v>
      </c>
      <c r="Q7" s="17">
        <f>IFERROR(AVERAGEIF($E$23:$E$30,L7,Province_Agg!$E$5:$E$12),0)</f>
        <v>934.33333333333337</v>
      </c>
      <c r="R7" s="26">
        <f>IFERROR(SUMIF($E$23:$E$30,L7,Province_Agg!$D$5:$D$12)/SUMIF($E$23:$E$30,L7,Province_Agg!$C$5:$C$12)*100,0)</f>
        <v>1.1553953784184863</v>
      </c>
      <c r="S7" s="15">
        <f>SUMIF($E$23:$E$30,L7,Province_Agg!$C$5:$C$12)/SUM(Province_Agg!$C$5:$C$12)</f>
        <v>0.11232958266357088</v>
      </c>
    </row>
    <row r="8" spans="1:61" x14ac:dyDescent="0.25">
      <c r="A8" s="40" t="s">
        <v>458</v>
      </c>
      <c r="B8" s="32" t="s">
        <v>70</v>
      </c>
      <c r="L8" s="20" t="s">
        <v>53</v>
      </c>
      <c r="M8" s="20"/>
      <c r="N8" s="21">
        <f>SUM(N5:N7)</f>
        <v>8</v>
      </c>
      <c r="O8" s="20"/>
      <c r="P8" s="20"/>
      <c r="Q8" s="20"/>
      <c r="R8" s="20"/>
      <c r="S8" s="25">
        <f>SUM(S5:S7)</f>
        <v>1</v>
      </c>
    </row>
    <row r="9" spans="1:61" x14ac:dyDescent="0.25">
      <c r="A9" s="40" t="s">
        <v>459</v>
      </c>
      <c r="B9" s="32" t="s">
        <v>77</v>
      </c>
    </row>
    <row r="10" spans="1:61" x14ac:dyDescent="0.25">
      <c r="A10" s="40" t="s">
        <v>460</v>
      </c>
      <c r="B10" s="32" t="s">
        <v>74</v>
      </c>
    </row>
    <row r="11" spans="1:61" x14ac:dyDescent="0.25">
      <c r="A11" s="46" t="s">
        <v>461</v>
      </c>
    </row>
    <row r="15" spans="1:61" x14ac:dyDescent="0.25">
      <c r="L15" s="54" t="s">
        <v>462</v>
      </c>
      <c r="M15" s="55"/>
      <c r="N15" s="55"/>
      <c r="X15" s="54" t="s">
        <v>463</v>
      </c>
      <c r="Y15" s="55"/>
      <c r="Z15" s="55"/>
      <c r="AC15" s="54" t="s">
        <v>464</v>
      </c>
      <c r="AD15" s="55"/>
      <c r="AE15" s="55"/>
      <c r="AH15" s="54" t="s">
        <v>465</v>
      </c>
      <c r="AI15" s="55"/>
      <c r="AJ15" s="55"/>
      <c r="AM15" s="54" t="s">
        <v>466</v>
      </c>
      <c r="AN15" s="55"/>
      <c r="AO15" s="55"/>
      <c r="AR15" s="54" t="s">
        <v>467</v>
      </c>
      <c r="AS15" s="55"/>
      <c r="AT15" s="55"/>
      <c r="AW15" s="54" t="s">
        <v>468</v>
      </c>
      <c r="AX15" s="55"/>
      <c r="AY15" s="55"/>
      <c r="BB15" s="54" t="s">
        <v>469</v>
      </c>
      <c r="BC15" s="55"/>
      <c r="BD15" s="55"/>
      <c r="BG15" s="54" t="s">
        <v>470</v>
      </c>
      <c r="BH15" s="55"/>
      <c r="BI15" s="55"/>
    </row>
    <row r="16" spans="1:61" x14ac:dyDescent="0.25">
      <c r="K16" s="40" t="s">
        <v>445</v>
      </c>
      <c r="L16" s="18">
        <f>IFERROR(AVERAGEIF($E$23:$E$30,1,$B$23:$B$30),0)</f>
        <v>0.92965083982806906</v>
      </c>
      <c r="M16" s="18">
        <f>IFERROR(AVERAGEIF($E$23:$E$30,2,$B$23:$B$30),0)</f>
        <v>-1.3399114481796763</v>
      </c>
      <c r="N16" s="18">
        <f>IFERROR(AVERAGEIF($E$23:$E$30,3,$B$23:$B$30),0)</f>
        <v>-3.6376541041618617E-2</v>
      </c>
      <c r="W16" s="40" t="s">
        <v>445</v>
      </c>
      <c r="X16" s="18">
        <f>INDEX($B$23:$B$30,MATCH($B$8,$A$23:$A$30,0))</f>
        <v>1.1079996031362669</v>
      </c>
      <c r="Y16" s="18">
        <f>INDEX($B$23:$B$30,MATCH($B$9,$A$23:$A$30,0))</f>
        <v>-1.7057287344212133</v>
      </c>
      <c r="Z16" s="18">
        <f>INDEX($B$23:$B$30,MATCH($B$10,$A$23:$A$30,0))</f>
        <v>0.12811901804192732</v>
      </c>
      <c r="AC16" s="18">
        <f>IFERROR(AVERAGEIF($AA$23:$AA$30,1,$B$23:$B$30),X16)</f>
        <v>0.92965083982806906</v>
      </c>
      <c r="AD16" s="18">
        <f>IFERROR(AVERAGEIF($AA$23:$AA$30,2,$B$23:$B$30),Y16)</f>
        <v>-1.3399114481796763</v>
      </c>
      <c r="AE16" s="18">
        <f>IFERROR(AVERAGEIF($AA$23:$AA$30,3,$B$23:$B$30),Z16)</f>
        <v>-3.6376541041618617E-2</v>
      </c>
      <c r="AH16" s="18">
        <f>IFERROR(AVERAGEIF($AF$23:$AF$30,1,$B$23:$B$30),AC16)</f>
        <v>0.92965083982806906</v>
      </c>
      <c r="AI16" s="18">
        <f>IFERROR(AVERAGEIF($AF$23:$AF$30,2,$B$23:$B$30),AD16)</f>
        <v>-1.3399114481796763</v>
      </c>
      <c r="AJ16" s="18">
        <f>IFERROR(AVERAGEIF($AF$23:$AF$30,3,$B$23:$B$30),AE16)</f>
        <v>-3.6376541041618617E-2</v>
      </c>
      <c r="AM16" s="18">
        <f>IFERROR(AVERAGEIF($AK$23:$AK$30,1,$B$23:$B$30),AH16)</f>
        <v>0.92965083982806906</v>
      </c>
      <c r="AN16" s="18">
        <f>IFERROR(AVERAGEIF($AK$23:$AK$30,2,$B$23:$B$30),AI16)</f>
        <v>-1.3399114481796763</v>
      </c>
      <c r="AO16" s="18">
        <f>IFERROR(AVERAGEIF($AK$23:$AK$30,3,$B$23:$B$30),AJ16)</f>
        <v>-3.6376541041618617E-2</v>
      </c>
      <c r="AR16" s="18">
        <f>IFERROR(AVERAGEIF($AP$23:$AP$30,1,$B$23:$B$30),AM16)</f>
        <v>0.92965083982806906</v>
      </c>
      <c r="AS16" s="18">
        <f>IFERROR(AVERAGEIF($AP$23:$AP$30,2,$B$23:$B$30),AN16)</f>
        <v>-1.3399114481796763</v>
      </c>
      <c r="AT16" s="18">
        <f>IFERROR(AVERAGEIF($AP$23:$AP$30,3,$B$23:$B$30),AO16)</f>
        <v>-3.6376541041618617E-2</v>
      </c>
      <c r="AW16" s="18">
        <f>IFERROR(AVERAGEIF($AU$23:$AU$30,1,$B$23:$B$30),AR16)</f>
        <v>0.92965083982806906</v>
      </c>
      <c r="AX16" s="18">
        <f>IFERROR(AVERAGEIF($AU$23:$AU$30,2,$B$23:$B$30),AS16)</f>
        <v>-1.3399114481796763</v>
      </c>
      <c r="AY16" s="18">
        <f>IFERROR(AVERAGEIF($AU$23:$AU$30,3,$B$23:$B$30),AT16)</f>
        <v>-3.6376541041618617E-2</v>
      </c>
      <c r="BB16" s="18">
        <f>IFERROR(AVERAGEIF($AZ$23:$AZ$30,1,$B$23:$B$30),AW16)</f>
        <v>0.92965083982806906</v>
      </c>
      <c r="BC16" s="18">
        <f>IFERROR(AVERAGEIF($AZ$23:$AZ$30,2,$B$23:$B$30),AX16)</f>
        <v>-1.3399114481796763</v>
      </c>
      <c r="BD16" s="18">
        <f>IFERROR(AVERAGEIF($AZ$23:$AZ$30,3,$B$23:$B$30),AY16)</f>
        <v>-3.6376541041618617E-2</v>
      </c>
      <c r="BG16" s="18">
        <f>IFERROR(AVERAGEIF($BE$23:$BE$30,1,$B$23:$B$30),BB16)</f>
        <v>0.92965083982806906</v>
      </c>
      <c r="BH16" s="18">
        <f>IFERROR(AVERAGEIF($BE$23:$BE$30,2,$B$23:$B$30),BC16)</f>
        <v>-1.3399114481796763</v>
      </c>
      <c r="BI16" s="18">
        <f>IFERROR(AVERAGEIF($BE$23:$BE$30,3,$B$23:$B$30),BD16)</f>
        <v>-3.6376541041618617E-2</v>
      </c>
    </row>
    <row r="17" spans="1:62" x14ac:dyDescent="0.25">
      <c r="K17" s="40" t="s">
        <v>446</v>
      </c>
      <c r="L17" s="18">
        <f>IFERROR(AVERAGEIF($E$23:$E$30,1,$C$23:$C$30),0)</f>
        <v>1.0614101131991951</v>
      </c>
      <c r="M17" s="18">
        <f>IFERROR(AVERAGEIF($E$23:$E$30,2,$C$23:$C$30),0)</f>
        <v>-1.275407699832968</v>
      </c>
      <c r="N17" s="18">
        <f>IFERROR(AVERAGEIF($E$23:$E$30,3,$C$23:$C$30),0)</f>
        <v>-0.21113831331054919</v>
      </c>
      <c r="W17" s="40" t="s">
        <v>446</v>
      </c>
      <c r="X17" s="18">
        <f>INDEX($C$23:$C$30,MATCH($B$8,$A$23:$A$30,0))</f>
        <v>1.070951178441117</v>
      </c>
      <c r="Y17" s="18">
        <f>INDEX($C$23:$C$30,MATCH($B$9,$A$23:$A$30,0))</f>
        <v>-1.5702400574591462</v>
      </c>
      <c r="Z17" s="18">
        <f>INDEX($C$23:$C$30,MATCH($B$10,$A$23:$A$30,0))</f>
        <v>-0.1968705604564116</v>
      </c>
      <c r="AC17" s="18">
        <f>IFERROR(AVERAGEIF($AA$23:$AA$30,1,$C$23:$C$30),X17)</f>
        <v>1.0614101131991951</v>
      </c>
      <c r="AD17" s="18">
        <f>IFERROR(AVERAGEIF($AA$23:$AA$30,2,$C$23:$C$30),Y17)</f>
        <v>-1.275407699832968</v>
      </c>
      <c r="AE17" s="18">
        <f>IFERROR(AVERAGEIF($AA$23:$AA$30,3,$C$23:$C$30),Z17)</f>
        <v>-0.21113831331054919</v>
      </c>
      <c r="AH17" s="18">
        <f>IFERROR(AVERAGEIF($AF$23:$AF$30,1,$C$23:$C$30),AC17)</f>
        <v>1.0614101131991951</v>
      </c>
      <c r="AI17" s="18">
        <f>IFERROR(AVERAGEIF($AF$23:$AF$30,2,$C$23:$C$30),AD17)</f>
        <v>-1.275407699832968</v>
      </c>
      <c r="AJ17" s="18">
        <f>IFERROR(AVERAGEIF($AF$23:$AF$30,3,$C$23:$C$30),AE17)</f>
        <v>-0.21113831331054919</v>
      </c>
      <c r="AM17" s="18">
        <f>IFERROR(AVERAGEIF($AK$23:$AK$30,1,$C$23:$C$30),AH17)</f>
        <v>1.0614101131991951</v>
      </c>
      <c r="AN17" s="18">
        <f>IFERROR(AVERAGEIF($AK$23:$AK$30,2,$C$23:$C$30),AI17)</f>
        <v>-1.275407699832968</v>
      </c>
      <c r="AO17" s="18">
        <f>IFERROR(AVERAGEIF($AK$23:$AK$30,3,$C$23:$C$30),AJ17)</f>
        <v>-0.21113831331054919</v>
      </c>
      <c r="AR17" s="18">
        <f>IFERROR(AVERAGEIF($AP$23:$AP$30,1,$C$23:$C$30),AM17)</f>
        <v>1.0614101131991951</v>
      </c>
      <c r="AS17" s="18">
        <f>IFERROR(AVERAGEIF($AP$23:$AP$30,2,$C$23:$C$30),AN17)</f>
        <v>-1.275407699832968</v>
      </c>
      <c r="AT17" s="18">
        <f>IFERROR(AVERAGEIF($AP$23:$AP$30,3,$C$23:$C$30),AO17)</f>
        <v>-0.21113831331054919</v>
      </c>
      <c r="AW17" s="18">
        <f>IFERROR(AVERAGEIF($AU$23:$AU$30,1,$C$23:$C$30),AR17)</f>
        <v>1.0614101131991951</v>
      </c>
      <c r="AX17" s="18">
        <f>IFERROR(AVERAGEIF($AU$23:$AU$30,2,$C$23:$C$30),AS17)</f>
        <v>-1.275407699832968</v>
      </c>
      <c r="AY17" s="18">
        <f>IFERROR(AVERAGEIF($AU$23:$AU$30,3,$C$23:$C$30),AT17)</f>
        <v>-0.21113831331054919</v>
      </c>
      <c r="BB17" s="18">
        <f>IFERROR(AVERAGEIF($AZ$23:$AZ$30,1,$C$23:$C$30),AW17)</f>
        <v>1.0614101131991951</v>
      </c>
      <c r="BC17" s="18">
        <f>IFERROR(AVERAGEIF($AZ$23:$AZ$30,2,$C$23:$C$30),AX17)</f>
        <v>-1.275407699832968</v>
      </c>
      <c r="BD17" s="18">
        <f>IFERROR(AVERAGEIF($AZ$23:$AZ$30,3,$C$23:$C$30),AY17)</f>
        <v>-0.21113831331054919</v>
      </c>
      <c r="BG17" s="18">
        <f>IFERROR(AVERAGEIF($BE$23:$BE$30,1,$C$23:$C$30),BB17)</f>
        <v>1.0614101131991951</v>
      </c>
      <c r="BH17" s="18">
        <f>IFERROR(AVERAGEIF($BE$23:$BE$30,2,$C$23:$C$30),BC17)</f>
        <v>-1.275407699832968</v>
      </c>
      <c r="BI17" s="18">
        <f>IFERROR(AVERAGEIF($BE$23:$BE$30,3,$C$23:$C$30),BD17)</f>
        <v>-0.21113831331054919</v>
      </c>
    </row>
    <row r="18" spans="1:62" x14ac:dyDescent="0.25">
      <c r="K18" s="40" t="s">
        <v>447</v>
      </c>
      <c r="L18" s="18">
        <f>IFERROR(AVERAGEIF($E$23:$E$30,1,$D$23:$D$30),0)</f>
        <v>0.88869015505504267</v>
      </c>
      <c r="M18" s="18">
        <f>IFERROR(AVERAGEIF($E$23:$E$30,2,$D$23:$D$30),0)</f>
        <v>-1.3041465779946853</v>
      </c>
      <c r="N18" s="18">
        <f>IFERROR(AVERAGEIF($E$23:$E$30,3,$D$23:$D$30),0)</f>
        <v>-1.9259103058586302E-2</v>
      </c>
      <c r="W18" s="40" t="s">
        <v>447</v>
      </c>
      <c r="X18" s="18">
        <f>INDEX($D$23:$D$30,MATCH($B$8,$A$23:$A$30,0))</f>
        <v>1.4168629470098362</v>
      </c>
      <c r="Y18" s="18">
        <f>INDEX($D$23:$D$30,MATCH($B$9,$A$23:$A$30,0))</f>
        <v>-1.7487526389675774</v>
      </c>
      <c r="Z18" s="18">
        <f>INDEX($D$23:$D$30,MATCH($B$10,$A$23:$A$30,0))</f>
        <v>-0.20587051276295637</v>
      </c>
      <c r="AC18" s="18">
        <f>IFERROR(AVERAGEIF($AA$23:$AA$30,1,$D$23:$D$30),X18)</f>
        <v>0.88869015505504267</v>
      </c>
      <c r="AD18" s="18">
        <f>IFERROR(AVERAGEIF($AA$23:$AA$30,2,$D$23:$D$30),Y18)</f>
        <v>-1.3041465779946853</v>
      </c>
      <c r="AE18" s="18">
        <f>IFERROR(AVERAGEIF($AA$23:$AA$30,3,$D$23:$D$30),Z18)</f>
        <v>-1.9259103058586302E-2</v>
      </c>
      <c r="AH18" s="18">
        <f>IFERROR(AVERAGEIF($AF$23:$AF$30,1,$D$23:$D$30),AC18)</f>
        <v>0.88869015505504267</v>
      </c>
      <c r="AI18" s="18">
        <f>IFERROR(AVERAGEIF($AF$23:$AF$30,2,$D$23:$D$30),AD18)</f>
        <v>-1.3041465779946853</v>
      </c>
      <c r="AJ18" s="18">
        <f>IFERROR(AVERAGEIF($AF$23:$AF$30,3,$D$23:$D$30),AE18)</f>
        <v>-1.9259103058586302E-2</v>
      </c>
      <c r="AM18" s="18">
        <f>IFERROR(AVERAGEIF($AK$23:$AK$30,1,$D$23:$D$30),AH18)</f>
        <v>0.88869015505504267</v>
      </c>
      <c r="AN18" s="18">
        <f>IFERROR(AVERAGEIF($AK$23:$AK$30,2,$D$23:$D$30),AI18)</f>
        <v>-1.3041465779946853</v>
      </c>
      <c r="AO18" s="18">
        <f>IFERROR(AVERAGEIF($AK$23:$AK$30,3,$D$23:$D$30),AJ18)</f>
        <v>-1.9259103058586302E-2</v>
      </c>
      <c r="AR18" s="18">
        <f>IFERROR(AVERAGEIF($AP$23:$AP$30,1,$D$23:$D$30),AM18)</f>
        <v>0.88869015505504267</v>
      </c>
      <c r="AS18" s="18">
        <f>IFERROR(AVERAGEIF($AP$23:$AP$30,2,$D$23:$D$30),AN18)</f>
        <v>-1.3041465779946853</v>
      </c>
      <c r="AT18" s="18">
        <f>IFERROR(AVERAGEIF($AP$23:$AP$30,3,$D$23:$D$30),AO18)</f>
        <v>-1.9259103058586302E-2</v>
      </c>
      <c r="AW18" s="18">
        <f>IFERROR(AVERAGEIF($AU$23:$AU$30,1,$D$23:$D$30),AR18)</f>
        <v>0.88869015505504267</v>
      </c>
      <c r="AX18" s="18">
        <f>IFERROR(AVERAGEIF($AU$23:$AU$30,2,$D$23:$D$30),AS18)</f>
        <v>-1.3041465779946853</v>
      </c>
      <c r="AY18" s="18">
        <f>IFERROR(AVERAGEIF($AU$23:$AU$30,3,$D$23:$D$30),AT18)</f>
        <v>-1.9259103058586302E-2</v>
      </c>
      <c r="BB18" s="18">
        <f>IFERROR(AVERAGEIF($AZ$23:$AZ$30,1,$D$23:$D$30),AW18)</f>
        <v>0.88869015505504267</v>
      </c>
      <c r="BC18" s="18">
        <f>IFERROR(AVERAGEIF($AZ$23:$AZ$30,2,$D$23:$D$30),AX18)</f>
        <v>-1.3041465779946853</v>
      </c>
      <c r="BD18" s="18">
        <f>IFERROR(AVERAGEIF($AZ$23:$AZ$30,3,$D$23:$D$30),AY18)</f>
        <v>-1.9259103058586302E-2</v>
      </c>
      <c r="BG18" s="18">
        <f>IFERROR(AVERAGEIF($BE$23:$BE$30,1,$D$23:$D$30),BB18)</f>
        <v>0.88869015505504267</v>
      </c>
      <c r="BH18" s="18">
        <f>IFERROR(AVERAGEIF($BE$23:$BE$30,2,$D$23:$D$30),BC18)</f>
        <v>-1.3041465779946853</v>
      </c>
      <c r="BI18" s="18">
        <f>IFERROR(AVERAGEIF($BE$23:$BE$30,3,$D$23:$D$30),BD18)</f>
        <v>-1.9259103058586302E-2</v>
      </c>
    </row>
    <row r="19" spans="1:62" x14ac:dyDescent="0.25">
      <c r="K19" s="40" t="s">
        <v>475</v>
      </c>
      <c r="L19" s="16">
        <f>COUNTIF($E$23:$E$30,1)</f>
        <v>3</v>
      </c>
      <c r="M19" s="16">
        <f>COUNTIF($E$23:$E$30,2)</f>
        <v>2</v>
      </c>
      <c r="N19" s="16">
        <f>COUNTIF($E$23:$E$30,3)</f>
        <v>3</v>
      </c>
      <c r="W19" s="40" t="s">
        <v>475</v>
      </c>
      <c r="X19" s="16">
        <f>COUNTIF($AA$23:$AA$30,1)</f>
        <v>3</v>
      </c>
      <c r="Y19" s="16">
        <f>COUNTIF($AA$23:$AA$30,2)</f>
        <v>2</v>
      </c>
      <c r="Z19" s="16">
        <f>COUNTIF($AA$23:$AA$30,3)</f>
        <v>3</v>
      </c>
      <c r="AC19" s="16">
        <f>COUNTIF($AF$23:$AF$30,1)</f>
        <v>3</v>
      </c>
      <c r="AD19" s="16">
        <f>COUNTIF($AF$23:$AF$30,2)</f>
        <v>2</v>
      </c>
      <c r="AE19" s="16">
        <f>COUNTIF($AF$23:$AF$30,3)</f>
        <v>3</v>
      </c>
      <c r="AH19" s="16">
        <f>COUNTIF($AK$23:$AK$30,1)</f>
        <v>3</v>
      </c>
      <c r="AI19" s="16">
        <f>COUNTIF($AK$23:$AK$30,2)</f>
        <v>2</v>
      </c>
      <c r="AJ19" s="16">
        <f>COUNTIF($AK$23:$AK$30,3)</f>
        <v>3</v>
      </c>
      <c r="AM19" s="16">
        <f>COUNTIF($AP$23:$AP$30,1)</f>
        <v>3</v>
      </c>
      <c r="AN19" s="16">
        <f>COUNTIF($AP$23:$AP$30,2)</f>
        <v>2</v>
      </c>
      <c r="AO19" s="16">
        <f>COUNTIF($AP$23:$AP$30,3)</f>
        <v>3</v>
      </c>
      <c r="AR19" s="16">
        <f>COUNTIF($AU$23:$AU$30,1)</f>
        <v>3</v>
      </c>
      <c r="AS19" s="16">
        <f>COUNTIF($AU$23:$AU$30,2)</f>
        <v>2</v>
      </c>
      <c r="AT19" s="16">
        <f>COUNTIF($AU$23:$AU$30,3)</f>
        <v>3</v>
      </c>
      <c r="AW19" s="16">
        <f>COUNTIF($AZ$23:$AZ$30,1)</f>
        <v>3</v>
      </c>
      <c r="AX19" s="16">
        <f>COUNTIF($AZ$23:$AZ$30,2)</f>
        <v>2</v>
      </c>
      <c r="AY19" s="16">
        <f>COUNTIF($AZ$23:$AZ$30,3)</f>
        <v>3</v>
      </c>
      <c r="BB19" s="16">
        <f>COUNTIF($BE$23:$BE$30,1)</f>
        <v>3</v>
      </c>
      <c r="BC19" s="16">
        <f>COUNTIF($BE$23:$BE$30,2)</f>
        <v>2</v>
      </c>
      <c r="BD19" s="16">
        <f>COUNTIF($BE$23:$BE$30,3)</f>
        <v>3</v>
      </c>
      <c r="BG19" s="16">
        <f>COUNTIF($BJ$23:$BJ$30,1)</f>
        <v>3</v>
      </c>
      <c r="BH19" s="16">
        <f>COUNTIF($BJ$23:$BJ$30,2)</f>
        <v>2</v>
      </c>
      <c r="BI19" s="16">
        <f>COUNTIF($BJ$23:$BJ$30,3)</f>
        <v>3</v>
      </c>
    </row>
    <row r="20" spans="1:62" x14ac:dyDescent="0.25">
      <c r="K20" s="40" t="s">
        <v>476</v>
      </c>
      <c r="L20" s="18">
        <f>SUMIF($E$23:$E$30,1,$F$23:$F$30)</f>
        <v>0.64867749756009607</v>
      </c>
      <c r="M20" s="18">
        <f>SUMIF($E$23:$E$30,2,$F$23:$F$30)</f>
        <v>0.83684591094072847</v>
      </c>
      <c r="N20" s="18">
        <f>SUMIF($E$23:$E$30,3,$F$23:$F$30)</f>
        <v>0.78816744652817095</v>
      </c>
      <c r="W20" s="40" t="s">
        <v>477</v>
      </c>
      <c r="AA20" s="13" t="s">
        <v>478</v>
      </c>
      <c r="AF20" s="16">
        <f>SUMPRODUCT(--($AF$23:$AF$30&lt;&gt;$AA$23:$AA$30))</f>
        <v>0</v>
      </c>
      <c r="AK20" s="16">
        <f>SUMPRODUCT(--($AK$23:$AK$30&lt;&gt;$AF$23:$AF$30))</f>
        <v>0</v>
      </c>
      <c r="AP20" s="16">
        <f>SUMPRODUCT(--($AP$23:$AP$30&lt;&gt;$AK$23:$AK$30))</f>
        <v>0</v>
      </c>
      <c r="AU20" s="16">
        <f>SUMPRODUCT(--($AU$23:$AU$30&lt;&gt;$AP$23:$AP$30))</f>
        <v>0</v>
      </c>
      <c r="AZ20" s="16">
        <f>SUMPRODUCT(--($AZ$23:$AZ$30&lt;&gt;$AU$23:$AU$30))</f>
        <v>0</v>
      </c>
      <c r="BE20" s="16">
        <f>SUMPRODUCT(--($BE$23:$BE$30&lt;&gt;$AZ$23:$AZ$30))</f>
        <v>0</v>
      </c>
      <c r="BJ20" s="16">
        <f>SUMPRODUCT(--($BJ$23:$BJ$30&lt;&gt;$BE$23:$BE$30))</f>
        <v>0</v>
      </c>
    </row>
    <row r="21" spans="1:62" x14ac:dyDescent="0.25">
      <c r="K21" s="40" t="s">
        <v>270</v>
      </c>
      <c r="L21" s="57">
        <f>SUM($F$23:$F$30)</f>
        <v>2.2736908550289954</v>
      </c>
      <c r="M21" s="40" t="s">
        <v>52</v>
      </c>
      <c r="N21" s="36" t="str">
        <f>IF(BJ20=0,"Converged","Not converged: more iterations needed")</f>
        <v>Converged</v>
      </c>
    </row>
    <row r="22" spans="1:62" ht="31.5" customHeight="1" x14ac:dyDescent="0.25">
      <c r="A22" s="11" t="s">
        <v>479</v>
      </c>
      <c r="B22" s="11" t="s">
        <v>445</v>
      </c>
      <c r="C22" s="11" t="s">
        <v>446</v>
      </c>
      <c r="D22" s="11" t="s">
        <v>447</v>
      </c>
      <c r="E22" s="11" t="s">
        <v>451</v>
      </c>
      <c r="F22" s="11" t="s">
        <v>480</v>
      </c>
      <c r="G22" s="11" t="s">
        <v>452</v>
      </c>
      <c r="X22" s="11" t="s">
        <v>484</v>
      </c>
      <c r="Y22" s="11" t="s">
        <v>485</v>
      </c>
      <c r="Z22" s="11" t="s">
        <v>486</v>
      </c>
      <c r="AA22" s="11" t="s">
        <v>451</v>
      </c>
      <c r="AC22" s="11" t="s">
        <v>484</v>
      </c>
      <c r="AD22" s="11" t="s">
        <v>485</v>
      </c>
      <c r="AE22" s="11" t="s">
        <v>486</v>
      </c>
      <c r="AF22" s="11" t="s">
        <v>451</v>
      </c>
      <c r="AH22" s="11" t="s">
        <v>484</v>
      </c>
      <c r="AI22" s="11" t="s">
        <v>485</v>
      </c>
      <c r="AJ22" s="11" t="s">
        <v>486</v>
      </c>
      <c r="AK22" s="11" t="s">
        <v>451</v>
      </c>
      <c r="AM22" s="11" t="s">
        <v>484</v>
      </c>
      <c r="AN22" s="11" t="s">
        <v>485</v>
      </c>
      <c r="AO22" s="11" t="s">
        <v>486</v>
      </c>
      <c r="AP22" s="11" t="s">
        <v>451</v>
      </c>
      <c r="AR22" s="11" t="s">
        <v>484</v>
      </c>
      <c r="AS22" s="11" t="s">
        <v>485</v>
      </c>
      <c r="AT22" s="11" t="s">
        <v>486</v>
      </c>
      <c r="AU22" s="11" t="s">
        <v>451</v>
      </c>
      <c r="AW22" s="11" t="s">
        <v>484</v>
      </c>
      <c r="AX22" s="11" t="s">
        <v>485</v>
      </c>
      <c r="AY22" s="11" t="s">
        <v>486</v>
      </c>
      <c r="AZ22" s="11" t="s">
        <v>451</v>
      </c>
      <c r="BB22" s="11" t="s">
        <v>484</v>
      </c>
      <c r="BC22" s="11" t="s">
        <v>485</v>
      </c>
      <c r="BD22" s="11" t="s">
        <v>486</v>
      </c>
      <c r="BE22" s="11" t="s">
        <v>451</v>
      </c>
      <c r="BG22" s="11" t="s">
        <v>484</v>
      </c>
      <c r="BH22" s="11" t="s">
        <v>485</v>
      </c>
      <c r="BI22" s="11" t="s">
        <v>486</v>
      </c>
      <c r="BJ22" s="11" t="s">
        <v>451</v>
      </c>
    </row>
    <row r="23" spans="1:62" x14ac:dyDescent="0.25">
      <c r="A23" s="36" t="str">
        <f>Province_Agg!A5</f>
        <v>Sindh</v>
      </c>
      <c r="B23" s="18">
        <f>Province_Agg!K5</f>
        <v>1.1079996031362669</v>
      </c>
      <c r="C23" s="18">
        <f>Province_Agg!L5</f>
        <v>1.070951178441117</v>
      </c>
      <c r="D23" s="18">
        <f>Province_Agg!M5</f>
        <v>1.4168629470098362</v>
      </c>
      <c r="E23" s="56">
        <f t="shared" ref="E23:E30" si="0">BJ23</f>
        <v>1</v>
      </c>
      <c r="F23" s="38">
        <f t="shared" ref="F23:F30" si="1">($B23-INDEX($L$16:$N$16,E23))^2+($C23-INDEX($L$17:$N$17,E23))^2+($D23-INDEX($L$18:$N$18,E23))^2</f>
        <v>0.31086581146083575</v>
      </c>
      <c r="G23" s="13" t="str">
        <f t="shared" ref="G23:G30" si="2">INDEX($M$5:$M$7,E23)</f>
        <v>High burden</v>
      </c>
      <c r="X23" s="18">
        <f t="shared" ref="X23:Z30" si="3">SQRT(($B23-X$16)^2+($C23-X$17)^2+($D23-X$18)^2)</f>
        <v>0</v>
      </c>
      <c r="Y23" s="18">
        <f t="shared" si="3"/>
        <v>4.9914006391346168</v>
      </c>
      <c r="Z23" s="18">
        <f t="shared" si="3"/>
        <v>2.2805266506077397</v>
      </c>
      <c r="AA23" s="56">
        <f t="shared" ref="AA23:AA30" si="4">MATCH(MIN(X23:Z23),X23:Z23,0)</f>
        <v>1</v>
      </c>
      <c r="AC23" s="18">
        <f t="shared" ref="AC23:AE30" si="5">SQRT(($B23-AC$16)^2+($C23-AC$17)^2+($D23-AC$18)^2)</f>
        <v>0.55755341579155959</v>
      </c>
      <c r="AD23" s="18">
        <f t="shared" si="5"/>
        <v>4.3475925908456139</v>
      </c>
      <c r="AE23" s="18">
        <f t="shared" si="5"/>
        <v>2.2395974564452912</v>
      </c>
      <c r="AF23" s="56">
        <f t="shared" ref="AF23:AF30" si="6">MATCH(MIN(AC23:AE23),AC23:AE23,0)</f>
        <v>1</v>
      </c>
      <c r="AH23" s="18">
        <f t="shared" ref="AH23:AJ30" si="7">SQRT(($B23-AH$16)^2+($C23-AH$17)^2+($D23-AH$18)^2)</f>
        <v>0.55755341579155959</v>
      </c>
      <c r="AI23" s="18">
        <f t="shared" si="7"/>
        <v>4.3475925908456139</v>
      </c>
      <c r="AJ23" s="18">
        <f t="shared" si="7"/>
        <v>2.2395974564452912</v>
      </c>
      <c r="AK23" s="56">
        <f t="shared" ref="AK23:AK30" si="8">MATCH(MIN(AH23:AJ23),AH23:AJ23,0)</f>
        <v>1</v>
      </c>
      <c r="AM23" s="18">
        <f t="shared" ref="AM23:AO30" si="9">SQRT(($B23-AM$16)^2+($C23-AM$17)^2+($D23-AM$18)^2)</f>
        <v>0.55755341579155959</v>
      </c>
      <c r="AN23" s="18">
        <f t="shared" si="9"/>
        <v>4.3475925908456139</v>
      </c>
      <c r="AO23" s="18">
        <f t="shared" si="9"/>
        <v>2.2395974564452912</v>
      </c>
      <c r="AP23" s="56">
        <f t="shared" ref="AP23:AP30" si="10">MATCH(MIN(AM23:AO23),AM23:AO23,0)</f>
        <v>1</v>
      </c>
      <c r="AR23" s="18">
        <f t="shared" ref="AR23:AT30" si="11">SQRT(($B23-AR$16)^2+($C23-AR$17)^2+($D23-AR$18)^2)</f>
        <v>0.55755341579155959</v>
      </c>
      <c r="AS23" s="18">
        <f t="shared" si="11"/>
        <v>4.3475925908456139</v>
      </c>
      <c r="AT23" s="18">
        <f t="shared" si="11"/>
        <v>2.2395974564452912</v>
      </c>
      <c r="AU23" s="56">
        <f t="shared" ref="AU23:AU30" si="12">MATCH(MIN(AR23:AT23),AR23:AT23,0)</f>
        <v>1</v>
      </c>
      <c r="AW23" s="18">
        <f t="shared" ref="AW23:AY30" si="13">SQRT(($B23-AW$16)^2+($C23-AW$17)^2+($D23-AW$18)^2)</f>
        <v>0.55755341579155959</v>
      </c>
      <c r="AX23" s="18">
        <f t="shared" si="13"/>
        <v>4.3475925908456139</v>
      </c>
      <c r="AY23" s="18">
        <f t="shared" si="13"/>
        <v>2.2395974564452912</v>
      </c>
      <c r="AZ23" s="56">
        <f t="shared" ref="AZ23:AZ30" si="14">MATCH(MIN(AW23:AY23),AW23:AY23,0)</f>
        <v>1</v>
      </c>
      <c r="BB23" s="18">
        <f t="shared" ref="BB23:BD30" si="15">SQRT(($B23-BB$16)^2+($C23-BB$17)^2+($D23-BB$18)^2)</f>
        <v>0.55755341579155959</v>
      </c>
      <c r="BC23" s="18">
        <f t="shared" si="15"/>
        <v>4.3475925908456139</v>
      </c>
      <c r="BD23" s="18">
        <f t="shared" si="15"/>
        <v>2.2395974564452912</v>
      </c>
      <c r="BE23" s="56">
        <f t="shared" ref="BE23:BE30" si="16">MATCH(MIN(BB23:BD23),BB23:BD23,0)</f>
        <v>1</v>
      </c>
      <c r="BG23" s="18">
        <f t="shared" ref="BG23:BI30" si="17">SQRT(($B23-BG$16)^2+($C23-BG$17)^2+($D23-BG$18)^2)</f>
        <v>0.55755341579155959</v>
      </c>
      <c r="BH23" s="18">
        <f t="shared" si="17"/>
        <v>4.3475925908456139</v>
      </c>
      <c r="BI23" s="18">
        <f t="shared" si="17"/>
        <v>2.2395974564452912</v>
      </c>
      <c r="BJ23" s="56">
        <f t="shared" ref="BJ23:BJ30" si="18">MATCH(MIN(BG23:BI23),BG23:BI23,0)</f>
        <v>1</v>
      </c>
    </row>
    <row r="24" spans="1:62" x14ac:dyDescent="0.25">
      <c r="A24" s="36" t="str">
        <f>Province_Agg!A6</f>
        <v>Punjab</v>
      </c>
      <c r="B24" s="18">
        <f>Province_Agg!K6</f>
        <v>1.0838104247566931</v>
      </c>
      <c r="C24" s="18">
        <f>Province_Agg!L6</f>
        <v>1.1097505112137804</v>
      </c>
      <c r="D24" s="18">
        <f>Province_Agg!M6</f>
        <v>0.79535855385239185</v>
      </c>
      <c r="E24" s="56">
        <f t="shared" si="0"/>
        <v>1</v>
      </c>
      <c r="F24" s="38">
        <f t="shared" si="1"/>
        <v>3.481275948862482E-2</v>
      </c>
      <c r="G24" s="13" t="str">
        <f t="shared" si="2"/>
        <v>High burden</v>
      </c>
      <c r="X24" s="18">
        <f t="shared" si="3"/>
        <v>0.62318393375333891</v>
      </c>
      <c r="Y24" s="18">
        <f t="shared" si="3"/>
        <v>4.6299438366134273</v>
      </c>
      <c r="Z24" s="18">
        <f t="shared" si="3"/>
        <v>1.903434877697803</v>
      </c>
      <c r="AA24" s="56">
        <f t="shared" si="4"/>
        <v>1</v>
      </c>
      <c r="AC24" s="18">
        <f t="shared" si="5"/>
        <v>0.18658177694679837</v>
      </c>
      <c r="AD24" s="18">
        <f t="shared" si="5"/>
        <v>3.99641454402895</v>
      </c>
      <c r="AE24" s="18">
        <f t="shared" si="5"/>
        <v>1.913940451542008</v>
      </c>
      <c r="AF24" s="56">
        <f t="shared" si="6"/>
        <v>1</v>
      </c>
      <c r="AH24" s="18">
        <f t="shared" si="7"/>
        <v>0.18658177694679837</v>
      </c>
      <c r="AI24" s="18">
        <f t="shared" si="7"/>
        <v>3.99641454402895</v>
      </c>
      <c r="AJ24" s="18">
        <f t="shared" si="7"/>
        <v>1.913940451542008</v>
      </c>
      <c r="AK24" s="56">
        <f t="shared" si="8"/>
        <v>1</v>
      </c>
      <c r="AM24" s="18">
        <f t="shared" si="9"/>
        <v>0.18658177694679837</v>
      </c>
      <c r="AN24" s="18">
        <f t="shared" si="9"/>
        <v>3.99641454402895</v>
      </c>
      <c r="AO24" s="18">
        <f t="shared" si="9"/>
        <v>1.913940451542008</v>
      </c>
      <c r="AP24" s="56">
        <f t="shared" si="10"/>
        <v>1</v>
      </c>
      <c r="AR24" s="18">
        <f t="shared" si="11"/>
        <v>0.18658177694679837</v>
      </c>
      <c r="AS24" s="18">
        <f t="shared" si="11"/>
        <v>3.99641454402895</v>
      </c>
      <c r="AT24" s="18">
        <f t="shared" si="11"/>
        <v>1.913940451542008</v>
      </c>
      <c r="AU24" s="56">
        <f t="shared" si="12"/>
        <v>1</v>
      </c>
      <c r="AW24" s="18">
        <f t="shared" si="13"/>
        <v>0.18658177694679837</v>
      </c>
      <c r="AX24" s="18">
        <f t="shared" si="13"/>
        <v>3.99641454402895</v>
      </c>
      <c r="AY24" s="18">
        <f t="shared" si="13"/>
        <v>1.913940451542008</v>
      </c>
      <c r="AZ24" s="56">
        <f t="shared" si="14"/>
        <v>1</v>
      </c>
      <c r="BB24" s="18">
        <f t="shared" si="15"/>
        <v>0.18658177694679837</v>
      </c>
      <c r="BC24" s="18">
        <f t="shared" si="15"/>
        <v>3.99641454402895</v>
      </c>
      <c r="BD24" s="18">
        <f t="shared" si="15"/>
        <v>1.913940451542008</v>
      </c>
      <c r="BE24" s="56">
        <f t="shared" si="16"/>
        <v>1</v>
      </c>
      <c r="BG24" s="18">
        <f t="shared" si="17"/>
        <v>0.18658177694679837</v>
      </c>
      <c r="BH24" s="18">
        <f t="shared" si="17"/>
        <v>3.99641454402895</v>
      </c>
      <c r="BI24" s="18">
        <f t="shared" si="17"/>
        <v>1.913940451542008</v>
      </c>
      <c r="BJ24" s="56">
        <f t="shared" si="18"/>
        <v>1</v>
      </c>
    </row>
    <row r="25" spans="1:62" x14ac:dyDescent="0.25">
      <c r="A25" s="36" t="str">
        <f>Province_Agg!A7</f>
        <v>Khyber Pakhtunkhwa</v>
      </c>
      <c r="B25" s="18">
        <f>Province_Agg!K7</f>
        <v>0.5971424915912471</v>
      </c>
      <c r="C25" s="18">
        <f>Province_Agg!L7</f>
        <v>1.0035286499426876</v>
      </c>
      <c r="D25" s="18">
        <f>Province_Agg!M7</f>
        <v>0.45384896430289989</v>
      </c>
      <c r="E25" s="56">
        <f t="shared" si="0"/>
        <v>1</v>
      </c>
      <c r="F25" s="38">
        <f t="shared" si="1"/>
        <v>0.30299892661063549</v>
      </c>
      <c r="G25" s="13" t="str">
        <f t="shared" si="2"/>
        <v>High burden</v>
      </c>
      <c r="X25" s="18">
        <f t="shared" si="3"/>
        <v>1.0922072681750097</v>
      </c>
      <c r="Y25" s="18">
        <f t="shared" si="3"/>
        <v>4.0962122827713303</v>
      </c>
      <c r="Z25" s="18">
        <f t="shared" si="3"/>
        <v>1.4478159660285201</v>
      </c>
      <c r="AA25" s="56">
        <f t="shared" si="4"/>
        <v>1</v>
      </c>
      <c r="AC25" s="18">
        <f t="shared" si="5"/>
        <v>0.55045338277699363</v>
      </c>
      <c r="AD25" s="18">
        <f t="shared" si="5"/>
        <v>3.4693338234665494</v>
      </c>
      <c r="AE25" s="18">
        <f t="shared" si="5"/>
        <v>1.4493424163148758</v>
      </c>
      <c r="AF25" s="56">
        <f t="shared" si="6"/>
        <v>1</v>
      </c>
      <c r="AH25" s="18">
        <f t="shared" si="7"/>
        <v>0.55045338277699363</v>
      </c>
      <c r="AI25" s="18">
        <f t="shared" si="7"/>
        <v>3.4693338234665494</v>
      </c>
      <c r="AJ25" s="18">
        <f t="shared" si="7"/>
        <v>1.4493424163148758</v>
      </c>
      <c r="AK25" s="56">
        <f t="shared" si="8"/>
        <v>1</v>
      </c>
      <c r="AM25" s="18">
        <f t="shared" si="9"/>
        <v>0.55045338277699363</v>
      </c>
      <c r="AN25" s="18">
        <f t="shared" si="9"/>
        <v>3.4693338234665494</v>
      </c>
      <c r="AO25" s="18">
        <f t="shared" si="9"/>
        <v>1.4493424163148758</v>
      </c>
      <c r="AP25" s="56">
        <f t="shared" si="10"/>
        <v>1</v>
      </c>
      <c r="AR25" s="18">
        <f t="shared" si="11"/>
        <v>0.55045338277699363</v>
      </c>
      <c r="AS25" s="18">
        <f t="shared" si="11"/>
        <v>3.4693338234665494</v>
      </c>
      <c r="AT25" s="18">
        <f t="shared" si="11"/>
        <v>1.4493424163148758</v>
      </c>
      <c r="AU25" s="56">
        <f t="shared" si="12"/>
        <v>1</v>
      </c>
      <c r="AW25" s="18">
        <f t="shared" si="13"/>
        <v>0.55045338277699363</v>
      </c>
      <c r="AX25" s="18">
        <f t="shared" si="13"/>
        <v>3.4693338234665494</v>
      </c>
      <c r="AY25" s="18">
        <f t="shared" si="13"/>
        <v>1.4493424163148758</v>
      </c>
      <c r="AZ25" s="56">
        <f t="shared" si="14"/>
        <v>1</v>
      </c>
      <c r="BB25" s="18">
        <f t="shared" si="15"/>
        <v>0.55045338277699363</v>
      </c>
      <c r="BC25" s="18">
        <f t="shared" si="15"/>
        <v>3.4693338234665494</v>
      </c>
      <c r="BD25" s="18">
        <f t="shared" si="15"/>
        <v>1.4493424163148758</v>
      </c>
      <c r="BE25" s="56">
        <f t="shared" si="16"/>
        <v>1</v>
      </c>
      <c r="BG25" s="18">
        <f t="shared" si="17"/>
        <v>0.55045338277699363</v>
      </c>
      <c r="BH25" s="18">
        <f t="shared" si="17"/>
        <v>3.4693338234665494</v>
      </c>
      <c r="BI25" s="18">
        <f t="shared" si="17"/>
        <v>1.4493424163148758</v>
      </c>
      <c r="BJ25" s="56">
        <f t="shared" si="18"/>
        <v>1</v>
      </c>
    </row>
    <row r="26" spans="1:62" x14ac:dyDescent="0.25">
      <c r="A26" s="36" t="str">
        <f>Province_Agg!A8</f>
        <v>Baluchistan</v>
      </c>
      <c r="B26" s="18">
        <f>Province_Agg!K8</f>
        <v>0.29258413869903505</v>
      </c>
      <c r="C26" s="18">
        <f>Province_Agg!L8</f>
        <v>-5.5142992462672652E-2</v>
      </c>
      <c r="D26" s="18">
        <f>Province_Agg!M8</f>
        <v>0.46368176358461932</v>
      </c>
      <c r="E26" s="56">
        <f t="shared" si="0"/>
        <v>3</v>
      </c>
      <c r="F26" s="38">
        <f t="shared" si="1"/>
        <v>0.36578154961595538</v>
      </c>
      <c r="G26" s="13" t="str">
        <f t="shared" si="2"/>
        <v>Medium burden</v>
      </c>
      <c r="X26" s="18">
        <f t="shared" si="3"/>
        <v>1.6856882362473724</v>
      </c>
      <c r="Y26" s="18">
        <f t="shared" si="3"/>
        <v>3.3441948867904703</v>
      </c>
      <c r="Z26" s="18">
        <f t="shared" si="3"/>
        <v>0.70387195583031803</v>
      </c>
      <c r="AA26" s="56">
        <f t="shared" si="4"/>
        <v>3</v>
      </c>
      <c r="AC26" s="18">
        <f t="shared" si="5"/>
        <v>1.3539486520067403</v>
      </c>
      <c r="AD26" s="18">
        <f t="shared" si="5"/>
        <v>2.6980186883198223</v>
      </c>
      <c r="AE26" s="18">
        <f t="shared" si="5"/>
        <v>0.60479876786907838</v>
      </c>
      <c r="AF26" s="56">
        <f t="shared" si="6"/>
        <v>3</v>
      </c>
      <c r="AH26" s="18">
        <f t="shared" si="7"/>
        <v>1.3539486520067403</v>
      </c>
      <c r="AI26" s="18">
        <f t="shared" si="7"/>
        <v>2.6980186883198223</v>
      </c>
      <c r="AJ26" s="18">
        <f t="shared" si="7"/>
        <v>0.60479876786907838</v>
      </c>
      <c r="AK26" s="56">
        <f t="shared" si="8"/>
        <v>3</v>
      </c>
      <c r="AM26" s="18">
        <f t="shared" si="9"/>
        <v>1.3539486520067403</v>
      </c>
      <c r="AN26" s="18">
        <f t="shared" si="9"/>
        <v>2.6980186883198223</v>
      </c>
      <c r="AO26" s="18">
        <f t="shared" si="9"/>
        <v>0.60479876786907838</v>
      </c>
      <c r="AP26" s="56">
        <f t="shared" si="10"/>
        <v>3</v>
      </c>
      <c r="AR26" s="18">
        <f t="shared" si="11"/>
        <v>1.3539486520067403</v>
      </c>
      <c r="AS26" s="18">
        <f t="shared" si="11"/>
        <v>2.6980186883198223</v>
      </c>
      <c r="AT26" s="18">
        <f t="shared" si="11"/>
        <v>0.60479876786907838</v>
      </c>
      <c r="AU26" s="56">
        <f t="shared" si="12"/>
        <v>3</v>
      </c>
      <c r="AW26" s="18">
        <f t="shared" si="13"/>
        <v>1.3539486520067403</v>
      </c>
      <c r="AX26" s="18">
        <f t="shared" si="13"/>
        <v>2.6980186883198223</v>
      </c>
      <c r="AY26" s="18">
        <f t="shared" si="13"/>
        <v>0.60479876786907838</v>
      </c>
      <c r="AZ26" s="56">
        <f t="shared" si="14"/>
        <v>3</v>
      </c>
      <c r="BB26" s="18">
        <f t="shared" si="15"/>
        <v>1.3539486520067403</v>
      </c>
      <c r="BC26" s="18">
        <f t="shared" si="15"/>
        <v>2.6980186883198223</v>
      </c>
      <c r="BD26" s="18">
        <f t="shared" si="15"/>
        <v>0.60479876786907838</v>
      </c>
      <c r="BE26" s="56">
        <f t="shared" si="16"/>
        <v>3</v>
      </c>
      <c r="BG26" s="18">
        <f t="shared" si="17"/>
        <v>1.3539486520067403</v>
      </c>
      <c r="BH26" s="18">
        <f t="shared" si="17"/>
        <v>2.6980186883198223</v>
      </c>
      <c r="BI26" s="18">
        <f t="shared" si="17"/>
        <v>0.60479876786907838</v>
      </c>
      <c r="BJ26" s="56">
        <f t="shared" si="18"/>
        <v>3</v>
      </c>
    </row>
    <row r="27" spans="1:62" x14ac:dyDescent="0.25">
      <c r="A27" s="36" t="str">
        <f>Province_Agg!A9</f>
        <v>Islamabad Capital Territory</v>
      </c>
      <c r="B27" s="18">
        <f>Province_Agg!K9</f>
        <v>0.12811901804192732</v>
      </c>
      <c r="C27" s="18">
        <f>Province_Agg!L9</f>
        <v>-0.1968705604564116</v>
      </c>
      <c r="D27" s="18">
        <f>Province_Agg!M9</f>
        <v>-0.20587051276295637</v>
      </c>
      <c r="E27" s="56">
        <f t="shared" si="0"/>
        <v>3</v>
      </c>
      <c r="F27" s="38">
        <f t="shared" si="1"/>
        <v>6.2086175961567368E-2</v>
      </c>
      <c r="G27" s="13" t="str">
        <f t="shared" si="2"/>
        <v>Medium burden</v>
      </c>
      <c r="X27" s="18">
        <f t="shared" si="3"/>
        <v>2.2805266506077397</v>
      </c>
      <c r="Y27" s="18">
        <f t="shared" si="3"/>
        <v>2.7621778744087697</v>
      </c>
      <c r="Z27" s="18">
        <f t="shared" si="3"/>
        <v>0</v>
      </c>
      <c r="AA27" s="56">
        <f t="shared" si="4"/>
        <v>3</v>
      </c>
      <c r="AC27" s="18">
        <f t="shared" si="5"/>
        <v>1.8503476891020247</v>
      </c>
      <c r="AD27" s="18">
        <f t="shared" si="5"/>
        <v>2.1271027540366436</v>
      </c>
      <c r="AE27" s="18">
        <f t="shared" si="5"/>
        <v>0.24917097736607963</v>
      </c>
      <c r="AF27" s="56">
        <f t="shared" si="6"/>
        <v>3</v>
      </c>
      <c r="AH27" s="18">
        <f t="shared" si="7"/>
        <v>1.8503476891020247</v>
      </c>
      <c r="AI27" s="18">
        <f t="shared" si="7"/>
        <v>2.1271027540366436</v>
      </c>
      <c r="AJ27" s="18">
        <f t="shared" si="7"/>
        <v>0.24917097736607963</v>
      </c>
      <c r="AK27" s="56">
        <f t="shared" si="8"/>
        <v>3</v>
      </c>
      <c r="AM27" s="18">
        <f t="shared" si="9"/>
        <v>1.8503476891020247</v>
      </c>
      <c r="AN27" s="18">
        <f t="shared" si="9"/>
        <v>2.1271027540366436</v>
      </c>
      <c r="AO27" s="18">
        <f t="shared" si="9"/>
        <v>0.24917097736607963</v>
      </c>
      <c r="AP27" s="56">
        <f t="shared" si="10"/>
        <v>3</v>
      </c>
      <c r="AR27" s="18">
        <f t="shared" si="11"/>
        <v>1.8503476891020247</v>
      </c>
      <c r="AS27" s="18">
        <f t="shared" si="11"/>
        <v>2.1271027540366436</v>
      </c>
      <c r="AT27" s="18">
        <f t="shared" si="11"/>
        <v>0.24917097736607963</v>
      </c>
      <c r="AU27" s="56">
        <f t="shared" si="12"/>
        <v>3</v>
      </c>
      <c r="AW27" s="18">
        <f t="shared" si="13"/>
        <v>1.8503476891020247</v>
      </c>
      <c r="AX27" s="18">
        <f t="shared" si="13"/>
        <v>2.1271027540366436</v>
      </c>
      <c r="AY27" s="18">
        <f t="shared" si="13"/>
        <v>0.24917097736607963</v>
      </c>
      <c r="AZ27" s="56">
        <f t="shared" si="14"/>
        <v>3</v>
      </c>
      <c r="BB27" s="18">
        <f t="shared" si="15"/>
        <v>1.8503476891020247</v>
      </c>
      <c r="BC27" s="18">
        <f t="shared" si="15"/>
        <v>2.1271027540366436</v>
      </c>
      <c r="BD27" s="18">
        <f t="shared" si="15"/>
        <v>0.24917097736607963</v>
      </c>
      <c r="BE27" s="56">
        <f t="shared" si="16"/>
        <v>3</v>
      </c>
      <c r="BG27" s="18">
        <f t="shared" si="17"/>
        <v>1.8503476891020247</v>
      </c>
      <c r="BH27" s="18">
        <f t="shared" si="17"/>
        <v>2.1271027540366436</v>
      </c>
      <c r="BI27" s="18">
        <f t="shared" si="17"/>
        <v>0.24917097736607963</v>
      </c>
      <c r="BJ27" s="56">
        <f t="shared" si="18"/>
        <v>3</v>
      </c>
    </row>
    <row r="28" spans="1:62" x14ac:dyDescent="0.25">
      <c r="A28" s="36" t="str">
        <f>Province_Agg!A10</f>
        <v>Gilgit-Baltistan</v>
      </c>
      <c r="B28" s="18">
        <f>Province_Agg!K10</f>
        <v>-0.52983277986581823</v>
      </c>
      <c r="C28" s="18">
        <f>Province_Agg!L10</f>
        <v>-0.38140138701256326</v>
      </c>
      <c r="D28" s="18">
        <f>Province_Agg!M10</f>
        <v>-0.31558855999742186</v>
      </c>
      <c r="E28" s="56">
        <f t="shared" si="0"/>
        <v>3</v>
      </c>
      <c r="F28" s="38">
        <f t="shared" si="1"/>
        <v>0.36029972095064816</v>
      </c>
      <c r="G28" s="13" t="str">
        <f t="shared" si="2"/>
        <v>Medium burden</v>
      </c>
      <c r="X28" s="18">
        <f t="shared" si="3"/>
        <v>2.7916323384933581</v>
      </c>
      <c r="Y28" s="18">
        <f t="shared" si="3"/>
        <v>2.2022779019777037</v>
      </c>
      <c r="Z28" s="18">
        <f t="shared" si="3"/>
        <v>0.69209121090249071</v>
      </c>
      <c r="AA28" s="56">
        <f t="shared" si="4"/>
        <v>3</v>
      </c>
      <c r="AC28" s="18">
        <f t="shared" si="5"/>
        <v>2.379513539534182</v>
      </c>
      <c r="AD28" s="18">
        <f t="shared" si="5"/>
        <v>1.5597184653541059</v>
      </c>
      <c r="AE28" s="18">
        <f t="shared" si="5"/>
        <v>0.60024971549401684</v>
      </c>
      <c r="AF28" s="56">
        <f t="shared" si="6"/>
        <v>3</v>
      </c>
      <c r="AH28" s="18">
        <f t="shared" si="7"/>
        <v>2.379513539534182</v>
      </c>
      <c r="AI28" s="18">
        <f t="shared" si="7"/>
        <v>1.5597184653541059</v>
      </c>
      <c r="AJ28" s="18">
        <f t="shared" si="7"/>
        <v>0.60024971549401684</v>
      </c>
      <c r="AK28" s="56">
        <f t="shared" si="8"/>
        <v>3</v>
      </c>
      <c r="AM28" s="18">
        <f t="shared" si="9"/>
        <v>2.379513539534182</v>
      </c>
      <c r="AN28" s="18">
        <f t="shared" si="9"/>
        <v>1.5597184653541059</v>
      </c>
      <c r="AO28" s="18">
        <f t="shared" si="9"/>
        <v>0.60024971549401684</v>
      </c>
      <c r="AP28" s="56">
        <f t="shared" si="10"/>
        <v>3</v>
      </c>
      <c r="AR28" s="18">
        <f t="shared" si="11"/>
        <v>2.379513539534182</v>
      </c>
      <c r="AS28" s="18">
        <f t="shared" si="11"/>
        <v>1.5597184653541059</v>
      </c>
      <c r="AT28" s="18">
        <f t="shared" si="11"/>
        <v>0.60024971549401684</v>
      </c>
      <c r="AU28" s="56">
        <f t="shared" si="12"/>
        <v>3</v>
      </c>
      <c r="AW28" s="18">
        <f t="shared" si="13"/>
        <v>2.379513539534182</v>
      </c>
      <c r="AX28" s="18">
        <f t="shared" si="13"/>
        <v>1.5597184653541059</v>
      </c>
      <c r="AY28" s="18">
        <f t="shared" si="13"/>
        <v>0.60024971549401684</v>
      </c>
      <c r="AZ28" s="56">
        <f t="shared" si="14"/>
        <v>3</v>
      </c>
      <c r="BB28" s="18">
        <f t="shared" si="15"/>
        <v>2.379513539534182</v>
      </c>
      <c r="BC28" s="18">
        <f t="shared" si="15"/>
        <v>1.5597184653541059</v>
      </c>
      <c r="BD28" s="18">
        <f t="shared" si="15"/>
        <v>0.60024971549401684</v>
      </c>
      <c r="BE28" s="56">
        <f t="shared" si="16"/>
        <v>3</v>
      </c>
      <c r="BG28" s="18">
        <f t="shared" si="17"/>
        <v>2.379513539534182</v>
      </c>
      <c r="BH28" s="18">
        <f t="shared" si="17"/>
        <v>1.5597184653541059</v>
      </c>
      <c r="BI28" s="18">
        <f t="shared" si="17"/>
        <v>0.60024971549401684</v>
      </c>
      <c r="BJ28" s="56">
        <f t="shared" si="18"/>
        <v>3</v>
      </c>
    </row>
    <row r="29" spans="1:62" x14ac:dyDescent="0.25">
      <c r="A29" s="36" t="str">
        <f>Province_Agg!A11</f>
        <v>Azad Jummu Kashmir</v>
      </c>
      <c r="B29" s="18">
        <f>Province_Agg!K11</f>
        <v>-0.97409416193813958</v>
      </c>
      <c r="C29" s="18">
        <f>Province_Agg!L11</f>
        <v>-0.98057534220678966</v>
      </c>
      <c r="D29" s="18">
        <f>Province_Agg!M11</f>
        <v>-0.85954051702179324</v>
      </c>
      <c r="E29" s="56">
        <f t="shared" si="0"/>
        <v>2</v>
      </c>
      <c r="F29" s="38">
        <f t="shared" si="1"/>
        <v>0.41842295547036412</v>
      </c>
      <c r="G29" s="13" t="str">
        <f t="shared" si="2"/>
        <v>Low burden</v>
      </c>
      <c r="X29" s="18">
        <f t="shared" si="3"/>
        <v>3.7048465882595765</v>
      </c>
      <c r="Y29" s="18">
        <f t="shared" si="3"/>
        <v>1.2937124185387789</v>
      </c>
      <c r="Z29" s="18">
        <f t="shared" si="3"/>
        <v>1.5021156924577836</v>
      </c>
      <c r="AA29" s="56">
        <f t="shared" si="4"/>
        <v>2</v>
      </c>
      <c r="AC29" s="18">
        <f t="shared" si="5"/>
        <v>3.2939733020517385</v>
      </c>
      <c r="AD29" s="18">
        <f t="shared" si="5"/>
        <v>0.64685620926938947</v>
      </c>
      <c r="AE29" s="18">
        <f t="shared" si="5"/>
        <v>1.4756085296000805</v>
      </c>
      <c r="AF29" s="56">
        <f t="shared" si="6"/>
        <v>2</v>
      </c>
      <c r="AH29" s="18">
        <f t="shared" si="7"/>
        <v>3.2939733020517385</v>
      </c>
      <c r="AI29" s="18">
        <f t="shared" si="7"/>
        <v>0.64685620926938947</v>
      </c>
      <c r="AJ29" s="18">
        <f t="shared" si="7"/>
        <v>1.4756085296000805</v>
      </c>
      <c r="AK29" s="56">
        <f t="shared" si="8"/>
        <v>2</v>
      </c>
      <c r="AM29" s="18">
        <f t="shared" si="9"/>
        <v>3.2939733020517385</v>
      </c>
      <c r="AN29" s="18">
        <f t="shared" si="9"/>
        <v>0.64685620926938947</v>
      </c>
      <c r="AO29" s="18">
        <f t="shared" si="9"/>
        <v>1.4756085296000805</v>
      </c>
      <c r="AP29" s="56">
        <f t="shared" si="10"/>
        <v>2</v>
      </c>
      <c r="AR29" s="18">
        <f t="shared" si="11"/>
        <v>3.2939733020517385</v>
      </c>
      <c r="AS29" s="18">
        <f t="shared" si="11"/>
        <v>0.64685620926938947</v>
      </c>
      <c r="AT29" s="18">
        <f t="shared" si="11"/>
        <v>1.4756085296000805</v>
      </c>
      <c r="AU29" s="56">
        <f t="shared" si="12"/>
        <v>2</v>
      </c>
      <c r="AW29" s="18">
        <f t="shared" si="13"/>
        <v>3.2939733020517385</v>
      </c>
      <c r="AX29" s="18">
        <f t="shared" si="13"/>
        <v>0.64685620926938947</v>
      </c>
      <c r="AY29" s="18">
        <f t="shared" si="13"/>
        <v>1.4756085296000805</v>
      </c>
      <c r="AZ29" s="56">
        <f t="shared" si="14"/>
        <v>2</v>
      </c>
      <c r="BB29" s="18">
        <f t="shared" si="15"/>
        <v>3.2939733020517385</v>
      </c>
      <c r="BC29" s="18">
        <f t="shared" si="15"/>
        <v>0.64685620926938947</v>
      </c>
      <c r="BD29" s="18">
        <f t="shared" si="15"/>
        <v>1.4756085296000805</v>
      </c>
      <c r="BE29" s="56">
        <f t="shared" si="16"/>
        <v>2</v>
      </c>
      <c r="BG29" s="18">
        <f t="shared" si="17"/>
        <v>3.2939733020517385</v>
      </c>
      <c r="BH29" s="18">
        <f t="shared" si="17"/>
        <v>0.64685620926938947</v>
      </c>
      <c r="BI29" s="18">
        <f t="shared" si="17"/>
        <v>1.4756085296000805</v>
      </c>
      <c r="BJ29" s="56">
        <f t="shared" si="18"/>
        <v>2</v>
      </c>
    </row>
    <row r="30" spans="1:62" x14ac:dyDescent="0.25">
      <c r="A30" s="36" t="str">
        <f>Province_Agg!A12</f>
        <v>Federal Administration Tribal Area</v>
      </c>
      <c r="B30" s="18">
        <f>Province_Agg!K12</f>
        <v>-1.7057287344212133</v>
      </c>
      <c r="C30" s="18">
        <f>Province_Agg!L12</f>
        <v>-1.5702400574591462</v>
      </c>
      <c r="D30" s="18">
        <f>Province_Agg!M12</f>
        <v>-1.7487526389675774</v>
      </c>
      <c r="E30" s="56">
        <f t="shared" si="0"/>
        <v>2</v>
      </c>
      <c r="F30" s="38">
        <f t="shared" si="1"/>
        <v>0.41842295547036429</v>
      </c>
      <c r="G30" s="13" t="str">
        <f t="shared" si="2"/>
        <v>Low burden</v>
      </c>
      <c r="X30" s="18">
        <f t="shared" si="3"/>
        <v>4.9914006391346168</v>
      </c>
      <c r="Y30" s="18">
        <f t="shared" si="3"/>
        <v>0</v>
      </c>
      <c r="Z30" s="18">
        <f t="shared" si="3"/>
        <v>2.7621778744087697</v>
      </c>
      <c r="AA30" s="56">
        <f t="shared" si="4"/>
        <v>2</v>
      </c>
      <c r="AC30" s="18">
        <f t="shared" si="5"/>
        <v>4.563651236985387</v>
      </c>
      <c r="AD30" s="18">
        <f t="shared" si="5"/>
        <v>0.64685620926938958</v>
      </c>
      <c r="AE30" s="18">
        <f t="shared" si="5"/>
        <v>2.7613478931927444</v>
      </c>
      <c r="AF30" s="56">
        <f t="shared" si="6"/>
        <v>2</v>
      </c>
      <c r="AH30" s="18">
        <f t="shared" si="7"/>
        <v>4.563651236985387</v>
      </c>
      <c r="AI30" s="18">
        <f t="shared" si="7"/>
        <v>0.64685620926938958</v>
      </c>
      <c r="AJ30" s="18">
        <f t="shared" si="7"/>
        <v>2.7613478931927444</v>
      </c>
      <c r="AK30" s="56">
        <f t="shared" si="8"/>
        <v>2</v>
      </c>
      <c r="AM30" s="18">
        <f t="shared" si="9"/>
        <v>4.563651236985387</v>
      </c>
      <c r="AN30" s="18">
        <f t="shared" si="9"/>
        <v>0.64685620926938958</v>
      </c>
      <c r="AO30" s="18">
        <f t="shared" si="9"/>
        <v>2.7613478931927444</v>
      </c>
      <c r="AP30" s="56">
        <f t="shared" si="10"/>
        <v>2</v>
      </c>
      <c r="AR30" s="18">
        <f t="shared" si="11"/>
        <v>4.563651236985387</v>
      </c>
      <c r="AS30" s="18">
        <f t="shared" si="11"/>
        <v>0.64685620926938958</v>
      </c>
      <c r="AT30" s="18">
        <f t="shared" si="11"/>
        <v>2.7613478931927444</v>
      </c>
      <c r="AU30" s="56">
        <f t="shared" si="12"/>
        <v>2</v>
      </c>
      <c r="AW30" s="18">
        <f t="shared" si="13"/>
        <v>4.563651236985387</v>
      </c>
      <c r="AX30" s="18">
        <f t="shared" si="13"/>
        <v>0.64685620926938958</v>
      </c>
      <c r="AY30" s="18">
        <f t="shared" si="13"/>
        <v>2.7613478931927444</v>
      </c>
      <c r="AZ30" s="56">
        <f t="shared" si="14"/>
        <v>2</v>
      </c>
      <c r="BB30" s="18">
        <f t="shared" si="15"/>
        <v>4.563651236985387</v>
      </c>
      <c r="BC30" s="18">
        <f t="shared" si="15"/>
        <v>0.64685620926938958</v>
      </c>
      <c r="BD30" s="18">
        <f t="shared" si="15"/>
        <v>2.7613478931927444</v>
      </c>
      <c r="BE30" s="56">
        <f t="shared" si="16"/>
        <v>2</v>
      </c>
      <c r="BG30" s="18">
        <f t="shared" si="17"/>
        <v>4.563651236985387</v>
      </c>
      <c r="BH30" s="18">
        <f t="shared" si="17"/>
        <v>0.64685620926938958</v>
      </c>
      <c r="BI30" s="18">
        <f t="shared" si="17"/>
        <v>2.7613478931927444</v>
      </c>
      <c r="BJ30" s="56">
        <f t="shared" si="18"/>
        <v>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548235"/>
    <pageSetUpPr fitToPage="1"/>
  </sheetPr>
  <dimension ref="A1:M10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14" customWidth="1"/>
    <col min="2" max="2" width="10" customWidth="1"/>
    <col min="3" max="6" width="13" customWidth="1"/>
    <col min="7" max="7" width="11" customWidth="1"/>
    <col min="8" max="8" width="6.5703125" bestFit="1" customWidth="1"/>
    <col min="9" max="10" width="12" customWidth="1"/>
    <col min="11" max="11" width="13" customWidth="1"/>
    <col min="12" max="13" width="12" customWidth="1"/>
    <col min="14" max="14" width="13" customWidth="1"/>
  </cols>
  <sheetData>
    <row r="1" spans="1:13" ht="20.25" x14ac:dyDescent="0.3">
      <c r="A1" s="8" t="s">
        <v>521</v>
      </c>
    </row>
    <row r="2" spans="1:13" x14ac:dyDescent="0.25">
      <c r="A2" s="9" t="s">
        <v>522</v>
      </c>
    </row>
    <row r="4" spans="1:13" ht="31.5" customHeight="1" x14ac:dyDescent="0.25">
      <c r="A4" s="11" t="s">
        <v>24</v>
      </c>
      <c r="B4" s="11" t="s">
        <v>523</v>
      </c>
      <c r="C4" s="11" t="s">
        <v>47</v>
      </c>
      <c r="D4" s="11" t="s">
        <v>48</v>
      </c>
      <c r="E4" s="11" t="s">
        <v>49</v>
      </c>
      <c r="F4" s="11" t="s">
        <v>524</v>
      </c>
      <c r="G4" s="11" t="s">
        <v>334</v>
      </c>
      <c r="H4" s="11" t="s">
        <v>442</v>
      </c>
      <c r="I4" s="11" t="s">
        <v>443</v>
      </c>
      <c r="J4" s="11" t="s">
        <v>444</v>
      </c>
      <c r="K4" s="11" t="s">
        <v>445</v>
      </c>
      <c r="L4" s="11" t="s">
        <v>446</v>
      </c>
      <c r="M4" s="11" t="s">
        <v>447</v>
      </c>
    </row>
    <row r="5" spans="1:13" x14ac:dyDescent="0.25">
      <c r="A5" s="42">
        <f>Daily!A5</f>
        <v>43887</v>
      </c>
      <c r="B5" s="13" t="str">
        <f t="shared" ref="B5:B36" si="0">TEXT(A5,"ddd")</f>
        <v>Wed</v>
      </c>
      <c r="C5" s="14">
        <f>Daily!C5</f>
        <v>3</v>
      </c>
      <c r="D5" s="14">
        <f>Daily!D5</f>
        <v>0</v>
      </c>
      <c r="E5" s="14">
        <f>Daily!E5</f>
        <v>0</v>
      </c>
      <c r="F5" s="14">
        <f>Daily!I5</f>
        <v>3</v>
      </c>
      <c r="G5" s="26">
        <f t="shared" ref="G5:G36" si="1">IF(C5=0,0,D5/C5*100)</f>
        <v>0</v>
      </c>
      <c r="H5" s="38">
        <f>IF(Clustering_Guide!$C$7=1,LN(1+MAX(C5,0)),C5)</f>
        <v>1.3862943611198906</v>
      </c>
      <c r="I5" s="38">
        <f>IF(Clustering_Guide!$C$7=1,LN(1+MAX(D5,0)),D5)</f>
        <v>0</v>
      </c>
      <c r="J5" s="38">
        <f>IF(Clustering_Guide!$C$7=1,LN(1+MAX(E5,0)),E5)</f>
        <v>0</v>
      </c>
      <c r="K5" s="38">
        <f t="shared" ref="K5:K36" si="2">(H5-AVERAGE(H$5:H$103))/STDEV(H$5:H$103)</f>
        <v>-1.5635495367852437</v>
      </c>
      <c r="L5" s="38">
        <f t="shared" ref="L5:L36" si="3">(I5-AVERAGE(I$5:I$103))/STDEV(I$5:I$103)</f>
        <v>-1.4074974765281474</v>
      </c>
      <c r="M5" s="38">
        <f t="shared" ref="M5:M36" si="4">(J5-AVERAGE(J$5:J$103))/STDEV(J$5:J$103)</f>
        <v>-1.2777880506003427</v>
      </c>
    </row>
    <row r="6" spans="1:13" x14ac:dyDescent="0.25">
      <c r="A6" s="42">
        <f>Daily!A6</f>
        <v>43888</v>
      </c>
      <c r="B6" s="13" t="str">
        <f t="shared" si="0"/>
        <v>Thu</v>
      </c>
      <c r="C6" s="14">
        <f>Daily!C6</f>
        <v>0</v>
      </c>
      <c r="D6" s="14">
        <f>Daily!D6</f>
        <v>0</v>
      </c>
      <c r="E6" s="14">
        <f>Daily!E6</f>
        <v>0</v>
      </c>
      <c r="F6" s="14">
        <f>Daily!I6</f>
        <v>3</v>
      </c>
      <c r="G6" s="26">
        <f t="shared" si="1"/>
        <v>0</v>
      </c>
      <c r="H6" s="38">
        <f>IF(Clustering_Guide!$C$7=1,LN(1+MAX(C6,0)),C6)</f>
        <v>0</v>
      </c>
      <c r="I6" s="38">
        <f>IF(Clustering_Guide!$C$7=1,LN(1+MAX(D6,0)),D6)</f>
        <v>0</v>
      </c>
      <c r="J6" s="38">
        <f>IF(Clustering_Guide!$C$7=1,LN(1+MAX(E6,0)),E6)</f>
        <v>0</v>
      </c>
      <c r="K6" s="38">
        <f t="shared" si="2"/>
        <v>-2.1171471176186549</v>
      </c>
      <c r="L6" s="38">
        <f t="shared" si="3"/>
        <v>-1.4074974765281474</v>
      </c>
      <c r="M6" s="38">
        <f t="shared" si="4"/>
        <v>-1.2777880506003427</v>
      </c>
    </row>
    <row r="7" spans="1:13" x14ac:dyDescent="0.25">
      <c r="A7" s="42">
        <f>Daily!A7</f>
        <v>43889</v>
      </c>
      <c r="B7" s="13" t="str">
        <f t="shared" si="0"/>
        <v>Fri</v>
      </c>
      <c r="C7" s="14">
        <f>Daily!C7</f>
        <v>0</v>
      </c>
      <c r="D7" s="14">
        <f>Daily!D7</f>
        <v>0</v>
      </c>
      <c r="E7" s="14">
        <f>Daily!E7</f>
        <v>0</v>
      </c>
      <c r="F7" s="14">
        <f>Daily!I7</f>
        <v>3</v>
      </c>
      <c r="G7" s="26">
        <f t="shared" si="1"/>
        <v>0</v>
      </c>
      <c r="H7" s="38">
        <f>IF(Clustering_Guide!$C$7=1,LN(1+MAX(C7,0)),C7)</f>
        <v>0</v>
      </c>
      <c r="I7" s="38">
        <f>IF(Clustering_Guide!$C$7=1,LN(1+MAX(D7,0)),D7)</f>
        <v>0</v>
      </c>
      <c r="J7" s="38">
        <f>IF(Clustering_Guide!$C$7=1,LN(1+MAX(E7,0)),E7)</f>
        <v>0</v>
      </c>
      <c r="K7" s="38">
        <f t="shared" si="2"/>
        <v>-2.1171471176186549</v>
      </c>
      <c r="L7" s="38">
        <f t="shared" si="3"/>
        <v>-1.4074974765281474</v>
      </c>
      <c r="M7" s="38">
        <f t="shared" si="4"/>
        <v>-1.2777880506003427</v>
      </c>
    </row>
    <row r="8" spans="1:13" x14ac:dyDescent="0.25">
      <c r="A8" s="42">
        <f>Daily!A8</f>
        <v>43890</v>
      </c>
      <c r="B8" s="13" t="str">
        <f t="shared" si="0"/>
        <v>Sat</v>
      </c>
      <c r="C8" s="14">
        <f>Daily!C8</f>
        <v>2</v>
      </c>
      <c r="D8" s="14">
        <f>Daily!D8</f>
        <v>0</v>
      </c>
      <c r="E8" s="14">
        <f>Daily!E8</f>
        <v>0</v>
      </c>
      <c r="F8" s="14">
        <f>Daily!I8</f>
        <v>5</v>
      </c>
      <c r="G8" s="26">
        <f t="shared" si="1"/>
        <v>0</v>
      </c>
      <c r="H8" s="38">
        <f>IF(Clustering_Guide!$C$7=1,LN(1+MAX(C8,0)),C8)</f>
        <v>1.0986122886681098</v>
      </c>
      <c r="I8" s="38">
        <f>IF(Clustering_Guide!$C$7=1,LN(1+MAX(D8,0)),D8)</f>
        <v>0</v>
      </c>
      <c r="J8" s="38">
        <f>IF(Clustering_Guide!$C$7=1,LN(1+MAX(E8,0)),E8)</f>
        <v>0</v>
      </c>
      <c r="K8" s="38">
        <f t="shared" si="2"/>
        <v>-1.6784314145632018</v>
      </c>
      <c r="L8" s="38">
        <f t="shared" si="3"/>
        <v>-1.4074974765281474</v>
      </c>
      <c r="M8" s="38">
        <f t="shared" si="4"/>
        <v>-1.2777880506003427</v>
      </c>
    </row>
    <row r="9" spans="1:13" x14ac:dyDescent="0.25">
      <c r="A9" s="42">
        <f>Daily!A9</f>
        <v>43891</v>
      </c>
      <c r="B9" s="13" t="str">
        <f t="shared" si="0"/>
        <v>Sun</v>
      </c>
      <c r="C9" s="14">
        <f>Daily!C9</f>
        <v>0</v>
      </c>
      <c r="D9" s="14">
        <f>Daily!D9</f>
        <v>0</v>
      </c>
      <c r="E9" s="14">
        <f>Daily!E9</f>
        <v>0</v>
      </c>
      <c r="F9" s="14">
        <f>Daily!I9</f>
        <v>5</v>
      </c>
      <c r="G9" s="26">
        <f t="shared" si="1"/>
        <v>0</v>
      </c>
      <c r="H9" s="38">
        <f>IF(Clustering_Guide!$C$7=1,LN(1+MAX(C9,0)),C9)</f>
        <v>0</v>
      </c>
      <c r="I9" s="38">
        <f>IF(Clustering_Guide!$C$7=1,LN(1+MAX(D9,0)),D9)</f>
        <v>0</v>
      </c>
      <c r="J9" s="38">
        <f>IF(Clustering_Guide!$C$7=1,LN(1+MAX(E9,0)),E9)</f>
        <v>0</v>
      </c>
      <c r="K9" s="38">
        <f t="shared" si="2"/>
        <v>-2.1171471176186549</v>
      </c>
      <c r="L9" s="38">
        <f t="shared" si="3"/>
        <v>-1.4074974765281474</v>
      </c>
      <c r="M9" s="38">
        <f t="shared" si="4"/>
        <v>-1.2777880506003427</v>
      </c>
    </row>
    <row r="10" spans="1:13" x14ac:dyDescent="0.25">
      <c r="A10" s="42">
        <f>Daily!A10</f>
        <v>43892</v>
      </c>
      <c r="B10" s="13" t="str">
        <f t="shared" si="0"/>
        <v>Mon</v>
      </c>
      <c r="C10" s="14">
        <f>Daily!C10</f>
        <v>1</v>
      </c>
      <c r="D10" s="14">
        <f>Daily!D10</f>
        <v>0</v>
      </c>
      <c r="E10" s="14">
        <f>Daily!E10</f>
        <v>0</v>
      </c>
      <c r="F10" s="14">
        <f>Daily!I10</f>
        <v>6</v>
      </c>
      <c r="G10" s="26">
        <f t="shared" si="1"/>
        <v>0</v>
      </c>
      <c r="H10" s="38">
        <f>IF(Clustering_Guide!$C$7=1,LN(1+MAX(C10,0)),C10)</f>
        <v>0.69314718055994529</v>
      </c>
      <c r="I10" s="38">
        <f>IF(Clustering_Guide!$C$7=1,LN(1+MAX(D10,0)),D10)</f>
        <v>0</v>
      </c>
      <c r="J10" s="38">
        <f>IF(Clustering_Guide!$C$7=1,LN(1+MAX(E10,0)),E10)</f>
        <v>0</v>
      </c>
      <c r="K10" s="38">
        <f t="shared" si="2"/>
        <v>-1.8403483272019492</v>
      </c>
      <c r="L10" s="38">
        <f t="shared" si="3"/>
        <v>-1.4074974765281474</v>
      </c>
      <c r="M10" s="38">
        <f t="shared" si="4"/>
        <v>-1.2777880506003427</v>
      </c>
    </row>
    <row r="11" spans="1:13" x14ac:dyDescent="0.25">
      <c r="A11" s="42">
        <f>Daily!A11</f>
        <v>43893</v>
      </c>
      <c r="B11" s="13" t="str">
        <f t="shared" si="0"/>
        <v>Tue</v>
      </c>
      <c r="C11" s="14">
        <f>Daily!C11</f>
        <v>0</v>
      </c>
      <c r="D11" s="14">
        <f>Daily!D11</f>
        <v>0</v>
      </c>
      <c r="E11" s="14">
        <f>Daily!E11</f>
        <v>0</v>
      </c>
      <c r="F11" s="14">
        <f>Daily!I11</f>
        <v>6</v>
      </c>
      <c r="G11" s="26">
        <f t="shared" si="1"/>
        <v>0</v>
      </c>
      <c r="H11" s="38">
        <f>IF(Clustering_Guide!$C$7=1,LN(1+MAX(C11,0)),C11)</f>
        <v>0</v>
      </c>
      <c r="I11" s="38">
        <f>IF(Clustering_Guide!$C$7=1,LN(1+MAX(D11,0)),D11)</f>
        <v>0</v>
      </c>
      <c r="J11" s="38">
        <f>IF(Clustering_Guide!$C$7=1,LN(1+MAX(E11,0)),E11)</f>
        <v>0</v>
      </c>
      <c r="K11" s="38">
        <f t="shared" si="2"/>
        <v>-2.1171471176186549</v>
      </c>
      <c r="L11" s="38">
        <f t="shared" si="3"/>
        <v>-1.4074974765281474</v>
      </c>
      <c r="M11" s="38">
        <f t="shared" si="4"/>
        <v>-1.2777880506003427</v>
      </c>
    </row>
    <row r="12" spans="1:13" x14ac:dyDescent="0.25">
      <c r="A12" s="42">
        <f>Daily!A12</f>
        <v>43894</v>
      </c>
      <c r="B12" s="13" t="str">
        <f t="shared" si="0"/>
        <v>Wed</v>
      </c>
      <c r="C12" s="14">
        <f>Daily!C12</f>
        <v>0</v>
      </c>
      <c r="D12" s="14">
        <f>Daily!D12</f>
        <v>0</v>
      </c>
      <c r="E12" s="14">
        <f>Daily!E12</f>
        <v>0</v>
      </c>
      <c r="F12" s="14">
        <f>Daily!I12</f>
        <v>6</v>
      </c>
      <c r="G12" s="26">
        <f t="shared" si="1"/>
        <v>0</v>
      </c>
      <c r="H12" s="38">
        <f>IF(Clustering_Guide!$C$7=1,LN(1+MAX(C12,0)),C12)</f>
        <v>0</v>
      </c>
      <c r="I12" s="38">
        <f>IF(Clustering_Guide!$C$7=1,LN(1+MAX(D12,0)),D12)</f>
        <v>0</v>
      </c>
      <c r="J12" s="38">
        <f>IF(Clustering_Guide!$C$7=1,LN(1+MAX(E12,0)),E12)</f>
        <v>0</v>
      </c>
      <c r="K12" s="38">
        <f t="shared" si="2"/>
        <v>-2.1171471176186549</v>
      </c>
      <c r="L12" s="38">
        <f t="shared" si="3"/>
        <v>-1.4074974765281474</v>
      </c>
      <c r="M12" s="38">
        <f t="shared" si="4"/>
        <v>-1.2777880506003427</v>
      </c>
    </row>
    <row r="13" spans="1:13" x14ac:dyDescent="0.25">
      <c r="A13" s="42">
        <f>Daily!A13</f>
        <v>43895</v>
      </c>
      <c r="B13" s="13" t="str">
        <f t="shared" si="0"/>
        <v>Thu</v>
      </c>
      <c r="C13" s="14">
        <f>Daily!C13</f>
        <v>0</v>
      </c>
      <c r="D13" s="14">
        <f>Daily!D13</f>
        <v>0</v>
      </c>
      <c r="E13" s="14">
        <f>Daily!E13</f>
        <v>0</v>
      </c>
      <c r="F13" s="14">
        <f>Daily!I13</f>
        <v>6</v>
      </c>
      <c r="G13" s="26">
        <f t="shared" si="1"/>
        <v>0</v>
      </c>
      <c r="H13" s="38">
        <f>IF(Clustering_Guide!$C$7=1,LN(1+MAX(C13,0)),C13)</f>
        <v>0</v>
      </c>
      <c r="I13" s="38">
        <f>IF(Clustering_Guide!$C$7=1,LN(1+MAX(D13,0)),D13)</f>
        <v>0</v>
      </c>
      <c r="J13" s="38">
        <f>IF(Clustering_Guide!$C$7=1,LN(1+MAX(E13,0)),E13)</f>
        <v>0</v>
      </c>
      <c r="K13" s="38">
        <f t="shared" si="2"/>
        <v>-2.1171471176186549</v>
      </c>
      <c r="L13" s="38">
        <f t="shared" si="3"/>
        <v>-1.4074974765281474</v>
      </c>
      <c r="M13" s="38">
        <f t="shared" si="4"/>
        <v>-1.2777880506003427</v>
      </c>
    </row>
    <row r="14" spans="1:13" x14ac:dyDescent="0.25">
      <c r="A14" s="42">
        <f>Daily!A14</f>
        <v>43896</v>
      </c>
      <c r="B14" s="13" t="str">
        <f t="shared" si="0"/>
        <v>Fri</v>
      </c>
      <c r="C14" s="14">
        <f>Daily!C14</f>
        <v>0</v>
      </c>
      <c r="D14" s="14">
        <f>Daily!D14</f>
        <v>0</v>
      </c>
      <c r="E14" s="14">
        <f>Daily!E14</f>
        <v>1</v>
      </c>
      <c r="F14" s="14">
        <f>Daily!I14</f>
        <v>5</v>
      </c>
      <c r="G14" s="26">
        <f t="shared" si="1"/>
        <v>0</v>
      </c>
      <c r="H14" s="38">
        <f>IF(Clustering_Guide!$C$7=1,LN(1+MAX(C14,0)),C14)</f>
        <v>0</v>
      </c>
      <c r="I14" s="38">
        <f>IF(Clustering_Guide!$C$7=1,LN(1+MAX(D14,0)),D14)</f>
        <v>0</v>
      </c>
      <c r="J14" s="38">
        <f>IF(Clustering_Guide!$C$7=1,LN(1+MAX(E14,0)),E14)</f>
        <v>0.69314718055994529</v>
      </c>
      <c r="K14" s="38">
        <f t="shared" si="2"/>
        <v>-2.1171471176186549</v>
      </c>
      <c r="L14" s="38">
        <f t="shared" si="3"/>
        <v>-1.4074974765281474</v>
      </c>
      <c r="M14" s="38">
        <f t="shared" si="4"/>
        <v>-1.0102756110451747</v>
      </c>
    </row>
    <row r="15" spans="1:13" x14ac:dyDescent="0.25">
      <c r="A15" s="42">
        <f>Daily!A15</f>
        <v>43897</v>
      </c>
      <c r="B15" s="13" t="str">
        <f t="shared" si="0"/>
        <v>Sat</v>
      </c>
      <c r="C15" s="14">
        <f>Daily!C15</f>
        <v>1</v>
      </c>
      <c r="D15" s="14">
        <f>Daily!D15</f>
        <v>0</v>
      </c>
      <c r="E15" s="14">
        <f>Daily!E15</f>
        <v>0</v>
      </c>
      <c r="F15" s="14">
        <f>Daily!I15</f>
        <v>6</v>
      </c>
      <c r="G15" s="26">
        <f t="shared" si="1"/>
        <v>0</v>
      </c>
      <c r="H15" s="38">
        <f>IF(Clustering_Guide!$C$7=1,LN(1+MAX(C15,0)),C15)</f>
        <v>0.69314718055994529</v>
      </c>
      <c r="I15" s="38">
        <f>IF(Clustering_Guide!$C$7=1,LN(1+MAX(D15,0)),D15)</f>
        <v>0</v>
      </c>
      <c r="J15" s="38">
        <f>IF(Clustering_Guide!$C$7=1,LN(1+MAX(E15,0)),E15)</f>
        <v>0</v>
      </c>
      <c r="K15" s="38">
        <f t="shared" si="2"/>
        <v>-1.8403483272019492</v>
      </c>
      <c r="L15" s="38">
        <f t="shared" si="3"/>
        <v>-1.4074974765281474</v>
      </c>
      <c r="M15" s="38">
        <f t="shared" si="4"/>
        <v>-1.2777880506003427</v>
      </c>
    </row>
    <row r="16" spans="1:13" x14ac:dyDescent="0.25">
      <c r="A16" s="42">
        <f>Daily!A16</f>
        <v>43898</v>
      </c>
      <c r="B16" s="13" t="str">
        <f t="shared" si="0"/>
        <v>Sun</v>
      </c>
      <c r="C16" s="14">
        <f>Daily!C16</f>
        <v>0</v>
      </c>
      <c r="D16" s="14">
        <f>Daily!D16</f>
        <v>0</v>
      </c>
      <c r="E16" s="14">
        <f>Daily!E16</f>
        <v>0</v>
      </c>
      <c r="F16" s="14">
        <f>Daily!I16</f>
        <v>6</v>
      </c>
      <c r="G16" s="26">
        <f t="shared" si="1"/>
        <v>0</v>
      </c>
      <c r="H16" s="38">
        <f>IF(Clustering_Guide!$C$7=1,LN(1+MAX(C16,0)),C16)</f>
        <v>0</v>
      </c>
      <c r="I16" s="38">
        <f>IF(Clustering_Guide!$C$7=1,LN(1+MAX(D16,0)),D16)</f>
        <v>0</v>
      </c>
      <c r="J16" s="38">
        <f>IF(Clustering_Guide!$C$7=1,LN(1+MAX(E16,0)),E16)</f>
        <v>0</v>
      </c>
      <c r="K16" s="38">
        <f t="shared" si="2"/>
        <v>-2.1171471176186549</v>
      </c>
      <c r="L16" s="38">
        <f t="shared" si="3"/>
        <v>-1.4074974765281474</v>
      </c>
      <c r="M16" s="38">
        <f t="shared" si="4"/>
        <v>-1.2777880506003427</v>
      </c>
    </row>
    <row r="17" spans="1:13" x14ac:dyDescent="0.25">
      <c r="A17" s="42">
        <f>Daily!A17</f>
        <v>43899</v>
      </c>
      <c r="B17" s="13" t="str">
        <f t="shared" si="0"/>
        <v>Mon</v>
      </c>
      <c r="C17" s="14">
        <f>Daily!C17</f>
        <v>9</v>
      </c>
      <c r="D17" s="14">
        <f>Daily!D17</f>
        <v>0</v>
      </c>
      <c r="E17" s="14">
        <f>Daily!E17</f>
        <v>0</v>
      </c>
      <c r="F17" s="14">
        <f>Daily!I17</f>
        <v>15</v>
      </c>
      <c r="G17" s="26">
        <f t="shared" si="1"/>
        <v>0</v>
      </c>
      <c r="H17" s="38">
        <f>IF(Clustering_Guide!$C$7=1,LN(1+MAX(C17,0)),C17)</f>
        <v>2.3025850929940459</v>
      </c>
      <c r="I17" s="38">
        <f>IF(Clustering_Guide!$C$7=1,LN(1+MAX(D17,0)),D17)</f>
        <v>0</v>
      </c>
      <c r="J17" s="38">
        <f>IF(Clustering_Guide!$C$7=1,LN(1+MAX(E17,0)),E17)</f>
        <v>0</v>
      </c>
      <c r="K17" s="38">
        <f t="shared" si="2"/>
        <v>-1.1976414391025618</v>
      </c>
      <c r="L17" s="38">
        <f t="shared" si="3"/>
        <v>-1.4074974765281474</v>
      </c>
      <c r="M17" s="38">
        <f t="shared" si="4"/>
        <v>-1.2777880506003427</v>
      </c>
    </row>
    <row r="18" spans="1:13" x14ac:dyDescent="0.25">
      <c r="A18" s="42">
        <f>Daily!A18</f>
        <v>43900</v>
      </c>
      <c r="B18" s="13" t="str">
        <f t="shared" si="0"/>
        <v>Tue</v>
      </c>
      <c r="C18" s="14">
        <f>Daily!C18</f>
        <v>3</v>
      </c>
      <c r="D18" s="14">
        <f>Daily!D18</f>
        <v>0</v>
      </c>
      <c r="E18" s="14">
        <f>Daily!E18</f>
        <v>0</v>
      </c>
      <c r="F18" s="14">
        <f>Daily!I18</f>
        <v>18</v>
      </c>
      <c r="G18" s="26">
        <f t="shared" si="1"/>
        <v>0</v>
      </c>
      <c r="H18" s="38">
        <f>IF(Clustering_Guide!$C$7=1,LN(1+MAX(C18,0)),C18)</f>
        <v>1.3862943611198906</v>
      </c>
      <c r="I18" s="38">
        <f>IF(Clustering_Guide!$C$7=1,LN(1+MAX(D18,0)),D18)</f>
        <v>0</v>
      </c>
      <c r="J18" s="38">
        <f>IF(Clustering_Guide!$C$7=1,LN(1+MAX(E18,0)),E18)</f>
        <v>0</v>
      </c>
      <c r="K18" s="38">
        <f t="shared" si="2"/>
        <v>-1.5635495367852437</v>
      </c>
      <c r="L18" s="38">
        <f t="shared" si="3"/>
        <v>-1.4074974765281474</v>
      </c>
      <c r="M18" s="38">
        <f t="shared" si="4"/>
        <v>-1.2777880506003427</v>
      </c>
    </row>
    <row r="19" spans="1:13" x14ac:dyDescent="0.25">
      <c r="A19" s="42">
        <f>Daily!A19</f>
        <v>43901</v>
      </c>
      <c r="B19" s="13" t="str">
        <f t="shared" si="0"/>
        <v>Wed</v>
      </c>
      <c r="C19" s="14">
        <f>Daily!C19</f>
        <v>1</v>
      </c>
      <c r="D19" s="14">
        <f>Daily!D19</f>
        <v>0</v>
      </c>
      <c r="E19" s="14">
        <f>Daily!E19</f>
        <v>1</v>
      </c>
      <c r="F19" s="14">
        <f>Daily!I19</f>
        <v>18</v>
      </c>
      <c r="G19" s="26">
        <f t="shared" si="1"/>
        <v>0</v>
      </c>
      <c r="H19" s="38">
        <f>IF(Clustering_Guide!$C$7=1,LN(1+MAX(C19,0)),C19)</f>
        <v>0.69314718055994529</v>
      </c>
      <c r="I19" s="38">
        <f>IF(Clustering_Guide!$C$7=1,LN(1+MAX(D19,0)),D19)</f>
        <v>0</v>
      </c>
      <c r="J19" s="38">
        <f>IF(Clustering_Guide!$C$7=1,LN(1+MAX(E19,0)),E19)</f>
        <v>0.69314718055994529</v>
      </c>
      <c r="K19" s="38">
        <f t="shared" si="2"/>
        <v>-1.8403483272019492</v>
      </c>
      <c r="L19" s="38">
        <f t="shared" si="3"/>
        <v>-1.4074974765281474</v>
      </c>
      <c r="M19" s="38">
        <f t="shared" si="4"/>
        <v>-1.0102756110451747</v>
      </c>
    </row>
    <row r="20" spans="1:13" x14ac:dyDescent="0.25">
      <c r="A20" s="42">
        <f>Daily!A20</f>
        <v>43902</v>
      </c>
      <c r="B20" s="13" t="str">
        <f t="shared" si="0"/>
        <v>Thu</v>
      </c>
      <c r="C20" s="14">
        <f>Daily!C20</f>
        <v>1</v>
      </c>
      <c r="D20" s="14">
        <f>Daily!D20</f>
        <v>0</v>
      </c>
      <c r="E20" s="14">
        <f>Daily!E20</f>
        <v>0</v>
      </c>
      <c r="F20" s="14">
        <f>Daily!I20</f>
        <v>19</v>
      </c>
      <c r="G20" s="26">
        <f t="shared" si="1"/>
        <v>0</v>
      </c>
      <c r="H20" s="38">
        <f>IF(Clustering_Guide!$C$7=1,LN(1+MAX(C20,0)),C20)</f>
        <v>0.69314718055994529</v>
      </c>
      <c r="I20" s="38">
        <f>IF(Clustering_Guide!$C$7=1,LN(1+MAX(D20,0)),D20)</f>
        <v>0</v>
      </c>
      <c r="J20" s="38">
        <f>IF(Clustering_Guide!$C$7=1,LN(1+MAX(E20,0)),E20)</f>
        <v>0</v>
      </c>
      <c r="K20" s="38">
        <f t="shared" si="2"/>
        <v>-1.8403483272019492</v>
      </c>
      <c r="L20" s="38">
        <f t="shared" si="3"/>
        <v>-1.4074974765281474</v>
      </c>
      <c r="M20" s="38">
        <f t="shared" si="4"/>
        <v>-1.2777880506003427</v>
      </c>
    </row>
    <row r="21" spans="1:13" x14ac:dyDescent="0.25">
      <c r="A21" s="42">
        <f>Daily!A21</f>
        <v>43903</v>
      </c>
      <c r="B21" s="13" t="str">
        <f t="shared" si="0"/>
        <v>Fri</v>
      </c>
      <c r="C21" s="14">
        <f>Daily!C21</f>
        <v>9</v>
      </c>
      <c r="D21" s="14">
        <f>Daily!D21</f>
        <v>0</v>
      </c>
      <c r="E21" s="14">
        <f>Daily!E21</f>
        <v>1</v>
      </c>
      <c r="F21" s="14">
        <f>Daily!I21</f>
        <v>27</v>
      </c>
      <c r="G21" s="26">
        <f t="shared" si="1"/>
        <v>0</v>
      </c>
      <c r="H21" s="38">
        <f>IF(Clustering_Guide!$C$7=1,LN(1+MAX(C21,0)),C21)</f>
        <v>2.3025850929940459</v>
      </c>
      <c r="I21" s="38">
        <f>IF(Clustering_Guide!$C$7=1,LN(1+MAX(D21,0)),D21)</f>
        <v>0</v>
      </c>
      <c r="J21" s="38">
        <f>IF(Clustering_Guide!$C$7=1,LN(1+MAX(E21,0)),E21)</f>
        <v>0.69314718055994529</v>
      </c>
      <c r="K21" s="38">
        <f t="shared" si="2"/>
        <v>-1.1976414391025618</v>
      </c>
      <c r="L21" s="38">
        <f t="shared" si="3"/>
        <v>-1.4074974765281474</v>
      </c>
      <c r="M21" s="38">
        <f t="shared" si="4"/>
        <v>-1.0102756110451747</v>
      </c>
    </row>
    <row r="22" spans="1:13" x14ac:dyDescent="0.25">
      <c r="A22" s="42">
        <f>Daily!A22</f>
        <v>43904</v>
      </c>
      <c r="B22" s="13" t="str">
        <f t="shared" si="0"/>
        <v>Sat</v>
      </c>
      <c r="C22" s="14">
        <f>Daily!C22</f>
        <v>0</v>
      </c>
      <c r="D22" s="14">
        <f>Daily!D22</f>
        <v>0</v>
      </c>
      <c r="E22" s="14">
        <f>Daily!E22</f>
        <v>0</v>
      </c>
      <c r="F22" s="14">
        <f>Daily!I22</f>
        <v>27</v>
      </c>
      <c r="G22" s="26">
        <f t="shared" si="1"/>
        <v>0</v>
      </c>
      <c r="H22" s="38">
        <f>IF(Clustering_Guide!$C$7=1,LN(1+MAX(C22,0)),C22)</f>
        <v>0</v>
      </c>
      <c r="I22" s="38">
        <f>IF(Clustering_Guide!$C$7=1,LN(1+MAX(D22,0)),D22)</f>
        <v>0</v>
      </c>
      <c r="J22" s="38">
        <f>IF(Clustering_Guide!$C$7=1,LN(1+MAX(E22,0)),E22)</f>
        <v>0</v>
      </c>
      <c r="K22" s="38">
        <f t="shared" si="2"/>
        <v>-2.1171471176186549</v>
      </c>
      <c r="L22" s="38">
        <f t="shared" si="3"/>
        <v>-1.4074974765281474</v>
      </c>
      <c r="M22" s="38">
        <f t="shared" si="4"/>
        <v>-1.2777880506003427</v>
      </c>
    </row>
    <row r="23" spans="1:13" x14ac:dyDescent="0.25">
      <c r="A23" s="42">
        <f>Daily!A23</f>
        <v>43905</v>
      </c>
      <c r="B23" s="13" t="str">
        <f t="shared" si="0"/>
        <v>Sun</v>
      </c>
      <c r="C23" s="14">
        <f>Daily!C23</f>
        <v>34</v>
      </c>
      <c r="D23" s="14">
        <f>Daily!D23</f>
        <v>1</v>
      </c>
      <c r="E23" s="14">
        <f>Daily!E23</f>
        <v>0</v>
      </c>
      <c r="F23" s="14">
        <f>Daily!I23</f>
        <v>60</v>
      </c>
      <c r="G23" s="26">
        <f t="shared" si="1"/>
        <v>2.9411764705882351</v>
      </c>
      <c r="H23" s="38">
        <f>IF(Clustering_Guide!$C$7=1,LN(1+MAX(C23,0)),C23)</f>
        <v>3.5553480614894135</v>
      </c>
      <c r="I23" s="38">
        <f>IF(Clustering_Guide!$C$7=1,LN(1+MAX(D23,0)),D23)</f>
        <v>0.69314718055994529</v>
      </c>
      <c r="J23" s="38">
        <f>IF(Clustering_Guide!$C$7=1,LN(1+MAX(E23,0)),E23)</f>
        <v>0</v>
      </c>
      <c r="K23" s="38">
        <f t="shared" si="2"/>
        <v>-0.69736778282333789</v>
      </c>
      <c r="L23" s="38">
        <f t="shared" si="3"/>
        <v>-0.93684730084180778</v>
      </c>
      <c r="M23" s="38">
        <f t="shared" si="4"/>
        <v>-1.2777880506003427</v>
      </c>
    </row>
    <row r="24" spans="1:13" x14ac:dyDescent="0.25">
      <c r="A24" s="42">
        <f>Daily!A24</f>
        <v>43906</v>
      </c>
      <c r="B24" s="13" t="str">
        <f t="shared" si="0"/>
        <v>Mon</v>
      </c>
      <c r="C24" s="14">
        <f>Daily!C24</f>
        <v>151</v>
      </c>
      <c r="D24" s="14">
        <f>Daily!D24</f>
        <v>0</v>
      </c>
      <c r="E24" s="14">
        <f>Daily!E24</f>
        <v>1</v>
      </c>
      <c r="F24" s="14">
        <f>Daily!I24</f>
        <v>210</v>
      </c>
      <c r="G24" s="26">
        <f t="shared" si="1"/>
        <v>0</v>
      </c>
      <c r="H24" s="38">
        <f>IF(Clustering_Guide!$C$7=1,LN(1+MAX(C24,0)),C24)</f>
        <v>5.0238805208462765</v>
      </c>
      <c r="I24" s="38">
        <f>IF(Clustering_Guide!$C$7=1,LN(1+MAX(D24,0)),D24)</f>
        <v>0</v>
      </c>
      <c r="J24" s="38">
        <f>IF(Clustering_Guide!$C$7=1,LN(1+MAX(E24,0)),E24)</f>
        <v>0.69314718055994529</v>
      </c>
      <c r="K24" s="38">
        <f t="shared" si="2"/>
        <v>-0.11092954886950991</v>
      </c>
      <c r="L24" s="38">
        <f t="shared" si="3"/>
        <v>-1.4074974765281474</v>
      </c>
      <c r="M24" s="38">
        <f t="shared" si="4"/>
        <v>-1.0102756110451747</v>
      </c>
    </row>
    <row r="25" spans="1:13" x14ac:dyDescent="0.25">
      <c r="A25" s="42">
        <f>Daily!A25</f>
        <v>43907</v>
      </c>
      <c r="B25" s="13" t="str">
        <f t="shared" si="0"/>
        <v>Tue</v>
      </c>
      <c r="C25" s="14">
        <f>Daily!C25</f>
        <v>52</v>
      </c>
      <c r="D25" s="14">
        <f>Daily!D25</f>
        <v>0</v>
      </c>
      <c r="E25" s="14">
        <f>Daily!E25</f>
        <v>0</v>
      </c>
      <c r="F25" s="14">
        <f>Daily!I25</f>
        <v>262</v>
      </c>
      <c r="G25" s="26">
        <f t="shared" si="1"/>
        <v>0</v>
      </c>
      <c r="H25" s="38">
        <f>IF(Clustering_Guide!$C$7=1,LN(1+MAX(C25,0)),C25)</f>
        <v>3.970291913552122</v>
      </c>
      <c r="I25" s="38">
        <f>IF(Clustering_Guide!$C$7=1,LN(1+MAX(D25,0)),D25)</f>
        <v>0</v>
      </c>
      <c r="J25" s="38">
        <f>IF(Clustering_Guide!$C$7=1,LN(1+MAX(E25,0)),E25)</f>
        <v>0</v>
      </c>
      <c r="K25" s="38">
        <f t="shared" si="2"/>
        <v>-0.53166566419245498</v>
      </c>
      <c r="L25" s="38">
        <f t="shared" si="3"/>
        <v>-1.4074974765281474</v>
      </c>
      <c r="M25" s="38">
        <f t="shared" si="4"/>
        <v>-1.2777880506003427</v>
      </c>
    </row>
    <row r="26" spans="1:13" x14ac:dyDescent="0.25">
      <c r="A26" s="42">
        <f>Daily!A26</f>
        <v>43908</v>
      </c>
      <c r="B26" s="13" t="str">
        <f t="shared" si="0"/>
        <v>Wed</v>
      </c>
      <c r="C26" s="14">
        <f>Daily!C26</f>
        <v>57</v>
      </c>
      <c r="D26" s="14">
        <f>Daily!D26</f>
        <v>2</v>
      </c>
      <c r="E26" s="14">
        <f>Daily!E26</f>
        <v>0</v>
      </c>
      <c r="F26" s="14">
        <f>Daily!I26</f>
        <v>317</v>
      </c>
      <c r="G26" s="26">
        <f t="shared" si="1"/>
        <v>3.5087719298245612</v>
      </c>
      <c r="H26" s="38">
        <f>IF(Clustering_Guide!$C$7=1,LN(1+MAX(C26,0)),C26)</f>
        <v>4.0604430105464191</v>
      </c>
      <c r="I26" s="38">
        <f>IF(Clustering_Guide!$C$7=1,LN(1+MAX(D26,0)),D26)</f>
        <v>1.0986122886681098</v>
      </c>
      <c r="J26" s="38">
        <f>IF(Clustering_Guide!$C$7=1,LN(1+MAX(E26,0)),E26)</f>
        <v>0</v>
      </c>
      <c r="K26" s="38">
        <f t="shared" si="2"/>
        <v>-0.49566506388329379</v>
      </c>
      <c r="L26" s="38">
        <f t="shared" si="3"/>
        <v>-0.6615345971074752</v>
      </c>
      <c r="M26" s="38">
        <f t="shared" si="4"/>
        <v>-1.2777880506003427</v>
      </c>
    </row>
    <row r="27" spans="1:13" x14ac:dyDescent="0.25">
      <c r="A27" s="42">
        <f>Daily!A27</f>
        <v>43909</v>
      </c>
      <c r="B27" s="13" t="str">
        <f t="shared" si="0"/>
        <v>Thu</v>
      </c>
      <c r="C27" s="14">
        <f>Daily!C27</f>
        <v>154</v>
      </c>
      <c r="D27" s="14">
        <f>Daily!D27</f>
        <v>0</v>
      </c>
      <c r="E27" s="14">
        <f>Daily!E27</f>
        <v>1</v>
      </c>
      <c r="F27" s="14">
        <f>Daily!I27</f>
        <v>470</v>
      </c>
      <c r="G27" s="26">
        <f t="shared" si="1"/>
        <v>0</v>
      </c>
      <c r="H27" s="38">
        <f>IF(Clustering_Guide!$C$7=1,LN(1+MAX(C27,0)),C27)</f>
        <v>5.0434251169192468</v>
      </c>
      <c r="I27" s="38">
        <f>IF(Clustering_Guide!$C$7=1,LN(1+MAX(D27,0)),D27)</f>
        <v>0</v>
      </c>
      <c r="J27" s="38">
        <f>IF(Clustering_Guide!$C$7=1,LN(1+MAX(E27,0)),E27)</f>
        <v>0.69314718055994529</v>
      </c>
      <c r="K27" s="38">
        <f t="shared" si="2"/>
        <v>-0.1031246833172747</v>
      </c>
      <c r="L27" s="38">
        <f t="shared" si="3"/>
        <v>-1.4074974765281474</v>
      </c>
      <c r="M27" s="38">
        <f t="shared" si="4"/>
        <v>-1.0102756110451747</v>
      </c>
    </row>
    <row r="28" spans="1:13" x14ac:dyDescent="0.25">
      <c r="A28" s="42">
        <f>Daily!A28</f>
        <v>43910</v>
      </c>
      <c r="B28" s="13" t="str">
        <f t="shared" si="0"/>
        <v>Fri</v>
      </c>
      <c r="C28" s="14">
        <f>Daily!C28</f>
        <v>50</v>
      </c>
      <c r="D28" s="14">
        <f>Daily!D28</f>
        <v>1</v>
      </c>
      <c r="E28" s="14">
        <f>Daily!E28</f>
        <v>0</v>
      </c>
      <c r="F28" s="14">
        <f>Daily!I28</f>
        <v>519</v>
      </c>
      <c r="G28" s="26">
        <f t="shared" si="1"/>
        <v>2</v>
      </c>
      <c r="H28" s="38">
        <f>IF(Clustering_Guide!$C$7=1,LN(1+MAX(C28,0)),C28)</f>
        <v>3.9318256327243257</v>
      </c>
      <c r="I28" s="38">
        <f>IF(Clustering_Guide!$C$7=1,LN(1+MAX(D28,0)),D28)</f>
        <v>0.69314718055994529</v>
      </c>
      <c r="J28" s="38">
        <f>IF(Clustering_Guide!$C$7=1,LN(1+MAX(E28,0)),E28)</f>
        <v>0</v>
      </c>
      <c r="K28" s="38">
        <f t="shared" si="2"/>
        <v>-0.54702664423187741</v>
      </c>
      <c r="L28" s="38">
        <f t="shared" si="3"/>
        <v>-0.93684730084180778</v>
      </c>
      <c r="M28" s="38">
        <f t="shared" si="4"/>
        <v>-1.2777880506003427</v>
      </c>
    </row>
    <row r="29" spans="1:13" x14ac:dyDescent="0.25">
      <c r="A29" s="42">
        <f>Daily!A29</f>
        <v>43911</v>
      </c>
      <c r="B29" s="13" t="str">
        <f t="shared" si="0"/>
        <v>Sat</v>
      </c>
      <c r="C29" s="14">
        <f>Daily!C29</f>
        <v>134</v>
      </c>
      <c r="D29" s="14">
        <f>Daily!D29</f>
        <v>0</v>
      </c>
      <c r="E29" s="14">
        <f>Daily!E29</f>
        <v>3</v>
      </c>
      <c r="F29" s="14">
        <f>Daily!I29</f>
        <v>650</v>
      </c>
      <c r="G29" s="26">
        <f t="shared" si="1"/>
        <v>0</v>
      </c>
      <c r="H29" s="38">
        <f>IF(Clustering_Guide!$C$7=1,LN(1+MAX(C29,0)),C29)</f>
        <v>4.9052747784384296</v>
      </c>
      <c r="I29" s="38">
        <f>IF(Clustering_Guide!$C$7=1,LN(1+MAX(D29,0)),D29)</f>
        <v>0</v>
      </c>
      <c r="J29" s="38">
        <f>IF(Clustering_Guide!$C$7=1,LN(1+MAX(E29,0)),E29)</f>
        <v>1.3862943611198906</v>
      </c>
      <c r="K29" s="38">
        <f t="shared" si="2"/>
        <v>-0.15829312035290879</v>
      </c>
      <c r="L29" s="38">
        <f t="shared" si="3"/>
        <v>-1.4074974765281474</v>
      </c>
      <c r="M29" s="38">
        <f t="shared" si="4"/>
        <v>-0.7427631714900067</v>
      </c>
    </row>
    <row r="30" spans="1:13" x14ac:dyDescent="0.25">
      <c r="A30" s="42">
        <f>Daily!A30</f>
        <v>43912</v>
      </c>
      <c r="B30" s="13" t="str">
        <f t="shared" si="0"/>
        <v>Sun</v>
      </c>
      <c r="C30" s="14">
        <f>Daily!C30</f>
        <v>110</v>
      </c>
      <c r="D30" s="14">
        <f>Daily!D30</f>
        <v>1</v>
      </c>
      <c r="E30" s="14">
        <f>Daily!E30</f>
        <v>0</v>
      </c>
      <c r="F30" s="14">
        <f>Daily!I30</f>
        <v>759</v>
      </c>
      <c r="G30" s="26">
        <f t="shared" si="1"/>
        <v>0.90909090909090906</v>
      </c>
      <c r="H30" s="38">
        <f>IF(Clustering_Guide!$C$7=1,LN(1+MAX(C30,0)),C30)</f>
        <v>4.7095302013123339</v>
      </c>
      <c r="I30" s="38">
        <f>IF(Clustering_Guide!$C$7=1,LN(1+MAX(D30,0)),D30)</f>
        <v>0.69314718055994529</v>
      </c>
      <c r="J30" s="38">
        <f>IF(Clustering_Guide!$C$7=1,LN(1+MAX(E30,0)),E30)</f>
        <v>0</v>
      </c>
      <c r="K30" s="38">
        <f t="shared" si="2"/>
        <v>-0.236461024224873</v>
      </c>
      <c r="L30" s="38">
        <f t="shared" si="3"/>
        <v>-0.93684730084180778</v>
      </c>
      <c r="M30" s="38">
        <f t="shared" si="4"/>
        <v>-1.2777880506003427</v>
      </c>
    </row>
    <row r="31" spans="1:13" x14ac:dyDescent="0.25">
      <c r="A31" s="42">
        <f>Daily!A31</f>
        <v>43913</v>
      </c>
      <c r="B31" s="13" t="str">
        <f t="shared" si="0"/>
        <v>Mon</v>
      </c>
      <c r="C31" s="14">
        <f>Daily!C31</f>
        <v>82</v>
      </c>
      <c r="D31" s="14">
        <f>Daily!D31</f>
        <v>1</v>
      </c>
      <c r="E31" s="14">
        <f>Daily!E31</f>
        <v>0</v>
      </c>
      <c r="F31" s="14">
        <f>Daily!I31</f>
        <v>840</v>
      </c>
      <c r="G31" s="26">
        <f t="shared" si="1"/>
        <v>1.2195121951219512</v>
      </c>
      <c r="H31" s="38">
        <f>IF(Clustering_Guide!$C$7=1,LN(1+MAX(C31,0)),C31)</f>
        <v>4.4188406077965983</v>
      </c>
      <c r="I31" s="38">
        <f>IF(Clustering_Guide!$C$7=1,LN(1+MAX(D31,0)),D31)</f>
        <v>0.69314718055994529</v>
      </c>
      <c r="J31" s="38">
        <f>IF(Clustering_Guide!$C$7=1,LN(1+MAX(E31,0)),E31)</f>
        <v>0</v>
      </c>
      <c r="K31" s="38">
        <f t="shared" si="2"/>
        <v>-0.35254391416302344</v>
      </c>
      <c r="L31" s="38">
        <f t="shared" si="3"/>
        <v>-0.93684730084180778</v>
      </c>
      <c r="M31" s="38">
        <f t="shared" si="4"/>
        <v>-1.2777880506003427</v>
      </c>
    </row>
    <row r="32" spans="1:13" x14ac:dyDescent="0.25">
      <c r="A32" s="42">
        <f>Daily!A32</f>
        <v>43914</v>
      </c>
      <c r="B32" s="13" t="str">
        <f t="shared" si="0"/>
        <v>Tue</v>
      </c>
      <c r="C32" s="14">
        <f>Daily!C32</f>
        <v>114</v>
      </c>
      <c r="D32" s="14">
        <f>Daily!D32</f>
        <v>1</v>
      </c>
      <c r="E32" s="14">
        <f>Daily!E32</f>
        <v>18</v>
      </c>
      <c r="F32" s="14">
        <f>Daily!I32</f>
        <v>935</v>
      </c>
      <c r="G32" s="26">
        <f t="shared" si="1"/>
        <v>0.8771929824561403</v>
      </c>
      <c r="H32" s="38">
        <f>IF(Clustering_Guide!$C$7=1,LN(1+MAX(C32,0)),C32)</f>
        <v>4.7449321283632502</v>
      </c>
      <c r="I32" s="38">
        <f>IF(Clustering_Guide!$C$7=1,LN(1+MAX(D32,0)),D32)</f>
        <v>0.69314718055994529</v>
      </c>
      <c r="J32" s="38">
        <f>IF(Clustering_Guide!$C$7=1,LN(1+MAX(E32,0)),E32)</f>
        <v>2.9444389791664403</v>
      </c>
      <c r="K32" s="38">
        <f t="shared" si="2"/>
        <v>-0.22232375170765961</v>
      </c>
      <c r="L32" s="38">
        <f t="shared" si="3"/>
        <v>-0.93684730084180778</v>
      </c>
      <c r="M32" s="38">
        <f t="shared" si="4"/>
        <v>-0.14141459842553039</v>
      </c>
    </row>
    <row r="33" spans="1:13" x14ac:dyDescent="0.25">
      <c r="A33" s="42">
        <f>Daily!A33</f>
        <v>43915</v>
      </c>
      <c r="B33" s="13" t="str">
        <f t="shared" si="0"/>
        <v>Wed</v>
      </c>
      <c r="C33" s="14">
        <f>Daily!C33</f>
        <v>110</v>
      </c>
      <c r="D33" s="14">
        <f>Daily!D33</f>
        <v>1</v>
      </c>
      <c r="E33" s="14">
        <f>Daily!E33</f>
        <v>4</v>
      </c>
      <c r="F33" s="14">
        <f>Daily!I33</f>
        <v>1040</v>
      </c>
      <c r="G33" s="26">
        <f t="shared" si="1"/>
        <v>0.90909090909090906</v>
      </c>
      <c r="H33" s="38">
        <f>IF(Clustering_Guide!$C$7=1,LN(1+MAX(C33,0)),C33)</f>
        <v>4.7095302013123339</v>
      </c>
      <c r="I33" s="38">
        <f>IF(Clustering_Guide!$C$7=1,LN(1+MAX(D33,0)),D33)</f>
        <v>0.69314718055994529</v>
      </c>
      <c r="J33" s="38">
        <f>IF(Clustering_Guide!$C$7=1,LN(1+MAX(E33,0)),E33)</f>
        <v>1.6094379124341003</v>
      </c>
      <c r="K33" s="38">
        <f t="shared" si="2"/>
        <v>-0.236461024224873</v>
      </c>
      <c r="L33" s="38">
        <f t="shared" si="3"/>
        <v>-0.93684730084180778</v>
      </c>
      <c r="M33" s="38">
        <f t="shared" si="4"/>
        <v>-0.65664340146534084</v>
      </c>
    </row>
    <row r="34" spans="1:13" x14ac:dyDescent="0.25">
      <c r="A34" s="42">
        <f>Daily!A34</f>
        <v>43916</v>
      </c>
      <c r="B34" s="13" t="str">
        <f t="shared" si="0"/>
        <v>Thu</v>
      </c>
      <c r="C34" s="14">
        <f>Daily!C34</f>
        <v>131</v>
      </c>
      <c r="D34" s="14">
        <f>Daily!D34</f>
        <v>1</v>
      </c>
      <c r="E34" s="14">
        <f>Daily!E34</f>
        <v>5</v>
      </c>
      <c r="F34" s="14">
        <f>Daily!I34</f>
        <v>1165</v>
      </c>
      <c r="G34" s="26">
        <f t="shared" si="1"/>
        <v>0.76335877862595414</v>
      </c>
      <c r="H34" s="38">
        <f>IF(Clustering_Guide!$C$7=1,LN(1+MAX(C34,0)),C34)</f>
        <v>4.8828019225863706</v>
      </c>
      <c r="I34" s="38">
        <f>IF(Clustering_Guide!$C$7=1,LN(1+MAX(D34,0)),D34)</f>
        <v>0.69314718055994529</v>
      </c>
      <c r="J34" s="38">
        <f>IF(Clustering_Guide!$C$7=1,LN(1+MAX(E34,0)),E34)</f>
        <v>1.791759469228055</v>
      </c>
      <c r="K34" s="38">
        <f t="shared" si="2"/>
        <v>-0.16726734616168126</v>
      </c>
      <c r="L34" s="38">
        <f t="shared" si="3"/>
        <v>-0.93684730084180778</v>
      </c>
      <c r="M34" s="38">
        <f t="shared" si="4"/>
        <v>-0.58627842587379841</v>
      </c>
    </row>
    <row r="35" spans="1:13" x14ac:dyDescent="0.25">
      <c r="A35" s="42">
        <f>Daily!A35</f>
        <v>43917</v>
      </c>
      <c r="B35" s="13" t="str">
        <f t="shared" si="0"/>
        <v>Fri</v>
      </c>
      <c r="C35" s="14">
        <f>Daily!C35</f>
        <v>122</v>
      </c>
      <c r="D35" s="14">
        <f>Daily!D35</f>
        <v>2</v>
      </c>
      <c r="E35" s="14">
        <f>Daily!E35</f>
        <v>5</v>
      </c>
      <c r="F35" s="14">
        <f>Daily!I35</f>
        <v>1280</v>
      </c>
      <c r="G35" s="26">
        <f t="shared" si="1"/>
        <v>1.639344262295082</v>
      </c>
      <c r="H35" s="38">
        <f>IF(Clustering_Guide!$C$7=1,LN(1+MAX(C35,0)),C35)</f>
        <v>4.8121843553724171</v>
      </c>
      <c r="I35" s="38">
        <f>IF(Clustering_Guide!$C$7=1,LN(1+MAX(D35,0)),D35)</f>
        <v>1.0986122886681098</v>
      </c>
      <c r="J35" s="38">
        <f>IF(Clustering_Guide!$C$7=1,LN(1+MAX(E35,0)),E35)</f>
        <v>1.791759469228055</v>
      </c>
      <c r="K35" s="38">
        <f t="shared" si="2"/>
        <v>-0.19546750009032046</v>
      </c>
      <c r="L35" s="38">
        <f t="shared" si="3"/>
        <v>-0.6615345971074752</v>
      </c>
      <c r="M35" s="38">
        <f t="shared" si="4"/>
        <v>-0.58627842587379841</v>
      </c>
    </row>
    <row r="36" spans="1:13" x14ac:dyDescent="0.25">
      <c r="A36" s="42">
        <f>Daily!A36</f>
        <v>43918</v>
      </c>
      <c r="B36" s="13" t="str">
        <f t="shared" si="0"/>
        <v>Sat</v>
      </c>
      <c r="C36" s="14">
        <f>Daily!C36</f>
        <v>184</v>
      </c>
      <c r="D36" s="14">
        <f>Daily!D36</f>
        <v>2</v>
      </c>
      <c r="E36" s="14">
        <f>Daily!E36</f>
        <v>1</v>
      </c>
      <c r="F36" s="14">
        <f>Daily!I36</f>
        <v>1461</v>
      </c>
      <c r="G36" s="26">
        <f t="shared" si="1"/>
        <v>1.0869565217391304</v>
      </c>
      <c r="H36" s="38">
        <f>IF(Clustering_Guide!$C$7=1,LN(1+MAX(C36,0)),C36)</f>
        <v>5.2203558250783244</v>
      </c>
      <c r="I36" s="38">
        <f>IF(Clustering_Guide!$C$7=1,LN(1+MAX(D36,0)),D36)</f>
        <v>1.0986122886681098</v>
      </c>
      <c r="J36" s="38">
        <f>IF(Clustering_Guide!$C$7=1,LN(1+MAX(E36,0)),E36)</f>
        <v>0.69314718055994529</v>
      </c>
      <c r="K36" s="38">
        <f t="shared" si="2"/>
        <v>-3.2469839180938494E-2</v>
      </c>
      <c r="L36" s="38">
        <f t="shared" si="3"/>
        <v>-0.6615345971074752</v>
      </c>
      <c r="M36" s="38">
        <f t="shared" si="4"/>
        <v>-1.0102756110451747</v>
      </c>
    </row>
    <row r="37" spans="1:13" x14ac:dyDescent="0.25">
      <c r="A37" s="42">
        <f>Daily!A37</f>
        <v>43919</v>
      </c>
      <c r="B37" s="13" t="str">
        <f t="shared" ref="B37:B68" si="5">TEXT(A37,"ddd")</f>
        <v>Sun</v>
      </c>
      <c r="C37" s="14">
        <f>Daily!C37</f>
        <v>87</v>
      </c>
      <c r="D37" s="14">
        <f>Daily!D37</f>
        <v>6</v>
      </c>
      <c r="E37" s="14">
        <f>Daily!E37</f>
        <v>7</v>
      </c>
      <c r="F37" s="14">
        <f>Daily!I37</f>
        <v>1535</v>
      </c>
      <c r="G37" s="26">
        <f t="shared" ref="G37:G68" si="6">IF(C37=0,0,D37/C37*100)</f>
        <v>6.8965517241379306</v>
      </c>
      <c r="H37" s="38">
        <f>IF(Clustering_Guide!$C$7=1,LN(1+MAX(C37,0)),C37)</f>
        <v>4.4773368144782069</v>
      </c>
      <c r="I37" s="38">
        <f>IF(Clustering_Guide!$C$7=1,LN(1+MAX(D37,0)),D37)</f>
        <v>1.9459101490553132</v>
      </c>
      <c r="J37" s="38">
        <f>IF(Clustering_Guide!$C$7=1,LN(1+MAX(E37,0)),E37)</f>
        <v>2.0794415416798357</v>
      </c>
      <c r="K37" s="38">
        <f t="shared" ref="K37:K68" si="7">(H37-AVERAGE(H$5:H$103))/STDEV(H$5:H$103)</f>
        <v>-0.32918425880042829</v>
      </c>
      <c r="L37" s="38">
        <f t="shared" ref="L37:L68" si="8">(I37-AVERAGE(I$5:I$103))/STDEV(I$5:I$103)</f>
        <v>-8.6215389247826166E-2</v>
      </c>
      <c r="M37" s="38">
        <f t="shared" ref="M37:M68" si="9">(J37-AVERAGE(J$5:J$103))/STDEV(J$5:J$103)</f>
        <v>-0.47525073193483869</v>
      </c>
    </row>
    <row r="38" spans="1:13" x14ac:dyDescent="0.25">
      <c r="A38" s="42">
        <f>Daily!A38</f>
        <v>43920</v>
      </c>
      <c r="B38" s="13" t="str">
        <f t="shared" si="5"/>
        <v>Mon</v>
      </c>
      <c r="C38" s="14">
        <f>Daily!C38</f>
        <v>145</v>
      </c>
      <c r="D38" s="14">
        <f>Daily!D38</f>
        <v>4</v>
      </c>
      <c r="E38" s="14">
        <f>Daily!E38</f>
        <v>32</v>
      </c>
      <c r="F38" s="14">
        <f>Daily!I38</f>
        <v>1644</v>
      </c>
      <c r="G38" s="26">
        <f t="shared" si="6"/>
        <v>2.7586206896551726</v>
      </c>
      <c r="H38" s="38">
        <f>IF(Clustering_Guide!$C$7=1,LN(1+MAX(C38,0)),C38)</f>
        <v>4.9836066217083363</v>
      </c>
      <c r="I38" s="38">
        <f>IF(Clustering_Guide!$C$7=1,LN(1+MAX(D38,0)),D38)</f>
        <v>1.6094379124341003</v>
      </c>
      <c r="J38" s="38">
        <f>IF(Clustering_Guide!$C$7=1,LN(1+MAX(E38,0)),E38)</f>
        <v>3.4965075614664802</v>
      </c>
      <c r="K38" s="38">
        <f t="shared" si="7"/>
        <v>-0.12701237641234248</v>
      </c>
      <c r="L38" s="38">
        <f t="shared" si="8"/>
        <v>-0.31468161073836282</v>
      </c>
      <c r="M38" s="38">
        <f t="shared" si="9"/>
        <v>7.1650126346980647E-2</v>
      </c>
    </row>
    <row r="39" spans="1:13" x14ac:dyDescent="0.25">
      <c r="A39" s="42">
        <f>Daily!A39</f>
        <v>43921</v>
      </c>
      <c r="B39" s="13" t="str">
        <f t="shared" si="5"/>
        <v>Tue</v>
      </c>
      <c r="C39" s="14">
        <f>Daily!C39</f>
        <v>223</v>
      </c>
      <c r="D39" s="14">
        <f>Daily!D39</f>
        <v>4</v>
      </c>
      <c r="E39" s="14">
        <f>Daily!E39</f>
        <v>42</v>
      </c>
      <c r="F39" s="14">
        <f>Daily!I39</f>
        <v>1821</v>
      </c>
      <c r="G39" s="26">
        <f t="shared" si="6"/>
        <v>1.7937219730941705</v>
      </c>
      <c r="H39" s="38">
        <f>IF(Clustering_Guide!$C$7=1,LN(1+MAX(C39,0)),C39)</f>
        <v>5.4116460518550396</v>
      </c>
      <c r="I39" s="38">
        <f>IF(Clustering_Guide!$C$7=1,LN(1+MAX(D39,0)),D39)</f>
        <v>1.6094379124341003</v>
      </c>
      <c r="J39" s="38">
        <f>IF(Clustering_Guide!$C$7=1,LN(1+MAX(E39,0)),E39)</f>
        <v>3.7612001156935624</v>
      </c>
      <c r="K39" s="38">
        <f t="shared" si="7"/>
        <v>4.3919281160802376E-2</v>
      </c>
      <c r="L39" s="38">
        <f t="shared" si="8"/>
        <v>-0.31468161073836282</v>
      </c>
      <c r="M39" s="38">
        <f t="shared" si="9"/>
        <v>0.17380527160224096</v>
      </c>
    </row>
    <row r="40" spans="1:13" x14ac:dyDescent="0.25">
      <c r="A40" s="42">
        <f>Daily!A40</f>
        <v>43922</v>
      </c>
      <c r="B40" s="13" t="str">
        <f t="shared" si="5"/>
        <v>Wed</v>
      </c>
      <c r="C40" s="14">
        <f>Daily!C40</f>
        <v>260</v>
      </c>
      <c r="D40" s="14">
        <f>Daily!D40</f>
        <v>4</v>
      </c>
      <c r="E40" s="14">
        <f>Daily!E40</f>
        <v>15</v>
      </c>
      <c r="F40" s="14">
        <f>Daily!I40</f>
        <v>2062</v>
      </c>
      <c r="G40" s="26">
        <f t="shared" si="6"/>
        <v>1.5384615384615385</v>
      </c>
      <c r="H40" s="38">
        <f>IF(Clustering_Guide!$C$7=1,LN(1+MAX(C40,0)),C40)</f>
        <v>5.5645204073226937</v>
      </c>
      <c r="I40" s="38">
        <f>IF(Clustering_Guide!$C$7=1,LN(1+MAX(D40,0)),D40)</f>
        <v>1.6094379124341003</v>
      </c>
      <c r="J40" s="38">
        <f>IF(Clustering_Guide!$C$7=1,LN(1+MAX(E40,0)),E40)</f>
        <v>2.7725887222397811</v>
      </c>
      <c r="K40" s="38">
        <f t="shared" si="7"/>
        <v>0.10496755181090651</v>
      </c>
      <c r="L40" s="38">
        <f t="shared" si="8"/>
        <v>-0.31468161073836282</v>
      </c>
      <c r="M40" s="38">
        <f t="shared" si="9"/>
        <v>-0.20773829237967062</v>
      </c>
    </row>
    <row r="41" spans="1:13" x14ac:dyDescent="0.25">
      <c r="A41" s="42">
        <f>Daily!A41</f>
        <v>43923</v>
      </c>
      <c r="B41" s="13" t="str">
        <f t="shared" si="5"/>
        <v>Thu</v>
      </c>
      <c r="C41" s="14">
        <f>Daily!C41</f>
        <v>183</v>
      </c>
      <c r="D41" s="14">
        <f>Daily!D41</f>
        <v>5</v>
      </c>
      <c r="E41" s="14">
        <f>Daily!E41</f>
        <v>14</v>
      </c>
      <c r="F41" s="14">
        <f>Daily!I41</f>
        <v>2226</v>
      </c>
      <c r="G41" s="26">
        <f t="shared" si="6"/>
        <v>2.7322404371584699</v>
      </c>
      <c r="H41" s="38">
        <f>IF(Clustering_Guide!$C$7=1,LN(1+MAX(C41,0)),C41)</f>
        <v>5.2149357576089859</v>
      </c>
      <c r="I41" s="38">
        <f>IF(Clustering_Guide!$C$7=1,LN(1+MAX(D41,0)),D41)</f>
        <v>1.791759469228055</v>
      </c>
      <c r="J41" s="38">
        <f>IF(Clustering_Guide!$C$7=1,LN(1+MAX(E41,0)),E41)</f>
        <v>2.7080502011022101</v>
      </c>
      <c r="K41" s="38">
        <f t="shared" si="7"/>
        <v>-3.4634268556930303E-2</v>
      </c>
      <c r="L41" s="38">
        <f t="shared" si="8"/>
        <v>-0.19088442142113579</v>
      </c>
      <c r="M41" s="38">
        <f t="shared" si="9"/>
        <v>-0.23264621629396448</v>
      </c>
    </row>
    <row r="42" spans="1:13" x14ac:dyDescent="0.25">
      <c r="A42" s="42">
        <f>Daily!A42</f>
        <v>43924</v>
      </c>
      <c r="B42" s="13" t="str">
        <f t="shared" si="5"/>
        <v>Fri</v>
      </c>
      <c r="C42" s="14">
        <f>Daily!C42</f>
        <v>239</v>
      </c>
      <c r="D42" s="14">
        <f>Daily!D42</f>
        <v>5</v>
      </c>
      <c r="E42" s="14">
        <f>Daily!E42</f>
        <v>1</v>
      </c>
      <c r="F42" s="14">
        <f>Daily!I42</f>
        <v>2459</v>
      </c>
      <c r="G42" s="26">
        <f t="shared" si="6"/>
        <v>2.0920502092050208</v>
      </c>
      <c r="H42" s="38">
        <f>IF(Clustering_Guide!$C$7=1,LN(1+MAX(C42,0)),C42)</f>
        <v>5.4806389233419912</v>
      </c>
      <c r="I42" s="38">
        <f>IF(Clustering_Guide!$C$7=1,LN(1+MAX(D42,0)),D42)</f>
        <v>1.791759469228055</v>
      </c>
      <c r="J42" s="38">
        <f>IF(Clustering_Guide!$C$7=1,LN(1+MAX(E42,0)),E42)</f>
        <v>0.69314718055994529</v>
      </c>
      <c r="K42" s="38">
        <f t="shared" si="7"/>
        <v>7.1470635203007643E-2</v>
      </c>
      <c r="L42" s="38">
        <f t="shared" si="8"/>
        <v>-0.19088442142113579</v>
      </c>
      <c r="M42" s="38">
        <f t="shared" si="9"/>
        <v>-1.0102756110451747</v>
      </c>
    </row>
    <row r="43" spans="1:13" x14ac:dyDescent="0.25">
      <c r="A43" s="42">
        <f>Daily!A43</f>
        <v>43925</v>
      </c>
      <c r="B43" s="13" t="str">
        <f t="shared" si="5"/>
        <v>Sat</v>
      </c>
      <c r="C43" s="14">
        <f>Daily!C43</f>
        <v>79</v>
      </c>
      <c r="D43" s="14">
        <f>Daily!D43</f>
        <v>4</v>
      </c>
      <c r="E43" s="14">
        <f>Daily!E43</f>
        <v>33</v>
      </c>
      <c r="F43" s="14">
        <f>Daily!I43</f>
        <v>2501</v>
      </c>
      <c r="G43" s="26">
        <f t="shared" si="6"/>
        <v>5.0632911392405067</v>
      </c>
      <c r="H43" s="38">
        <f>IF(Clustering_Guide!$C$7=1,LN(1+MAX(C43,0)),C43)</f>
        <v>4.3820266346738812</v>
      </c>
      <c r="I43" s="38">
        <f>IF(Clustering_Guide!$C$7=1,LN(1+MAX(D43,0)),D43)</f>
        <v>1.6094379124341003</v>
      </c>
      <c r="J43" s="38">
        <f>IF(Clustering_Guide!$C$7=1,LN(1+MAX(E43,0)),E43)</f>
        <v>3.5263605246161616</v>
      </c>
      <c r="K43" s="38">
        <f t="shared" si="7"/>
        <v>-0.36724506785244532</v>
      </c>
      <c r="L43" s="38">
        <f t="shared" si="8"/>
        <v>-0.31468161073836282</v>
      </c>
      <c r="M43" s="38">
        <f t="shared" si="9"/>
        <v>8.3171545208802197E-2</v>
      </c>
    </row>
    <row r="44" spans="1:13" x14ac:dyDescent="0.25">
      <c r="A44" s="42">
        <f>Daily!A44</f>
        <v>43926</v>
      </c>
      <c r="B44" s="13" t="str">
        <f t="shared" si="5"/>
        <v>Sun</v>
      </c>
      <c r="C44" s="14">
        <f>Daily!C44</f>
        <v>180</v>
      </c>
      <c r="D44" s="14">
        <f>Daily!D44</f>
        <v>3</v>
      </c>
      <c r="E44" s="14">
        <f>Daily!E44</f>
        <v>45</v>
      </c>
      <c r="F44" s="14">
        <f>Daily!I44</f>
        <v>2633</v>
      </c>
      <c r="G44" s="26">
        <f t="shared" si="6"/>
        <v>1.6666666666666667</v>
      </c>
      <c r="H44" s="38">
        <f>IF(Clustering_Guide!$C$7=1,LN(1+MAX(C44,0)),C44)</f>
        <v>5.1984970312658261</v>
      </c>
      <c r="I44" s="38">
        <f>IF(Clustering_Guide!$C$7=1,LN(1+MAX(D44,0)),D44)</f>
        <v>1.3862943611198906</v>
      </c>
      <c r="J44" s="38">
        <f>IF(Clustering_Guide!$C$7=1,LN(1+MAX(E44,0)),E44)</f>
        <v>3.8286413964890951</v>
      </c>
      <c r="K44" s="38">
        <f t="shared" si="7"/>
        <v>-4.119884776231935E-2</v>
      </c>
      <c r="L44" s="38">
        <f t="shared" si="8"/>
        <v>-0.46619712515546841</v>
      </c>
      <c r="M44" s="38">
        <f t="shared" si="9"/>
        <v>0.19983348329858469</v>
      </c>
    </row>
    <row r="45" spans="1:13" x14ac:dyDescent="0.25">
      <c r="A45" s="42">
        <f>Daily!A45</f>
        <v>43927</v>
      </c>
      <c r="B45" s="13" t="str">
        <f t="shared" si="5"/>
        <v>Mon</v>
      </c>
      <c r="C45" s="14">
        <f>Daily!C45</f>
        <v>249</v>
      </c>
      <c r="D45" s="14">
        <f>Daily!D45</f>
        <v>5</v>
      </c>
      <c r="E45" s="14">
        <f>Daily!E45</f>
        <v>175</v>
      </c>
      <c r="F45" s="14">
        <f>Daily!I45</f>
        <v>2702</v>
      </c>
      <c r="G45" s="26">
        <f t="shared" si="6"/>
        <v>2.0080321285140563</v>
      </c>
      <c r="H45" s="38">
        <f>IF(Clustering_Guide!$C$7=1,LN(1+MAX(C45,0)),C45)</f>
        <v>5.521460917862246</v>
      </c>
      <c r="I45" s="38">
        <f>IF(Clustering_Guide!$C$7=1,LN(1+MAX(D45,0)),D45)</f>
        <v>1.791759469228055</v>
      </c>
      <c r="J45" s="38">
        <f>IF(Clustering_Guide!$C$7=1,LN(1+MAX(E45,0)),E45)</f>
        <v>5.1704839950381514</v>
      </c>
      <c r="K45" s="38">
        <f t="shared" si="7"/>
        <v>8.7772337096212849E-2</v>
      </c>
      <c r="L45" s="38">
        <f t="shared" si="8"/>
        <v>-0.19088442142113579</v>
      </c>
      <c r="M45" s="38">
        <f t="shared" si="9"/>
        <v>0.7177026993962764</v>
      </c>
    </row>
    <row r="46" spans="1:13" x14ac:dyDescent="0.25">
      <c r="A46" s="42">
        <f>Daily!A46</f>
        <v>43928</v>
      </c>
      <c r="B46" s="13" t="str">
        <f t="shared" si="5"/>
        <v>Tue</v>
      </c>
      <c r="C46" s="14">
        <f>Daily!C46</f>
        <v>107</v>
      </c>
      <c r="D46" s="14">
        <f>Daily!D46</f>
        <v>3</v>
      </c>
      <c r="E46" s="14">
        <f>Daily!E46</f>
        <v>82</v>
      </c>
      <c r="F46" s="14">
        <f>Daily!I46</f>
        <v>2724</v>
      </c>
      <c r="G46" s="26">
        <f t="shared" si="6"/>
        <v>2.8037383177570092</v>
      </c>
      <c r="H46" s="38">
        <f>IF(Clustering_Guide!$C$7=1,LN(1+MAX(C46,0)),C46)</f>
        <v>4.6821312271242199</v>
      </c>
      <c r="I46" s="38">
        <f>IF(Clustering_Guide!$C$7=1,LN(1+MAX(D46,0)),D46)</f>
        <v>1.3862943611198906</v>
      </c>
      <c r="J46" s="38">
        <f>IF(Clustering_Guide!$C$7=1,LN(1+MAX(E46,0)),E46)</f>
        <v>4.4188406077965983</v>
      </c>
      <c r="K46" s="38">
        <f t="shared" si="7"/>
        <v>-0.24740242761888509</v>
      </c>
      <c r="L46" s="38">
        <f t="shared" si="8"/>
        <v>-0.46619712515546841</v>
      </c>
      <c r="M46" s="38">
        <f t="shared" si="9"/>
        <v>0.42761429993966443</v>
      </c>
    </row>
    <row r="47" spans="1:13" x14ac:dyDescent="0.25">
      <c r="A47" s="42">
        <f>Daily!A47</f>
        <v>43929</v>
      </c>
      <c r="B47" s="13" t="str">
        <f t="shared" si="5"/>
        <v>Wed</v>
      </c>
      <c r="C47" s="14">
        <f>Daily!C47</f>
        <v>337</v>
      </c>
      <c r="D47" s="14">
        <f>Daily!D47</f>
        <v>7</v>
      </c>
      <c r="E47" s="14">
        <f>Daily!E47</f>
        <v>112</v>
      </c>
      <c r="F47" s="14">
        <f>Daily!I47</f>
        <v>2942</v>
      </c>
      <c r="G47" s="26">
        <f t="shared" si="6"/>
        <v>2.0771513353115725</v>
      </c>
      <c r="H47" s="38">
        <f>IF(Clustering_Guide!$C$7=1,LN(1+MAX(C47,0)),C47)</f>
        <v>5.8230458954830189</v>
      </c>
      <c r="I47" s="38">
        <f>IF(Clustering_Guide!$C$7=1,LN(1+MAX(D47,0)),D47)</f>
        <v>2.0794415416798357</v>
      </c>
      <c r="J47" s="38">
        <f>IF(Clustering_Guide!$C$7=1,LN(1+MAX(E47,0)),E47)</f>
        <v>4.7273878187123408</v>
      </c>
      <c r="K47" s="38">
        <f t="shared" si="7"/>
        <v>0.20820614878082908</v>
      </c>
      <c r="L47" s="38">
        <f t="shared" si="8"/>
        <v>4.453050530870948E-3</v>
      </c>
      <c r="M47" s="38">
        <f t="shared" si="9"/>
        <v>0.54669466183817894</v>
      </c>
    </row>
    <row r="48" spans="1:13" x14ac:dyDescent="0.25">
      <c r="A48" s="42">
        <f>Daily!A48</f>
        <v>43930</v>
      </c>
      <c r="B48" s="13" t="str">
        <f t="shared" si="5"/>
        <v>Thu</v>
      </c>
      <c r="C48" s="14">
        <f>Daily!C48</f>
        <v>874</v>
      </c>
      <c r="D48" s="14">
        <f>Daily!D48</f>
        <v>4</v>
      </c>
      <c r="E48" s="14">
        <f>Daily!E48</f>
        <v>113</v>
      </c>
      <c r="F48" s="14">
        <f>Daily!I48</f>
        <v>3699</v>
      </c>
      <c r="G48" s="26">
        <f t="shared" si="6"/>
        <v>0.45766590389016021</v>
      </c>
      <c r="H48" s="38">
        <f>IF(Clustering_Guide!$C$7=1,LN(1+MAX(C48,0)),C48)</f>
        <v>6.7742238863576141</v>
      </c>
      <c r="I48" s="38">
        <f>IF(Clustering_Guide!$C$7=1,LN(1+MAX(D48,0)),D48)</f>
        <v>1.6094379124341003</v>
      </c>
      <c r="J48" s="38">
        <f>IF(Clustering_Guide!$C$7=1,LN(1+MAX(E48,0)),E48)</f>
        <v>4.7361984483944957</v>
      </c>
      <c r="K48" s="38">
        <f t="shared" si="7"/>
        <v>0.58804599337543684</v>
      </c>
      <c r="L48" s="38">
        <f t="shared" si="8"/>
        <v>-0.31468161073836282</v>
      </c>
      <c r="M48" s="38">
        <f t="shared" si="9"/>
        <v>0.55009502630101414</v>
      </c>
    </row>
    <row r="49" spans="1:13" x14ac:dyDescent="0.25">
      <c r="A49" s="42">
        <f>Daily!A49</f>
        <v>43931</v>
      </c>
      <c r="B49" s="13" t="str">
        <f t="shared" si="5"/>
        <v>Fri</v>
      </c>
      <c r="C49" s="14">
        <f>Daily!C49</f>
        <v>156</v>
      </c>
      <c r="D49" s="14">
        <f>Daily!D49</f>
        <v>4</v>
      </c>
      <c r="E49" s="14">
        <f>Daily!E49</f>
        <v>53</v>
      </c>
      <c r="F49" s="14">
        <f>Daily!I49</f>
        <v>3798</v>
      </c>
      <c r="G49" s="26">
        <f t="shared" si="6"/>
        <v>2.5641025641025639</v>
      </c>
      <c r="H49" s="38">
        <f>IF(Clustering_Guide!$C$7=1,LN(1+MAX(C49,0)),C49)</f>
        <v>5.0562458053483077</v>
      </c>
      <c r="I49" s="38">
        <f>IF(Clustering_Guide!$C$7=1,LN(1+MAX(D49,0)),D49)</f>
        <v>1.6094379124341003</v>
      </c>
      <c r="J49" s="38">
        <f>IF(Clustering_Guide!$C$7=1,LN(1+MAX(E49,0)),E49)</f>
        <v>3.9889840465642745</v>
      </c>
      <c r="K49" s="38">
        <f t="shared" si="7"/>
        <v>-9.8004917776849748E-2</v>
      </c>
      <c r="L49" s="38">
        <f t="shared" si="8"/>
        <v>-0.31468161073836282</v>
      </c>
      <c r="M49" s="38">
        <f t="shared" si="9"/>
        <v>0.26171594446895419</v>
      </c>
    </row>
    <row r="50" spans="1:13" x14ac:dyDescent="0.25">
      <c r="A50" s="42">
        <f>Daily!A50</f>
        <v>43932</v>
      </c>
      <c r="B50" s="13" t="str">
        <f t="shared" si="5"/>
        <v>Sat</v>
      </c>
      <c r="C50" s="14">
        <f>Daily!C50</f>
        <v>297</v>
      </c>
      <c r="D50" s="14">
        <f>Daily!D50</f>
        <v>15</v>
      </c>
      <c r="E50" s="14">
        <f>Daily!E50</f>
        <v>37</v>
      </c>
      <c r="F50" s="14">
        <f>Daily!I50</f>
        <v>4043</v>
      </c>
      <c r="G50" s="26">
        <f t="shared" si="6"/>
        <v>5.0505050505050502</v>
      </c>
      <c r="H50" s="38">
        <f>IF(Clustering_Guide!$C$7=1,LN(1+MAX(C50,0)),C50)</f>
        <v>5.6970934865054046</v>
      </c>
      <c r="I50" s="38">
        <f>IF(Clustering_Guide!$C$7=1,LN(1+MAX(D50,0)),D50)</f>
        <v>2.7725887222397811</v>
      </c>
      <c r="J50" s="38">
        <f>IF(Clustering_Guide!$C$7=1,LN(1+MAX(E50,0)),E50)</f>
        <v>3.6375861597263857</v>
      </c>
      <c r="K50" s="38">
        <f t="shared" si="7"/>
        <v>0.15790878707633499</v>
      </c>
      <c r="L50" s="38">
        <f t="shared" si="8"/>
        <v>0.47510322621721046</v>
      </c>
      <c r="M50" s="38">
        <f t="shared" si="9"/>
        <v>0.12609784112963771</v>
      </c>
    </row>
    <row r="51" spans="1:13" x14ac:dyDescent="0.25">
      <c r="A51" s="42">
        <f>Daily!A51</f>
        <v>43933</v>
      </c>
      <c r="B51" s="13" t="str">
        <f t="shared" si="5"/>
        <v>Sun</v>
      </c>
      <c r="C51" s="14">
        <f>Daily!C51</f>
        <v>253</v>
      </c>
      <c r="D51" s="14">
        <f>Daily!D51</f>
        <v>7</v>
      </c>
      <c r="E51" s="14">
        <f>Daily!E51</f>
        <v>225</v>
      </c>
      <c r="F51" s="14">
        <f>Daily!I51</f>
        <v>4064</v>
      </c>
      <c r="G51" s="26">
        <f t="shared" si="6"/>
        <v>2.766798418972332</v>
      </c>
      <c r="H51" s="38">
        <f>IF(Clustering_Guide!$C$7=1,LN(1+MAX(C51,0)),C51)</f>
        <v>5.5373342670185366</v>
      </c>
      <c r="I51" s="38">
        <f>IF(Clustering_Guide!$C$7=1,LN(1+MAX(D51,0)),D51)</f>
        <v>2.0794415416798357</v>
      </c>
      <c r="J51" s="38">
        <f>IF(Clustering_Guide!$C$7=1,LN(1+MAX(E51,0)),E51)</f>
        <v>5.4205349992722862</v>
      </c>
      <c r="K51" s="38">
        <f t="shared" si="7"/>
        <v>9.4111140700339005E-2</v>
      </c>
      <c r="L51" s="38">
        <f t="shared" si="8"/>
        <v>4.453050530870948E-3</v>
      </c>
      <c r="M51" s="38">
        <f t="shared" si="9"/>
        <v>0.81420710139334707</v>
      </c>
    </row>
    <row r="52" spans="1:13" x14ac:dyDescent="0.25">
      <c r="A52" s="42">
        <f>Daily!A52</f>
        <v>43934</v>
      </c>
      <c r="B52" s="13" t="str">
        <f t="shared" si="5"/>
        <v>Mon</v>
      </c>
      <c r="C52" s="14">
        <f>Daily!C52</f>
        <v>173</v>
      </c>
      <c r="D52" s="14">
        <f>Daily!D52</f>
        <v>4</v>
      </c>
      <c r="E52" s="14">
        <f>Daily!E52</f>
        <v>38</v>
      </c>
      <c r="F52" s="14">
        <f>Daily!I52</f>
        <v>4195</v>
      </c>
      <c r="G52" s="26">
        <f t="shared" si="6"/>
        <v>2.3121387283236992</v>
      </c>
      <c r="H52" s="38">
        <f>IF(Clustering_Guide!$C$7=1,LN(1+MAX(C52,0)),C52)</f>
        <v>5.1590552992145291</v>
      </c>
      <c r="I52" s="38">
        <f>IF(Clustering_Guide!$C$7=1,LN(1+MAX(D52,0)),D52)</f>
        <v>1.6094379124341003</v>
      </c>
      <c r="J52" s="38">
        <f>IF(Clustering_Guide!$C$7=1,LN(1+MAX(E52,0)),E52)</f>
        <v>3.6635616461296463</v>
      </c>
      <c r="K52" s="38">
        <f t="shared" si="7"/>
        <v>-5.6949360827840849E-2</v>
      </c>
      <c r="L52" s="38">
        <f t="shared" si="8"/>
        <v>-0.31468161073836282</v>
      </c>
      <c r="M52" s="38">
        <f t="shared" si="9"/>
        <v>0.13612279099779545</v>
      </c>
    </row>
    <row r="53" spans="1:13" x14ac:dyDescent="0.25">
      <c r="A53" s="42">
        <f>Daily!A53</f>
        <v>43935</v>
      </c>
      <c r="B53" s="13" t="str">
        <f t="shared" si="5"/>
        <v>Tue</v>
      </c>
      <c r="C53" s="14">
        <f>Daily!C53</f>
        <v>628</v>
      </c>
      <c r="D53" s="14">
        <f>Daily!D53</f>
        <v>11</v>
      </c>
      <c r="E53" s="14">
        <f>Daily!E53</f>
        <v>56</v>
      </c>
      <c r="F53" s="14">
        <f>Daily!I53</f>
        <v>4756</v>
      </c>
      <c r="G53" s="26">
        <f t="shared" si="6"/>
        <v>1.7515923566878981</v>
      </c>
      <c r="H53" s="38">
        <f>IF(Clustering_Guide!$C$7=1,LN(1+MAX(C53,0)),C53)</f>
        <v>6.444131256700441</v>
      </c>
      <c r="I53" s="38">
        <f>IF(Clustering_Guide!$C$7=1,LN(1+MAX(D53,0)),D53)</f>
        <v>2.4849066497880004</v>
      </c>
      <c r="J53" s="38">
        <f>IF(Clustering_Guide!$C$7=1,LN(1+MAX(E53,0)),E53)</f>
        <v>4.0430512678345503</v>
      </c>
      <c r="K53" s="38">
        <f t="shared" si="7"/>
        <v>0.4562280430509989</v>
      </c>
      <c r="L53" s="38">
        <f t="shared" si="8"/>
        <v>0.27976575426520373</v>
      </c>
      <c r="M53" s="38">
        <f t="shared" si="9"/>
        <v>0.28258258674584602</v>
      </c>
    </row>
    <row r="54" spans="1:13" x14ac:dyDescent="0.25">
      <c r="A54" s="42">
        <f>Daily!A54</f>
        <v>43936</v>
      </c>
      <c r="B54" s="13" t="str">
        <f t="shared" si="5"/>
        <v>Wed</v>
      </c>
      <c r="C54" s="14">
        <f>Daily!C54</f>
        <v>321</v>
      </c>
      <c r="D54" s="14">
        <f>Daily!D54</f>
        <v>11</v>
      </c>
      <c r="E54" s="14">
        <f>Daily!E54</f>
        <v>209</v>
      </c>
      <c r="F54" s="14">
        <f>Daily!I54</f>
        <v>4857</v>
      </c>
      <c r="G54" s="26">
        <f t="shared" si="6"/>
        <v>3.4267912772585665</v>
      </c>
      <c r="H54" s="38">
        <f>IF(Clustering_Guide!$C$7=1,LN(1+MAX(C54,0)),C54)</f>
        <v>5.7745515455444085</v>
      </c>
      <c r="I54" s="38">
        <f>IF(Clustering_Guide!$C$7=1,LN(1+MAX(D54,0)),D54)</f>
        <v>2.4849066497880004</v>
      </c>
      <c r="J54" s="38">
        <f>IF(Clustering_Guide!$C$7=1,LN(1+MAX(E54,0)),E54)</f>
        <v>5.3471075307174685</v>
      </c>
      <c r="K54" s="38">
        <f t="shared" si="7"/>
        <v>0.18884059730558808</v>
      </c>
      <c r="L54" s="38">
        <f t="shared" si="8"/>
        <v>0.27976575426520373</v>
      </c>
      <c r="M54" s="38">
        <f t="shared" si="9"/>
        <v>0.78586858715804186</v>
      </c>
    </row>
    <row r="55" spans="1:13" x14ac:dyDescent="0.25">
      <c r="A55" s="42">
        <f>Daily!A55</f>
        <v>43937</v>
      </c>
      <c r="B55" s="13" t="str">
        <f t="shared" si="5"/>
        <v>Thu</v>
      </c>
      <c r="C55" s="14">
        <f>Daily!C55</f>
        <v>683</v>
      </c>
      <c r="D55" s="14">
        <f>Daily!D55</f>
        <v>16</v>
      </c>
      <c r="E55" s="14">
        <f>Daily!E55</f>
        <v>207</v>
      </c>
      <c r="F55" s="14">
        <f>Daily!I55</f>
        <v>5317</v>
      </c>
      <c r="G55" s="26">
        <f t="shared" si="6"/>
        <v>2.3426061493411421</v>
      </c>
      <c r="H55" s="38">
        <f>IF(Clustering_Guide!$C$7=1,LN(1+MAX(C55,0)),C55)</f>
        <v>6.5279579176225502</v>
      </c>
      <c r="I55" s="38">
        <f>IF(Clustering_Guide!$C$7=1,LN(1+MAX(D55,0)),D55)</f>
        <v>2.8332133440562162</v>
      </c>
      <c r="J55" s="38">
        <f>IF(Clustering_Guide!$C$7=1,LN(1+MAX(E55,0)),E55)</f>
        <v>5.3375380797013179</v>
      </c>
      <c r="K55" s="38">
        <f t="shared" si="7"/>
        <v>0.48970306682469006</v>
      </c>
      <c r="L55" s="38">
        <f t="shared" si="8"/>
        <v>0.51626762781770918</v>
      </c>
      <c r="M55" s="38">
        <f t="shared" si="9"/>
        <v>0.78217536404709143</v>
      </c>
    </row>
    <row r="56" spans="1:13" x14ac:dyDescent="0.25">
      <c r="A56" s="42">
        <f>Daily!A56</f>
        <v>43938</v>
      </c>
      <c r="B56" s="13" t="str">
        <f t="shared" si="5"/>
        <v>Fri</v>
      </c>
      <c r="C56" s="14">
        <f>Daily!C56</f>
        <v>512</v>
      </c>
      <c r="D56" s="14">
        <f>Daily!D56</f>
        <v>4</v>
      </c>
      <c r="E56" s="14">
        <f>Daily!E56</f>
        <v>14</v>
      </c>
      <c r="F56" s="14">
        <f>Daily!I56</f>
        <v>5811</v>
      </c>
      <c r="G56" s="26">
        <f t="shared" si="6"/>
        <v>0.78125</v>
      </c>
      <c r="H56" s="38">
        <f>IF(Clustering_Guide!$C$7=1,LN(1+MAX(C56,0)),C56)</f>
        <v>6.2402758451707694</v>
      </c>
      <c r="I56" s="38">
        <f>IF(Clustering_Guide!$C$7=1,LN(1+MAX(D56,0)),D56)</f>
        <v>1.6094379124341003</v>
      </c>
      <c r="J56" s="38">
        <f>IF(Clustering_Guide!$C$7=1,LN(1+MAX(E56,0)),E56)</f>
        <v>2.7080502011022101</v>
      </c>
      <c r="K56" s="38">
        <f t="shared" si="7"/>
        <v>0.37482118904673184</v>
      </c>
      <c r="L56" s="38">
        <f t="shared" si="8"/>
        <v>-0.31468161073836282</v>
      </c>
      <c r="M56" s="38">
        <f t="shared" si="9"/>
        <v>-0.23264621629396448</v>
      </c>
    </row>
    <row r="57" spans="1:13" x14ac:dyDescent="0.25">
      <c r="A57" s="42">
        <f>Daily!A57</f>
        <v>43939</v>
      </c>
      <c r="B57" s="13" t="str">
        <f t="shared" si="5"/>
        <v>Sat</v>
      </c>
      <c r="C57" s="14">
        <f>Daily!C57</f>
        <v>285</v>
      </c>
      <c r="D57" s="14">
        <f>Daily!D57</f>
        <v>11</v>
      </c>
      <c r="E57" s="14">
        <f>Daily!E57</f>
        <v>39</v>
      </c>
      <c r="F57" s="14">
        <f>Daily!I57</f>
        <v>6046</v>
      </c>
      <c r="G57" s="26">
        <f t="shared" si="6"/>
        <v>3.8596491228070176</v>
      </c>
      <c r="H57" s="38">
        <f>IF(Clustering_Guide!$C$7=1,LN(1+MAX(C57,0)),C57)</f>
        <v>5.6559918108198524</v>
      </c>
      <c r="I57" s="38">
        <f>IF(Clustering_Guide!$C$7=1,LN(1+MAX(D57,0)),D57)</f>
        <v>2.4849066497880004</v>
      </c>
      <c r="J57" s="38">
        <f>IF(Clustering_Guide!$C$7=1,LN(1+MAX(E57,0)),E57)</f>
        <v>3.6888794541139363</v>
      </c>
      <c r="K57" s="38">
        <f t="shared" si="7"/>
        <v>0.14149539835754951</v>
      </c>
      <c r="L57" s="38">
        <f t="shared" si="8"/>
        <v>0.27976575426520373</v>
      </c>
      <c r="M57" s="38">
        <f t="shared" si="9"/>
        <v>0.14589391720016337</v>
      </c>
    </row>
    <row r="58" spans="1:13" x14ac:dyDescent="0.25">
      <c r="A58" s="42">
        <f>Daily!A58</f>
        <v>43940</v>
      </c>
      <c r="B58" s="13" t="str">
        <f t="shared" si="5"/>
        <v>Sun</v>
      </c>
      <c r="C58" s="14">
        <f>Daily!C58</f>
        <v>583</v>
      </c>
      <c r="D58" s="14">
        <f>Daily!D58</f>
        <v>18</v>
      </c>
      <c r="E58" s="14">
        <f>Daily!E58</f>
        <v>84</v>
      </c>
      <c r="F58" s="14">
        <f>Daily!I58</f>
        <v>6527</v>
      </c>
      <c r="G58" s="26">
        <f t="shared" si="6"/>
        <v>3.0874785591766725</v>
      </c>
      <c r="H58" s="38">
        <f>IF(Clustering_Guide!$C$7=1,LN(1+MAX(C58,0)),C58)</f>
        <v>6.3699009828282271</v>
      </c>
      <c r="I58" s="38">
        <f>IF(Clustering_Guide!$C$7=1,LN(1+MAX(D58,0)),D58)</f>
        <v>2.9444389791664403</v>
      </c>
      <c r="J58" s="38">
        <f>IF(Clustering_Guide!$C$7=1,LN(1+MAX(E58,0)),E58)</f>
        <v>4.4426512564903167</v>
      </c>
      <c r="K58" s="38">
        <f t="shared" si="7"/>
        <v>0.42658520442106868</v>
      </c>
      <c r="L58" s="38">
        <f t="shared" si="8"/>
        <v>0.59179035397691115</v>
      </c>
      <c r="M58" s="38">
        <f t="shared" si="9"/>
        <v>0.4368037547886362</v>
      </c>
    </row>
    <row r="59" spans="1:13" x14ac:dyDescent="0.25">
      <c r="A59" s="42">
        <f>Daily!A59</f>
        <v>43941</v>
      </c>
      <c r="B59" s="13" t="str">
        <f t="shared" si="5"/>
        <v>Mon</v>
      </c>
      <c r="C59" s="14">
        <f>Daily!C59</f>
        <v>707</v>
      </c>
      <c r="D59" s="14">
        <f>Daily!D59</f>
        <v>18</v>
      </c>
      <c r="E59" s="14">
        <f>Daily!E59</f>
        <v>62</v>
      </c>
      <c r="F59" s="14">
        <f>Daily!I59</f>
        <v>7154</v>
      </c>
      <c r="G59" s="26">
        <f t="shared" si="6"/>
        <v>2.5459688826025459</v>
      </c>
      <c r="H59" s="38">
        <f>IF(Clustering_Guide!$C$7=1,LN(1+MAX(C59,0)),C59)</f>
        <v>6.5624440936937196</v>
      </c>
      <c r="I59" s="38">
        <f>IF(Clustering_Guide!$C$7=1,LN(1+MAX(D59,0)),D59)</f>
        <v>2.9444389791664403</v>
      </c>
      <c r="J59" s="38">
        <f>IF(Clustering_Guide!$C$7=1,LN(1+MAX(E59,0)),E59)</f>
        <v>4.1431347263915326</v>
      </c>
      <c r="K59" s="38">
        <f t="shared" si="7"/>
        <v>0.50347464678680709</v>
      </c>
      <c r="L59" s="38">
        <f t="shared" si="8"/>
        <v>0.59179035397691115</v>
      </c>
      <c r="M59" s="38">
        <f t="shared" si="9"/>
        <v>0.32120868363924809</v>
      </c>
    </row>
    <row r="60" spans="1:13" x14ac:dyDescent="0.25">
      <c r="A60" s="42">
        <f>Daily!A60</f>
        <v>43942</v>
      </c>
      <c r="B60" s="13" t="str">
        <f t="shared" si="5"/>
        <v>Tue</v>
      </c>
      <c r="C60" s="14">
        <f>Daily!C60</f>
        <v>677</v>
      </c>
      <c r="D60" s="14">
        <f>Daily!D60</f>
        <v>23</v>
      </c>
      <c r="E60" s="14">
        <f>Daily!E60</f>
        <v>103</v>
      </c>
      <c r="F60" s="14">
        <f>Daily!I60</f>
        <v>7705</v>
      </c>
      <c r="G60" s="26">
        <f t="shared" si="6"/>
        <v>3.3973412112259975</v>
      </c>
      <c r="H60" s="38">
        <f>IF(Clustering_Guide!$C$7=1,LN(1+MAX(C60,0)),C60)</f>
        <v>6.5191472879403953</v>
      </c>
      <c r="I60" s="38">
        <f>IF(Clustering_Guide!$C$7=1,LN(1+MAX(D60,0)),D60)</f>
        <v>3.1780538303479458</v>
      </c>
      <c r="J60" s="38">
        <f>IF(Clustering_Guide!$C$7=1,LN(1+MAX(E60,0)),E60)</f>
        <v>4.6443908991413725</v>
      </c>
      <c r="K60" s="38">
        <f t="shared" si="7"/>
        <v>0.48618466307548941</v>
      </c>
      <c r="L60" s="38">
        <f t="shared" si="8"/>
        <v>0.75041592995154327</v>
      </c>
      <c r="M60" s="38">
        <f t="shared" si="9"/>
        <v>0.5146629244919233</v>
      </c>
    </row>
    <row r="61" spans="1:13" x14ac:dyDescent="0.25">
      <c r="A61" s="42">
        <f>Daily!A61</f>
        <v>43943</v>
      </c>
      <c r="B61" s="13" t="str">
        <f t="shared" si="5"/>
        <v>Wed</v>
      </c>
      <c r="C61" s="14">
        <f>Daily!C61</f>
        <v>767</v>
      </c>
      <c r="D61" s="14">
        <f>Daily!D61</f>
        <v>13</v>
      </c>
      <c r="E61" s="14">
        <f>Daily!E61</f>
        <v>68</v>
      </c>
      <c r="F61" s="14">
        <f>Daily!I61</f>
        <v>8391</v>
      </c>
      <c r="G61" s="26">
        <f t="shared" si="6"/>
        <v>1.6949152542372881</v>
      </c>
      <c r="H61" s="38">
        <f>IF(Clustering_Guide!$C$7=1,LN(1+MAX(C61,0)),C61)</f>
        <v>6.6437897331476723</v>
      </c>
      <c r="I61" s="38">
        <f>IF(Clustering_Guide!$C$7=1,LN(1+MAX(D61,0)),D61)</f>
        <v>2.6390573296152584</v>
      </c>
      <c r="J61" s="38">
        <f>IF(Clustering_Guide!$C$7=1,LN(1+MAX(E61,0)),E61)</f>
        <v>4.2341065045972597</v>
      </c>
      <c r="K61" s="38">
        <f t="shared" si="7"/>
        <v>0.5359589087704425</v>
      </c>
      <c r="L61" s="38">
        <f t="shared" si="8"/>
        <v>0.3844347864385132</v>
      </c>
      <c r="M61" s="38">
        <f t="shared" si="9"/>
        <v>0.35631822891479303</v>
      </c>
    </row>
    <row r="62" spans="1:13" x14ac:dyDescent="0.25">
      <c r="A62" s="42">
        <f>Daily!A62</f>
        <v>43944</v>
      </c>
      <c r="B62" s="13" t="str">
        <f t="shared" si="5"/>
        <v>Thu</v>
      </c>
      <c r="C62" s="14">
        <f>Daily!C62</f>
        <v>641</v>
      </c>
      <c r="D62" s="14">
        <f>Daily!D62</f>
        <v>8</v>
      </c>
      <c r="E62" s="14">
        <f>Daily!E62</f>
        <v>266</v>
      </c>
      <c r="F62" s="14">
        <f>Daily!I62</f>
        <v>8758</v>
      </c>
      <c r="G62" s="26">
        <f t="shared" si="6"/>
        <v>1.2480499219968799</v>
      </c>
      <c r="H62" s="38">
        <f>IF(Clustering_Guide!$C$7=1,LN(1+MAX(C62,0)),C62)</f>
        <v>6.4645883036899612</v>
      </c>
      <c r="I62" s="38">
        <f>IF(Clustering_Guide!$C$7=1,LN(1+MAX(D62,0)),D62)</f>
        <v>2.1972245773362196</v>
      </c>
      <c r="J62" s="38">
        <f>IF(Clustering_Guide!$C$7=1,LN(1+MAX(E62,0)),E62)</f>
        <v>5.5872486584002496</v>
      </c>
      <c r="K62" s="38">
        <f t="shared" si="7"/>
        <v>0.46439728332349428</v>
      </c>
      <c r="L62" s="38">
        <f t="shared" si="8"/>
        <v>8.442828231319699E-2</v>
      </c>
      <c r="M62" s="38">
        <f t="shared" si="9"/>
        <v>0.87854838259781298</v>
      </c>
    </row>
    <row r="63" spans="1:13" x14ac:dyDescent="0.25">
      <c r="A63" s="42">
        <f>Daily!A63</f>
        <v>43945</v>
      </c>
      <c r="B63" s="13" t="str">
        <f t="shared" si="5"/>
        <v>Fri</v>
      </c>
      <c r="C63" s="14">
        <f>Daily!C63</f>
        <v>534</v>
      </c>
      <c r="D63" s="14">
        <f>Daily!D63</f>
        <v>11</v>
      </c>
      <c r="E63" s="14">
        <f>Daily!E63</f>
        <v>134</v>
      </c>
      <c r="F63" s="14">
        <f>Daily!I63</f>
        <v>9147</v>
      </c>
      <c r="G63" s="26">
        <f t="shared" si="6"/>
        <v>2.0599250936329585</v>
      </c>
      <c r="H63" s="38">
        <f>IF(Clustering_Guide!$C$7=1,LN(1+MAX(C63,0)),C63)</f>
        <v>6.2822667468960063</v>
      </c>
      <c r="I63" s="38">
        <f>IF(Clustering_Guide!$C$7=1,LN(1+MAX(D63,0)),D63)</f>
        <v>2.4849066497880004</v>
      </c>
      <c r="J63" s="38">
        <f>IF(Clustering_Guide!$C$7=1,LN(1+MAX(E63,0)),E63)</f>
        <v>4.9052747784384296</v>
      </c>
      <c r="K63" s="38">
        <f t="shared" si="7"/>
        <v>0.39158967795072319</v>
      </c>
      <c r="L63" s="38">
        <f t="shared" si="8"/>
        <v>0.27976575426520373</v>
      </c>
      <c r="M63" s="38">
        <f t="shared" si="9"/>
        <v>0.61534815404878818</v>
      </c>
    </row>
    <row r="64" spans="1:13" x14ac:dyDescent="0.25">
      <c r="A64" s="42">
        <f>Daily!A64</f>
        <v>43946</v>
      </c>
      <c r="B64" s="13" t="str">
        <f t="shared" si="5"/>
        <v>Sat</v>
      </c>
      <c r="C64" s="14">
        <f>Daily!C64</f>
        <v>922</v>
      </c>
      <c r="D64" s="14">
        <f>Daily!D64</f>
        <v>14</v>
      </c>
      <c r="E64" s="14">
        <f>Daily!E64</f>
        <v>33</v>
      </c>
      <c r="F64" s="14">
        <f>Daily!I64</f>
        <v>10022</v>
      </c>
      <c r="G64" s="26">
        <f t="shared" si="6"/>
        <v>1.5184381778741864</v>
      </c>
      <c r="H64" s="38">
        <f>IF(Clustering_Guide!$C$7=1,LN(1+MAX(C64,0)),C64)</f>
        <v>6.8276292345028518</v>
      </c>
      <c r="I64" s="38">
        <f>IF(Clustering_Guide!$C$7=1,LN(1+MAX(D64,0)),D64)</f>
        <v>2.7080502011022101</v>
      </c>
      <c r="J64" s="38">
        <f>IF(Clustering_Guide!$C$7=1,LN(1+MAX(E64,0)),E64)</f>
        <v>3.5263605246161616</v>
      </c>
      <c r="K64" s="38">
        <f t="shared" si="7"/>
        <v>0.60937268442024939</v>
      </c>
      <c r="L64" s="38">
        <f t="shared" si="8"/>
        <v>0.43128126868230932</v>
      </c>
      <c r="M64" s="38">
        <f t="shared" si="9"/>
        <v>8.3171545208802197E-2</v>
      </c>
    </row>
    <row r="65" spans="1:13" x14ac:dyDescent="0.25">
      <c r="A65" s="42">
        <f>Daily!A65</f>
        <v>43947</v>
      </c>
      <c r="B65" s="13" t="str">
        <f t="shared" si="5"/>
        <v>Sun</v>
      </c>
      <c r="C65" s="14">
        <f>Daily!C65</f>
        <v>660</v>
      </c>
      <c r="D65" s="14">
        <f>Daily!D65</f>
        <v>12</v>
      </c>
      <c r="E65" s="14">
        <f>Daily!E65</f>
        <v>62</v>
      </c>
      <c r="F65" s="14">
        <f>Daily!I65</f>
        <v>10608</v>
      </c>
      <c r="G65" s="26">
        <f t="shared" si="6"/>
        <v>1.8181818181818181</v>
      </c>
      <c r="H65" s="38">
        <f>IF(Clustering_Guide!$C$7=1,LN(1+MAX(C65,0)),C65)</f>
        <v>6.4937538398516859</v>
      </c>
      <c r="I65" s="38">
        <f>IF(Clustering_Guide!$C$7=1,LN(1+MAX(D65,0)),D65)</f>
        <v>2.5649493574615367</v>
      </c>
      <c r="J65" s="38">
        <f>IF(Clustering_Guide!$C$7=1,LN(1+MAX(E65,0)),E65)</f>
        <v>4.1431347263915326</v>
      </c>
      <c r="K65" s="38">
        <f t="shared" si="7"/>
        <v>0.47604413893776437</v>
      </c>
      <c r="L65" s="38">
        <f t="shared" si="8"/>
        <v>0.33411512693166617</v>
      </c>
      <c r="M65" s="38">
        <f t="shared" si="9"/>
        <v>0.32120868363924809</v>
      </c>
    </row>
    <row r="66" spans="1:13" x14ac:dyDescent="0.25">
      <c r="A66" s="42">
        <f>Daily!A66</f>
        <v>43948</v>
      </c>
      <c r="B66" s="13" t="str">
        <f t="shared" si="5"/>
        <v>Mon</v>
      </c>
      <c r="C66" s="14">
        <f>Daily!C66</f>
        <v>739</v>
      </c>
      <c r="D66" s="14">
        <f>Daily!D66</f>
        <v>23</v>
      </c>
      <c r="E66" s="14">
        <f>Daily!E66</f>
        <v>63</v>
      </c>
      <c r="F66" s="14">
        <f>Daily!I66</f>
        <v>11261</v>
      </c>
      <c r="G66" s="26">
        <f t="shared" si="6"/>
        <v>3.1123139377537212</v>
      </c>
      <c r="H66" s="38">
        <f>IF(Clustering_Guide!$C$7=1,LN(1+MAX(C66,0)),C66)</f>
        <v>6.6066501861982152</v>
      </c>
      <c r="I66" s="38">
        <f>IF(Clustering_Guide!$C$7=1,LN(1+MAX(D66,0)),D66)</f>
        <v>3.1780538303479458</v>
      </c>
      <c r="J66" s="38">
        <f>IF(Clustering_Guide!$C$7=1,LN(1+MAX(E66,0)),E66)</f>
        <v>4.1588830833596715</v>
      </c>
      <c r="K66" s="38">
        <f t="shared" si="7"/>
        <v>0.52112774165247266</v>
      </c>
      <c r="L66" s="38">
        <f t="shared" si="8"/>
        <v>0.75041592995154327</v>
      </c>
      <c r="M66" s="38">
        <f t="shared" si="9"/>
        <v>0.32728658673066535</v>
      </c>
    </row>
    <row r="67" spans="1:13" x14ac:dyDescent="0.25">
      <c r="A67" s="42">
        <f>Daily!A67</f>
        <v>43949</v>
      </c>
      <c r="B67" s="13" t="str">
        <f t="shared" si="5"/>
        <v>Tue</v>
      </c>
      <c r="C67" s="14">
        <f>Daily!C67</f>
        <v>730</v>
      </c>
      <c r="D67" s="14">
        <f>Daily!D67</f>
        <v>5</v>
      </c>
      <c r="E67" s="14">
        <f>Daily!E67</f>
        <v>0</v>
      </c>
      <c r="F67" s="14">
        <f>Daily!I67</f>
        <v>11986</v>
      </c>
      <c r="G67" s="26">
        <f t="shared" si="6"/>
        <v>0.68493150684931503</v>
      </c>
      <c r="H67" s="38">
        <f>IF(Clustering_Guide!$C$7=1,LN(1+MAX(C67,0)),C67)</f>
        <v>6.5944134597497781</v>
      </c>
      <c r="I67" s="38">
        <f>IF(Clustering_Guide!$C$7=1,LN(1+MAX(D67,0)),D67)</f>
        <v>1.791759469228055</v>
      </c>
      <c r="J67" s="38">
        <f>IF(Clustering_Guide!$C$7=1,LN(1+MAX(E67,0)),E67)</f>
        <v>0</v>
      </c>
      <c r="K67" s="38">
        <f t="shared" si="7"/>
        <v>0.51624117329501173</v>
      </c>
      <c r="L67" s="38">
        <f t="shared" si="8"/>
        <v>-0.19088442142113579</v>
      </c>
      <c r="M67" s="38">
        <f t="shared" si="9"/>
        <v>-1.2777880506003427</v>
      </c>
    </row>
    <row r="68" spans="1:13" x14ac:dyDescent="0.25">
      <c r="A68" s="42">
        <f>Daily!A68</f>
        <v>43950</v>
      </c>
      <c r="B68" s="13" t="str">
        <f t="shared" si="5"/>
        <v>Wed</v>
      </c>
      <c r="C68" s="14">
        <f>Daily!C68</f>
        <v>948</v>
      </c>
      <c r="D68" s="14">
        <f>Daily!D68</f>
        <v>19</v>
      </c>
      <c r="E68" s="14">
        <f>Daily!E68</f>
        <v>208</v>
      </c>
      <c r="F68" s="14">
        <f>Daily!I68</f>
        <v>12707</v>
      </c>
      <c r="G68" s="26">
        <f t="shared" si="6"/>
        <v>2.0042194092827006</v>
      </c>
      <c r="H68" s="38">
        <f>IF(Clustering_Guide!$C$7=1,LN(1+MAX(C68,0)),C68)</f>
        <v>6.8554087986099281</v>
      </c>
      <c r="I68" s="38">
        <f>IF(Clustering_Guide!$C$7=1,LN(1+MAX(D68,0)),D68)</f>
        <v>2.9957322735539909</v>
      </c>
      <c r="J68" s="38">
        <f>IF(Clustering_Guide!$C$7=1,LN(1+MAX(E68,0)),E68)</f>
        <v>5.3423342519648109</v>
      </c>
      <c r="K68" s="38">
        <f t="shared" si="7"/>
        <v>0.6204660711623412</v>
      </c>
      <c r="L68" s="38">
        <f t="shared" si="8"/>
        <v>0.62661874063431611</v>
      </c>
      <c r="M68" s="38">
        <f t="shared" si="9"/>
        <v>0.78402639335041679</v>
      </c>
    </row>
    <row r="69" spans="1:13" x14ac:dyDescent="0.25">
      <c r="A69" s="42">
        <f>Daily!A69</f>
        <v>43951</v>
      </c>
      <c r="B69" s="13" t="str">
        <f t="shared" ref="B69:B100" si="10">TEXT(A69,"ddd")</f>
        <v>Thu</v>
      </c>
      <c r="C69" s="14">
        <f>Daily!C69</f>
        <v>665</v>
      </c>
      <c r="D69" s="14">
        <f>Daily!D69</f>
        <v>15</v>
      </c>
      <c r="E69" s="14">
        <f>Daily!E69</f>
        <v>0</v>
      </c>
      <c r="F69" s="14">
        <f>Daily!I69</f>
        <v>13357</v>
      </c>
      <c r="G69" s="26">
        <f t="shared" ref="G69:G103" si="11">IF(C69=0,0,D69/C69*100)</f>
        <v>2.2556390977443606</v>
      </c>
      <c r="H69" s="38">
        <f>IF(Clustering_Guide!$C$7=1,LN(1+MAX(C69,0)),C69)</f>
        <v>6.5012896705403893</v>
      </c>
      <c r="I69" s="38">
        <f>IF(Clustering_Guide!$C$7=1,LN(1+MAX(D69,0)),D69)</f>
        <v>2.7725887222397811</v>
      </c>
      <c r="J69" s="38">
        <f>IF(Clustering_Guide!$C$7=1,LN(1+MAX(E69,0)),E69)</f>
        <v>0</v>
      </c>
      <c r="K69" s="38">
        <f t="shared" ref="K69:K103" si="12">(H69-AVERAGE(H$5:H$103))/STDEV(H$5:H$103)</f>
        <v>0.47905346924728553</v>
      </c>
      <c r="L69" s="38">
        <f t="shared" ref="L69:L103" si="13">(I69-AVERAGE(I$5:I$103))/STDEV(I$5:I$103)</f>
        <v>0.47510322621721046</v>
      </c>
      <c r="M69" s="38">
        <f t="shared" ref="M69:M103" si="14">(J69-AVERAGE(J$5:J$103))/STDEV(J$5:J$103)</f>
        <v>-1.2777880506003427</v>
      </c>
    </row>
    <row r="70" spans="1:13" x14ac:dyDescent="0.25">
      <c r="A70" s="42">
        <f>Daily!A70</f>
        <v>43952</v>
      </c>
      <c r="B70" s="13" t="str">
        <f t="shared" si="10"/>
        <v>Fri</v>
      </c>
      <c r="C70" s="14">
        <f>Daily!C70</f>
        <v>1070</v>
      </c>
      <c r="D70" s="14">
        <f>Daily!D70</f>
        <v>23</v>
      </c>
      <c r="E70" s="14">
        <f>Daily!E70</f>
        <v>119</v>
      </c>
      <c r="F70" s="14">
        <f>Daily!I70</f>
        <v>14285</v>
      </c>
      <c r="G70" s="26">
        <f t="shared" si="11"/>
        <v>2.1495327102803738</v>
      </c>
      <c r="H70" s="38">
        <f>IF(Clustering_Guide!$C$7=1,LN(1+MAX(C70,0)),C70)</f>
        <v>6.9763480704477487</v>
      </c>
      <c r="I70" s="38">
        <f>IF(Clustering_Guide!$C$7=1,LN(1+MAX(D70,0)),D70)</f>
        <v>3.1780538303479458</v>
      </c>
      <c r="J70" s="38">
        <f>IF(Clustering_Guide!$C$7=1,LN(1+MAX(E70,0)),E70)</f>
        <v>4.7874917427820458</v>
      </c>
      <c r="K70" s="38">
        <f t="shared" si="12"/>
        <v>0.66876150551950486</v>
      </c>
      <c r="L70" s="38">
        <f t="shared" si="13"/>
        <v>0.75041592995154327</v>
      </c>
      <c r="M70" s="38">
        <f t="shared" si="14"/>
        <v>0.56989110237153962</v>
      </c>
    </row>
    <row r="71" spans="1:13" x14ac:dyDescent="0.25">
      <c r="A71" s="42">
        <f>Daily!A71</f>
        <v>43953</v>
      </c>
      <c r="B71" s="13" t="str">
        <f t="shared" si="10"/>
        <v>Sat</v>
      </c>
      <c r="C71" s="14">
        <f>Daily!C71</f>
        <v>1123</v>
      </c>
      <c r="D71" s="14">
        <f>Daily!D71</f>
        <v>24</v>
      </c>
      <c r="E71" s="14">
        <f>Daily!E71</f>
        <v>43</v>
      </c>
      <c r="F71" s="14">
        <f>Daily!I71</f>
        <v>15341</v>
      </c>
      <c r="G71" s="26">
        <f t="shared" si="11"/>
        <v>2.1371326803205699</v>
      </c>
      <c r="H71" s="38">
        <f>IF(Clustering_Guide!$C$7=1,LN(1+MAX(C71,0)),C71)</f>
        <v>7.0246490304536362</v>
      </c>
      <c r="I71" s="38">
        <f>IF(Clustering_Guide!$C$7=1,LN(1+MAX(D71,0)),D71)</f>
        <v>3.2188758248682006</v>
      </c>
      <c r="J71" s="38">
        <f>IF(Clustering_Guide!$C$7=1,LN(1+MAX(E71,0)),E71)</f>
        <v>3.784189633918261</v>
      </c>
      <c r="K71" s="38">
        <f t="shared" si="12"/>
        <v>0.68804982938572179</v>
      </c>
      <c r="L71" s="38">
        <f t="shared" si="13"/>
        <v>0.77813425505142164</v>
      </c>
      <c r="M71" s="38">
        <f t="shared" si="14"/>
        <v>0.1826778202859404</v>
      </c>
    </row>
    <row r="72" spans="1:13" x14ac:dyDescent="0.25">
      <c r="A72" s="42">
        <f>Daily!A72</f>
        <v>43954</v>
      </c>
      <c r="B72" s="13" t="str">
        <f t="shared" si="10"/>
        <v>Sun</v>
      </c>
      <c r="C72" s="14">
        <f>Daily!C72</f>
        <v>1342</v>
      </c>
      <c r="D72" s="14">
        <f>Daily!D72</f>
        <v>30</v>
      </c>
      <c r="E72" s="14">
        <f>Daily!E72</f>
        <v>0</v>
      </c>
      <c r="F72" s="14">
        <f>Daily!I72</f>
        <v>16653</v>
      </c>
      <c r="G72" s="26">
        <f t="shared" si="11"/>
        <v>2.2354694485842028</v>
      </c>
      <c r="H72" s="38">
        <f>IF(Clustering_Guide!$C$7=1,LN(1+MAX(C72,0)),C72)</f>
        <v>7.2026611965232377</v>
      </c>
      <c r="I72" s="38">
        <f>IF(Clustering_Guide!$C$7=1,LN(1+MAX(D72,0)),D72)</f>
        <v>3.4339872044851463</v>
      </c>
      <c r="J72" s="38">
        <f>IF(Clustering_Guide!$C$7=1,LN(1+MAX(E72,0)),E72)</f>
        <v>0</v>
      </c>
      <c r="K72" s="38">
        <f t="shared" si="12"/>
        <v>0.75913653886020693</v>
      </c>
      <c r="L72" s="38">
        <f t="shared" si="13"/>
        <v>0.9241958873400502</v>
      </c>
      <c r="M72" s="38">
        <f t="shared" si="14"/>
        <v>-1.2777880506003427</v>
      </c>
    </row>
    <row r="73" spans="1:13" x14ac:dyDescent="0.25">
      <c r="A73" s="42">
        <f>Daily!A73</f>
        <v>43955</v>
      </c>
      <c r="B73" s="13" t="str">
        <f t="shared" si="10"/>
        <v>Mon</v>
      </c>
      <c r="C73" s="14">
        <f>Daily!C73</f>
        <v>1052</v>
      </c>
      <c r="D73" s="14">
        <f>Daily!D73</f>
        <v>24</v>
      </c>
      <c r="E73" s="14">
        <f>Daily!E73</f>
        <v>0</v>
      </c>
      <c r="F73" s="14">
        <f>Daily!I73</f>
        <v>17681</v>
      </c>
      <c r="G73" s="26">
        <f t="shared" si="11"/>
        <v>2.2813688212927756</v>
      </c>
      <c r="H73" s="38">
        <f>IF(Clustering_Guide!$C$7=1,LN(1+MAX(C73,0)),C73)</f>
        <v>6.9593985121339754</v>
      </c>
      <c r="I73" s="38">
        <f>IF(Clustering_Guide!$C$7=1,LN(1+MAX(D73,0)),D73)</f>
        <v>3.2188758248682006</v>
      </c>
      <c r="J73" s="38">
        <f>IF(Clustering_Guide!$C$7=1,LN(1+MAX(E73,0)),E73)</f>
        <v>0</v>
      </c>
      <c r="K73" s="38">
        <f t="shared" si="12"/>
        <v>0.66199293259454561</v>
      </c>
      <c r="L73" s="38">
        <f t="shared" si="13"/>
        <v>0.77813425505142164</v>
      </c>
      <c r="M73" s="38">
        <f t="shared" si="14"/>
        <v>-1.2777880506003427</v>
      </c>
    </row>
    <row r="74" spans="1:13" x14ac:dyDescent="0.25">
      <c r="A74" s="42">
        <f>Daily!A74</f>
        <v>43956</v>
      </c>
      <c r="B74" s="13" t="str">
        <f t="shared" si="10"/>
        <v>Tue</v>
      </c>
      <c r="C74" s="14">
        <f>Daily!C74</f>
        <v>1023</v>
      </c>
      <c r="D74" s="14">
        <f>Daily!D74</f>
        <v>28</v>
      </c>
      <c r="E74" s="14">
        <f>Daily!E74</f>
        <v>45</v>
      </c>
      <c r="F74" s="14">
        <f>Daily!I74</f>
        <v>18631</v>
      </c>
      <c r="G74" s="26">
        <f t="shared" si="11"/>
        <v>2.7370478983382207</v>
      </c>
      <c r="H74" s="38">
        <f>IF(Clustering_Guide!$C$7=1,LN(1+MAX(C74,0)),C74)</f>
        <v>6.9314718055994531</v>
      </c>
      <c r="I74" s="38">
        <f>IF(Clustering_Guide!$C$7=1,LN(1+MAX(D74,0)),D74)</f>
        <v>3.3672958299864741</v>
      </c>
      <c r="J74" s="38">
        <f>IF(Clustering_Guide!$C$7=1,LN(1+MAX(E74,0)),E74)</f>
        <v>3.8286413964890951</v>
      </c>
      <c r="K74" s="38">
        <f t="shared" si="12"/>
        <v>0.65084078654840072</v>
      </c>
      <c r="L74" s="38">
        <f t="shared" si="13"/>
        <v>0.87891213230954279</v>
      </c>
      <c r="M74" s="38">
        <f t="shared" si="14"/>
        <v>0.19983348329858469</v>
      </c>
    </row>
    <row r="75" spans="1:13" x14ac:dyDescent="0.25">
      <c r="A75" s="42">
        <f>Daily!A75</f>
        <v>43957</v>
      </c>
      <c r="B75" s="13" t="str">
        <f t="shared" si="10"/>
        <v>Wed</v>
      </c>
      <c r="C75" s="14">
        <f>Daily!C75</f>
        <v>1804</v>
      </c>
      <c r="D75" s="14">
        <f>Daily!D75</f>
        <v>49</v>
      </c>
      <c r="E75" s="14">
        <f>Daily!E75</f>
        <v>124</v>
      </c>
      <c r="F75" s="14">
        <f>Daily!I75</f>
        <v>20262</v>
      </c>
      <c r="G75" s="26">
        <f t="shared" si="11"/>
        <v>2.7161862527716183</v>
      </c>
      <c r="H75" s="38">
        <f>IF(Clustering_Guide!$C$7=1,LN(1+MAX(C75,0)),C75)</f>
        <v>7.498315870766981</v>
      </c>
      <c r="I75" s="38">
        <f>IF(Clustering_Guide!$C$7=1,LN(1+MAX(D75,0)),D75)</f>
        <v>3.912023005428146</v>
      </c>
      <c r="J75" s="38">
        <f>IF(Clustering_Guide!$C$7=1,LN(1+MAX(E75,0)),E75)</f>
        <v>4.8283137373023015</v>
      </c>
      <c r="K75" s="38">
        <f t="shared" si="12"/>
        <v>0.87720216547878893</v>
      </c>
      <c r="L75" s="38">
        <f t="shared" si="13"/>
        <v>1.2487844307377611</v>
      </c>
      <c r="M75" s="38">
        <f t="shared" si="14"/>
        <v>0.58564589680466339</v>
      </c>
    </row>
    <row r="76" spans="1:13" x14ac:dyDescent="0.25">
      <c r="A76" s="42">
        <f>Daily!A76</f>
        <v>43958</v>
      </c>
      <c r="B76" s="13" t="str">
        <f t="shared" si="10"/>
        <v>Thu</v>
      </c>
      <c r="C76" s="14">
        <f>Daily!C76</f>
        <v>863</v>
      </c>
      <c r="D76" s="14">
        <f>Daily!D76</f>
        <v>28</v>
      </c>
      <c r="E76" s="14">
        <f>Daily!E76</f>
        <v>14</v>
      </c>
      <c r="F76" s="14">
        <f>Daily!I76</f>
        <v>21083</v>
      </c>
      <c r="G76" s="26">
        <f t="shared" si="11"/>
        <v>3.2444959443800694</v>
      </c>
      <c r="H76" s="38">
        <f>IF(Clustering_Guide!$C$7=1,LN(1+MAX(C76,0)),C76)</f>
        <v>6.7615727688040552</v>
      </c>
      <c r="I76" s="38">
        <f>IF(Clustering_Guide!$C$7=1,LN(1+MAX(D76,0)),D76)</f>
        <v>3.3672958299864741</v>
      </c>
      <c r="J76" s="38">
        <f>IF(Clustering_Guide!$C$7=1,LN(1+MAX(E76,0)),E76)</f>
        <v>2.7080502011022101</v>
      </c>
      <c r="K76" s="38">
        <f t="shared" si="12"/>
        <v>0.58299394363123136</v>
      </c>
      <c r="L76" s="38">
        <f t="shared" si="13"/>
        <v>0.87891213230954279</v>
      </c>
      <c r="M76" s="38">
        <f t="shared" si="14"/>
        <v>-0.23264621629396448</v>
      </c>
    </row>
    <row r="77" spans="1:13" x14ac:dyDescent="0.25">
      <c r="A77" s="42">
        <f>Daily!A77</f>
        <v>43959</v>
      </c>
      <c r="B77" s="13" t="str">
        <f t="shared" si="10"/>
        <v>Fri</v>
      </c>
      <c r="C77" s="14">
        <f>Daily!C77</f>
        <v>1829</v>
      </c>
      <c r="D77" s="14">
        <f>Daily!D77</f>
        <v>31</v>
      </c>
      <c r="E77" s="14">
        <f>Daily!E77</f>
        <v>13</v>
      </c>
      <c r="F77" s="14">
        <f>Daily!I77</f>
        <v>22868</v>
      </c>
      <c r="G77" s="26">
        <f t="shared" si="11"/>
        <v>1.6949152542372881</v>
      </c>
      <c r="H77" s="38">
        <f>IF(Clustering_Guide!$C$7=1,LN(1+MAX(C77,0)),C77)</f>
        <v>7.5120712458354664</v>
      </c>
      <c r="I77" s="38">
        <f>IF(Clustering_Guide!$C$7=1,LN(1+MAX(D77,0)),D77)</f>
        <v>3.4657359027997265</v>
      </c>
      <c r="J77" s="38">
        <f>IF(Clustering_Guide!$C$7=1,LN(1+MAX(E77,0)),E77)</f>
        <v>2.6390573296152584</v>
      </c>
      <c r="K77" s="38">
        <f t="shared" si="12"/>
        <v>0.88269518526949053</v>
      </c>
      <c r="L77" s="38">
        <f t="shared" si="13"/>
        <v>0.94575340190354995</v>
      </c>
      <c r="M77" s="38">
        <f t="shared" si="14"/>
        <v>-0.25927324714833649</v>
      </c>
    </row>
    <row r="78" spans="1:13" x14ac:dyDescent="0.25">
      <c r="A78" s="42">
        <f>Daily!A78</f>
        <v>43960</v>
      </c>
      <c r="B78" s="13" t="str">
        <f t="shared" si="10"/>
        <v>Sat</v>
      </c>
      <c r="C78" s="14">
        <f>Daily!C78</f>
        <v>2554</v>
      </c>
      <c r="D78" s="14">
        <f>Daily!D78</f>
        <v>19</v>
      </c>
      <c r="E78" s="14">
        <f>Daily!E78</f>
        <v>18</v>
      </c>
      <c r="F78" s="14">
        <f>Daily!I78</f>
        <v>25385</v>
      </c>
      <c r="G78" s="26">
        <f t="shared" si="11"/>
        <v>0.7439310884886452</v>
      </c>
      <c r="H78" s="38">
        <f>IF(Clustering_Guide!$C$7=1,LN(1+MAX(C78,0)),C78)</f>
        <v>7.8458075026378049</v>
      </c>
      <c r="I78" s="38">
        <f>IF(Clustering_Guide!$C$7=1,LN(1+MAX(D78,0)),D78)</f>
        <v>2.9957322735539909</v>
      </c>
      <c r="J78" s="38">
        <f>IF(Clustering_Guide!$C$7=1,LN(1+MAX(E78,0)),E78)</f>
        <v>2.9444389791664403</v>
      </c>
      <c r="K78" s="38">
        <f t="shared" si="12"/>
        <v>1.0159681679662689</v>
      </c>
      <c r="L78" s="38">
        <f t="shared" si="13"/>
        <v>0.62661874063431611</v>
      </c>
      <c r="M78" s="38">
        <f t="shared" si="14"/>
        <v>-0.14141459842553039</v>
      </c>
    </row>
    <row r="79" spans="1:13" x14ac:dyDescent="0.25">
      <c r="A79" s="42">
        <f>Daily!A79</f>
        <v>43961</v>
      </c>
      <c r="B79" s="13" t="str">
        <f t="shared" si="10"/>
        <v>Sun</v>
      </c>
      <c r="C79" s="14">
        <f>Daily!C79</f>
        <v>1463</v>
      </c>
      <c r="D79" s="14">
        <f>Daily!D79</f>
        <v>23</v>
      </c>
      <c r="E79" s="14">
        <f>Daily!E79</f>
        <v>138</v>
      </c>
      <c r="F79" s="14">
        <f>Daily!I79</f>
        <v>26687</v>
      </c>
      <c r="G79" s="26">
        <f t="shared" si="11"/>
        <v>1.5721120984278878</v>
      </c>
      <c r="H79" s="38">
        <f>IF(Clustering_Guide!$C$7=1,LN(1+MAX(C79,0)),C79)</f>
        <v>7.2889276945212567</v>
      </c>
      <c r="I79" s="38">
        <f>IF(Clustering_Guide!$C$7=1,LN(1+MAX(D79,0)),D79)</f>
        <v>3.1780538303479458</v>
      </c>
      <c r="J79" s="38">
        <f>IF(Clustering_Guide!$C$7=1,LN(1+MAX(E79,0)),E79)</f>
        <v>4.9344739331306915</v>
      </c>
      <c r="K79" s="38">
        <f t="shared" si="12"/>
        <v>0.79358587800351432</v>
      </c>
      <c r="L79" s="38">
        <f t="shared" si="13"/>
        <v>0.75041592995154327</v>
      </c>
      <c r="M79" s="38">
        <f t="shared" si="14"/>
        <v>0.62661724281340758</v>
      </c>
    </row>
    <row r="80" spans="1:13" x14ac:dyDescent="0.25">
      <c r="A80" s="42">
        <f>Daily!A80</f>
        <v>43962</v>
      </c>
      <c r="B80" s="13" t="str">
        <f t="shared" si="10"/>
        <v>Mon</v>
      </c>
      <c r="C80" s="14">
        <f>Daily!C80</f>
        <v>1079</v>
      </c>
      <c r="D80" s="14">
        <f>Daily!D80</f>
        <v>38</v>
      </c>
      <c r="E80" s="14">
        <f>Daily!E80</f>
        <v>167</v>
      </c>
      <c r="F80" s="14">
        <f>Daily!I80</f>
        <v>27561</v>
      </c>
      <c r="G80" s="26">
        <f t="shared" si="11"/>
        <v>3.5217794253938832</v>
      </c>
      <c r="H80" s="38">
        <f>IF(Clustering_Guide!$C$7=1,LN(1+MAX(C80,0)),C80)</f>
        <v>6.9847163201182658</v>
      </c>
      <c r="I80" s="38">
        <f>IF(Clustering_Guide!$C$7=1,LN(1+MAX(D80,0)),D80)</f>
        <v>3.6635616461296463</v>
      </c>
      <c r="J80" s="38">
        <f>IF(Clustering_Guide!$C$7=1,LN(1+MAX(E80,0)),E80)</f>
        <v>5.1239639794032588</v>
      </c>
      <c r="K80" s="38">
        <f t="shared" si="12"/>
        <v>0.67210325089720802</v>
      </c>
      <c r="L80" s="38">
        <f t="shared" si="13"/>
        <v>1.0800780063523381</v>
      </c>
      <c r="M80" s="38">
        <f t="shared" si="14"/>
        <v>0.69974881713337589</v>
      </c>
    </row>
    <row r="81" spans="1:13" x14ac:dyDescent="0.25">
      <c r="A81" s="42">
        <f>Daily!A81</f>
        <v>43963</v>
      </c>
      <c r="B81" s="13" t="str">
        <f t="shared" si="10"/>
        <v>Tue</v>
      </c>
      <c r="C81" s="14">
        <f>Daily!C81</f>
        <v>2254</v>
      </c>
      <c r="D81" s="14">
        <f>Daily!D81</f>
        <v>39</v>
      </c>
      <c r="E81" s="14">
        <f>Daily!E81</f>
        <v>247</v>
      </c>
      <c r="F81" s="14">
        <f>Daily!I81</f>
        <v>29529</v>
      </c>
      <c r="G81" s="26">
        <f t="shared" si="11"/>
        <v>1.730257320319432</v>
      </c>
      <c r="H81" s="38">
        <f>IF(Clustering_Guide!$C$7=1,LN(1+MAX(C81,0)),C81)</f>
        <v>7.7209052519367791</v>
      </c>
      <c r="I81" s="38">
        <f>IF(Clustering_Guide!$C$7=1,LN(1+MAX(D81,0)),D81)</f>
        <v>3.6888794541139363</v>
      </c>
      <c r="J81" s="38">
        <f>IF(Clustering_Guide!$C$7=1,LN(1+MAX(E81,0)),E81)</f>
        <v>5.5134287461649825</v>
      </c>
      <c r="K81" s="38">
        <f t="shared" si="12"/>
        <v>0.96609017252172413</v>
      </c>
      <c r="L81" s="38">
        <f t="shared" si="13"/>
        <v>1.0972689163206555</v>
      </c>
      <c r="M81" s="38">
        <f t="shared" si="14"/>
        <v>0.85005840909196695</v>
      </c>
    </row>
    <row r="82" spans="1:13" x14ac:dyDescent="0.25">
      <c r="A82" s="42">
        <f>Daily!A82</f>
        <v>43964</v>
      </c>
      <c r="B82" s="13" t="str">
        <f t="shared" si="10"/>
        <v>Wed</v>
      </c>
      <c r="C82" s="14">
        <f>Daily!C82</f>
        <v>1431</v>
      </c>
      <c r="D82" s="14">
        <f>Daily!D82</f>
        <v>36</v>
      </c>
      <c r="E82" s="14">
        <f>Daily!E82</f>
        <v>756</v>
      </c>
      <c r="F82" s="14">
        <f>Daily!I82</f>
        <v>30168</v>
      </c>
      <c r="G82" s="26">
        <f t="shared" si="11"/>
        <v>2.5157232704402519</v>
      </c>
      <c r="H82" s="38">
        <f>IF(Clustering_Guide!$C$7=1,LN(1+MAX(C82,0)),C82)</f>
        <v>7.2668273475205911</v>
      </c>
      <c r="I82" s="38">
        <f>IF(Clustering_Guide!$C$7=1,LN(1+MAX(D82,0)),D82)</f>
        <v>3.6109179126442243</v>
      </c>
      <c r="J82" s="38">
        <f>IF(Clustering_Guide!$C$7=1,LN(1+MAX(E82,0)),E82)</f>
        <v>6.6293632534374485</v>
      </c>
      <c r="K82" s="38">
        <f t="shared" si="12"/>
        <v>0.78476040847966522</v>
      </c>
      <c r="L82" s="38">
        <f t="shared" si="13"/>
        <v>1.0443326652349103</v>
      </c>
      <c r="M82" s="38">
        <f t="shared" si="14"/>
        <v>1.2807409117360564</v>
      </c>
    </row>
    <row r="83" spans="1:13" x14ac:dyDescent="0.25">
      <c r="A83" s="42">
        <f>Daily!A83</f>
        <v>43965</v>
      </c>
      <c r="B83" s="13" t="str">
        <f t="shared" si="10"/>
        <v>Thu</v>
      </c>
      <c r="C83" s="14">
        <f>Daily!C83</f>
        <v>1449</v>
      </c>
      <c r="D83" s="14">
        <f>Daily!D83</f>
        <v>33</v>
      </c>
      <c r="E83" s="14">
        <f>Daily!E83</f>
        <v>374</v>
      </c>
      <c r="F83" s="14">
        <f>Daily!I83</f>
        <v>31210</v>
      </c>
      <c r="G83" s="26">
        <f t="shared" si="11"/>
        <v>2.2774327122153206</v>
      </c>
      <c r="H83" s="38">
        <f>IF(Clustering_Guide!$C$7=1,LN(1+MAX(C83,0)),C83)</f>
        <v>7.2793188354146201</v>
      </c>
      <c r="I83" s="38">
        <f>IF(Clustering_Guide!$C$7=1,LN(1+MAX(D83,0)),D83)</f>
        <v>3.5263605246161616</v>
      </c>
      <c r="J83" s="38">
        <f>IF(Clustering_Guide!$C$7=1,LN(1+MAX(E83,0)),E83)</f>
        <v>5.9269260259704106</v>
      </c>
      <c r="K83" s="38">
        <f t="shared" si="12"/>
        <v>0.78974871231548116</v>
      </c>
      <c r="L83" s="38">
        <f t="shared" si="13"/>
        <v>0.98691780350404879</v>
      </c>
      <c r="M83" s="38">
        <f t="shared" si="14"/>
        <v>1.0096430819760396</v>
      </c>
    </row>
    <row r="84" spans="1:13" x14ac:dyDescent="0.25">
      <c r="A84" s="42">
        <f>Daily!A84</f>
        <v>43966</v>
      </c>
      <c r="B84" s="13" t="str">
        <f t="shared" si="10"/>
        <v>Fri</v>
      </c>
      <c r="C84" s="14">
        <f>Daily!C84</f>
        <v>1515</v>
      </c>
      <c r="D84" s="14">
        <f>Daily!D84</f>
        <v>31</v>
      </c>
      <c r="E84" s="14">
        <f>Daily!E84</f>
        <v>665</v>
      </c>
      <c r="F84" s="14">
        <f>Daily!I84</f>
        <v>32029</v>
      </c>
      <c r="G84" s="26">
        <f t="shared" si="11"/>
        <v>2.0462046204620461</v>
      </c>
      <c r="H84" s="38">
        <f>IF(Clustering_Guide!$C$7=1,LN(1+MAX(C84,0)),C84)</f>
        <v>7.3238305662023171</v>
      </c>
      <c r="I84" s="38">
        <f>IF(Clustering_Guide!$C$7=1,LN(1+MAX(D84,0)),D84)</f>
        <v>3.4657359027997265</v>
      </c>
      <c r="J84" s="38">
        <f>IF(Clustering_Guide!$C$7=1,LN(1+MAX(E84,0)),E84)</f>
        <v>6.5012896705403893</v>
      </c>
      <c r="K84" s="38">
        <f t="shared" si="12"/>
        <v>0.80752385962465068</v>
      </c>
      <c r="L84" s="38">
        <f t="shared" si="13"/>
        <v>0.94575340190354995</v>
      </c>
      <c r="M84" s="38">
        <f t="shared" si="14"/>
        <v>1.231312337885859</v>
      </c>
    </row>
    <row r="85" spans="1:13" x14ac:dyDescent="0.25">
      <c r="A85" s="42">
        <f>Daily!A85</f>
        <v>43967</v>
      </c>
      <c r="B85" s="13" t="str">
        <f t="shared" si="10"/>
        <v>Sat</v>
      </c>
      <c r="C85" s="14">
        <f>Daily!C85</f>
        <v>1372</v>
      </c>
      <c r="D85" s="14">
        <f>Daily!D85</f>
        <v>39</v>
      </c>
      <c r="E85" s="14">
        <f>Daily!E85</f>
        <v>284</v>
      </c>
      <c r="F85" s="14">
        <f>Daily!I85</f>
        <v>33078</v>
      </c>
      <c r="G85" s="26">
        <f t="shared" si="11"/>
        <v>2.8425655976676385</v>
      </c>
      <c r="H85" s="38">
        <f>IF(Clustering_Guide!$C$7=1,LN(1+MAX(C85,0)),C85)</f>
        <v>7.224753405767971</v>
      </c>
      <c r="I85" s="38">
        <f>IF(Clustering_Guide!$C$7=1,LN(1+MAX(D85,0)),D85)</f>
        <v>3.6888794541139363</v>
      </c>
      <c r="J85" s="38">
        <f>IF(Clustering_Guide!$C$7=1,LN(1+MAX(E85,0)),E85)</f>
        <v>5.6524891802686508</v>
      </c>
      <c r="K85" s="38">
        <f t="shared" si="12"/>
        <v>0.76795875868318164</v>
      </c>
      <c r="L85" s="38">
        <f t="shared" si="13"/>
        <v>1.0972689163206555</v>
      </c>
      <c r="M85" s="38">
        <f t="shared" si="14"/>
        <v>0.90372723588084813</v>
      </c>
    </row>
    <row r="86" spans="1:13" x14ac:dyDescent="0.25">
      <c r="A86" s="42">
        <f>Daily!A86</f>
        <v>43968</v>
      </c>
      <c r="B86" s="13" t="str">
        <f t="shared" si="10"/>
        <v>Sun</v>
      </c>
      <c r="C86" s="14">
        <f>Daily!C86</f>
        <v>1956</v>
      </c>
      <c r="D86" s="14">
        <f>Daily!D86</f>
        <v>30</v>
      </c>
      <c r="E86" s="14">
        <f>Daily!E86</f>
        <v>486</v>
      </c>
      <c r="F86" s="14">
        <f>Daily!I86</f>
        <v>34518</v>
      </c>
      <c r="G86" s="26">
        <f t="shared" si="11"/>
        <v>1.5337423312883436</v>
      </c>
      <c r="H86" s="38">
        <f>IF(Clustering_Guide!$C$7=1,LN(1+MAX(C86,0)),C86)</f>
        <v>7.5791679673960761</v>
      </c>
      <c r="I86" s="38">
        <f>IF(Clustering_Guide!$C$7=1,LN(1+MAX(D86,0)),D86)</f>
        <v>3.4339872044851463</v>
      </c>
      <c r="J86" s="38">
        <f>IF(Clustering_Guide!$C$7=1,LN(1+MAX(E86,0)),E86)</f>
        <v>6.1882641230825897</v>
      </c>
      <c r="K86" s="38">
        <f t="shared" si="12"/>
        <v>0.90948933792535225</v>
      </c>
      <c r="L86" s="38">
        <f t="shared" si="13"/>
        <v>0.9241958873400502</v>
      </c>
      <c r="M86" s="38">
        <f t="shared" si="14"/>
        <v>1.110503611843171</v>
      </c>
    </row>
    <row r="87" spans="1:13" x14ac:dyDescent="0.25">
      <c r="A87" s="42">
        <f>Daily!A87</f>
        <v>43969</v>
      </c>
      <c r="B87" s="13" t="str">
        <f t="shared" si="10"/>
        <v>Mon</v>
      </c>
      <c r="C87" s="14">
        <f>Daily!C87</f>
        <v>1800</v>
      </c>
      <c r="D87" s="14">
        <f>Daily!D87</f>
        <v>46</v>
      </c>
      <c r="E87" s="14">
        <f>Daily!E87</f>
        <v>954</v>
      </c>
      <c r="F87" s="14">
        <f>Daily!I87</f>
        <v>35318</v>
      </c>
      <c r="G87" s="26">
        <f t="shared" si="11"/>
        <v>2.5555555555555558</v>
      </c>
      <c r="H87" s="38">
        <f>IF(Clustering_Guide!$C$7=1,LN(1+MAX(C87,0)),C87)</f>
        <v>7.4960973451759561</v>
      </c>
      <c r="I87" s="38">
        <f>IF(Clustering_Guide!$C$7=1,LN(1+MAX(D87,0)),D87)</f>
        <v>3.8501476017100584</v>
      </c>
      <c r="J87" s="38">
        <f>IF(Clustering_Guide!$C$7=1,LN(1+MAX(E87,0)),E87)</f>
        <v>6.8617113404807304</v>
      </c>
      <c r="K87" s="38">
        <f t="shared" si="12"/>
        <v>0.87631622780591523</v>
      </c>
      <c r="L87" s="38">
        <f t="shared" si="13"/>
        <v>1.2067707423793153</v>
      </c>
      <c r="M87" s="38">
        <f t="shared" si="14"/>
        <v>1.3704130698781605</v>
      </c>
    </row>
    <row r="88" spans="1:13" x14ac:dyDescent="0.25">
      <c r="A88" s="42">
        <f>Daily!A88</f>
        <v>43970</v>
      </c>
      <c r="B88" s="13" t="str">
        <f t="shared" si="10"/>
        <v>Tue</v>
      </c>
      <c r="C88" s="14">
        <f>Daily!C88</f>
        <v>1874</v>
      </c>
      <c r="D88" s="14">
        <f>Daily!D88</f>
        <v>46</v>
      </c>
      <c r="E88" s="14">
        <f>Daily!E88</f>
        <v>597</v>
      </c>
      <c r="F88" s="14">
        <f>Daily!I88</f>
        <v>36549</v>
      </c>
      <c r="G88" s="26">
        <f t="shared" si="11"/>
        <v>2.454642475987193</v>
      </c>
      <c r="H88" s="38">
        <f>IF(Clustering_Guide!$C$7=1,LN(1+MAX(C88,0)),C88)</f>
        <v>7.5363639384045111</v>
      </c>
      <c r="I88" s="38">
        <f>IF(Clustering_Guide!$C$7=1,LN(1+MAX(D88,0)),D88)</f>
        <v>3.8501476017100584</v>
      </c>
      <c r="J88" s="38">
        <f>IF(Clustering_Guide!$C$7=1,LN(1+MAX(E88,0)),E88)</f>
        <v>6.3935907539506314</v>
      </c>
      <c r="K88" s="38">
        <f t="shared" si="12"/>
        <v>0.89239613783434768</v>
      </c>
      <c r="L88" s="38">
        <f t="shared" si="13"/>
        <v>1.2067707423793153</v>
      </c>
      <c r="M88" s="38">
        <f t="shared" si="14"/>
        <v>1.1897471397253465</v>
      </c>
    </row>
    <row r="89" spans="1:13" x14ac:dyDescent="0.25">
      <c r="A89" s="42">
        <f>Daily!A89</f>
        <v>43971</v>
      </c>
      <c r="B89" s="13" t="str">
        <f t="shared" si="10"/>
        <v>Wed</v>
      </c>
      <c r="C89" s="14">
        <f>Daily!C89</f>
        <v>2115</v>
      </c>
      <c r="D89" s="14">
        <f>Daily!D89</f>
        <v>32</v>
      </c>
      <c r="E89" s="14">
        <f>Daily!E89</f>
        <v>1038</v>
      </c>
      <c r="F89" s="14">
        <f>Daily!I89</f>
        <v>37594</v>
      </c>
      <c r="G89" s="26">
        <f t="shared" si="11"/>
        <v>1.5130023640661938</v>
      </c>
      <c r="H89" s="38">
        <f>IF(Clustering_Guide!$C$7=1,LN(1+MAX(C89,0)),C89)</f>
        <v>7.6572827929781901</v>
      </c>
      <c r="I89" s="38">
        <f>IF(Clustering_Guide!$C$7=1,LN(1+MAX(D89,0)),D89)</f>
        <v>3.4965075614664802</v>
      </c>
      <c r="J89" s="38">
        <f>IF(Clustering_Guide!$C$7=1,LN(1+MAX(E89,0)),E89)</f>
        <v>6.9460139910992273</v>
      </c>
      <c r="K89" s="38">
        <f t="shared" si="12"/>
        <v>0.9406834188379718</v>
      </c>
      <c r="L89" s="38">
        <f t="shared" si="13"/>
        <v>0.96664750197904636</v>
      </c>
      <c r="M89" s="38">
        <f t="shared" si="14"/>
        <v>1.4029487395893216</v>
      </c>
    </row>
    <row r="90" spans="1:13" x14ac:dyDescent="0.25">
      <c r="A90" s="42">
        <f>Daily!A90</f>
        <v>43972</v>
      </c>
      <c r="B90" s="13" t="str">
        <f t="shared" si="10"/>
        <v>Thu</v>
      </c>
      <c r="C90" s="14">
        <f>Daily!C90</f>
        <v>2539</v>
      </c>
      <c r="D90" s="14">
        <f>Daily!D90</f>
        <v>43</v>
      </c>
      <c r="E90" s="14">
        <f>Daily!E90</f>
        <v>1014</v>
      </c>
      <c r="F90" s="14">
        <f>Daily!I90</f>
        <v>39076</v>
      </c>
      <c r="G90" s="26">
        <f t="shared" si="11"/>
        <v>1.6935801496652227</v>
      </c>
      <c r="H90" s="38">
        <f>IF(Clustering_Guide!$C$7=1,LN(1+MAX(C90,0)),C90)</f>
        <v>7.8399193600125825</v>
      </c>
      <c r="I90" s="38">
        <f>IF(Clustering_Guide!$C$7=1,LN(1+MAX(D90,0)),D90)</f>
        <v>3.784189633918261</v>
      </c>
      <c r="J90" s="38">
        <f>IF(Clustering_Guide!$C$7=1,LN(1+MAX(E90,0)),E90)</f>
        <v>6.9226438914758877</v>
      </c>
      <c r="K90" s="38">
        <f t="shared" si="12"/>
        <v>1.0136168192164321</v>
      </c>
      <c r="L90" s="38">
        <f t="shared" si="13"/>
        <v>1.161984973931053</v>
      </c>
      <c r="M90" s="38">
        <f t="shared" si="14"/>
        <v>1.3939293097507173</v>
      </c>
    </row>
    <row r="91" spans="1:13" x14ac:dyDescent="0.25">
      <c r="A91" s="42">
        <f>Daily!A91</f>
        <v>43973</v>
      </c>
      <c r="B91" s="13" t="str">
        <f t="shared" si="10"/>
        <v>Fri</v>
      </c>
      <c r="C91" s="14">
        <f>Daily!C91</f>
        <v>1728</v>
      </c>
      <c r="D91" s="14">
        <f>Daily!D91</f>
        <v>34</v>
      </c>
      <c r="E91" s="14">
        <f>Daily!E91</f>
        <v>1438</v>
      </c>
      <c r="F91" s="14">
        <f>Daily!I91</f>
        <v>39332</v>
      </c>
      <c r="G91" s="26">
        <f t="shared" si="11"/>
        <v>1.9675925925925926</v>
      </c>
      <c r="H91" s="38">
        <f>IF(Clustering_Guide!$C$7=1,LN(1+MAX(C91,0)),C91)</f>
        <v>7.4552984856832909</v>
      </c>
      <c r="I91" s="38">
        <f>IF(Clustering_Guide!$C$7=1,LN(1+MAX(D91,0)),D91)</f>
        <v>3.5553480614894135</v>
      </c>
      <c r="J91" s="38">
        <f>IF(Clustering_Guide!$C$7=1,LN(1+MAX(E91,0)),E91)</f>
        <v>7.2717037068873678</v>
      </c>
      <c r="K91" s="38">
        <f t="shared" si="12"/>
        <v>0.86002376456769225</v>
      </c>
      <c r="L91" s="38">
        <f t="shared" si="13"/>
        <v>1.0066004765419583</v>
      </c>
      <c r="M91" s="38">
        <f t="shared" si="14"/>
        <v>1.5286450604459279</v>
      </c>
    </row>
    <row r="92" spans="1:13" x14ac:dyDescent="0.25">
      <c r="A92" s="42">
        <f>Daily!A92</f>
        <v>43974</v>
      </c>
      <c r="B92" s="13" t="str">
        <f t="shared" si="10"/>
        <v>Sat</v>
      </c>
      <c r="C92" s="14">
        <f>Daily!C92</f>
        <v>2060</v>
      </c>
      <c r="D92" s="14">
        <f>Daily!D92</f>
        <v>32</v>
      </c>
      <c r="E92" s="14">
        <f>Daily!E92</f>
        <v>539</v>
      </c>
      <c r="F92" s="14">
        <f>Daily!I92</f>
        <v>40821</v>
      </c>
      <c r="G92" s="26">
        <f t="shared" si="11"/>
        <v>1.5533980582524272</v>
      </c>
      <c r="H92" s="38">
        <f>IF(Clustering_Guide!$C$7=1,LN(1+MAX(C92,0)),C92)</f>
        <v>7.6309465808904591</v>
      </c>
      <c r="I92" s="38">
        <f>IF(Clustering_Guide!$C$7=1,LN(1+MAX(D92,0)),D92)</f>
        <v>3.4965075614664802</v>
      </c>
      <c r="J92" s="38">
        <f>IF(Clustering_Guide!$C$7=1,LN(1+MAX(E92,0)),E92)</f>
        <v>6.2915691395583204</v>
      </c>
      <c r="K92" s="38">
        <f t="shared" si="12"/>
        <v>0.93016641486754115</v>
      </c>
      <c r="L92" s="38">
        <f t="shared" si="13"/>
        <v>0.96664750197904636</v>
      </c>
      <c r="M92" s="38">
        <f t="shared" si="14"/>
        <v>1.1503730331591244</v>
      </c>
    </row>
    <row r="93" spans="1:13" x14ac:dyDescent="0.25">
      <c r="A93" s="42">
        <f>Daily!A93</f>
        <v>43975</v>
      </c>
      <c r="B93" s="13" t="str">
        <f t="shared" si="10"/>
        <v>Sun</v>
      </c>
      <c r="C93" s="14">
        <f>Daily!C93</f>
        <v>1744</v>
      </c>
      <c r="D93" s="14">
        <f>Daily!D93</f>
        <v>34</v>
      </c>
      <c r="E93" s="14">
        <f>Daily!E93</f>
        <v>282</v>
      </c>
      <c r="F93" s="14">
        <f>Daily!I93</f>
        <v>42249</v>
      </c>
      <c r="G93" s="26">
        <f t="shared" si="11"/>
        <v>1.9495412844036699</v>
      </c>
      <c r="H93" s="38">
        <f>IF(Clustering_Guide!$C$7=1,LN(1+MAX(C93,0)),C93)</f>
        <v>7.4645098346365275</v>
      </c>
      <c r="I93" s="38">
        <f>IF(Clustering_Guide!$C$7=1,LN(1+MAX(D93,0)),D93)</f>
        <v>3.5553480614894135</v>
      </c>
      <c r="J93" s="38">
        <f>IF(Clustering_Guide!$C$7=1,LN(1+MAX(E93,0)),E93)</f>
        <v>5.6454468976432377</v>
      </c>
      <c r="K93" s="38">
        <f t="shared" si="12"/>
        <v>0.86370219004480708</v>
      </c>
      <c r="L93" s="38">
        <f t="shared" si="13"/>
        <v>1.0066004765419583</v>
      </c>
      <c r="M93" s="38">
        <f t="shared" si="14"/>
        <v>0.90100934528272236</v>
      </c>
    </row>
    <row r="94" spans="1:13" x14ac:dyDescent="0.25">
      <c r="A94" s="42">
        <f>Daily!A94</f>
        <v>43976</v>
      </c>
      <c r="B94" s="13" t="str">
        <f t="shared" si="10"/>
        <v>Mon</v>
      </c>
      <c r="C94" s="14">
        <f>Daily!C94</f>
        <v>1356</v>
      </c>
      <c r="D94" s="14">
        <f>Daily!D94</f>
        <v>30</v>
      </c>
      <c r="E94" s="14">
        <f>Daily!E94</f>
        <v>830</v>
      </c>
      <c r="F94" s="14">
        <f>Daily!I94</f>
        <v>42745</v>
      </c>
      <c r="G94" s="26">
        <f t="shared" si="11"/>
        <v>2.2123893805309733</v>
      </c>
      <c r="H94" s="38">
        <f>IF(Clustering_Guide!$C$7=1,LN(1+MAX(C94,0)),C94)</f>
        <v>7.2130316598348694</v>
      </c>
      <c r="I94" s="38">
        <f>IF(Clustering_Guide!$C$7=1,LN(1+MAX(D94,0)),D94)</f>
        <v>3.4339872044851463</v>
      </c>
      <c r="J94" s="38">
        <f>IF(Clustering_Guide!$C$7=1,LN(1+MAX(E94,0)),E94)</f>
        <v>6.7226297948554485</v>
      </c>
      <c r="K94" s="38">
        <f t="shared" si="12"/>
        <v>0.76327784070955096</v>
      </c>
      <c r="L94" s="38">
        <f t="shared" si="13"/>
        <v>0.9241958873400502</v>
      </c>
      <c r="M94" s="38">
        <f t="shared" si="14"/>
        <v>1.3167360953324854</v>
      </c>
    </row>
    <row r="95" spans="1:13" x14ac:dyDescent="0.25">
      <c r="A95" s="42">
        <f>Daily!A95</f>
        <v>43977</v>
      </c>
      <c r="B95" s="13" t="str">
        <f t="shared" si="10"/>
        <v>Tue</v>
      </c>
      <c r="C95" s="14">
        <f>Daily!C95</f>
        <v>1440</v>
      </c>
      <c r="D95" s="14">
        <f>Daily!D95</f>
        <v>27</v>
      </c>
      <c r="E95" s="14">
        <f>Daily!E95</f>
        <v>824</v>
      </c>
      <c r="F95" s="14">
        <f>Daily!I95</f>
        <v>43334</v>
      </c>
      <c r="G95" s="26">
        <f t="shared" si="11"/>
        <v>1.875</v>
      </c>
      <c r="H95" s="38">
        <f>IF(Clustering_Guide!$C$7=1,LN(1+MAX(C95,0)),C95)</f>
        <v>7.2730925959995218</v>
      </c>
      <c r="I95" s="38">
        <f>IF(Clustering_Guide!$C$7=1,LN(1+MAX(D95,0)),D95)</f>
        <v>3.3322045101752038</v>
      </c>
      <c r="J95" s="38">
        <f>IF(Clustering_Guide!$C$7=1,LN(1+MAX(E95,0)),E95)</f>
        <v>6.7153833863346808</v>
      </c>
      <c r="K95" s="38">
        <f t="shared" si="12"/>
        <v>0.78726234926405558</v>
      </c>
      <c r="L95" s="38">
        <f t="shared" si="13"/>
        <v>0.85508496212485274</v>
      </c>
      <c r="M95" s="38">
        <f t="shared" si="14"/>
        <v>1.3139394246169847</v>
      </c>
    </row>
    <row r="96" spans="1:13" x14ac:dyDescent="0.25">
      <c r="A96" s="42">
        <f>Daily!A96</f>
        <v>43978</v>
      </c>
      <c r="B96" s="13" t="str">
        <f t="shared" si="10"/>
        <v>Wed</v>
      </c>
      <c r="C96" s="14">
        <f>Daily!C96</f>
        <v>2173</v>
      </c>
      <c r="D96" s="14">
        <f>Daily!D96</f>
        <v>36</v>
      </c>
      <c r="E96" s="14">
        <f>Daily!E96</f>
        <v>1065</v>
      </c>
      <c r="F96" s="14">
        <f>Daily!I96</f>
        <v>44406</v>
      </c>
      <c r="G96" s="26">
        <f t="shared" si="11"/>
        <v>1.6566958122411415</v>
      </c>
      <c r="H96" s="38">
        <f>IF(Clustering_Guide!$C$7=1,LN(1+MAX(C96,0)),C96)</f>
        <v>7.6843240676811551</v>
      </c>
      <c r="I96" s="38">
        <f>IF(Clustering_Guide!$C$7=1,LN(1+MAX(D96,0)),D96)</f>
        <v>3.6109179126442243</v>
      </c>
      <c r="J96" s="38">
        <f>IF(Clustering_Guide!$C$7=1,LN(1+MAX(E96,0)),E96)</f>
        <v>6.9716686047257896</v>
      </c>
      <c r="K96" s="38">
        <f t="shared" si="12"/>
        <v>0.95148197986372673</v>
      </c>
      <c r="L96" s="38">
        <f t="shared" si="13"/>
        <v>1.0443326652349103</v>
      </c>
      <c r="M96" s="38">
        <f t="shared" si="14"/>
        <v>1.4128498521806516</v>
      </c>
    </row>
    <row r="97" spans="1:13" x14ac:dyDescent="0.25">
      <c r="A97" s="42">
        <f>Daily!A97</f>
        <v>43979</v>
      </c>
      <c r="B97" s="13" t="str">
        <f t="shared" si="10"/>
        <v>Thu</v>
      </c>
      <c r="C97" s="14">
        <f>Daily!C97</f>
        <v>2562</v>
      </c>
      <c r="D97" s="14">
        <f>Daily!D97</f>
        <v>59</v>
      </c>
      <c r="E97" s="14">
        <f>Daily!E97</f>
        <v>2072</v>
      </c>
      <c r="F97" s="14">
        <f>Daily!I97</f>
        <v>44837</v>
      </c>
      <c r="G97" s="26">
        <f t="shared" si="11"/>
        <v>2.3028883684621393</v>
      </c>
      <c r="H97" s="38">
        <f>IF(Clustering_Guide!$C$7=1,LN(1+MAX(C97,0)),C97)</f>
        <v>7.8489337263640708</v>
      </c>
      <c r="I97" s="38">
        <f>IF(Clustering_Guide!$C$7=1,LN(1+MAX(D97,0)),D97)</f>
        <v>4.0943445622221004</v>
      </c>
      <c r="J97" s="38">
        <f>IF(Clustering_Guide!$C$7=1,LN(1+MAX(E97,0)),E97)</f>
        <v>7.6367521124357793</v>
      </c>
      <c r="K97" s="38">
        <f t="shared" si="12"/>
        <v>1.0172165824015746</v>
      </c>
      <c r="L97" s="38">
        <f t="shared" si="13"/>
        <v>1.3725816200549881</v>
      </c>
      <c r="M97" s="38">
        <f t="shared" si="14"/>
        <v>1.6695314295502373</v>
      </c>
    </row>
    <row r="98" spans="1:13" x14ac:dyDescent="0.25">
      <c r="A98" s="42">
        <f>Daily!A98</f>
        <v>43980</v>
      </c>
      <c r="B98" s="13" t="str">
        <f t="shared" si="10"/>
        <v>Fri</v>
      </c>
      <c r="C98" s="14">
        <f>Daily!C98</f>
        <v>2426</v>
      </c>
      <c r="D98" s="14">
        <f>Daily!D98</f>
        <v>78</v>
      </c>
      <c r="E98" s="14">
        <f>Daily!E98</f>
        <v>1824</v>
      </c>
      <c r="F98" s="14">
        <f>Daily!I98</f>
        <v>45361</v>
      </c>
      <c r="G98" s="26">
        <f t="shared" si="11"/>
        <v>3.2151690024732069</v>
      </c>
      <c r="H98" s="38">
        <f>IF(Clustering_Guide!$C$7=1,LN(1+MAX(C98,0)),C98)</f>
        <v>7.7944112057266013</v>
      </c>
      <c r="I98" s="38">
        <f>IF(Clustering_Guide!$C$7=1,LN(1+MAX(D98,0)),D98)</f>
        <v>4.3694478524670215</v>
      </c>
      <c r="J98" s="38">
        <f>IF(Clustering_Guide!$C$7=1,LN(1+MAX(E98,0)),E98)</f>
        <v>7.509335266016592</v>
      </c>
      <c r="K98" s="38">
        <f t="shared" si="12"/>
        <v>0.99544376389175993</v>
      </c>
      <c r="L98" s="38">
        <f t="shared" si="13"/>
        <v>1.5593780400895705</v>
      </c>
      <c r="M98" s="38">
        <f t="shared" si="14"/>
        <v>1.6203563158341465</v>
      </c>
    </row>
    <row r="99" spans="1:13" x14ac:dyDescent="0.25">
      <c r="A99" s="42">
        <f>Daily!A99</f>
        <v>43981</v>
      </c>
      <c r="B99" s="13" t="str">
        <f t="shared" si="10"/>
        <v>Sat</v>
      </c>
      <c r="C99" s="14">
        <f>Daily!C99</f>
        <v>2956</v>
      </c>
      <c r="D99" s="14">
        <f>Daily!D99</f>
        <v>88</v>
      </c>
      <c r="E99" s="14">
        <f>Daily!E99</f>
        <v>1138</v>
      </c>
      <c r="F99" s="14">
        <f>Daily!I99</f>
        <v>47091</v>
      </c>
      <c r="G99" s="26">
        <f t="shared" si="11"/>
        <v>2.9769959404600814</v>
      </c>
      <c r="H99" s="38">
        <f>IF(Clustering_Guide!$C$7=1,LN(1+MAX(C99,0)),C99)</f>
        <v>7.9919305198524775</v>
      </c>
      <c r="I99" s="38">
        <f>IF(Clustering_Guide!$C$7=1,LN(1+MAX(D99,0)),D99)</f>
        <v>4.4886363697321396</v>
      </c>
      <c r="J99" s="38">
        <f>IF(Clustering_Guide!$C$7=1,LN(1+MAX(E99,0)),E99)</f>
        <v>7.0379059634471819</v>
      </c>
      <c r="K99" s="38">
        <f t="shared" si="12"/>
        <v>1.0743203845682132</v>
      </c>
      <c r="L99" s="38">
        <f t="shared" si="13"/>
        <v>1.6403076004540895</v>
      </c>
      <c r="M99" s="38">
        <f t="shared" si="14"/>
        <v>1.438413423552227</v>
      </c>
    </row>
    <row r="100" spans="1:13" x14ac:dyDescent="0.25">
      <c r="A100" s="42">
        <f>Daily!A100</f>
        <v>43982</v>
      </c>
      <c r="B100" s="13" t="str">
        <f t="shared" si="10"/>
        <v>Sun</v>
      </c>
      <c r="C100" s="14">
        <f>Daily!C100</f>
        <v>2883</v>
      </c>
      <c r="D100" s="14">
        <f>Daily!D100</f>
        <v>60</v>
      </c>
      <c r="E100" s="14">
        <f>Daily!E100</f>
        <v>809</v>
      </c>
      <c r="F100" s="14">
        <f>Daily!I100</f>
        <v>49105</v>
      </c>
      <c r="G100" s="26">
        <f t="shared" si="11"/>
        <v>2.0811654526534862</v>
      </c>
      <c r="H100" s="38">
        <f>IF(Clustering_Guide!$C$7=1,LN(1+MAX(C100,0)),C100)</f>
        <v>7.9669334984048401</v>
      </c>
      <c r="I100" s="38">
        <f>IF(Clustering_Guide!$C$7=1,LN(1+MAX(D100,0)),D100)</f>
        <v>4.1108738641733114</v>
      </c>
      <c r="J100" s="38">
        <f>IF(Clustering_Guide!$C$7=1,LN(1+MAX(E100,0)),E100)</f>
        <v>6.6970342476664841</v>
      </c>
      <c r="K100" s="38">
        <f t="shared" si="12"/>
        <v>1.0643381679556649</v>
      </c>
      <c r="L100" s="38">
        <f t="shared" si="13"/>
        <v>1.3838050933453583</v>
      </c>
      <c r="M100" s="38">
        <f t="shared" si="14"/>
        <v>1.3068577787753324</v>
      </c>
    </row>
    <row r="101" spans="1:13" x14ac:dyDescent="0.25">
      <c r="A101" s="42">
        <f>Daily!A101</f>
        <v>43983</v>
      </c>
      <c r="B101" s="13" t="str">
        <f t="shared" ref="B101:B132" si="15">TEXT(A101,"ddd")</f>
        <v>Mon</v>
      </c>
      <c r="C101" s="14">
        <f>Daily!C101</f>
        <v>3872</v>
      </c>
      <c r="D101" s="14">
        <f>Daily!D101</f>
        <v>78</v>
      </c>
      <c r="E101" s="14">
        <f>Daily!E101</f>
        <v>1027</v>
      </c>
      <c r="F101" s="14">
        <f>Daily!I101</f>
        <v>51872</v>
      </c>
      <c r="G101" s="26">
        <f t="shared" si="11"/>
        <v>2.0144628099173554</v>
      </c>
      <c r="H101" s="38">
        <f>IF(Clustering_Guide!$C$7=1,LN(1+MAX(C101,0)),C101)</f>
        <v>8.2617846795147525</v>
      </c>
      <c r="I101" s="38">
        <f>IF(Clustering_Guide!$C$7=1,LN(1+MAX(D101,0)),D101)</f>
        <v>4.3694478524670215</v>
      </c>
      <c r="J101" s="38">
        <f>IF(Clustering_Guide!$C$7=1,LN(1+MAX(E101,0)),E101)</f>
        <v>6.93537044601511</v>
      </c>
      <c r="K101" s="38">
        <f t="shared" si="12"/>
        <v>1.1820829306455023</v>
      </c>
      <c r="L101" s="38">
        <f t="shared" si="13"/>
        <v>1.5593780400895705</v>
      </c>
      <c r="M101" s="38">
        <f t="shared" si="14"/>
        <v>1.39884098182759</v>
      </c>
    </row>
    <row r="102" spans="1:13" x14ac:dyDescent="0.25">
      <c r="A102" s="42">
        <f>Daily!A102</f>
        <v>43984</v>
      </c>
      <c r="B102" s="13" t="str">
        <f t="shared" si="15"/>
        <v>Tue</v>
      </c>
      <c r="C102" s="14">
        <f>Daily!C102</f>
        <v>4242</v>
      </c>
      <c r="D102" s="14">
        <f>Daily!D102</f>
        <v>69</v>
      </c>
      <c r="E102" s="14">
        <f>Daily!E102</f>
        <v>1931</v>
      </c>
      <c r="F102" s="14">
        <f>Daily!I102</f>
        <v>54114</v>
      </c>
      <c r="G102" s="26">
        <f t="shared" si="11"/>
        <v>1.6265912305516266</v>
      </c>
      <c r="H102" s="38">
        <f>IF(Clustering_Guide!$C$7=1,LN(1+MAX(C102,0)),C102)</f>
        <v>8.3530258452023247</v>
      </c>
      <c r="I102" s="38">
        <f>IF(Clustering_Guide!$C$7=1,LN(1+MAX(D102,0)),D102)</f>
        <v>4.2484952420493594</v>
      </c>
      <c r="J102" s="38">
        <f>IF(Clustering_Guide!$C$7=1,LN(1+MAX(E102,0)),E102)</f>
        <v>7.566311014772463</v>
      </c>
      <c r="K102" s="38">
        <f t="shared" si="12"/>
        <v>1.2185188348904394</v>
      </c>
      <c r="L102" s="38">
        <f t="shared" si="13"/>
        <v>1.4772506522282982</v>
      </c>
      <c r="M102" s="38">
        <f t="shared" si="14"/>
        <v>1.642345471921967</v>
      </c>
    </row>
    <row r="103" spans="1:13" x14ac:dyDescent="0.25">
      <c r="A103" s="42">
        <f>Daily!A103</f>
        <v>43985</v>
      </c>
      <c r="B103" s="13" t="str">
        <f t="shared" si="15"/>
        <v>Wed</v>
      </c>
      <c r="C103" s="14">
        <f>Daily!C103</f>
        <v>4677</v>
      </c>
      <c r="D103" s="14">
        <f>Daily!D103</f>
        <v>82</v>
      </c>
      <c r="E103" s="14">
        <f>Daily!E103</f>
        <v>1205</v>
      </c>
      <c r="F103" s="14">
        <f>Daily!I103</f>
        <v>57504</v>
      </c>
      <c r="G103" s="26">
        <f t="shared" si="11"/>
        <v>1.7532606371605732</v>
      </c>
      <c r="H103" s="38">
        <f>IF(Clustering_Guide!$C$7=1,LN(1+MAX(C103,0)),C103)</f>
        <v>8.4506259471441236</v>
      </c>
      <c r="I103" s="38">
        <f>IF(Clustering_Guide!$C$7=1,LN(1+MAX(D103,0)),D103)</f>
        <v>4.4188406077965983</v>
      </c>
      <c r="J103" s="38">
        <f>IF(Clustering_Guide!$C$7=1,LN(1+MAX(E103,0)),E103)</f>
        <v>7.0950643772871311</v>
      </c>
      <c r="K103" s="38">
        <f t="shared" si="12"/>
        <v>1.2574940928438989</v>
      </c>
      <c r="L103" s="38">
        <f t="shared" si="13"/>
        <v>1.5929159518426246</v>
      </c>
      <c r="M103" s="38">
        <f t="shared" si="14"/>
        <v>1.4604730771961711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548235"/>
    <pageSetUpPr fitToPage="1"/>
  </sheetPr>
  <dimension ref="A1:CD121"/>
  <sheetViews>
    <sheetView showGridLines="0" zoomScaleNormal="100" workbookViewId="0">
      <pane xSplit="1" ySplit="22" topLeftCell="B113" activePane="bottomRight" state="frozen"/>
      <selection pane="topRight" activeCell="B1" sqref="B1"/>
      <selection pane="bottomLeft" activeCell="A23" sqref="A23"/>
      <selection pane="bottomRight"/>
    </sheetView>
  </sheetViews>
  <sheetFormatPr defaultColWidth="8.7109375" defaultRowHeight="15" x14ac:dyDescent="0.25"/>
  <cols>
    <col min="1" max="1" width="28" customWidth="1"/>
    <col min="2" max="4" width="11" customWidth="1"/>
    <col min="5" max="5" width="10" customWidth="1"/>
    <col min="6" max="6" width="14" customWidth="1"/>
    <col min="7" max="7" width="16" customWidth="1"/>
    <col min="8" max="10" width="11" customWidth="1"/>
    <col min="11" max="11" width="3" customWidth="1"/>
    <col min="12" max="14" width="10" customWidth="1"/>
    <col min="15" max="21" width="11" customWidth="1"/>
    <col min="23" max="23" width="13" customWidth="1"/>
    <col min="24" max="26" width="10" customWidth="1"/>
    <col min="27" max="27" width="9" customWidth="1"/>
    <col min="28" max="28" width="2" customWidth="1"/>
    <col min="29" max="31" width="10" customWidth="1"/>
    <col min="32" max="32" width="9" customWidth="1"/>
    <col min="33" max="33" width="2" customWidth="1"/>
    <col min="34" max="36" width="10" customWidth="1"/>
    <col min="37" max="37" width="9" customWidth="1"/>
    <col min="38" max="38" width="2" customWidth="1"/>
    <col min="39" max="41" width="10" customWidth="1"/>
    <col min="42" max="42" width="9" customWidth="1"/>
    <col min="43" max="43" width="2" customWidth="1"/>
    <col min="44" max="46" width="10" customWidth="1"/>
    <col min="47" max="47" width="9" customWidth="1"/>
    <col min="48" max="48" width="2" customWidth="1"/>
    <col min="49" max="51" width="10" customWidth="1"/>
    <col min="52" max="52" width="9" customWidth="1"/>
    <col min="53" max="53" width="2" customWidth="1"/>
    <col min="54" max="56" width="10" customWidth="1"/>
    <col min="57" max="57" width="9" customWidth="1"/>
    <col min="58" max="58" width="2" customWidth="1"/>
    <col min="59" max="61" width="10" customWidth="1"/>
    <col min="62" max="62" width="9" customWidth="1"/>
    <col min="63" max="63" width="2" customWidth="1"/>
    <col min="64" max="66" width="10" customWidth="1"/>
    <col min="67" max="67" width="9" customWidth="1"/>
    <col min="68" max="68" width="2" customWidth="1"/>
    <col min="69" max="71" width="10" customWidth="1"/>
    <col min="72" max="72" width="9" customWidth="1"/>
    <col min="73" max="73" width="2" customWidth="1"/>
    <col min="74" max="76" width="10" customWidth="1"/>
    <col min="77" max="77" width="9" customWidth="1"/>
    <col min="78" max="78" width="2" customWidth="1"/>
    <col min="79" max="81" width="10" customWidth="1"/>
    <col min="82" max="82" width="9" customWidth="1"/>
    <col min="83" max="83" width="2" customWidth="1"/>
  </cols>
  <sheetData>
    <row r="1" spans="1:81" ht="20.25" x14ac:dyDescent="0.3">
      <c r="A1" s="8" t="s">
        <v>525</v>
      </c>
    </row>
    <row r="2" spans="1:81" x14ac:dyDescent="0.25">
      <c r="A2" s="9" t="s">
        <v>526</v>
      </c>
    </row>
    <row r="4" spans="1:81" ht="31.5" customHeight="1" x14ac:dyDescent="0.25">
      <c r="A4" s="54" t="s">
        <v>450</v>
      </c>
      <c r="B4" s="55"/>
      <c r="L4" s="11" t="s">
        <v>451</v>
      </c>
      <c r="M4" s="11" t="s">
        <v>452</v>
      </c>
      <c r="N4" s="11" t="s">
        <v>453</v>
      </c>
      <c r="O4" s="11" t="s">
        <v>156</v>
      </c>
      <c r="P4" s="11" t="s">
        <v>158</v>
      </c>
      <c r="Q4" s="11" t="s">
        <v>454</v>
      </c>
      <c r="R4" s="11" t="s">
        <v>334</v>
      </c>
      <c r="S4" s="11" t="s">
        <v>66</v>
      </c>
      <c r="T4" s="11" t="s">
        <v>527</v>
      </c>
      <c r="U4" s="11" t="s">
        <v>528</v>
      </c>
    </row>
    <row r="5" spans="1:81" x14ac:dyDescent="0.25">
      <c r="A5" s="40" t="s">
        <v>455</v>
      </c>
      <c r="B5" s="16">
        <v>3</v>
      </c>
      <c r="L5" s="56">
        <v>1</v>
      </c>
      <c r="M5" s="36" t="str">
        <f>CHOOSE(RANK(O5,$O$5:$O$7,0),"High activity","Medium activity","Low activity")</f>
        <v>Low activity</v>
      </c>
      <c r="N5" s="16">
        <f>COUNTIF($E$23:$E$121,L5)</f>
        <v>28</v>
      </c>
      <c r="O5" s="17">
        <f>IFERROR(AVERAGEIF($E$23:$E$121,L5,Phase_Data!$C$5:$C$103),0)</f>
        <v>34.428571428571431</v>
      </c>
      <c r="P5" s="17">
        <f>IFERROR(AVERAGEIF($E$23:$E$121,L5,Phase_Data!$D$5:$D$103),0)</f>
        <v>0.25</v>
      </c>
      <c r="Q5" s="17">
        <f>IFERROR(AVERAGEIF($E$23:$E$121,L5,Phase_Data!$E$5:$E$103),0)</f>
        <v>0.42857142857142855</v>
      </c>
      <c r="R5" s="26">
        <f>IFERROR(SUMIF($E$23:$E$121,L5,Phase_Data!$D$5:$D$103)/SUMIF($E$23:$E$121,L5,Phase_Data!$C$5:$C$103)*100,0)</f>
        <v>0.72614107883817425</v>
      </c>
      <c r="S5" s="15">
        <f>SUMIF($E$23:$E$121,L5,Phase_Data!$C$5:$C$103)/SUM(Phase_Data!$C$5:$C$103)</f>
        <v>1.1478240161933679E-2</v>
      </c>
      <c r="T5" s="42">
        <f>_xlfn.MINIFS($A$23:$A$121,$E$23:$E$121,L5)</f>
        <v>43887</v>
      </c>
      <c r="U5" s="42">
        <f>_xlfn.MAXIFS($A$23:$A$121,$E$23:$E$121,L5)</f>
        <v>43915</v>
      </c>
    </row>
    <row r="6" spans="1:81" x14ac:dyDescent="0.25">
      <c r="A6" s="40" t="s">
        <v>456</v>
      </c>
      <c r="B6" s="16">
        <f>Clustering_Guide!$C$7</f>
        <v>1</v>
      </c>
      <c r="L6" s="56">
        <v>2</v>
      </c>
      <c r="M6" s="36" t="str">
        <f>CHOOSE(RANK(O6,$O$5:$O$7,0),"High activity","Medium activity","Low activity")</f>
        <v>High activity</v>
      </c>
      <c r="N6" s="16">
        <f>COUNTIF($E$23:$E$121,L6)</f>
        <v>30</v>
      </c>
      <c r="O6" s="17">
        <f>IFERROR(AVERAGEIF($E$23:$E$121,L6,Phase_Data!$C$5:$C$103),0)</f>
        <v>2004.9333333333334</v>
      </c>
      <c r="P6" s="17">
        <f>IFERROR(AVERAGEIF($E$23:$E$121,L6,Phase_Data!$D$5:$D$103),0)</f>
        <v>42.43333333333333</v>
      </c>
      <c r="Q6" s="17">
        <f>IFERROR(AVERAGEIF($E$23:$E$121,L6,Phase_Data!$E$5:$E$103),0)</f>
        <v>748.83333333333337</v>
      </c>
      <c r="R6" s="26">
        <f>IFERROR(SUMIF($E$23:$E$121,L6,Phase_Data!$D$5:$D$103)/SUMIF($E$23:$E$121,L6,Phase_Data!$C$5:$C$103)*100,0)</f>
        <v>2.1164460996209349</v>
      </c>
      <c r="S6" s="15">
        <f>SUMIF($E$23:$E$121,L6,Phase_Data!$C$5:$C$103)/SUM(Phase_Data!$C$5:$C$103)</f>
        <v>0.7161755075311067</v>
      </c>
      <c r="T6" s="42">
        <f>_xlfn.MINIFS($A$23:$A$121,$E$23:$E$121,L6)</f>
        <v>43937</v>
      </c>
      <c r="U6" s="42">
        <f>_xlfn.MAXIFS($A$23:$A$121,$E$23:$E$121,L6)</f>
        <v>43985</v>
      </c>
    </row>
    <row r="7" spans="1:81" x14ac:dyDescent="0.25">
      <c r="A7" s="54" t="s">
        <v>457</v>
      </c>
      <c r="B7" s="55"/>
      <c r="L7" s="56">
        <v>3</v>
      </c>
      <c r="M7" s="36" t="str">
        <f>CHOOSE(RANK(O7,$O$5:$O$7,0),"High activity","Medium activity","Low activity")</f>
        <v>Medium activity</v>
      </c>
      <c r="N7" s="16">
        <f>COUNTIF($E$23:$E$121,L7)</f>
        <v>41</v>
      </c>
      <c r="O7" s="17">
        <f>IFERROR(AVERAGEIF($E$23:$E$121,L7,Phase_Data!$C$5:$C$103),0)</f>
        <v>557.8780487804878</v>
      </c>
      <c r="P7" s="17">
        <f>IFERROR(AVERAGEIF($E$23:$E$121,L7,Phase_Data!$D$5:$D$103),0)</f>
        <v>10.926829268292684</v>
      </c>
      <c r="Q7" s="17">
        <f>IFERROR(AVERAGEIF($E$23:$E$121,L7,Phase_Data!$E$5:$E$103),0)</f>
        <v>55.512195121951223</v>
      </c>
      <c r="R7" s="26">
        <f>IFERROR(SUMIF($E$23:$E$121,L7,Phase_Data!$D$5:$D$103)/SUMIF($E$23:$E$121,L7,Phase_Data!$C$5:$C$103)*100,0)</f>
        <v>1.9586411926725833</v>
      </c>
      <c r="S7" s="15">
        <f>SUMIF($E$23:$E$121,L7,Phase_Data!$C$5:$C$103)/SUM(Phase_Data!$C$5:$C$103)</f>
        <v>0.27234625230695958</v>
      </c>
      <c r="T7" s="42">
        <f>_xlfn.MINIFS($A$23:$A$121,$E$23:$E$121,L7)</f>
        <v>43914</v>
      </c>
      <c r="U7" s="42">
        <f>_xlfn.MAXIFS($A$23:$A$121,$E$23:$E$121,L7)</f>
        <v>43960</v>
      </c>
    </row>
    <row r="8" spans="1:81" x14ac:dyDescent="0.25">
      <c r="A8" s="40" t="s">
        <v>458</v>
      </c>
      <c r="B8" s="62">
        <v>43887</v>
      </c>
      <c r="L8" s="20" t="s">
        <v>53</v>
      </c>
      <c r="M8" s="20"/>
      <c r="N8" s="21">
        <f>SUM(N5:N7)</f>
        <v>99</v>
      </c>
      <c r="O8" s="20"/>
      <c r="P8" s="20"/>
      <c r="Q8" s="20"/>
      <c r="R8" s="20"/>
      <c r="S8" s="25">
        <f>SUM(S5:S7)</f>
        <v>1</v>
      </c>
    </row>
    <row r="9" spans="1:81" x14ac:dyDescent="0.25">
      <c r="A9" s="40" t="s">
        <v>459</v>
      </c>
      <c r="B9" s="62">
        <v>43984</v>
      </c>
    </row>
    <row r="10" spans="1:81" x14ac:dyDescent="0.25">
      <c r="A10" s="40" t="s">
        <v>460</v>
      </c>
      <c r="B10" s="62">
        <v>43955</v>
      </c>
    </row>
    <row r="11" spans="1:81" x14ac:dyDescent="0.25">
      <c r="A11" s="46" t="s">
        <v>461</v>
      </c>
    </row>
    <row r="15" spans="1:81" x14ac:dyDescent="0.25">
      <c r="L15" s="54" t="s">
        <v>462</v>
      </c>
      <c r="M15" s="55"/>
      <c r="N15" s="55"/>
      <c r="X15" s="54" t="s">
        <v>463</v>
      </c>
      <c r="Y15" s="55"/>
      <c r="Z15" s="55"/>
      <c r="AC15" s="54" t="s">
        <v>464</v>
      </c>
      <c r="AD15" s="55"/>
      <c r="AE15" s="55"/>
      <c r="AH15" s="54" t="s">
        <v>465</v>
      </c>
      <c r="AI15" s="55"/>
      <c r="AJ15" s="55"/>
      <c r="AM15" s="54" t="s">
        <v>466</v>
      </c>
      <c r="AN15" s="55"/>
      <c r="AO15" s="55"/>
      <c r="AR15" s="54" t="s">
        <v>467</v>
      </c>
      <c r="AS15" s="55"/>
      <c r="AT15" s="55"/>
      <c r="AW15" s="54" t="s">
        <v>468</v>
      </c>
      <c r="AX15" s="55"/>
      <c r="AY15" s="55"/>
      <c r="BB15" s="54" t="s">
        <v>469</v>
      </c>
      <c r="BC15" s="55"/>
      <c r="BD15" s="55"/>
      <c r="BG15" s="54" t="s">
        <v>470</v>
      </c>
      <c r="BH15" s="55"/>
      <c r="BI15" s="55"/>
      <c r="BL15" s="54" t="s">
        <v>471</v>
      </c>
      <c r="BM15" s="55"/>
      <c r="BN15" s="55"/>
      <c r="BQ15" s="54" t="s">
        <v>472</v>
      </c>
      <c r="BR15" s="55"/>
      <c r="BS15" s="55"/>
      <c r="BV15" s="54" t="s">
        <v>473</v>
      </c>
      <c r="BW15" s="55"/>
      <c r="BX15" s="55"/>
      <c r="CA15" s="54" t="s">
        <v>474</v>
      </c>
      <c r="CB15" s="55"/>
      <c r="CC15" s="55"/>
    </row>
    <row r="16" spans="1:81" x14ac:dyDescent="0.25">
      <c r="K16" s="40" t="s">
        <v>445</v>
      </c>
      <c r="L16" s="18">
        <f>IFERROR(AVERAGEIF($E$23:$E$121,1,$B$23:$B$121),0)</f>
        <v>-1.324502471571354</v>
      </c>
      <c r="M16" s="18">
        <f>IFERROR(AVERAGEIF($E$23:$E$121,2,$B$23:$B$121),0)</f>
        <v>0.8773973250240229</v>
      </c>
      <c r="N16" s="18">
        <f>IFERROR(AVERAGEIF($E$23:$E$121,3,$B$23:$B$121),0)</f>
        <v>0.26254023056773862</v>
      </c>
      <c r="W16" s="40" t="s">
        <v>445</v>
      </c>
      <c r="X16" s="18">
        <f>INDEX($B$23:$B$121,MATCH($B$8,$A$23:$A$121,0))</f>
        <v>-1.5635495367852437</v>
      </c>
      <c r="Y16" s="18">
        <f>INDEX($B$23:$B$121,MATCH($B$9,$A$23:$A$121,0))</f>
        <v>1.2185188348904394</v>
      </c>
      <c r="Z16" s="18">
        <f>INDEX($B$23:$B$121,MATCH($B$10,$A$23:$A$121,0))</f>
        <v>0.66199293259454561</v>
      </c>
      <c r="AC16" s="18">
        <f>IFERROR(AVERAGEIF($AA$23:$AA$121,1,$B$23:$B$121),X16)</f>
        <v>-1.2151976710308898</v>
      </c>
      <c r="AD16" s="18">
        <f>IFERROR(AVERAGEIF($AA$23:$AA$121,2,$B$23:$B$121),Y16)</f>
        <v>0.77708933309772543</v>
      </c>
      <c r="AE16" s="18">
        <f>IFERROR(AVERAGEIF($AA$23:$AA$121,3,$B$23:$B$121),Z16)</f>
        <v>0.30299724407623491</v>
      </c>
      <c r="AH16" s="18">
        <f>IFERROR(AVERAGEIF($AF$23:$AF$121,1,$B$23:$B$121),AC16)</f>
        <v>-1.2845978120744688</v>
      </c>
      <c r="AI16" s="18">
        <f>IFERROR(AVERAGEIF($AF$23:$AF$121,2,$B$23:$B$121),AD16)</f>
        <v>0.86407474303368326</v>
      </c>
      <c r="AJ16" s="18">
        <f>IFERROR(AVERAGEIF($AF$23:$AF$121,3,$B$23:$B$121),AE16)</f>
        <v>0.26838511579783259</v>
      </c>
      <c r="AM16" s="18">
        <f>IFERROR(AVERAGEIF($AK$23:$AK$121,1,$B$23:$B$121),AH16)</f>
        <v>-1.324502471571354</v>
      </c>
      <c r="AN16" s="18">
        <f>IFERROR(AVERAGEIF($AK$23:$AK$121,2,$B$23:$B$121),AI16)</f>
        <v>0.8773973250240229</v>
      </c>
      <c r="AO16" s="18">
        <f>IFERROR(AVERAGEIF($AK$23:$AK$121,3,$B$23:$B$121),AJ16)</f>
        <v>0.26254023056773862</v>
      </c>
      <c r="AR16" s="18">
        <f>IFERROR(AVERAGEIF($AP$23:$AP$121,1,$B$23:$B$121),AM16)</f>
        <v>-1.324502471571354</v>
      </c>
      <c r="AS16" s="18">
        <f>IFERROR(AVERAGEIF($AP$23:$AP$121,2,$B$23:$B$121),AN16)</f>
        <v>0.8773973250240229</v>
      </c>
      <c r="AT16" s="18">
        <f>IFERROR(AVERAGEIF($AP$23:$AP$121,3,$B$23:$B$121),AO16)</f>
        <v>0.26254023056773862</v>
      </c>
      <c r="AW16" s="18">
        <f>IFERROR(AVERAGEIF($AU$23:$AU$121,1,$B$23:$B$121),AR16)</f>
        <v>-1.324502471571354</v>
      </c>
      <c r="AX16" s="18">
        <f>IFERROR(AVERAGEIF($AU$23:$AU$121,2,$B$23:$B$121),AS16)</f>
        <v>0.8773973250240229</v>
      </c>
      <c r="AY16" s="18">
        <f>IFERROR(AVERAGEIF($AU$23:$AU$121,3,$B$23:$B$121),AT16)</f>
        <v>0.26254023056773862</v>
      </c>
      <c r="BB16" s="18">
        <f>IFERROR(AVERAGEIF($AZ$23:$AZ$121,1,$B$23:$B$121),AW16)</f>
        <v>-1.324502471571354</v>
      </c>
      <c r="BC16" s="18">
        <f>IFERROR(AVERAGEIF($AZ$23:$AZ$121,2,$B$23:$B$121),AX16)</f>
        <v>0.8773973250240229</v>
      </c>
      <c r="BD16" s="18">
        <f>IFERROR(AVERAGEIF($AZ$23:$AZ$121,3,$B$23:$B$121),AY16)</f>
        <v>0.26254023056773862</v>
      </c>
      <c r="BG16" s="18">
        <f>IFERROR(AVERAGEIF($BE$23:$BE$121,1,$B$23:$B$121),BB16)</f>
        <v>-1.324502471571354</v>
      </c>
      <c r="BH16" s="18">
        <f>IFERROR(AVERAGEIF($BE$23:$BE$121,2,$B$23:$B$121),BC16)</f>
        <v>0.8773973250240229</v>
      </c>
      <c r="BI16" s="18">
        <f>IFERROR(AVERAGEIF($BE$23:$BE$121,3,$B$23:$B$121),BD16)</f>
        <v>0.26254023056773862</v>
      </c>
      <c r="BL16" s="18">
        <f>IFERROR(AVERAGEIF($BJ$23:$BJ$121,1,$B$23:$B$121),BG16)</f>
        <v>-1.324502471571354</v>
      </c>
      <c r="BM16" s="18">
        <f>IFERROR(AVERAGEIF($BJ$23:$BJ$121,2,$B$23:$B$121),BH16)</f>
        <v>0.8773973250240229</v>
      </c>
      <c r="BN16" s="18">
        <f>IFERROR(AVERAGEIF($BJ$23:$BJ$121,3,$B$23:$B$121),BI16)</f>
        <v>0.26254023056773862</v>
      </c>
      <c r="BQ16" s="18">
        <f>IFERROR(AVERAGEIF($BO$23:$BO$121,1,$B$23:$B$121),BL16)</f>
        <v>-1.324502471571354</v>
      </c>
      <c r="BR16" s="18">
        <f>IFERROR(AVERAGEIF($BO$23:$BO$121,2,$B$23:$B$121),BM16)</f>
        <v>0.8773973250240229</v>
      </c>
      <c r="BS16" s="18">
        <f>IFERROR(AVERAGEIF($BO$23:$BO$121,3,$B$23:$B$121),BN16)</f>
        <v>0.26254023056773862</v>
      </c>
      <c r="BV16" s="18">
        <f>IFERROR(AVERAGEIF($BT$23:$BT$121,1,$B$23:$B$121),BQ16)</f>
        <v>-1.324502471571354</v>
      </c>
      <c r="BW16" s="18">
        <f>IFERROR(AVERAGEIF($BT$23:$BT$121,2,$B$23:$B$121),BR16)</f>
        <v>0.8773973250240229</v>
      </c>
      <c r="BX16" s="18">
        <f>IFERROR(AVERAGEIF($BT$23:$BT$121,3,$B$23:$B$121),BS16)</f>
        <v>0.26254023056773862</v>
      </c>
      <c r="CA16" s="18">
        <f>IFERROR(AVERAGEIF($BY$23:$BY$121,1,$B$23:$B$121),BV16)</f>
        <v>-1.324502471571354</v>
      </c>
      <c r="CB16" s="18">
        <f>IFERROR(AVERAGEIF($BY$23:$BY$121,2,$B$23:$B$121),BW16)</f>
        <v>0.8773973250240229</v>
      </c>
      <c r="CC16" s="18">
        <f>IFERROR(AVERAGEIF($BY$23:$BY$121,3,$B$23:$B$121),BX16)</f>
        <v>0.26254023056773862</v>
      </c>
    </row>
    <row r="17" spans="1:82" x14ac:dyDescent="0.25">
      <c r="K17" s="40" t="s">
        <v>446</v>
      </c>
      <c r="L17" s="18">
        <f>IFERROR(AVERAGEIF($E$23:$E$121,1,$C$23:$C$121),0)</f>
        <v>-1.2968112708905621</v>
      </c>
      <c r="M17" s="18">
        <f>IFERROR(AVERAGEIF($E$23:$E$121,2,$C$23:$C$121),0)</f>
        <v>1.0916662371518879</v>
      </c>
      <c r="N17" s="18">
        <f>IFERROR(AVERAGEIF($E$23:$E$121,3,$C$23:$C$121),0)</f>
        <v>8.6847035862904792E-2</v>
      </c>
      <c r="W17" s="40" t="s">
        <v>446</v>
      </c>
      <c r="X17" s="18">
        <f>INDEX($C$23:$C$121,MATCH($B$8,$A$23:$A$121,0))</f>
        <v>-1.4074974765281474</v>
      </c>
      <c r="Y17" s="18">
        <f>INDEX($C$23:$C$121,MATCH($B$9,$A$23:$A$121,0))</f>
        <v>1.4772506522282982</v>
      </c>
      <c r="Z17" s="18">
        <f>INDEX($C$23:$C$121,MATCH($B$10,$A$23:$A$121,0))</f>
        <v>0.77813425505142164</v>
      </c>
      <c r="AC17" s="18">
        <f>IFERROR(AVERAGEIF($AA$23:$AA$121,1,$C$23:$C$121),X17)</f>
        <v>-1.2530949930234461</v>
      </c>
      <c r="AD17" s="18">
        <f>IFERROR(AVERAGEIF($AA$23:$AA$121,2,$C$23:$C$121),Y17)</f>
        <v>0.93886960801352459</v>
      </c>
      <c r="AE17" s="18">
        <f>IFERROR(AVERAGEIF($AA$23:$AA$121,3,$C$23:$C$121),Z17)</f>
        <v>0.15770746547624814</v>
      </c>
      <c r="AH17" s="18">
        <f>IFERROR(AVERAGEIF($AF$23:$AF$121,1,$C$23:$C$121),AC17)</f>
        <v>-1.2843987201992257</v>
      </c>
      <c r="AI17" s="18">
        <f>IFERROR(AVERAGEIF($AF$23:$AF$121,2,$C$23:$C$121),AD17)</f>
        <v>1.0591746902216077</v>
      </c>
      <c r="AJ17" s="18">
        <f>IFERROR(AVERAGEIF($AF$23:$AF$121,3,$C$23:$C$121),AE17)</f>
        <v>0.11315762792071045</v>
      </c>
      <c r="AM17" s="18">
        <f>IFERROR(AVERAGEIF($AK$23:$AK$121,1,$C$23:$C$121),AH17)</f>
        <v>-1.2968112708905621</v>
      </c>
      <c r="AN17" s="18">
        <f>IFERROR(AVERAGEIF($AK$23:$AK$121,2,$C$23:$C$121),AI17)</f>
        <v>1.0916662371518879</v>
      </c>
      <c r="AO17" s="18">
        <f>IFERROR(AVERAGEIF($AK$23:$AK$121,3,$C$23:$C$121),AJ17)</f>
        <v>8.6847035862904792E-2</v>
      </c>
      <c r="AR17" s="18">
        <f>IFERROR(AVERAGEIF($AP$23:$AP$121,1,$C$23:$C$121),AM17)</f>
        <v>-1.2968112708905621</v>
      </c>
      <c r="AS17" s="18">
        <f>IFERROR(AVERAGEIF($AP$23:$AP$121,2,$C$23:$C$121),AN17)</f>
        <v>1.0916662371518879</v>
      </c>
      <c r="AT17" s="18">
        <f>IFERROR(AVERAGEIF($AP$23:$AP$121,3,$C$23:$C$121),AO17)</f>
        <v>8.6847035862904792E-2</v>
      </c>
      <c r="AW17" s="18">
        <f>IFERROR(AVERAGEIF($AU$23:$AU$121,1,$C$23:$C$121),AR17)</f>
        <v>-1.2968112708905621</v>
      </c>
      <c r="AX17" s="18">
        <f>IFERROR(AVERAGEIF($AU$23:$AU$121,2,$C$23:$C$121),AS17)</f>
        <v>1.0916662371518879</v>
      </c>
      <c r="AY17" s="18">
        <f>IFERROR(AVERAGEIF($AU$23:$AU$121,3,$C$23:$C$121),AT17)</f>
        <v>8.6847035862904792E-2</v>
      </c>
      <c r="BB17" s="18">
        <f>IFERROR(AVERAGEIF($AZ$23:$AZ$121,1,$C$23:$C$121),AW17)</f>
        <v>-1.2968112708905621</v>
      </c>
      <c r="BC17" s="18">
        <f>IFERROR(AVERAGEIF($AZ$23:$AZ$121,2,$C$23:$C$121),AX17)</f>
        <v>1.0916662371518879</v>
      </c>
      <c r="BD17" s="18">
        <f>IFERROR(AVERAGEIF($AZ$23:$AZ$121,3,$C$23:$C$121),AY17)</f>
        <v>8.6847035862904792E-2</v>
      </c>
      <c r="BG17" s="18">
        <f>IFERROR(AVERAGEIF($BE$23:$BE$121,1,$C$23:$C$121),BB17)</f>
        <v>-1.2968112708905621</v>
      </c>
      <c r="BH17" s="18">
        <f>IFERROR(AVERAGEIF($BE$23:$BE$121,2,$C$23:$C$121),BC17)</f>
        <v>1.0916662371518879</v>
      </c>
      <c r="BI17" s="18">
        <f>IFERROR(AVERAGEIF($BE$23:$BE$121,3,$C$23:$C$121),BD17)</f>
        <v>8.6847035862904792E-2</v>
      </c>
      <c r="BL17" s="18">
        <f>IFERROR(AVERAGEIF($BJ$23:$BJ$121,1,$C$23:$C$121),BG17)</f>
        <v>-1.2968112708905621</v>
      </c>
      <c r="BM17" s="18">
        <f>IFERROR(AVERAGEIF($BJ$23:$BJ$121,2,$C$23:$C$121),BH17)</f>
        <v>1.0916662371518879</v>
      </c>
      <c r="BN17" s="18">
        <f>IFERROR(AVERAGEIF($BJ$23:$BJ$121,3,$C$23:$C$121),BI17)</f>
        <v>8.6847035862904792E-2</v>
      </c>
      <c r="BQ17" s="18">
        <f>IFERROR(AVERAGEIF($BO$23:$BO$121,1,$C$23:$C$121),BL17)</f>
        <v>-1.2968112708905621</v>
      </c>
      <c r="BR17" s="18">
        <f>IFERROR(AVERAGEIF($BO$23:$BO$121,2,$C$23:$C$121),BM17)</f>
        <v>1.0916662371518879</v>
      </c>
      <c r="BS17" s="18">
        <f>IFERROR(AVERAGEIF($BO$23:$BO$121,3,$C$23:$C$121),BN17)</f>
        <v>8.6847035862904792E-2</v>
      </c>
      <c r="BV17" s="18">
        <f>IFERROR(AVERAGEIF($BT$23:$BT$121,1,$C$23:$C$121),BQ17)</f>
        <v>-1.2968112708905621</v>
      </c>
      <c r="BW17" s="18">
        <f>IFERROR(AVERAGEIF($BT$23:$BT$121,2,$C$23:$C$121),BR17)</f>
        <v>1.0916662371518879</v>
      </c>
      <c r="BX17" s="18">
        <f>IFERROR(AVERAGEIF($BT$23:$BT$121,3,$C$23:$C$121),BS17)</f>
        <v>8.6847035862904792E-2</v>
      </c>
      <c r="CA17" s="18">
        <f>IFERROR(AVERAGEIF($BY$23:$BY$121,1,$C$23:$C$121),BV17)</f>
        <v>-1.2968112708905621</v>
      </c>
      <c r="CB17" s="18">
        <f>IFERROR(AVERAGEIF($BY$23:$BY$121,2,$C$23:$C$121),BW17)</f>
        <v>1.0916662371518879</v>
      </c>
      <c r="CC17" s="18">
        <f>IFERROR(AVERAGEIF($BY$23:$BY$121,3,$C$23:$C$121),BX17)</f>
        <v>8.6847035862904792E-2</v>
      </c>
    </row>
    <row r="18" spans="1:82" x14ac:dyDescent="0.25">
      <c r="K18" s="40" t="s">
        <v>447</v>
      </c>
      <c r="L18" s="18">
        <f>IFERROR(AVERAGEIF($E$23:$E$121,1,$D$23:$D$121),0)</f>
        <v>-1.188726203242443</v>
      </c>
      <c r="M18" s="18">
        <f>IFERROR(AVERAGEIF($E$23:$E$121,2,$D$23:$D$121),0)</f>
        <v>1.1488720959348491</v>
      </c>
      <c r="N18" s="18">
        <f>IFERROR(AVERAGEIF($E$23:$E$121,3,$D$23:$D$121),0)</f>
        <v>-2.8825102128221248E-2</v>
      </c>
      <c r="W18" s="40" t="s">
        <v>447</v>
      </c>
      <c r="X18" s="18">
        <f>INDEX($D$23:$D$121,MATCH($B$8,$A$23:$A$121,0))</f>
        <v>-1.2777880506003427</v>
      </c>
      <c r="Y18" s="18">
        <f>INDEX($D$23:$D$121,MATCH($B$9,$A$23:$A$121,0))</f>
        <v>1.642345471921967</v>
      </c>
      <c r="Z18" s="18">
        <f>INDEX($D$23:$D$121,MATCH($B$10,$A$23:$A$121,0))</f>
        <v>-1.2777880506003427</v>
      </c>
      <c r="AC18" s="18">
        <f>IFERROR(AVERAGEIF($AA$23:$AA$121,1,$D$23:$D$121),X18)</f>
        <v>-1.116074359385856</v>
      </c>
      <c r="AD18" s="18">
        <f>IFERROR(AVERAGEIF($AA$23:$AA$121,2,$D$23:$D$121),Y18)</f>
        <v>1.075406709928566</v>
      </c>
      <c r="AE18" s="18">
        <f>IFERROR(AVERAGEIF($AA$23:$AA$121,3,$D$23:$D$121),Z18)</f>
        <v>-0.12863551301458892</v>
      </c>
      <c r="AH18" s="18">
        <f>IFERROR(AVERAGEIF($AF$23:$AF$121,1,$D$23:$D$121),AC18)</f>
        <v>-1.1679521419538692</v>
      </c>
      <c r="AI18" s="18">
        <f>IFERROR(AVERAGEIF($AF$23:$AF$121,2,$D$23:$D$121),AD18)</f>
        <v>1.1401519761497836</v>
      </c>
      <c r="AJ18" s="18">
        <f>IFERROR(AVERAGEIF($AF$23:$AF$121,3,$D$23:$D$121),AE18)</f>
        <v>-3.7797413948232939E-2</v>
      </c>
      <c r="AM18" s="18">
        <f>IFERROR(AVERAGEIF($AK$23:$AK$121,1,$D$23:$D$121),AH18)</f>
        <v>-1.188726203242443</v>
      </c>
      <c r="AN18" s="18">
        <f>IFERROR(AVERAGEIF($AK$23:$AK$121,2,$D$23:$D$121),AI18)</f>
        <v>1.1488720959348491</v>
      </c>
      <c r="AO18" s="18">
        <f>IFERROR(AVERAGEIF($AK$23:$AK$121,3,$D$23:$D$121),AJ18)</f>
        <v>-2.8825102128221248E-2</v>
      </c>
      <c r="AR18" s="18">
        <f>IFERROR(AVERAGEIF($AP$23:$AP$121,1,$D$23:$D$121),AM18)</f>
        <v>-1.188726203242443</v>
      </c>
      <c r="AS18" s="18">
        <f>IFERROR(AVERAGEIF($AP$23:$AP$121,2,$D$23:$D$121),AN18)</f>
        <v>1.1488720959348491</v>
      </c>
      <c r="AT18" s="18">
        <f>IFERROR(AVERAGEIF($AP$23:$AP$121,3,$D$23:$D$121),AO18)</f>
        <v>-2.8825102128221248E-2</v>
      </c>
      <c r="AW18" s="18">
        <f>IFERROR(AVERAGEIF($AU$23:$AU$121,1,$D$23:$D$121),AR18)</f>
        <v>-1.188726203242443</v>
      </c>
      <c r="AX18" s="18">
        <f>IFERROR(AVERAGEIF($AU$23:$AU$121,2,$D$23:$D$121),AS18)</f>
        <v>1.1488720959348491</v>
      </c>
      <c r="AY18" s="18">
        <f>IFERROR(AVERAGEIF($AU$23:$AU$121,3,$D$23:$D$121),AT18)</f>
        <v>-2.8825102128221248E-2</v>
      </c>
      <c r="BB18" s="18">
        <f>IFERROR(AVERAGEIF($AZ$23:$AZ$121,1,$D$23:$D$121),AW18)</f>
        <v>-1.188726203242443</v>
      </c>
      <c r="BC18" s="18">
        <f>IFERROR(AVERAGEIF($AZ$23:$AZ$121,2,$D$23:$D$121),AX18)</f>
        <v>1.1488720959348491</v>
      </c>
      <c r="BD18" s="18">
        <f>IFERROR(AVERAGEIF($AZ$23:$AZ$121,3,$D$23:$D$121),AY18)</f>
        <v>-2.8825102128221248E-2</v>
      </c>
      <c r="BG18" s="18">
        <f>IFERROR(AVERAGEIF($BE$23:$BE$121,1,$D$23:$D$121),BB18)</f>
        <v>-1.188726203242443</v>
      </c>
      <c r="BH18" s="18">
        <f>IFERROR(AVERAGEIF($BE$23:$BE$121,2,$D$23:$D$121),BC18)</f>
        <v>1.1488720959348491</v>
      </c>
      <c r="BI18" s="18">
        <f>IFERROR(AVERAGEIF($BE$23:$BE$121,3,$D$23:$D$121),BD18)</f>
        <v>-2.8825102128221248E-2</v>
      </c>
      <c r="BL18" s="18">
        <f>IFERROR(AVERAGEIF($BJ$23:$BJ$121,1,$D$23:$D$121),BG18)</f>
        <v>-1.188726203242443</v>
      </c>
      <c r="BM18" s="18">
        <f>IFERROR(AVERAGEIF($BJ$23:$BJ$121,2,$D$23:$D$121),BH18)</f>
        <v>1.1488720959348491</v>
      </c>
      <c r="BN18" s="18">
        <f>IFERROR(AVERAGEIF($BJ$23:$BJ$121,3,$D$23:$D$121),BI18)</f>
        <v>-2.8825102128221248E-2</v>
      </c>
      <c r="BQ18" s="18">
        <f>IFERROR(AVERAGEIF($BO$23:$BO$121,1,$D$23:$D$121),BL18)</f>
        <v>-1.188726203242443</v>
      </c>
      <c r="BR18" s="18">
        <f>IFERROR(AVERAGEIF($BO$23:$BO$121,2,$D$23:$D$121),BM18)</f>
        <v>1.1488720959348491</v>
      </c>
      <c r="BS18" s="18">
        <f>IFERROR(AVERAGEIF($BO$23:$BO$121,3,$D$23:$D$121),BN18)</f>
        <v>-2.8825102128221248E-2</v>
      </c>
      <c r="BV18" s="18">
        <f>IFERROR(AVERAGEIF($BT$23:$BT$121,1,$D$23:$D$121),BQ18)</f>
        <v>-1.188726203242443</v>
      </c>
      <c r="BW18" s="18">
        <f>IFERROR(AVERAGEIF($BT$23:$BT$121,2,$D$23:$D$121),BR18)</f>
        <v>1.1488720959348491</v>
      </c>
      <c r="BX18" s="18">
        <f>IFERROR(AVERAGEIF($BT$23:$BT$121,3,$D$23:$D$121),BS18)</f>
        <v>-2.8825102128221248E-2</v>
      </c>
      <c r="CA18" s="18">
        <f>IFERROR(AVERAGEIF($BY$23:$BY$121,1,$D$23:$D$121),BV18)</f>
        <v>-1.188726203242443</v>
      </c>
      <c r="CB18" s="18">
        <f>IFERROR(AVERAGEIF($BY$23:$BY$121,2,$D$23:$D$121),BW18)</f>
        <v>1.1488720959348491</v>
      </c>
      <c r="CC18" s="18">
        <f>IFERROR(AVERAGEIF($BY$23:$BY$121,3,$D$23:$D$121),BX18)</f>
        <v>-2.8825102128221248E-2</v>
      </c>
    </row>
    <row r="19" spans="1:82" x14ac:dyDescent="0.25">
      <c r="K19" s="40" t="s">
        <v>475</v>
      </c>
      <c r="L19" s="16">
        <f>COUNTIF($E$23:$E$121,1)</f>
        <v>28</v>
      </c>
      <c r="M19" s="16">
        <f>COUNTIF($E$23:$E$121,2)</f>
        <v>30</v>
      </c>
      <c r="N19" s="16">
        <f>COUNTIF($E$23:$E$121,3)</f>
        <v>41</v>
      </c>
      <c r="W19" s="40" t="s">
        <v>475</v>
      </c>
      <c r="X19" s="16">
        <f>COUNTIF($AA$23:$AA$121,1)</f>
        <v>31</v>
      </c>
      <c r="Y19" s="16">
        <f>COUNTIF($AA$23:$AA$121,2)</f>
        <v>36</v>
      </c>
      <c r="Z19" s="16">
        <f>COUNTIF($AA$23:$AA$121,3)</f>
        <v>32</v>
      </c>
      <c r="AC19" s="16">
        <f>COUNTIF($AF$23:$AF$121,1)</f>
        <v>29</v>
      </c>
      <c r="AD19" s="16">
        <f>COUNTIF($AF$23:$AF$121,2)</f>
        <v>31</v>
      </c>
      <c r="AE19" s="16">
        <f>COUNTIF($AF$23:$AF$121,3)</f>
        <v>39</v>
      </c>
      <c r="AH19" s="16">
        <f>COUNTIF($AK$23:$AK$121,1)</f>
        <v>28</v>
      </c>
      <c r="AI19" s="16">
        <f>COUNTIF($AK$23:$AK$121,2)</f>
        <v>30</v>
      </c>
      <c r="AJ19" s="16">
        <f>COUNTIF($AK$23:$AK$121,3)</f>
        <v>41</v>
      </c>
      <c r="AM19" s="16">
        <f>COUNTIF($AP$23:$AP$121,1)</f>
        <v>28</v>
      </c>
      <c r="AN19" s="16">
        <f>COUNTIF($AP$23:$AP$121,2)</f>
        <v>30</v>
      </c>
      <c r="AO19" s="16">
        <f>COUNTIF($AP$23:$AP$121,3)</f>
        <v>41</v>
      </c>
      <c r="AR19" s="16">
        <f>COUNTIF($AU$23:$AU$121,1)</f>
        <v>28</v>
      </c>
      <c r="AS19" s="16">
        <f>COUNTIF($AU$23:$AU$121,2)</f>
        <v>30</v>
      </c>
      <c r="AT19" s="16">
        <f>COUNTIF($AU$23:$AU$121,3)</f>
        <v>41</v>
      </c>
      <c r="AW19" s="16">
        <f>COUNTIF($AZ$23:$AZ$121,1)</f>
        <v>28</v>
      </c>
      <c r="AX19" s="16">
        <f>COUNTIF($AZ$23:$AZ$121,2)</f>
        <v>30</v>
      </c>
      <c r="AY19" s="16">
        <f>COUNTIF($AZ$23:$AZ$121,3)</f>
        <v>41</v>
      </c>
      <c r="BB19" s="16">
        <f>COUNTIF($BE$23:$BE$121,1)</f>
        <v>28</v>
      </c>
      <c r="BC19" s="16">
        <f>COUNTIF($BE$23:$BE$121,2)</f>
        <v>30</v>
      </c>
      <c r="BD19" s="16">
        <f>COUNTIF($BE$23:$BE$121,3)</f>
        <v>41</v>
      </c>
      <c r="BG19" s="16">
        <f>COUNTIF($BJ$23:$BJ$121,1)</f>
        <v>28</v>
      </c>
      <c r="BH19" s="16">
        <f>COUNTIF($BJ$23:$BJ$121,2)</f>
        <v>30</v>
      </c>
      <c r="BI19" s="16">
        <f>COUNTIF($BJ$23:$BJ$121,3)</f>
        <v>41</v>
      </c>
      <c r="BL19" s="16">
        <f>COUNTIF($BO$23:$BO$121,1)</f>
        <v>28</v>
      </c>
      <c r="BM19" s="16">
        <f>COUNTIF($BO$23:$BO$121,2)</f>
        <v>30</v>
      </c>
      <c r="BN19" s="16">
        <f>COUNTIF($BO$23:$BO$121,3)</f>
        <v>41</v>
      </c>
      <c r="BQ19" s="16">
        <f>COUNTIF($BT$23:$BT$121,1)</f>
        <v>28</v>
      </c>
      <c r="BR19" s="16">
        <f>COUNTIF($BT$23:$BT$121,2)</f>
        <v>30</v>
      </c>
      <c r="BS19" s="16">
        <f>COUNTIF($BT$23:$BT$121,3)</f>
        <v>41</v>
      </c>
      <c r="BV19" s="16">
        <f>COUNTIF($BY$23:$BY$121,1)</f>
        <v>28</v>
      </c>
      <c r="BW19" s="16">
        <f>COUNTIF($BY$23:$BY$121,2)</f>
        <v>30</v>
      </c>
      <c r="BX19" s="16">
        <f>COUNTIF($BY$23:$BY$121,3)</f>
        <v>41</v>
      </c>
      <c r="CA19" s="16">
        <f>COUNTIF($CD$23:$CD$121,1)</f>
        <v>28</v>
      </c>
      <c r="CB19" s="16">
        <f>COUNTIF($CD$23:$CD$121,2)</f>
        <v>30</v>
      </c>
      <c r="CC19" s="16">
        <f>COUNTIF($CD$23:$CD$121,3)</f>
        <v>41</v>
      </c>
    </row>
    <row r="20" spans="1:82" x14ac:dyDescent="0.25">
      <c r="K20" s="40" t="s">
        <v>476</v>
      </c>
      <c r="L20" s="18">
        <f>SUMIF($E$23:$E$121,1,$F$23:$F$121)</f>
        <v>19.069733796300604</v>
      </c>
      <c r="M20" s="18">
        <f>SUMIF($E$23:$E$121,2,$F$23:$F$121)</f>
        <v>6.9704783766760716</v>
      </c>
      <c r="N20" s="18">
        <f>SUMIF($E$23:$E$121,3,$F$23:$F$121)</f>
        <v>30.571715362162827</v>
      </c>
      <c r="W20" s="40" t="s">
        <v>477</v>
      </c>
      <c r="AA20" s="13" t="s">
        <v>478</v>
      </c>
      <c r="AF20" s="16">
        <f>SUMPRODUCT(--($AF$23:$AF$121&lt;&gt;$AA$23:$AA$121))</f>
        <v>7</v>
      </c>
      <c r="AK20" s="16">
        <f>SUMPRODUCT(--($AK$23:$AK$121&lt;&gt;$AF$23:$AF$121))</f>
        <v>2</v>
      </c>
      <c r="AP20" s="16">
        <f>SUMPRODUCT(--($AP$23:$AP$121&lt;&gt;$AK$23:$AK$121))</f>
        <v>0</v>
      </c>
      <c r="AU20" s="16">
        <f>SUMPRODUCT(--($AU$23:$AU$121&lt;&gt;$AP$23:$AP$121))</f>
        <v>0</v>
      </c>
      <c r="AZ20" s="16">
        <f>SUMPRODUCT(--($AZ$23:$AZ$121&lt;&gt;$AU$23:$AU$121))</f>
        <v>0</v>
      </c>
      <c r="BE20" s="16">
        <f>SUMPRODUCT(--($BE$23:$BE$121&lt;&gt;$AZ$23:$AZ$121))</f>
        <v>0</v>
      </c>
      <c r="BJ20" s="16">
        <f>SUMPRODUCT(--($BJ$23:$BJ$121&lt;&gt;$BE$23:$BE$121))</f>
        <v>0</v>
      </c>
      <c r="BO20" s="16">
        <f>SUMPRODUCT(--($BO$23:$BO$121&lt;&gt;$BJ$23:$BJ$121))</f>
        <v>0</v>
      </c>
      <c r="BT20" s="16">
        <f>SUMPRODUCT(--($BT$23:$BT$121&lt;&gt;$BO$23:$BO$121))</f>
        <v>0</v>
      </c>
      <c r="BY20" s="16">
        <f>SUMPRODUCT(--($BY$23:$BY$121&lt;&gt;$BT$23:$BT$121))</f>
        <v>0</v>
      </c>
      <c r="CD20" s="16">
        <f>SUMPRODUCT(--($CD$23:$CD$121&lt;&gt;$BY$23:$BY$121))</f>
        <v>0</v>
      </c>
    </row>
    <row r="21" spans="1:82" x14ac:dyDescent="0.25">
      <c r="K21" s="40" t="s">
        <v>270</v>
      </c>
      <c r="L21" s="57">
        <f>SUM($F$23:$F$121)</f>
        <v>56.611927535139529</v>
      </c>
      <c r="M21" s="40" t="s">
        <v>52</v>
      </c>
      <c r="N21" s="36" t="str">
        <f>IF(CD20=0,"Converged","Not converged: more iterations needed")</f>
        <v>Converged</v>
      </c>
    </row>
    <row r="22" spans="1:82" ht="31.5" customHeight="1" x14ac:dyDescent="0.25">
      <c r="A22" s="11" t="s">
        <v>479</v>
      </c>
      <c r="B22" s="11" t="s">
        <v>445</v>
      </c>
      <c r="C22" s="11" t="s">
        <v>446</v>
      </c>
      <c r="D22" s="11" t="s">
        <v>447</v>
      </c>
      <c r="E22" s="11" t="s">
        <v>451</v>
      </c>
      <c r="F22" s="11" t="s">
        <v>480</v>
      </c>
      <c r="G22" s="11" t="s">
        <v>452</v>
      </c>
      <c r="X22" s="11" t="s">
        <v>484</v>
      </c>
      <c r="Y22" s="11" t="s">
        <v>485</v>
      </c>
      <c r="Z22" s="11" t="s">
        <v>486</v>
      </c>
      <c r="AA22" s="11" t="s">
        <v>451</v>
      </c>
      <c r="AC22" s="11" t="s">
        <v>484</v>
      </c>
      <c r="AD22" s="11" t="s">
        <v>485</v>
      </c>
      <c r="AE22" s="11" t="s">
        <v>486</v>
      </c>
      <c r="AF22" s="11" t="s">
        <v>451</v>
      </c>
      <c r="AH22" s="11" t="s">
        <v>484</v>
      </c>
      <c r="AI22" s="11" t="s">
        <v>485</v>
      </c>
      <c r="AJ22" s="11" t="s">
        <v>486</v>
      </c>
      <c r="AK22" s="11" t="s">
        <v>451</v>
      </c>
      <c r="AM22" s="11" t="s">
        <v>484</v>
      </c>
      <c r="AN22" s="11" t="s">
        <v>485</v>
      </c>
      <c r="AO22" s="11" t="s">
        <v>486</v>
      </c>
      <c r="AP22" s="11" t="s">
        <v>451</v>
      </c>
      <c r="AR22" s="11" t="s">
        <v>484</v>
      </c>
      <c r="AS22" s="11" t="s">
        <v>485</v>
      </c>
      <c r="AT22" s="11" t="s">
        <v>486</v>
      </c>
      <c r="AU22" s="11" t="s">
        <v>451</v>
      </c>
      <c r="AW22" s="11" t="s">
        <v>484</v>
      </c>
      <c r="AX22" s="11" t="s">
        <v>485</v>
      </c>
      <c r="AY22" s="11" t="s">
        <v>486</v>
      </c>
      <c r="AZ22" s="11" t="s">
        <v>451</v>
      </c>
      <c r="BB22" s="11" t="s">
        <v>484</v>
      </c>
      <c r="BC22" s="11" t="s">
        <v>485</v>
      </c>
      <c r="BD22" s="11" t="s">
        <v>486</v>
      </c>
      <c r="BE22" s="11" t="s">
        <v>451</v>
      </c>
      <c r="BG22" s="11" t="s">
        <v>484</v>
      </c>
      <c r="BH22" s="11" t="s">
        <v>485</v>
      </c>
      <c r="BI22" s="11" t="s">
        <v>486</v>
      </c>
      <c r="BJ22" s="11" t="s">
        <v>451</v>
      </c>
      <c r="BL22" s="11" t="s">
        <v>484</v>
      </c>
      <c r="BM22" s="11" t="s">
        <v>485</v>
      </c>
      <c r="BN22" s="11" t="s">
        <v>486</v>
      </c>
      <c r="BO22" s="11" t="s">
        <v>451</v>
      </c>
      <c r="BQ22" s="11" t="s">
        <v>484</v>
      </c>
      <c r="BR22" s="11" t="s">
        <v>485</v>
      </c>
      <c r="BS22" s="11" t="s">
        <v>486</v>
      </c>
      <c r="BT22" s="11" t="s">
        <v>451</v>
      </c>
      <c r="BV22" s="11" t="s">
        <v>484</v>
      </c>
      <c r="BW22" s="11" t="s">
        <v>485</v>
      </c>
      <c r="BX22" s="11" t="s">
        <v>486</v>
      </c>
      <c r="BY22" s="11" t="s">
        <v>451</v>
      </c>
      <c r="CA22" s="11" t="s">
        <v>484</v>
      </c>
      <c r="CB22" s="11" t="s">
        <v>485</v>
      </c>
      <c r="CC22" s="11" t="s">
        <v>486</v>
      </c>
      <c r="CD22" s="11" t="s">
        <v>451</v>
      </c>
    </row>
    <row r="23" spans="1:82" x14ac:dyDescent="0.25">
      <c r="A23" s="63">
        <f>Phase_Data!A5</f>
        <v>43887</v>
      </c>
      <c r="B23" s="18">
        <f>Phase_Data!K5</f>
        <v>-1.5635495367852437</v>
      </c>
      <c r="C23" s="18">
        <f>Phase_Data!L5</f>
        <v>-1.4074974765281474</v>
      </c>
      <c r="D23" s="18">
        <f>Phase_Data!M5</f>
        <v>-1.2777880506003427</v>
      </c>
      <c r="E23" s="56">
        <f t="shared" ref="E23:E54" si="0">CD23</f>
        <v>1</v>
      </c>
      <c r="F23" s="38">
        <f t="shared" ref="F23:F54" si="1">($B23-INDEX($L$16:$N$16,E23))^2+($C23-INDEX($L$17:$N$17,E23))^2+($D23-INDEX($L$18:$N$18,E23))^2</f>
        <v>7.7326948160621231E-2</v>
      </c>
      <c r="G23" s="13" t="str">
        <f t="shared" ref="G23:G54" si="2">INDEX($M$5:$M$7,E23)</f>
        <v>Low activity</v>
      </c>
      <c r="X23" s="18">
        <f t="shared" ref="X23:Z42" si="3">SQRT(($B23-X$16)^2+($C23-X$17)^2+($D23-X$18)^2)</f>
        <v>0</v>
      </c>
      <c r="Y23" s="18">
        <f t="shared" si="3"/>
        <v>4.9587151541907053</v>
      </c>
      <c r="Z23" s="18">
        <f t="shared" si="3"/>
        <v>3.1192988553680774</v>
      </c>
      <c r="AA23" s="56">
        <f t="shared" ref="AA23:AA54" si="4">MATCH(MIN(X23:Z23),X23:Z23,0)</f>
        <v>1</v>
      </c>
      <c r="AC23" s="18">
        <f t="shared" ref="AC23:AE42" si="5">SQRT(($B23-AC$16)^2+($C23-AC$17)^2+($D23-AC$18)^2)</f>
        <v>0.41393292598339321</v>
      </c>
      <c r="AD23" s="18">
        <f t="shared" si="5"/>
        <v>4.0646714991015349</v>
      </c>
      <c r="AE23" s="18">
        <f t="shared" si="5"/>
        <v>2.6934021144751314</v>
      </c>
      <c r="AF23" s="56">
        <f t="shared" ref="AF23:AF54" si="6">MATCH(MIN(AC23:AE23),AC23:AE23,0)</f>
        <v>1</v>
      </c>
      <c r="AH23" s="18">
        <f t="shared" ref="AH23:AJ42" si="7">SQRT(($B23-AH$16)^2+($C23-AH$17)^2+($D23-AH$18)^2)</f>
        <v>0.32408532110701904</v>
      </c>
      <c r="AI23" s="18">
        <f t="shared" si="7"/>
        <v>4.2218793439823337</v>
      </c>
      <c r="AJ23" s="18">
        <f t="shared" si="7"/>
        <v>2.6843906751823492</v>
      </c>
      <c r="AK23" s="56">
        <f t="shared" ref="AK23:AK54" si="8">MATCH(MIN(AH23:AJ23),AH23:AJ23,0)</f>
        <v>1</v>
      </c>
      <c r="AM23" s="18">
        <f t="shared" ref="AM23:AO42" si="9">SQRT(($B23-AM$16)^2+($C23-AM$17)^2+($D23-AM$18)^2)</f>
        <v>0.27807723416457741</v>
      </c>
      <c r="AN23" s="18">
        <f t="shared" si="9"/>
        <v>4.2535538455194954</v>
      </c>
      <c r="AO23" s="18">
        <f t="shared" si="9"/>
        <v>2.6697523867955799</v>
      </c>
      <c r="AP23" s="56">
        <f t="shared" ref="AP23:AP54" si="10">MATCH(MIN(AM23:AO23),AM23:AO23,0)</f>
        <v>1</v>
      </c>
      <c r="AR23" s="18">
        <f t="shared" ref="AR23:AT42" si="11">SQRT(($B23-AR$16)^2+($C23-AR$17)^2+($D23-AR$18)^2)</f>
        <v>0.27807723416457741</v>
      </c>
      <c r="AS23" s="18">
        <f t="shared" si="11"/>
        <v>4.2535538455194954</v>
      </c>
      <c r="AT23" s="18">
        <f t="shared" si="11"/>
        <v>2.6697523867955799</v>
      </c>
      <c r="AU23" s="56">
        <f t="shared" ref="AU23:AU54" si="12">MATCH(MIN(AR23:AT23),AR23:AT23,0)</f>
        <v>1</v>
      </c>
      <c r="AW23" s="18">
        <f t="shared" ref="AW23:AY42" si="13">SQRT(($B23-AW$16)^2+($C23-AW$17)^2+($D23-AW$18)^2)</f>
        <v>0.27807723416457741</v>
      </c>
      <c r="AX23" s="18">
        <f t="shared" si="13"/>
        <v>4.2535538455194954</v>
      </c>
      <c r="AY23" s="18">
        <f t="shared" si="13"/>
        <v>2.6697523867955799</v>
      </c>
      <c r="AZ23" s="56">
        <f t="shared" ref="AZ23:AZ54" si="14">MATCH(MIN(AW23:AY23),AW23:AY23,0)</f>
        <v>1</v>
      </c>
      <c r="BB23" s="18">
        <f t="shared" ref="BB23:BD42" si="15">SQRT(($B23-BB$16)^2+($C23-BB$17)^2+($D23-BB$18)^2)</f>
        <v>0.27807723416457741</v>
      </c>
      <c r="BC23" s="18">
        <f t="shared" si="15"/>
        <v>4.2535538455194954</v>
      </c>
      <c r="BD23" s="18">
        <f t="shared" si="15"/>
        <v>2.6697523867955799</v>
      </c>
      <c r="BE23" s="56">
        <f t="shared" ref="BE23:BE54" si="16">MATCH(MIN(BB23:BD23),BB23:BD23,0)</f>
        <v>1</v>
      </c>
      <c r="BG23" s="18">
        <f t="shared" ref="BG23:BI42" si="17">SQRT(($B23-BG$16)^2+($C23-BG$17)^2+($D23-BG$18)^2)</f>
        <v>0.27807723416457741</v>
      </c>
      <c r="BH23" s="18">
        <f t="shared" si="17"/>
        <v>4.2535538455194954</v>
      </c>
      <c r="BI23" s="18">
        <f t="shared" si="17"/>
        <v>2.6697523867955799</v>
      </c>
      <c r="BJ23" s="56">
        <f t="shared" ref="BJ23:BJ54" si="18">MATCH(MIN(BG23:BI23),BG23:BI23,0)</f>
        <v>1</v>
      </c>
      <c r="BL23" s="18">
        <f t="shared" ref="BL23:BN42" si="19">SQRT(($B23-BL$16)^2+($C23-BL$17)^2+($D23-BL$18)^2)</f>
        <v>0.27807723416457741</v>
      </c>
      <c r="BM23" s="18">
        <f t="shared" si="19"/>
        <v>4.2535538455194954</v>
      </c>
      <c r="BN23" s="18">
        <f t="shared" si="19"/>
        <v>2.6697523867955799</v>
      </c>
      <c r="BO23" s="56">
        <f t="shared" ref="BO23:BO54" si="20">MATCH(MIN(BL23:BN23),BL23:BN23,0)</f>
        <v>1</v>
      </c>
      <c r="BQ23" s="18">
        <f t="shared" ref="BQ23:BS42" si="21">SQRT(($B23-BQ$16)^2+($C23-BQ$17)^2+($D23-BQ$18)^2)</f>
        <v>0.27807723416457741</v>
      </c>
      <c r="BR23" s="18">
        <f t="shared" si="21"/>
        <v>4.2535538455194954</v>
      </c>
      <c r="BS23" s="18">
        <f t="shared" si="21"/>
        <v>2.6697523867955799</v>
      </c>
      <c r="BT23" s="56">
        <f t="shared" ref="BT23:BT54" si="22">MATCH(MIN(BQ23:BS23),BQ23:BS23,0)</f>
        <v>1</v>
      </c>
      <c r="BV23" s="18">
        <f t="shared" ref="BV23:BX42" si="23">SQRT(($B23-BV$16)^2+($C23-BV$17)^2+($D23-BV$18)^2)</f>
        <v>0.27807723416457741</v>
      </c>
      <c r="BW23" s="18">
        <f t="shared" si="23"/>
        <v>4.2535538455194954</v>
      </c>
      <c r="BX23" s="18">
        <f t="shared" si="23"/>
        <v>2.6697523867955799</v>
      </c>
      <c r="BY23" s="56">
        <f t="shared" ref="BY23:BY54" si="24">MATCH(MIN(BV23:BX23),BV23:BX23,0)</f>
        <v>1</v>
      </c>
      <c r="CA23" s="18">
        <f t="shared" ref="CA23:CC42" si="25">SQRT(($B23-CA$16)^2+($C23-CA$17)^2+($D23-CA$18)^2)</f>
        <v>0.27807723416457741</v>
      </c>
      <c r="CB23" s="18">
        <f t="shared" si="25"/>
        <v>4.2535538455194954</v>
      </c>
      <c r="CC23" s="18">
        <f t="shared" si="25"/>
        <v>2.6697523867955799</v>
      </c>
      <c r="CD23" s="56">
        <f t="shared" ref="CD23:CD54" si="26">MATCH(MIN(CA23:CC23),CA23:CC23,0)</f>
        <v>1</v>
      </c>
    </row>
    <row r="24" spans="1:82" x14ac:dyDescent="0.25">
      <c r="A24" s="63">
        <f>Phase_Data!A6</f>
        <v>43888</v>
      </c>
      <c r="B24" s="18">
        <f>Phase_Data!K6</f>
        <v>-2.1171471176186549</v>
      </c>
      <c r="C24" s="18">
        <f>Phase_Data!L6</f>
        <v>-1.4074974765281474</v>
      </c>
      <c r="D24" s="18">
        <f>Phase_Data!M6</f>
        <v>-1.2777880506003427</v>
      </c>
      <c r="E24" s="56">
        <f t="shared" si="0"/>
        <v>1</v>
      </c>
      <c r="F24" s="38">
        <f t="shared" si="1"/>
        <v>0.6484689836806985</v>
      </c>
      <c r="G24" s="13" t="str">
        <f t="shared" si="2"/>
        <v>Low activity</v>
      </c>
      <c r="X24" s="18">
        <f t="shared" si="3"/>
        <v>0.55359758083341126</v>
      </c>
      <c r="Y24" s="18">
        <f t="shared" si="3"/>
        <v>5.2891983232292183</v>
      </c>
      <c r="Z24" s="18">
        <f t="shared" si="3"/>
        <v>3.5356195333755212</v>
      </c>
      <c r="AA24" s="56">
        <f t="shared" si="4"/>
        <v>1</v>
      </c>
      <c r="AC24" s="18">
        <f t="shared" si="5"/>
        <v>0.9292492932677483</v>
      </c>
      <c r="AD24" s="18">
        <f t="shared" si="5"/>
        <v>4.4067639724696681</v>
      </c>
      <c r="AE24" s="18">
        <f t="shared" si="5"/>
        <v>3.1028240034778518</v>
      </c>
      <c r="AF24" s="56">
        <f t="shared" si="6"/>
        <v>1</v>
      </c>
      <c r="AH24" s="18">
        <f t="shared" si="7"/>
        <v>0.84873763720011286</v>
      </c>
      <c r="AI24" s="18">
        <f t="shared" si="7"/>
        <v>4.5627392357672294</v>
      </c>
      <c r="AJ24" s="18">
        <f t="shared" si="7"/>
        <v>3.0888076603020016</v>
      </c>
      <c r="AK24" s="56">
        <f t="shared" si="8"/>
        <v>1</v>
      </c>
      <c r="AM24" s="18">
        <f t="shared" si="9"/>
        <v>0.80527571904329664</v>
      </c>
      <c r="AN24" s="18">
        <f t="shared" si="9"/>
        <v>4.5936690296014282</v>
      </c>
      <c r="AO24" s="18">
        <f t="shared" si="9"/>
        <v>3.0750424132827527</v>
      </c>
      <c r="AP24" s="56">
        <f t="shared" si="10"/>
        <v>1</v>
      </c>
      <c r="AR24" s="18">
        <f t="shared" si="11"/>
        <v>0.80527571904329664</v>
      </c>
      <c r="AS24" s="18">
        <f t="shared" si="11"/>
        <v>4.5936690296014282</v>
      </c>
      <c r="AT24" s="18">
        <f t="shared" si="11"/>
        <v>3.0750424132827527</v>
      </c>
      <c r="AU24" s="56">
        <f t="shared" si="12"/>
        <v>1</v>
      </c>
      <c r="AW24" s="18">
        <f t="shared" si="13"/>
        <v>0.80527571904329664</v>
      </c>
      <c r="AX24" s="18">
        <f t="shared" si="13"/>
        <v>4.5936690296014282</v>
      </c>
      <c r="AY24" s="18">
        <f t="shared" si="13"/>
        <v>3.0750424132827527</v>
      </c>
      <c r="AZ24" s="56">
        <f t="shared" si="14"/>
        <v>1</v>
      </c>
      <c r="BB24" s="18">
        <f t="shared" si="15"/>
        <v>0.80527571904329664</v>
      </c>
      <c r="BC24" s="18">
        <f t="shared" si="15"/>
        <v>4.5936690296014282</v>
      </c>
      <c r="BD24" s="18">
        <f t="shared" si="15"/>
        <v>3.0750424132827527</v>
      </c>
      <c r="BE24" s="56">
        <f t="shared" si="16"/>
        <v>1</v>
      </c>
      <c r="BG24" s="18">
        <f t="shared" si="17"/>
        <v>0.80527571904329664</v>
      </c>
      <c r="BH24" s="18">
        <f t="shared" si="17"/>
        <v>4.5936690296014282</v>
      </c>
      <c r="BI24" s="18">
        <f t="shared" si="17"/>
        <v>3.0750424132827527</v>
      </c>
      <c r="BJ24" s="56">
        <f t="shared" si="18"/>
        <v>1</v>
      </c>
      <c r="BL24" s="18">
        <f t="shared" si="19"/>
        <v>0.80527571904329664</v>
      </c>
      <c r="BM24" s="18">
        <f t="shared" si="19"/>
        <v>4.5936690296014282</v>
      </c>
      <c r="BN24" s="18">
        <f t="shared" si="19"/>
        <v>3.0750424132827527</v>
      </c>
      <c r="BO24" s="56">
        <f t="shared" si="20"/>
        <v>1</v>
      </c>
      <c r="BQ24" s="18">
        <f t="shared" si="21"/>
        <v>0.80527571904329664</v>
      </c>
      <c r="BR24" s="18">
        <f t="shared" si="21"/>
        <v>4.5936690296014282</v>
      </c>
      <c r="BS24" s="18">
        <f t="shared" si="21"/>
        <v>3.0750424132827527</v>
      </c>
      <c r="BT24" s="56">
        <f t="shared" si="22"/>
        <v>1</v>
      </c>
      <c r="BV24" s="18">
        <f t="shared" si="23"/>
        <v>0.80527571904329664</v>
      </c>
      <c r="BW24" s="18">
        <f t="shared" si="23"/>
        <v>4.5936690296014282</v>
      </c>
      <c r="BX24" s="18">
        <f t="shared" si="23"/>
        <v>3.0750424132827527</v>
      </c>
      <c r="BY24" s="56">
        <f t="shared" si="24"/>
        <v>1</v>
      </c>
      <c r="CA24" s="18">
        <f t="shared" si="25"/>
        <v>0.80527571904329664</v>
      </c>
      <c r="CB24" s="18">
        <f t="shared" si="25"/>
        <v>4.5936690296014282</v>
      </c>
      <c r="CC24" s="18">
        <f t="shared" si="25"/>
        <v>3.0750424132827527</v>
      </c>
      <c r="CD24" s="56">
        <f t="shared" si="26"/>
        <v>1</v>
      </c>
    </row>
    <row r="25" spans="1:82" x14ac:dyDescent="0.25">
      <c r="A25" s="63">
        <f>Phase_Data!A7</f>
        <v>43889</v>
      </c>
      <c r="B25" s="18">
        <f>Phase_Data!K7</f>
        <v>-2.1171471176186549</v>
      </c>
      <c r="C25" s="18">
        <f>Phase_Data!L7</f>
        <v>-1.4074974765281474</v>
      </c>
      <c r="D25" s="18">
        <f>Phase_Data!M7</f>
        <v>-1.2777880506003427</v>
      </c>
      <c r="E25" s="56">
        <f t="shared" si="0"/>
        <v>1</v>
      </c>
      <c r="F25" s="38">
        <f t="shared" si="1"/>
        <v>0.6484689836806985</v>
      </c>
      <c r="G25" s="13" t="str">
        <f t="shared" si="2"/>
        <v>Low activity</v>
      </c>
      <c r="X25" s="18">
        <f t="shared" si="3"/>
        <v>0.55359758083341126</v>
      </c>
      <c r="Y25" s="18">
        <f t="shared" si="3"/>
        <v>5.2891983232292183</v>
      </c>
      <c r="Z25" s="18">
        <f t="shared" si="3"/>
        <v>3.5356195333755212</v>
      </c>
      <c r="AA25" s="56">
        <f t="shared" si="4"/>
        <v>1</v>
      </c>
      <c r="AC25" s="18">
        <f t="shared" si="5"/>
        <v>0.9292492932677483</v>
      </c>
      <c r="AD25" s="18">
        <f t="shared" si="5"/>
        <v>4.4067639724696681</v>
      </c>
      <c r="AE25" s="18">
        <f t="shared" si="5"/>
        <v>3.1028240034778518</v>
      </c>
      <c r="AF25" s="56">
        <f t="shared" si="6"/>
        <v>1</v>
      </c>
      <c r="AH25" s="18">
        <f t="shared" si="7"/>
        <v>0.84873763720011286</v>
      </c>
      <c r="AI25" s="18">
        <f t="shared" si="7"/>
        <v>4.5627392357672294</v>
      </c>
      <c r="AJ25" s="18">
        <f t="shared" si="7"/>
        <v>3.0888076603020016</v>
      </c>
      <c r="AK25" s="56">
        <f t="shared" si="8"/>
        <v>1</v>
      </c>
      <c r="AM25" s="18">
        <f t="shared" si="9"/>
        <v>0.80527571904329664</v>
      </c>
      <c r="AN25" s="18">
        <f t="shared" si="9"/>
        <v>4.5936690296014282</v>
      </c>
      <c r="AO25" s="18">
        <f t="shared" si="9"/>
        <v>3.0750424132827527</v>
      </c>
      <c r="AP25" s="56">
        <f t="shared" si="10"/>
        <v>1</v>
      </c>
      <c r="AR25" s="18">
        <f t="shared" si="11"/>
        <v>0.80527571904329664</v>
      </c>
      <c r="AS25" s="18">
        <f t="shared" si="11"/>
        <v>4.5936690296014282</v>
      </c>
      <c r="AT25" s="18">
        <f t="shared" si="11"/>
        <v>3.0750424132827527</v>
      </c>
      <c r="AU25" s="56">
        <f t="shared" si="12"/>
        <v>1</v>
      </c>
      <c r="AW25" s="18">
        <f t="shared" si="13"/>
        <v>0.80527571904329664</v>
      </c>
      <c r="AX25" s="18">
        <f t="shared" si="13"/>
        <v>4.5936690296014282</v>
      </c>
      <c r="AY25" s="18">
        <f t="shared" si="13"/>
        <v>3.0750424132827527</v>
      </c>
      <c r="AZ25" s="56">
        <f t="shared" si="14"/>
        <v>1</v>
      </c>
      <c r="BB25" s="18">
        <f t="shared" si="15"/>
        <v>0.80527571904329664</v>
      </c>
      <c r="BC25" s="18">
        <f t="shared" si="15"/>
        <v>4.5936690296014282</v>
      </c>
      <c r="BD25" s="18">
        <f t="shared" si="15"/>
        <v>3.0750424132827527</v>
      </c>
      <c r="BE25" s="56">
        <f t="shared" si="16"/>
        <v>1</v>
      </c>
      <c r="BG25" s="18">
        <f t="shared" si="17"/>
        <v>0.80527571904329664</v>
      </c>
      <c r="BH25" s="18">
        <f t="shared" si="17"/>
        <v>4.5936690296014282</v>
      </c>
      <c r="BI25" s="18">
        <f t="shared" si="17"/>
        <v>3.0750424132827527</v>
      </c>
      <c r="BJ25" s="56">
        <f t="shared" si="18"/>
        <v>1</v>
      </c>
      <c r="BL25" s="18">
        <f t="shared" si="19"/>
        <v>0.80527571904329664</v>
      </c>
      <c r="BM25" s="18">
        <f t="shared" si="19"/>
        <v>4.5936690296014282</v>
      </c>
      <c r="BN25" s="18">
        <f t="shared" si="19"/>
        <v>3.0750424132827527</v>
      </c>
      <c r="BO25" s="56">
        <f t="shared" si="20"/>
        <v>1</v>
      </c>
      <c r="BQ25" s="18">
        <f t="shared" si="21"/>
        <v>0.80527571904329664</v>
      </c>
      <c r="BR25" s="18">
        <f t="shared" si="21"/>
        <v>4.5936690296014282</v>
      </c>
      <c r="BS25" s="18">
        <f t="shared" si="21"/>
        <v>3.0750424132827527</v>
      </c>
      <c r="BT25" s="56">
        <f t="shared" si="22"/>
        <v>1</v>
      </c>
      <c r="BV25" s="18">
        <f t="shared" si="23"/>
        <v>0.80527571904329664</v>
      </c>
      <c r="BW25" s="18">
        <f t="shared" si="23"/>
        <v>4.5936690296014282</v>
      </c>
      <c r="BX25" s="18">
        <f t="shared" si="23"/>
        <v>3.0750424132827527</v>
      </c>
      <c r="BY25" s="56">
        <f t="shared" si="24"/>
        <v>1</v>
      </c>
      <c r="CA25" s="18">
        <f t="shared" si="25"/>
        <v>0.80527571904329664</v>
      </c>
      <c r="CB25" s="18">
        <f t="shared" si="25"/>
        <v>4.5936690296014282</v>
      </c>
      <c r="CC25" s="18">
        <f t="shared" si="25"/>
        <v>3.0750424132827527</v>
      </c>
      <c r="CD25" s="56">
        <f t="shared" si="26"/>
        <v>1</v>
      </c>
    </row>
    <row r="26" spans="1:82" x14ac:dyDescent="0.25">
      <c r="A26" s="63">
        <f>Phase_Data!A8</f>
        <v>43890</v>
      </c>
      <c r="B26" s="18">
        <f>Phase_Data!K8</f>
        <v>-1.6784314145632018</v>
      </c>
      <c r="C26" s="18">
        <f>Phase_Data!L8</f>
        <v>-1.4074974765281474</v>
      </c>
      <c r="D26" s="18">
        <f>Phase_Data!M8</f>
        <v>-1.2777880506003427</v>
      </c>
      <c r="E26" s="56">
        <f t="shared" si="0"/>
        <v>1</v>
      </c>
      <c r="F26" s="38">
        <f t="shared" si="1"/>
        <v>0.14544914546057422</v>
      </c>
      <c r="G26" s="13" t="str">
        <f t="shared" si="2"/>
        <v>Low activity</v>
      </c>
      <c r="X26" s="18">
        <f t="shared" si="3"/>
        <v>0.11488187777795811</v>
      </c>
      <c r="Y26" s="18">
        <f t="shared" si="3"/>
        <v>5.0240692972461956</v>
      </c>
      <c r="Z26" s="18">
        <f t="shared" si="3"/>
        <v>3.2022760953509732</v>
      </c>
      <c r="AA26" s="56">
        <f t="shared" si="4"/>
        <v>1</v>
      </c>
      <c r="AC26" s="18">
        <f t="shared" si="5"/>
        <v>0.51437043653926473</v>
      </c>
      <c r="AD26" s="18">
        <f t="shared" si="5"/>
        <v>4.1318937811365108</v>
      </c>
      <c r="AE26" s="18">
        <f t="shared" si="5"/>
        <v>2.7742526190656176</v>
      </c>
      <c r="AF26" s="56">
        <f t="shared" si="6"/>
        <v>1</v>
      </c>
      <c r="AH26" s="18">
        <f t="shared" si="7"/>
        <v>0.42699196372669251</v>
      </c>
      <c r="AI26" s="18">
        <f t="shared" si="7"/>
        <v>4.2889676045170138</v>
      </c>
      <c r="AJ26" s="18">
        <f t="shared" si="7"/>
        <v>2.7640664479274459</v>
      </c>
      <c r="AK26" s="56">
        <f t="shared" si="8"/>
        <v>1</v>
      </c>
      <c r="AM26" s="18">
        <f t="shared" si="9"/>
        <v>0.38137795618070824</v>
      </c>
      <c r="AN26" s="18">
        <f t="shared" si="9"/>
        <v>4.3205045169120249</v>
      </c>
      <c r="AO26" s="18">
        <f t="shared" si="9"/>
        <v>2.7496081349115435</v>
      </c>
      <c r="AP26" s="56">
        <f t="shared" si="10"/>
        <v>1</v>
      </c>
      <c r="AR26" s="18">
        <f t="shared" si="11"/>
        <v>0.38137795618070824</v>
      </c>
      <c r="AS26" s="18">
        <f t="shared" si="11"/>
        <v>4.3205045169120249</v>
      </c>
      <c r="AT26" s="18">
        <f t="shared" si="11"/>
        <v>2.7496081349115435</v>
      </c>
      <c r="AU26" s="56">
        <f t="shared" si="12"/>
        <v>1</v>
      </c>
      <c r="AW26" s="18">
        <f t="shared" si="13"/>
        <v>0.38137795618070824</v>
      </c>
      <c r="AX26" s="18">
        <f t="shared" si="13"/>
        <v>4.3205045169120249</v>
      </c>
      <c r="AY26" s="18">
        <f t="shared" si="13"/>
        <v>2.7496081349115435</v>
      </c>
      <c r="AZ26" s="56">
        <f t="shared" si="14"/>
        <v>1</v>
      </c>
      <c r="BB26" s="18">
        <f t="shared" si="15"/>
        <v>0.38137795618070824</v>
      </c>
      <c r="BC26" s="18">
        <f t="shared" si="15"/>
        <v>4.3205045169120249</v>
      </c>
      <c r="BD26" s="18">
        <f t="shared" si="15"/>
        <v>2.7496081349115435</v>
      </c>
      <c r="BE26" s="56">
        <f t="shared" si="16"/>
        <v>1</v>
      </c>
      <c r="BG26" s="18">
        <f t="shared" si="17"/>
        <v>0.38137795618070824</v>
      </c>
      <c r="BH26" s="18">
        <f t="shared" si="17"/>
        <v>4.3205045169120249</v>
      </c>
      <c r="BI26" s="18">
        <f t="shared" si="17"/>
        <v>2.7496081349115435</v>
      </c>
      <c r="BJ26" s="56">
        <f t="shared" si="18"/>
        <v>1</v>
      </c>
      <c r="BL26" s="18">
        <f t="shared" si="19"/>
        <v>0.38137795618070824</v>
      </c>
      <c r="BM26" s="18">
        <f t="shared" si="19"/>
        <v>4.3205045169120249</v>
      </c>
      <c r="BN26" s="18">
        <f t="shared" si="19"/>
        <v>2.7496081349115435</v>
      </c>
      <c r="BO26" s="56">
        <f t="shared" si="20"/>
        <v>1</v>
      </c>
      <c r="BQ26" s="18">
        <f t="shared" si="21"/>
        <v>0.38137795618070824</v>
      </c>
      <c r="BR26" s="18">
        <f t="shared" si="21"/>
        <v>4.3205045169120249</v>
      </c>
      <c r="BS26" s="18">
        <f t="shared" si="21"/>
        <v>2.7496081349115435</v>
      </c>
      <c r="BT26" s="56">
        <f t="shared" si="22"/>
        <v>1</v>
      </c>
      <c r="BV26" s="18">
        <f t="shared" si="23"/>
        <v>0.38137795618070824</v>
      </c>
      <c r="BW26" s="18">
        <f t="shared" si="23"/>
        <v>4.3205045169120249</v>
      </c>
      <c r="BX26" s="18">
        <f t="shared" si="23"/>
        <v>2.7496081349115435</v>
      </c>
      <c r="BY26" s="56">
        <f t="shared" si="24"/>
        <v>1</v>
      </c>
      <c r="CA26" s="18">
        <f t="shared" si="25"/>
        <v>0.38137795618070824</v>
      </c>
      <c r="CB26" s="18">
        <f t="shared" si="25"/>
        <v>4.3205045169120249</v>
      </c>
      <c r="CC26" s="18">
        <f t="shared" si="25"/>
        <v>2.7496081349115435</v>
      </c>
      <c r="CD26" s="56">
        <f t="shared" si="26"/>
        <v>1</v>
      </c>
    </row>
    <row r="27" spans="1:82" x14ac:dyDescent="0.25">
      <c r="A27" s="63">
        <f>Phase_Data!A9</f>
        <v>43891</v>
      </c>
      <c r="B27" s="18">
        <f>Phase_Data!K9</f>
        <v>-2.1171471176186549</v>
      </c>
      <c r="C27" s="18">
        <f>Phase_Data!L9</f>
        <v>-1.4074974765281474</v>
      </c>
      <c r="D27" s="18">
        <f>Phase_Data!M9</f>
        <v>-1.2777880506003427</v>
      </c>
      <c r="E27" s="56">
        <f t="shared" si="0"/>
        <v>1</v>
      </c>
      <c r="F27" s="38">
        <f t="shared" si="1"/>
        <v>0.6484689836806985</v>
      </c>
      <c r="G27" s="13" t="str">
        <f t="shared" si="2"/>
        <v>Low activity</v>
      </c>
      <c r="X27" s="18">
        <f t="shared" si="3"/>
        <v>0.55359758083341126</v>
      </c>
      <c r="Y27" s="18">
        <f t="shared" si="3"/>
        <v>5.2891983232292183</v>
      </c>
      <c r="Z27" s="18">
        <f t="shared" si="3"/>
        <v>3.5356195333755212</v>
      </c>
      <c r="AA27" s="56">
        <f t="shared" si="4"/>
        <v>1</v>
      </c>
      <c r="AC27" s="18">
        <f t="shared" si="5"/>
        <v>0.9292492932677483</v>
      </c>
      <c r="AD27" s="18">
        <f t="shared" si="5"/>
        <v>4.4067639724696681</v>
      </c>
      <c r="AE27" s="18">
        <f t="shared" si="5"/>
        <v>3.1028240034778518</v>
      </c>
      <c r="AF27" s="56">
        <f t="shared" si="6"/>
        <v>1</v>
      </c>
      <c r="AH27" s="18">
        <f t="shared" si="7"/>
        <v>0.84873763720011286</v>
      </c>
      <c r="AI27" s="18">
        <f t="shared" si="7"/>
        <v>4.5627392357672294</v>
      </c>
      <c r="AJ27" s="18">
        <f t="shared" si="7"/>
        <v>3.0888076603020016</v>
      </c>
      <c r="AK27" s="56">
        <f t="shared" si="8"/>
        <v>1</v>
      </c>
      <c r="AM27" s="18">
        <f t="shared" si="9"/>
        <v>0.80527571904329664</v>
      </c>
      <c r="AN27" s="18">
        <f t="shared" si="9"/>
        <v>4.5936690296014282</v>
      </c>
      <c r="AO27" s="18">
        <f t="shared" si="9"/>
        <v>3.0750424132827527</v>
      </c>
      <c r="AP27" s="56">
        <f t="shared" si="10"/>
        <v>1</v>
      </c>
      <c r="AR27" s="18">
        <f t="shared" si="11"/>
        <v>0.80527571904329664</v>
      </c>
      <c r="AS27" s="18">
        <f t="shared" si="11"/>
        <v>4.5936690296014282</v>
      </c>
      <c r="AT27" s="18">
        <f t="shared" si="11"/>
        <v>3.0750424132827527</v>
      </c>
      <c r="AU27" s="56">
        <f t="shared" si="12"/>
        <v>1</v>
      </c>
      <c r="AW27" s="18">
        <f t="shared" si="13"/>
        <v>0.80527571904329664</v>
      </c>
      <c r="AX27" s="18">
        <f t="shared" si="13"/>
        <v>4.5936690296014282</v>
      </c>
      <c r="AY27" s="18">
        <f t="shared" si="13"/>
        <v>3.0750424132827527</v>
      </c>
      <c r="AZ27" s="56">
        <f t="shared" si="14"/>
        <v>1</v>
      </c>
      <c r="BB27" s="18">
        <f t="shared" si="15"/>
        <v>0.80527571904329664</v>
      </c>
      <c r="BC27" s="18">
        <f t="shared" si="15"/>
        <v>4.5936690296014282</v>
      </c>
      <c r="BD27" s="18">
        <f t="shared" si="15"/>
        <v>3.0750424132827527</v>
      </c>
      <c r="BE27" s="56">
        <f t="shared" si="16"/>
        <v>1</v>
      </c>
      <c r="BG27" s="18">
        <f t="shared" si="17"/>
        <v>0.80527571904329664</v>
      </c>
      <c r="BH27" s="18">
        <f t="shared" si="17"/>
        <v>4.5936690296014282</v>
      </c>
      <c r="BI27" s="18">
        <f t="shared" si="17"/>
        <v>3.0750424132827527</v>
      </c>
      <c r="BJ27" s="56">
        <f t="shared" si="18"/>
        <v>1</v>
      </c>
      <c r="BL27" s="18">
        <f t="shared" si="19"/>
        <v>0.80527571904329664</v>
      </c>
      <c r="BM27" s="18">
        <f t="shared" si="19"/>
        <v>4.5936690296014282</v>
      </c>
      <c r="BN27" s="18">
        <f t="shared" si="19"/>
        <v>3.0750424132827527</v>
      </c>
      <c r="BO27" s="56">
        <f t="shared" si="20"/>
        <v>1</v>
      </c>
      <c r="BQ27" s="18">
        <f t="shared" si="21"/>
        <v>0.80527571904329664</v>
      </c>
      <c r="BR27" s="18">
        <f t="shared" si="21"/>
        <v>4.5936690296014282</v>
      </c>
      <c r="BS27" s="18">
        <f t="shared" si="21"/>
        <v>3.0750424132827527</v>
      </c>
      <c r="BT27" s="56">
        <f t="shared" si="22"/>
        <v>1</v>
      </c>
      <c r="BV27" s="18">
        <f t="shared" si="23"/>
        <v>0.80527571904329664</v>
      </c>
      <c r="BW27" s="18">
        <f t="shared" si="23"/>
        <v>4.5936690296014282</v>
      </c>
      <c r="BX27" s="18">
        <f t="shared" si="23"/>
        <v>3.0750424132827527</v>
      </c>
      <c r="BY27" s="56">
        <f t="shared" si="24"/>
        <v>1</v>
      </c>
      <c r="CA27" s="18">
        <f t="shared" si="25"/>
        <v>0.80527571904329664</v>
      </c>
      <c r="CB27" s="18">
        <f t="shared" si="25"/>
        <v>4.5936690296014282</v>
      </c>
      <c r="CC27" s="18">
        <f t="shared" si="25"/>
        <v>3.0750424132827527</v>
      </c>
      <c r="CD27" s="56">
        <f t="shared" si="26"/>
        <v>1</v>
      </c>
    </row>
    <row r="28" spans="1:82" x14ac:dyDescent="0.25">
      <c r="A28" s="63">
        <f>Phase_Data!A10</f>
        <v>43892</v>
      </c>
      <c r="B28" s="18">
        <f>Phase_Data!K10</f>
        <v>-1.8403483272019492</v>
      </c>
      <c r="C28" s="18">
        <f>Phase_Data!L10</f>
        <v>-1.4074974765281474</v>
      </c>
      <c r="D28" s="18">
        <f>Phase_Data!M10</f>
        <v>-1.2777880506003427</v>
      </c>
      <c r="E28" s="56">
        <f t="shared" si="0"/>
        <v>1</v>
      </c>
      <c r="F28" s="38">
        <f t="shared" si="1"/>
        <v>0.28628039554450846</v>
      </c>
      <c r="G28" s="13" t="str">
        <f t="shared" si="2"/>
        <v>Low activity</v>
      </c>
      <c r="X28" s="18">
        <f t="shared" si="3"/>
        <v>0.27679879041670552</v>
      </c>
      <c r="Y28" s="18">
        <f t="shared" si="3"/>
        <v>5.119142493723877</v>
      </c>
      <c r="Z28" s="18">
        <f t="shared" si="3"/>
        <v>3.3224535883240591</v>
      </c>
      <c r="AA28" s="56">
        <f t="shared" si="4"/>
        <v>1</v>
      </c>
      <c r="AC28" s="18">
        <f t="shared" si="5"/>
        <v>0.66393131252392368</v>
      </c>
      <c r="AD28" s="18">
        <f t="shared" si="5"/>
        <v>4.2301234003225403</v>
      </c>
      <c r="AE28" s="18">
        <f t="shared" si="5"/>
        <v>2.8921183072330505</v>
      </c>
      <c r="AF28" s="56">
        <f t="shared" si="6"/>
        <v>1</v>
      </c>
      <c r="AH28" s="18">
        <f t="shared" si="7"/>
        <v>0.57972050653947327</v>
      </c>
      <c r="AI28" s="18">
        <f t="shared" si="7"/>
        <v>4.3868906635567129</v>
      </c>
      <c r="AJ28" s="18">
        <f t="shared" si="7"/>
        <v>2.880403697278731</v>
      </c>
      <c r="AK28" s="56">
        <f t="shared" si="8"/>
        <v>1</v>
      </c>
      <c r="AM28" s="18">
        <f t="shared" si="9"/>
        <v>0.53505176903222029</v>
      </c>
      <c r="AN28" s="18">
        <f t="shared" si="9"/>
        <v>4.4182168535225115</v>
      </c>
      <c r="AO28" s="18">
        <f t="shared" si="9"/>
        <v>2.8662020610501462</v>
      </c>
      <c r="AP28" s="56">
        <f t="shared" si="10"/>
        <v>1</v>
      </c>
      <c r="AR28" s="18">
        <f t="shared" si="11"/>
        <v>0.53505176903222029</v>
      </c>
      <c r="AS28" s="18">
        <f t="shared" si="11"/>
        <v>4.4182168535225115</v>
      </c>
      <c r="AT28" s="18">
        <f t="shared" si="11"/>
        <v>2.8662020610501462</v>
      </c>
      <c r="AU28" s="56">
        <f t="shared" si="12"/>
        <v>1</v>
      </c>
      <c r="AW28" s="18">
        <f t="shared" si="13"/>
        <v>0.53505176903222029</v>
      </c>
      <c r="AX28" s="18">
        <f t="shared" si="13"/>
        <v>4.4182168535225115</v>
      </c>
      <c r="AY28" s="18">
        <f t="shared" si="13"/>
        <v>2.8662020610501462</v>
      </c>
      <c r="AZ28" s="56">
        <f t="shared" si="14"/>
        <v>1</v>
      </c>
      <c r="BB28" s="18">
        <f t="shared" si="15"/>
        <v>0.53505176903222029</v>
      </c>
      <c r="BC28" s="18">
        <f t="shared" si="15"/>
        <v>4.4182168535225115</v>
      </c>
      <c r="BD28" s="18">
        <f t="shared" si="15"/>
        <v>2.8662020610501462</v>
      </c>
      <c r="BE28" s="56">
        <f t="shared" si="16"/>
        <v>1</v>
      </c>
      <c r="BG28" s="18">
        <f t="shared" si="17"/>
        <v>0.53505176903222029</v>
      </c>
      <c r="BH28" s="18">
        <f t="shared" si="17"/>
        <v>4.4182168535225115</v>
      </c>
      <c r="BI28" s="18">
        <f t="shared" si="17"/>
        <v>2.8662020610501462</v>
      </c>
      <c r="BJ28" s="56">
        <f t="shared" si="18"/>
        <v>1</v>
      </c>
      <c r="BL28" s="18">
        <f t="shared" si="19"/>
        <v>0.53505176903222029</v>
      </c>
      <c r="BM28" s="18">
        <f t="shared" si="19"/>
        <v>4.4182168535225115</v>
      </c>
      <c r="BN28" s="18">
        <f t="shared" si="19"/>
        <v>2.8662020610501462</v>
      </c>
      <c r="BO28" s="56">
        <f t="shared" si="20"/>
        <v>1</v>
      </c>
      <c r="BQ28" s="18">
        <f t="shared" si="21"/>
        <v>0.53505176903222029</v>
      </c>
      <c r="BR28" s="18">
        <f t="shared" si="21"/>
        <v>4.4182168535225115</v>
      </c>
      <c r="BS28" s="18">
        <f t="shared" si="21"/>
        <v>2.8662020610501462</v>
      </c>
      <c r="BT28" s="56">
        <f t="shared" si="22"/>
        <v>1</v>
      </c>
      <c r="BV28" s="18">
        <f t="shared" si="23"/>
        <v>0.53505176903222029</v>
      </c>
      <c r="BW28" s="18">
        <f t="shared" si="23"/>
        <v>4.4182168535225115</v>
      </c>
      <c r="BX28" s="18">
        <f t="shared" si="23"/>
        <v>2.8662020610501462</v>
      </c>
      <c r="BY28" s="56">
        <f t="shared" si="24"/>
        <v>1</v>
      </c>
      <c r="CA28" s="18">
        <f t="shared" si="25"/>
        <v>0.53505176903222029</v>
      </c>
      <c r="CB28" s="18">
        <f t="shared" si="25"/>
        <v>4.4182168535225115</v>
      </c>
      <c r="CC28" s="18">
        <f t="shared" si="25"/>
        <v>2.8662020610501462</v>
      </c>
      <c r="CD28" s="56">
        <f t="shared" si="26"/>
        <v>1</v>
      </c>
    </row>
    <row r="29" spans="1:82" x14ac:dyDescent="0.25">
      <c r="A29" s="63">
        <f>Phase_Data!A11</f>
        <v>43893</v>
      </c>
      <c r="B29" s="18">
        <f>Phase_Data!K11</f>
        <v>-2.1171471176186549</v>
      </c>
      <c r="C29" s="18">
        <f>Phase_Data!L11</f>
        <v>-1.4074974765281474</v>
      </c>
      <c r="D29" s="18">
        <f>Phase_Data!M11</f>
        <v>-1.2777880506003427</v>
      </c>
      <c r="E29" s="56">
        <f t="shared" si="0"/>
        <v>1</v>
      </c>
      <c r="F29" s="38">
        <f t="shared" si="1"/>
        <v>0.6484689836806985</v>
      </c>
      <c r="G29" s="13" t="str">
        <f t="shared" si="2"/>
        <v>Low activity</v>
      </c>
      <c r="X29" s="18">
        <f t="shared" si="3"/>
        <v>0.55359758083341126</v>
      </c>
      <c r="Y29" s="18">
        <f t="shared" si="3"/>
        <v>5.2891983232292183</v>
      </c>
      <c r="Z29" s="18">
        <f t="shared" si="3"/>
        <v>3.5356195333755212</v>
      </c>
      <c r="AA29" s="56">
        <f t="shared" si="4"/>
        <v>1</v>
      </c>
      <c r="AC29" s="18">
        <f t="shared" si="5"/>
        <v>0.9292492932677483</v>
      </c>
      <c r="AD29" s="18">
        <f t="shared" si="5"/>
        <v>4.4067639724696681</v>
      </c>
      <c r="AE29" s="18">
        <f t="shared" si="5"/>
        <v>3.1028240034778518</v>
      </c>
      <c r="AF29" s="56">
        <f t="shared" si="6"/>
        <v>1</v>
      </c>
      <c r="AH29" s="18">
        <f t="shared" si="7"/>
        <v>0.84873763720011286</v>
      </c>
      <c r="AI29" s="18">
        <f t="shared" si="7"/>
        <v>4.5627392357672294</v>
      </c>
      <c r="AJ29" s="18">
        <f t="shared" si="7"/>
        <v>3.0888076603020016</v>
      </c>
      <c r="AK29" s="56">
        <f t="shared" si="8"/>
        <v>1</v>
      </c>
      <c r="AM29" s="18">
        <f t="shared" si="9"/>
        <v>0.80527571904329664</v>
      </c>
      <c r="AN29" s="18">
        <f t="shared" si="9"/>
        <v>4.5936690296014282</v>
      </c>
      <c r="AO29" s="18">
        <f t="shared" si="9"/>
        <v>3.0750424132827527</v>
      </c>
      <c r="AP29" s="56">
        <f t="shared" si="10"/>
        <v>1</v>
      </c>
      <c r="AR29" s="18">
        <f t="shared" si="11"/>
        <v>0.80527571904329664</v>
      </c>
      <c r="AS29" s="18">
        <f t="shared" si="11"/>
        <v>4.5936690296014282</v>
      </c>
      <c r="AT29" s="18">
        <f t="shared" si="11"/>
        <v>3.0750424132827527</v>
      </c>
      <c r="AU29" s="56">
        <f t="shared" si="12"/>
        <v>1</v>
      </c>
      <c r="AW29" s="18">
        <f t="shared" si="13"/>
        <v>0.80527571904329664</v>
      </c>
      <c r="AX29" s="18">
        <f t="shared" si="13"/>
        <v>4.5936690296014282</v>
      </c>
      <c r="AY29" s="18">
        <f t="shared" si="13"/>
        <v>3.0750424132827527</v>
      </c>
      <c r="AZ29" s="56">
        <f t="shared" si="14"/>
        <v>1</v>
      </c>
      <c r="BB29" s="18">
        <f t="shared" si="15"/>
        <v>0.80527571904329664</v>
      </c>
      <c r="BC29" s="18">
        <f t="shared" si="15"/>
        <v>4.5936690296014282</v>
      </c>
      <c r="BD29" s="18">
        <f t="shared" si="15"/>
        <v>3.0750424132827527</v>
      </c>
      <c r="BE29" s="56">
        <f t="shared" si="16"/>
        <v>1</v>
      </c>
      <c r="BG29" s="18">
        <f t="shared" si="17"/>
        <v>0.80527571904329664</v>
      </c>
      <c r="BH29" s="18">
        <f t="shared" si="17"/>
        <v>4.5936690296014282</v>
      </c>
      <c r="BI29" s="18">
        <f t="shared" si="17"/>
        <v>3.0750424132827527</v>
      </c>
      <c r="BJ29" s="56">
        <f t="shared" si="18"/>
        <v>1</v>
      </c>
      <c r="BL29" s="18">
        <f t="shared" si="19"/>
        <v>0.80527571904329664</v>
      </c>
      <c r="BM29" s="18">
        <f t="shared" si="19"/>
        <v>4.5936690296014282</v>
      </c>
      <c r="BN29" s="18">
        <f t="shared" si="19"/>
        <v>3.0750424132827527</v>
      </c>
      <c r="BO29" s="56">
        <f t="shared" si="20"/>
        <v>1</v>
      </c>
      <c r="BQ29" s="18">
        <f t="shared" si="21"/>
        <v>0.80527571904329664</v>
      </c>
      <c r="BR29" s="18">
        <f t="shared" si="21"/>
        <v>4.5936690296014282</v>
      </c>
      <c r="BS29" s="18">
        <f t="shared" si="21"/>
        <v>3.0750424132827527</v>
      </c>
      <c r="BT29" s="56">
        <f t="shared" si="22"/>
        <v>1</v>
      </c>
      <c r="BV29" s="18">
        <f t="shared" si="23"/>
        <v>0.80527571904329664</v>
      </c>
      <c r="BW29" s="18">
        <f t="shared" si="23"/>
        <v>4.5936690296014282</v>
      </c>
      <c r="BX29" s="18">
        <f t="shared" si="23"/>
        <v>3.0750424132827527</v>
      </c>
      <c r="BY29" s="56">
        <f t="shared" si="24"/>
        <v>1</v>
      </c>
      <c r="CA29" s="18">
        <f t="shared" si="25"/>
        <v>0.80527571904329664</v>
      </c>
      <c r="CB29" s="18">
        <f t="shared" si="25"/>
        <v>4.5936690296014282</v>
      </c>
      <c r="CC29" s="18">
        <f t="shared" si="25"/>
        <v>3.0750424132827527</v>
      </c>
      <c r="CD29" s="56">
        <f t="shared" si="26"/>
        <v>1</v>
      </c>
    </row>
    <row r="30" spans="1:82" x14ac:dyDescent="0.25">
      <c r="A30" s="63">
        <f>Phase_Data!A12</f>
        <v>43894</v>
      </c>
      <c r="B30" s="18">
        <f>Phase_Data!K12</f>
        <v>-2.1171471176186549</v>
      </c>
      <c r="C30" s="18">
        <f>Phase_Data!L12</f>
        <v>-1.4074974765281474</v>
      </c>
      <c r="D30" s="18">
        <f>Phase_Data!M12</f>
        <v>-1.2777880506003427</v>
      </c>
      <c r="E30" s="56">
        <f t="shared" si="0"/>
        <v>1</v>
      </c>
      <c r="F30" s="38">
        <f t="shared" si="1"/>
        <v>0.6484689836806985</v>
      </c>
      <c r="G30" s="13" t="str">
        <f t="shared" si="2"/>
        <v>Low activity</v>
      </c>
      <c r="X30" s="18">
        <f t="shared" si="3"/>
        <v>0.55359758083341126</v>
      </c>
      <c r="Y30" s="18">
        <f t="shared" si="3"/>
        <v>5.2891983232292183</v>
      </c>
      <c r="Z30" s="18">
        <f t="shared" si="3"/>
        <v>3.5356195333755212</v>
      </c>
      <c r="AA30" s="56">
        <f t="shared" si="4"/>
        <v>1</v>
      </c>
      <c r="AC30" s="18">
        <f t="shared" si="5"/>
        <v>0.9292492932677483</v>
      </c>
      <c r="AD30" s="18">
        <f t="shared" si="5"/>
        <v>4.4067639724696681</v>
      </c>
      <c r="AE30" s="18">
        <f t="shared" si="5"/>
        <v>3.1028240034778518</v>
      </c>
      <c r="AF30" s="56">
        <f t="shared" si="6"/>
        <v>1</v>
      </c>
      <c r="AH30" s="18">
        <f t="shared" si="7"/>
        <v>0.84873763720011286</v>
      </c>
      <c r="AI30" s="18">
        <f t="shared" si="7"/>
        <v>4.5627392357672294</v>
      </c>
      <c r="AJ30" s="18">
        <f t="shared" si="7"/>
        <v>3.0888076603020016</v>
      </c>
      <c r="AK30" s="56">
        <f t="shared" si="8"/>
        <v>1</v>
      </c>
      <c r="AM30" s="18">
        <f t="shared" si="9"/>
        <v>0.80527571904329664</v>
      </c>
      <c r="AN30" s="18">
        <f t="shared" si="9"/>
        <v>4.5936690296014282</v>
      </c>
      <c r="AO30" s="18">
        <f t="shared" si="9"/>
        <v>3.0750424132827527</v>
      </c>
      <c r="AP30" s="56">
        <f t="shared" si="10"/>
        <v>1</v>
      </c>
      <c r="AR30" s="18">
        <f t="shared" si="11"/>
        <v>0.80527571904329664</v>
      </c>
      <c r="AS30" s="18">
        <f t="shared" si="11"/>
        <v>4.5936690296014282</v>
      </c>
      <c r="AT30" s="18">
        <f t="shared" si="11"/>
        <v>3.0750424132827527</v>
      </c>
      <c r="AU30" s="56">
        <f t="shared" si="12"/>
        <v>1</v>
      </c>
      <c r="AW30" s="18">
        <f t="shared" si="13"/>
        <v>0.80527571904329664</v>
      </c>
      <c r="AX30" s="18">
        <f t="shared" si="13"/>
        <v>4.5936690296014282</v>
      </c>
      <c r="AY30" s="18">
        <f t="shared" si="13"/>
        <v>3.0750424132827527</v>
      </c>
      <c r="AZ30" s="56">
        <f t="shared" si="14"/>
        <v>1</v>
      </c>
      <c r="BB30" s="18">
        <f t="shared" si="15"/>
        <v>0.80527571904329664</v>
      </c>
      <c r="BC30" s="18">
        <f t="shared" si="15"/>
        <v>4.5936690296014282</v>
      </c>
      <c r="BD30" s="18">
        <f t="shared" si="15"/>
        <v>3.0750424132827527</v>
      </c>
      <c r="BE30" s="56">
        <f t="shared" si="16"/>
        <v>1</v>
      </c>
      <c r="BG30" s="18">
        <f t="shared" si="17"/>
        <v>0.80527571904329664</v>
      </c>
      <c r="BH30" s="18">
        <f t="shared" si="17"/>
        <v>4.5936690296014282</v>
      </c>
      <c r="BI30" s="18">
        <f t="shared" si="17"/>
        <v>3.0750424132827527</v>
      </c>
      <c r="BJ30" s="56">
        <f t="shared" si="18"/>
        <v>1</v>
      </c>
      <c r="BL30" s="18">
        <f t="shared" si="19"/>
        <v>0.80527571904329664</v>
      </c>
      <c r="BM30" s="18">
        <f t="shared" si="19"/>
        <v>4.5936690296014282</v>
      </c>
      <c r="BN30" s="18">
        <f t="shared" si="19"/>
        <v>3.0750424132827527</v>
      </c>
      <c r="BO30" s="56">
        <f t="shared" si="20"/>
        <v>1</v>
      </c>
      <c r="BQ30" s="18">
        <f t="shared" si="21"/>
        <v>0.80527571904329664</v>
      </c>
      <c r="BR30" s="18">
        <f t="shared" si="21"/>
        <v>4.5936690296014282</v>
      </c>
      <c r="BS30" s="18">
        <f t="shared" si="21"/>
        <v>3.0750424132827527</v>
      </c>
      <c r="BT30" s="56">
        <f t="shared" si="22"/>
        <v>1</v>
      </c>
      <c r="BV30" s="18">
        <f t="shared" si="23"/>
        <v>0.80527571904329664</v>
      </c>
      <c r="BW30" s="18">
        <f t="shared" si="23"/>
        <v>4.5936690296014282</v>
      </c>
      <c r="BX30" s="18">
        <f t="shared" si="23"/>
        <v>3.0750424132827527</v>
      </c>
      <c r="BY30" s="56">
        <f t="shared" si="24"/>
        <v>1</v>
      </c>
      <c r="CA30" s="18">
        <f t="shared" si="25"/>
        <v>0.80527571904329664</v>
      </c>
      <c r="CB30" s="18">
        <f t="shared" si="25"/>
        <v>4.5936690296014282</v>
      </c>
      <c r="CC30" s="18">
        <f t="shared" si="25"/>
        <v>3.0750424132827527</v>
      </c>
      <c r="CD30" s="56">
        <f t="shared" si="26"/>
        <v>1</v>
      </c>
    </row>
    <row r="31" spans="1:82" x14ac:dyDescent="0.25">
      <c r="A31" s="63">
        <f>Phase_Data!A13</f>
        <v>43895</v>
      </c>
      <c r="B31" s="18">
        <f>Phase_Data!K13</f>
        <v>-2.1171471176186549</v>
      </c>
      <c r="C31" s="18">
        <f>Phase_Data!L13</f>
        <v>-1.4074974765281474</v>
      </c>
      <c r="D31" s="18">
        <f>Phase_Data!M13</f>
        <v>-1.2777880506003427</v>
      </c>
      <c r="E31" s="56">
        <f t="shared" si="0"/>
        <v>1</v>
      </c>
      <c r="F31" s="38">
        <f t="shared" si="1"/>
        <v>0.6484689836806985</v>
      </c>
      <c r="G31" s="13" t="str">
        <f t="shared" si="2"/>
        <v>Low activity</v>
      </c>
      <c r="X31" s="18">
        <f t="shared" si="3"/>
        <v>0.55359758083341126</v>
      </c>
      <c r="Y31" s="18">
        <f t="shared" si="3"/>
        <v>5.2891983232292183</v>
      </c>
      <c r="Z31" s="18">
        <f t="shared" si="3"/>
        <v>3.5356195333755212</v>
      </c>
      <c r="AA31" s="56">
        <f t="shared" si="4"/>
        <v>1</v>
      </c>
      <c r="AC31" s="18">
        <f t="shared" si="5"/>
        <v>0.9292492932677483</v>
      </c>
      <c r="AD31" s="18">
        <f t="shared" si="5"/>
        <v>4.4067639724696681</v>
      </c>
      <c r="AE31" s="18">
        <f t="shared" si="5"/>
        <v>3.1028240034778518</v>
      </c>
      <c r="AF31" s="56">
        <f t="shared" si="6"/>
        <v>1</v>
      </c>
      <c r="AH31" s="18">
        <f t="shared" si="7"/>
        <v>0.84873763720011286</v>
      </c>
      <c r="AI31" s="18">
        <f t="shared" si="7"/>
        <v>4.5627392357672294</v>
      </c>
      <c r="AJ31" s="18">
        <f t="shared" si="7"/>
        <v>3.0888076603020016</v>
      </c>
      <c r="AK31" s="56">
        <f t="shared" si="8"/>
        <v>1</v>
      </c>
      <c r="AM31" s="18">
        <f t="shared" si="9"/>
        <v>0.80527571904329664</v>
      </c>
      <c r="AN31" s="18">
        <f t="shared" si="9"/>
        <v>4.5936690296014282</v>
      </c>
      <c r="AO31" s="18">
        <f t="shared" si="9"/>
        <v>3.0750424132827527</v>
      </c>
      <c r="AP31" s="56">
        <f t="shared" si="10"/>
        <v>1</v>
      </c>
      <c r="AR31" s="18">
        <f t="shared" si="11"/>
        <v>0.80527571904329664</v>
      </c>
      <c r="AS31" s="18">
        <f t="shared" si="11"/>
        <v>4.5936690296014282</v>
      </c>
      <c r="AT31" s="18">
        <f t="shared" si="11"/>
        <v>3.0750424132827527</v>
      </c>
      <c r="AU31" s="56">
        <f t="shared" si="12"/>
        <v>1</v>
      </c>
      <c r="AW31" s="18">
        <f t="shared" si="13"/>
        <v>0.80527571904329664</v>
      </c>
      <c r="AX31" s="18">
        <f t="shared" si="13"/>
        <v>4.5936690296014282</v>
      </c>
      <c r="AY31" s="18">
        <f t="shared" si="13"/>
        <v>3.0750424132827527</v>
      </c>
      <c r="AZ31" s="56">
        <f t="shared" si="14"/>
        <v>1</v>
      </c>
      <c r="BB31" s="18">
        <f t="shared" si="15"/>
        <v>0.80527571904329664</v>
      </c>
      <c r="BC31" s="18">
        <f t="shared" si="15"/>
        <v>4.5936690296014282</v>
      </c>
      <c r="BD31" s="18">
        <f t="shared" si="15"/>
        <v>3.0750424132827527</v>
      </c>
      <c r="BE31" s="56">
        <f t="shared" si="16"/>
        <v>1</v>
      </c>
      <c r="BG31" s="18">
        <f t="shared" si="17"/>
        <v>0.80527571904329664</v>
      </c>
      <c r="BH31" s="18">
        <f t="shared" si="17"/>
        <v>4.5936690296014282</v>
      </c>
      <c r="BI31" s="18">
        <f t="shared" si="17"/>
        <v>3.0750424132827527</v>
      </c>
      <c r="BJ31" s="56">
        <f t="shared" si="18"/>
        <v>1</v>
      </c>
      <c r="BL31" s="18">
        <f t="shared" si="19"/>
        <v>0.80527571904329664</v>
      </c>
      <c r="BM31" s="18">
        <f t="shared" si="19"/>
        <v>4.5936690296014282</v>
      </c>
      <c r="BN31" s="18">
        <f t="shared" si="19"/>
        <v>3.0750424132827527</v>
      </c>
      <c r="BO31" s="56">
        <f t="shared" si="20"/>
        <v>1</v>
      </c>
      <c r="BQ31" s="18">
        <f t="shared" si="21"/>
        <v>0.80527571904329664</v>
      </c>
      <c r="BR31" s="18">
        <f t="shared" si="21"/>
        <v>4.5936690296014282</v>
      </c>
      <c r="BS31" s="18">
        <f t="shared" si="21"/>
        <v>3.0750424132827527</v>
      </c>
      <c r="BT31" s="56">
        <f t="shared" si="22"/>
        <v>1</v>
      </c>
      <c r="BV31" s="18">
        <f t="shared" si="23"/>
        <v>0.80527571904329664</v>
      </c>
      <c r="BW31" s="18">
        <f t="shared" si="23"/>
        <v>4.5936690296014282</v>
      </c>
      <c r="BX31" s="18">
        <f t="shared" si="23"/>
        <v>3.0750424132827527</v>
      </c>
      <c r="BY31" s="56">
        <f t="shared" si="24"/>
        <v>1</v>
      </c>
      <c r="CA31" s="18">
        <f t="shared" si="25"/>
        <v>0.80527571904329664</v>
      </c>
      <c r="CB31" s="18">
        <f t="shared" si="25"/>
        <v>4.5936690296014282</v>
      </c>
      <c r="CC31" s="18">
        <f t="shared" si="25"/>
        <v>3.0750424132827527</v>
      </c>
      <c r="CD31" s="56">
        <f t="shared" si="26"/>
        <v>1</v>
      </c>
    </row>
    <row r="32" spans="1:82" x14ac:dyDescent="0.25">
      <c r="A32" s="63">
        <f>Phase_Data!A14</f>
        <v>43896</v>
      </c>
      <c r="B32" s="18">
        <f>Phase_Data!K14</f>
        <v>-2.1171471176186549</v>
      </c>
      <c r="C32" s="18">
        <f>Phase_Data!L14</f>
        <v>-1.4074974765281474</v>
      </c>
      <c r="D32" s="18">
        <f>Phase_Data!M14</f>
        <v>-1.0102756110451747</v>
      </c>
      <c r="E32" s="56">
        <f t="shared" si="0"/>
        <v>1</v>
      </c>
      <c r="F32" s="38">
        <f t="shared" si="1"/>
        <v>0.6723815848814525</v>
      </c>
      <c r="G32" s="13" t="str">
        <f t="shared" si="2"/>
        <v>Low activity</v>
      </c>
      <c r="X32" s="18">
        <f t="shared" si="3"/>
        <v>0.61484403454970815</v>
      </c>
      <c r="Y32" s="18">
        <f t="shared" si="3"/>
        <v>5.146342169239623</v>
      </c>
      <c r="Z32" s="18">
        <f t="shared" si="3"/>
        <v>3.5457253686803343</v>
      </c>
      <c r="AA32" s="56">
        <f t="shared" si="4"/>
        <v>1</v>
      </c>
      <c r="AC32" s="18">
        <f t="shared" si="5"/>
        <v>0.92116573224520792</v>
      </c>
      <c r="AD32" s="18">
        <f t="shared" si="5"/>
        <v>4.2699079465602479</v>
      </c>
      <c r="AE32" s="18">
        <f t="shared" si="5"/>
        <v>3.0140097054213228</v>
      </c>
      <c r="AF32" s="56">
        <f t="shared" si="6"/>
        <v>1</v>
      </c>
      <c r="AH32" s="18">
        <f t="shared" si="7"/>
        <v>0.85624385450129481</v>
      </c>
      <c r="AI32" s="18">
        <f t="shared" si="7"/>
        <v>4.4267927632111324</v>
      </c>
      <c r="AJ32" s="18">
        <f t="shared" si="7"/>
        <v>2.9914661668125784</v>
      </c>
      <c r="AK32" s="56">
        <f t="shared" si="8"/>
        <v>1</v>
      </c>
      <c r="AM32" s="18">
        <f t="shared" si="9"/>
        <v>0.81998877119229652</v>
      </c>
      <c r="AN32" s="18">
        <f t="shared" si="9"/>
        <v>4.4581424951760145</v>
      </c>
      <c r="AO32" s="18">
        <f t="shared" si="9"/>
        <v>2.9764446069572652</v>
      </c>
      <c r="AP32" s="56">
        <f t="shared" si="10"/>
        <v>1</v>
      </c>
      <c r="AR32" s="18">
        <f t="shared" si="11"/>
        <v>0.81998877119229652</v>
      </c>
      <c r="AS32" s="18">
        <f t="shared" si="11"/>
        <v>4.4581424951760145</v>
      </c>
      <c r="AT32" s="18">
        <f t="shared" si="11"/>
        <v>2.9764446069572652</v>
      </c>
      <c r="AU32" s="56">
        <f t="shared" si="12"/>
        <v>1</v>
      </c>
      <c r="AW32" s="18">
        <f t="shared" si="13"/>
        <v>0.81998877119229652</v>
      </c>
      <c r="AX32" s="18">
        <f t="shared" si="13"/>
        <v>4.4581424951760145</v>
      </c>
      <c r="AY32" s="18">
        <f t="shared" si="13"/>
        <v>2.9764446069572652</v>
      </c>
      <c r="AZ32" s="56">
        <f t="shared" si="14"/>
        <v>1</v>
      </c>
      <c r="BB32" s="18">
        <f t="shared" si="15"/>
        <v>0.81998877119229652</v>
      </c>
      <c r="BC32" s="18">
        <f t="shared" si="15"/>
        <v>4.4581424951760145</v>
      </c>
      <c r="BD32" s="18">
        <f t="shared" si="15"/>
        <v>2.9764446069572652</v>
      </c>
      <c r="BE32" s="56">
        <f t="shared" si="16"/>
        <v>1</v>
      </c>
      <c r="BG32" s="18">
        <f t="shared" si="17"/>
        <v>0.81998877119229652</v>
      </c>
      <c r="BH32" s="18">
        <f t="shared" si="17"/>
        <v>4.4581424951760145</v>
      </c>
      <c r="BI32" s="18">
        <f t="shared" si="17"/>
        <v>2.9764446069572652</v>
      </c>
      <c r="BJ32" s="56">
        <f t="shared" si="18"/>
        <v>1</v>
      </c>
      <c r="BL32" s="18">
        <f t="shared" si="19"/>
        <v>0.81998877119229652</v>
      </c>
      <c r="BM32" s="18">
        <f t="shared" si="19"/>
        <v>4.4581424951760145</v>
      </c>
      <c r="BN32" s="18">
        <f t="shared" si="19"/>
        <v>2.9764446069572652</v>
      </c>
      <c r="BO32" s="56">
        <f t="shared" si="20"/>
        <v>1</v>
      </c>
      <c r="BQ32" s="18">
        <f t="shared" si="21"/>
        <v>0.81998877119229652</v>
      </c>
      <c r="BR32" s="18">
        <f t="shared" si="21"/>
        <v>4.4581424951760145</v>
      </c>
      <c r="BS32" s="18">
        <f t="shared" si="21"/>
        <v>2.9764446069572652</v>
      </c>
      <c r="BT32" s="56">
        <f t="shared" si="22"/>
        <v>1</v>
      </c>
      <c r="BV32" s="18">
        <f t="shared" si="23"/>
        <v>0.81998877119229652</v>
      </c>
      <c r="BW32" s="18">
        <f t="shared" si="23"/>
        <v>4.4581424951760145</v>
      </c>
      <c r="BX32" s="18">
        <f t="shared" si="23"/>
        <v>2.9764446069572652</v>
      </c>
      <c r="BY32" s="56">
        <f t="shared" si="24"/>
        <v>1</v>
      </c>
      <c r="CA32" s="18">
        <f t="shared" si="25"/>
        <v>0.81998877119229652</v>
      </c>
      <c r="CB32" s="18">
        <f t="shared" si="25"/>
        <v>4.4581424951760145</v>
      </c>
      <c r="CC32" s="18">
        <f t="shared" si="25"/>
        <v>2.9764446069572652</v>
      </c>
      <c r="CD32" s="56">
        <f t="shared" si="26"/>
        <v>1</v>
      </c>
    </row>
    <row r="33" spans="1:82" x14ac:dyDescent="0.25">
      <c r="A33" s="63">
        <f>Phase_Data!A15</f>
        <v>43897</v>
      </c>
      <c r="B33" s="18">
        <f>Phase_Data!K15</f>
        <v>-1.8403483272019492</v>
      </c>
      <c r="C33" s="18">
        <f>Phase_Data!L15</f>
        <v>-1.4074974765281474</v>
      </c>
      <c r="D33" s="18">
        <f>Phase_Data!M15</f>
        <v>-1.2777880506003427</v>
      </c>
      <c r="E33" s="56">
        <f t="shared" si="0"/>
        <v>1</v>
      </c>
      <c r="F33" s="38">
        <f t="shared" si="1"/>
        <v>0.28628039554450846</v>
      </c>
      <c r="G33" s="13" t="str">
        <f t="shared" si="2"/>
        <v>Low activity</v>
      </c>
      <c r="X33" s="18">
        <f t="shared" si="3"/>
        <v>0.27679879041670552</v>
      </c>
      <c r="Y33" s="18">
        <f t="shared" si="3"/>
        <v>5.119142493723877</v>
      </c>
      <c r="Z33" s="18">
        <f t="shared" si="3"/>
        <v>3.3224535883240591</v>
      </c>
      <c r="AA33" s="56">
        <f t="shared" si="4"/>
        <v>1</v>
      </c>
      <c r="AC33" s="18">
        <f t="shared" si="5"/>
        <v>0.66393131252392368</v>
      </c>
      <c r="AD33" s="18">
        <f t="shared" si="5"/>
        <v>4.2301234003225403</v>
      </c>
      <c r="AE33" s="18">
        <f t="shared" si="5"/>
        <v>2.8921183072330505</v>
      </c>
      <c r="AF33" s="56">
        <f t="shared" si="6"/>
        <v>1</v>
      </c>
      <c r="AH33" s="18">
        <f t="shared" si="7"/>
        <v>0.57972050653947327</v>
      </c>
      <c r="AI33" s="18">
        <f t="shared" si="7"/>
        <v>4.3868906635567129</v>
      </c>
      <c r="AJ33" s="18">
        <f t="shared" si="7"/>
        <v>2.880403697278731</v>
      </c>
      <c r="AK33" s="56">
        <f t="shared" si="8"/>
        <v>1</v>
      </c>
      <c r="AM33" s="18">
        <f t="shared" si="9"/>
        <v>0.53505176903222029</v>
      </c>
      <c r="AN33" s="18">
        <f t="shared" si="9"/>
        <v>4.4182168535225115</v>
      </c>
      <c r="AO33" s="18">
        <f t="shared" si="9"/>
        <v>2.8662020610501462</v>
      </c>
      <c r="AP33" s="56">
        <f t="shared" si="10"/>
        <v>1</v>
      </c>
      <c r="AR33" s="18">
        <f t="shared" si="11"/>
        <v>0.53505176903222029</v>
      </c>
      <c r="AS33" s="18">
        <f t="shared" si="11"/>
        <v>4.4182168535225115</v>
      </c>
      <c r="AT33" s="18">
        <f t="shared" si="11"/>
        <v>2.8662020610501462</v>
      </c>
      <c r="AU33" s="56">
        <f t="shared" si="12"/>
        <v>1</v>
      </c>
      <c r="AW33" s="18">
        <f t="shared" si="13"/>
        <v>0.53505176903222029</v>
      </c>
      <c r="AX33" s="18">
        <f t="shared" si="13"/>
        <v>4.4182168535225115</v>
      </c>
      <c r="AY33" s="18">
        <f t="shared" si="13"/>
        <v>2.8662020610501462</v>
      </c>
      <c r="AZ33" s="56">
        <f t="shared" si="14"/>
        <v>1</v>
      </c>
      <c r="BB33" s="18">
        <f t="shared" si="15"/>
        <v>0.53505176903222029</v>
      </c>
      <c r="BC33" s="18">
        <f t="shared" si="15"/>
        <v>4.4182168535225115</v>
      </c>
      <c r="BD33" s="18">
        <f t="shared" si="15"/>
        <v>2.8662020610501462</v>
      </c>
      <c r="BE33" s="56">
        <f t="shared" si="16"/>
        <v>1</v>
      </c>
      <c r="BG33" s="18">
        <f t="shared" si="17"/>
        <v>0.53505176903222029</v>
      </c>
      <c r="BH33" s="18">
        <f t="shared" si="17"/>
        <v>4.4182168535225115</v>
      </c>
      <c r="BI33" s="18">
        <f t="shared" si="17"/>
        <v>2.8662020610501462</v>
      </c>
      <c r="BJ33" s="56">
        <f t="shared" si="18"/>
        <v>1</v>
      </c>
      <c r="BL33" s="18">
        <f t="shared" si="19"/>
        <v>0.53505176903222029</v>
      </c>
      <c r="BM33" s="18">
        <f t="shared" si="19"/>
        <v>4.4182168535225115</v>
      </c>
      <c r="BN33" s="18">
        <f t="shared" si="19"/>
        <v>2.8662020610501462</v>
      </c>
      <c r="BO33" s="56">
        <f t="shared" si="20"/>
        <v>1</v>
      </c>
      <c r="BQ33" s="18">
        <f t="shared" si="21"/>
        <v>0.53505176903222029</v>
      </c>
      <c r="BR33" s="18">
        <f t="shared" si="21"/>
        <v>4.4182168535225115</v>
      </c>
      <c r="BS33" s="18">
        <f t="shared" si="21"/>
        <v>2.8662020610501462</v>
      </c>
      <c r="BT33" s="56">
        <f t="shared" si="22"/>
        <v>1</v>
      </c>
      <c r="BV33" s="18">
        <f t="shared" si="23"/>
        <v>0.53505176903222029</v>
      </c>
      <c r="BW33" s="18">
        <f t="shared" si="23"/>
        <v>4.4182168535225115</v>
      </c>
      <c r="BX33" s="18">
        <f t="shared" si="23"/>
        <v>2.8662020610501462</v>
      </c>
      <c r="BY33" s="56">
        <f t="shared" si="24"/>
        <v>1</v>
      </c>
      <c r="CA33" s="18">
        <f t="shared" si="25"/>
        <v>0.53505176903222029</v>
      </c>
      <c r="CB33" s="18">
        <f t="shared" si="25"/>
        <v>4.4182168535225115</v>
      </c>
      <c r="CC33" s="18">
        <f t="shared" si="25"/>
        <v>2.8662020610501462</v>
      </c>
      <c r="CD33" s="56">
        <f t="shared" si="26"/>
        <v>1</v>
      </c>
    </row>
    <row r="34" spans="1:82" x14ac:dyDescent="0.25">
      <c r="A34" s="63">
        <f>Phase_Data!A16</f>
        <v>43898</v>
      </c>
      <c r="B34" s="18">
        <f>Phase_Data!K16</f>
        <v>-2.1171471176186549</v>
      </c>
      <c r="C34" s="18">
        <f>Phase_Data!L16</f>
        <v>-1.4074974765281474</v>
      </c>
      <c r="D34" s="18">
        <f>Phase_Data!M16</f>
        <v>-1.2777880506003427</v>
      </c>
      <c r="E34" s="56">
        <f t="shared" si="0"/>
        <v>1</v>
      </c>
      <c r="F34" s="38">
        <f t="shared" si="1"/>
        <v>0.6484689836806985</v>
      </c>
      <c r="G34" s="13" t="str">
        <f t="shared" si="2"/>
        <v>Low activity</v>
      </c>
      <c r="X34" s="18">
        <f t="shared" si="3"/>
        <v>0.55359758083341126</v>
      </c>
      <c r="Y34" s="18">
        <f t="shared" si="3"/>
        <v>5.2891983232292183</v>
      </c>
      <c r="Z34" s="18">
        <f t="shared" si="3"/>
        <v>3.5356195333755212</v>
      </c>
      <c r="AA34" s="56">
        <f t="shared" si="4"/>
        <v>1</v>
      </c>
      <c r="AC34" s="18">
        <f t="shared" si="5"/>
        <v>0.9292492932677483</v>
      </c>
      <c r="AD34" s="18">
        <f t="shared" si="5"/>
        <v>4.4067639724696681</v>
      </c>
      <c r="AE34" s="18">
        <f t="shared" si="5"/>
        <v>3.1028240034778518</v>
      </c>
      <c r="AF34" s="56">
        <f t="shared" si="6"/>
        <v>1</v>
      </c>
      <c r="AH34" s="18">
        <f t="shared" si="7"/>
        <v>0.84873763720011286</v>
      </c>
      <c r="AI34" s="18">
        <f t="shared" si="7"/>
        <v>4.5627392357672294</v>
      </c>
      <c r="AJ34" s="18">
        <f t="shared" si="7"/>
        <v>3.0888076603020016</v>
      </c>
      <c r="AK34" s="56">
        <f t="shared" si="8"/>
        <v>1</v>
      </c>
      <c r="AM34" s="18">
        <f t="shared" si="9"/>
        <v>0.80527571904329664</v>
      </c>
      <c r="AN34" s="18">
        <f t="shared" si="9"/>
        <v>4.5936690296014282</v>
      </c>
      <c r="AO34" s="18">
        <f t="shared" si="9"/>
        <v>3.0750424132827527</v>
      </c>
      <c r="AP34" s="56">
        <f t="shared" si="10"/>
        <v>1</v>
      </c>
      <c r="AR34" s="18">
        <f t="shared" si="11"/>
        <v>0.80527571904329664</v>
      </c>
      <c r="AS34" s="18">
        <f t="shared" si="11"/>
        <v>4.5936690296014282</v>
      </c>
      <c r="AT34" s="18">
        <f t="shared" si="11"/>
        <v>3.0750424132827527</v>
      </c>
      <c r="AU34" s="56">
        <f t="shared" si="12"/>
        <v>1</v>
      </c>
      <c r="AW34" s="18">
        <f t="shared" si="13"/>
        <v>0.80527571904329664</v>
      </c>
      <c r="AX34" s="18">
        <f t="shared" si="13"/>
        <v>4.5936690296014282</v>
      </c>
      <c r="AY34" s="18">
        <f t="shared" si="13"/>
        <v>3.0750424132827527</v>
      </c>
      <c r="AZ34" s="56">
        <f t="shared" si="14"/>
        <v>1</v>
      </c>
      <c r="BB34" s="18">
        <f t="shared" si="15"/>
        <v>0.80527571904329664</v>
      </c>
      <c r="BC34" s="18">
        <f t="shared" si="15"/>
        <v>4.5936690296014282</v>
      </c>
      <c r="BD34" s="18">
        <f t="shared" si="15"/>
        <v>3.0750424132827527</v>
      </c>
      <c r="BE34" s="56">
        <f t="shared" si="16"/>
        <v>1</v>
      </c>
      <c r="BG34" s="18">
        <f t="shared" si="17"/>
        <v>0.80527571904329664</v>
      </c>
      <c r="BH34" s="18">
        <f t="shared" si="17"/>
        <v>4.5936690296014282</v>
      </c>
      <c r="BI34" s="18">
        <f t="shared" si="17"/>
        <v>3.0750424132827527</v>
      </c>
      <c r="BJ34" s="56">
        <f t="shared" si="18"/>
        <v>1</v>
      </c>
      <c r="BL34" s="18">
        <f t="shared" si="19"/>
        <v>0.80527571904329664</v>
      </c>
      <c r="BM34" s="18">
        <f t="shared" si="19"/>
        <v>4.5936690296014282</v>
      </c>
      <c r="BN34" s="18">
        <f t="shared" si="19"/>
        <v>3.0750424132827527</v>
      </c>
      <c r="BO34" s="56">
        <f t="shared" si="20"/>
        <v>1</v>
      </c>
      <c r="BQ34" s="18">
        <f t="shared" si="21"/>
        <v>0.80527571904329664</v>
      </c>
      <c r="BR34" s="18">
        <f t="shared" si="21"/>
        <v>4.5936690296014282</v>
      </c>
      <c r="BS34" s="18">
        <f t="shared" si="21"/>
        <v>3.0750424132827527</v>
      </c>
      <c r="BT34" s="56">
        <f t="shared" si="22"/>
        <v>1</v>
      </c>
      <c r="BV34" s="18">
        <f t="shared" si="23"/>
        <v>0.80527571904329664</v>
      </c>
      <c r="BW34" s="18">
        <f t="shared" si="23"/>
        <v>4.5936690296014282</v>
      </c>
      <c r="BX34" s="18">
        <f t="shared" si="23"/>
        <v>3.0750424132827527</v>
      </c>
      <c r="BY34" s="56">
        <f t="shared" si="24"/>
        <v>1</v>
      </c>
      <c r="CA34" s="18">
        <f t="shared" si="25"/>
        <v>0.80527571904329664</v>
      </c>
      <c r="CB34" s="18">
        <f t="shared" si="25"/>
        <v>4.5936690296014282</v>
      </c>
      <c r="CC34" s="18">
        <f t="shared" si="25"/>
        <v>3.0750424132827527</v>
      </c>
      <c r="CD34" s="56">
        <f t="shared" si="26"/>
        <v>1</v>
      </c>
    </row>
    <row r="35" spans="1:82" x14ac:dyDescent="0.25">
      <c r="A35" s="63">
        <f>Phase_Data!A17</f>
        <v>43899</v>
      </c>
      <c r="B35" s="18">
        <f>Phase_Data!K17</f>
        <v>-1.1976414391025618</v>
      </c>
      <c r="C35" s="18">
        <f>Phase_Data!L17</f>
        <v>-1.4074974765281474</v>
      </c>
      <c r="D35" s="18">
        <f>Phase_Data!M17</f>
        <v>-1.2777880506003427</v>
      </c>
      <c r="E35" s="56">
        <f t="shared" si="0"/>
        <v>1</v>
      </c>
      <c r="F35" s="38">
        <f t="shared" si="1"/>
        <v>3.6277170332295577E-2</v>
      </c>
      <c r="G35" s="13" t="str">
        <f t="shared" si="2"/>
        <v>Low activity</v>
      </c>
      <c r="X35" s="18">
        <f t="shared" si="3"/>
        <v>0.36590809768268184</v>
      </c>
      <c r="Y35" s="18">
        <f t="shared" si="3"/>
        <v>4.763064352425264</v>
      </c>
      <c r="Z35" s="18">
        <f t="shared" si="3"/>
        <v>2.8697083584372822</v>
      </c>
      <c r="AA35" s="56">
        <f t="shared" si="4"/>
        <v>1</v>
      </c>
      <c r="AC35" s="18">
        <f t="shared" si="5"/>
        <v>0.22427587056604009</v>
      </c>
      <c r="AD35" s="18">
        <f t="shared" si="5"/>
        <v>3.8655563246544524</v>
      </c>
      <c r="AE35" s="18">
        <f t="shared" si="5"/>
        <v>2.4540445233465822</v>
      </c>
      <c r="AF35" s="56">
        <f t="shared" si="6"/>
        <v>1</v>
      </c>
      <c r="AH35" s="18">
        <f t="shared" si="7"/>
        <v>0.18649032532105544</v>
      </c>
      <c r="AI35" s="18">
        <f t="shared" si="7"/>
        <v>4.0226333622219155</v>
      </c>
      <c r="AJ35" s="18">
        <f t="shared" si="7"/>
        <v>2.4493269657896617</v>
      </c>
      <c r="AK35" s="56">
        <f t="shared" si="8"/>
        <v>1</v>
      </c>
      <c r="AM35" s="18">
        <f t="shared" si="9"/>
        <v>0.19046566706967316</v>
      </c>
      <c r="AN35" s="18">
        <f t="shared" si="9"/>
        <v>4.0546620829836328</v>
      </c>
      <c r="AO35" s="18">
        <f t="shared" si="9"/>
        <v>2.4341537496244099</v>
      </c>
      <c r="AP35" s="56">
        <f t="shared" si="10"/>
        <v>1</v>
      </c>
      <c r="AR35" s="18">
        <f t="shared" si="11"/>
        <v>0.19046566706967316</v>
      </c>
      <c r="AS35" s="18">
        <f t="shared" si="11"/>
        <v>4.0546620829836328</v>
      </c>
      <c r="AT35" s="18">
        <f t="shared" si="11"/>
        <v>2.4341537496244099</v>
      </c>
      <c r="AU35" s="56">
        <f t="shared" si="12"/>
        <v>1</v>
      </c>
      <c r="AW35" s="18">
        <f t="shared" si="13"/>
        <v>0.19046566706967316</v>
      </c>
      <c r="AX35" s="18">
        <f t="shared" si="13"/>
        <v>4.0546620829836328</v>
      </c>
      <c r="AY35" s="18">
        <f t="shared" si="13"/>
        <v>2.4341537496244099</v>
      </c>
      <c r="AZ35" s="56">
        <f t="shared" si="14"/>
        <v>1</v>
      </c>
      <c r="BB35" s="18">
        <f t="shared" si="15"/>
        <v>0.19046566706967316</v>
      </c>
      <c r="BC35" s="18">
        <f t="shared" si="15"/>
        <v>4.0546620829836328</v>
      </c>
      <c r="BD35" s="18">
        <f t="shared" si="15"/>
        <v>2.4341537496244099</v>
      </c>
      <c r="BE35" s="56">
        <f t="shared" si="16"/>
        <v>1</v>
      </c>
      <c r="BG35" s="18">
        <f t="shared" si="17"/>
        <v>0.19046566706967316</v>
      </c>
      <c r="BH35" s="18">
        <f t="shared" si="17"/>
        <v>4.0546620829836328</v>
      </c>
      <c r="BI35" s="18">
        <f t="shared" si="17"/>
        <v>2.4341537496244099</v>
      </c>
      <c r="BJ35" s="56">
        <f t="shared" si="18"/>
        <v>1</v>
      </c>
      <c r="BL35" s="18">
        <f t="shared" si="19"/>
        <v>0.19046566706967316</v>
      </c>
      <c r="BM35" s="18">
        <f t="shared" si="19"/>
        <v>4.0546620829836328</v>
      </c>
      <c r="BN35" s="18">
        <f t="shared" si="19"/>
        <v>2.4341537496244099</v>
      </c>
      <c r="BO35" s="56">
        <f t="shared" si="20"/>
        <v>1</v>
      </c>
      <c r="BQ35" s="18">
        <f t="shared" si="21"/>
        <v>0.19046566706967316</v>
      </c>
      <c r="BR35" s="18">
        <f t="shared" si="21"/>
        <v>4.0546620829836328</v>
      </c>
      <c r="BS35" s="18">
        <f t="shared" si="21"/>
        <v>2.4341537496244099</v>
      </c>
      <c r="BT35" s="56">
        <f t="shared" si="22"/>
        <v>1</v>
      </c>
      <c r="BV35" s="18">
        <f t="shared" si="23"/>
        <v>0.19046566706967316</v>
      </c>
      <c r="BW35" s="18">
        <f t="shared" si="23"/>
        <v>4.0546620829836328</v>
      </c>
      <c r="BX35" s="18">
        <f t="shared" si="23"/>
        <v>2.4341537496244099</v>
      </c>
      <c r="BY35" s="56">
        <f t="shared" si="24"/>
        <v>1</v>
      </c>
      <c r="CA35" s="18">
        <f t="shared" si="25"/>
        <v>0.19046566706967316</v>
      </c>
      <c r="CB35" s="18">
        <f t="shared" si="25"/>
        <v>4.0546620829836328</v>
      </c>
      <c r="CC35" s="18">
        <f t="shared" si="25"/>
        <v>2.4341537496244099</v>
      </c>
      <c r="CD35" s="56">
        <f t="shared" si="26"/>
        <v>1</v>
      </c>
    </row>
    <row r="36" spans="1:82" x14ac:dyDescent="0.25">
      <c r="A36" s="63">
        <f>Phase_Data!A18</f>
        <v>43900</v>
      </c>
      <c r="B36" s="18">
        <f>Phase_Data!K18</f>
        <v>-1.5635495367852437</v>
      </c>
      <c r="C36" s="18">
        <f>Phase_Data!L18</f>
        <v>-1.4074974765281474</v>
      </c>
      <c r="D36" s="18">
        <f>Phase_Data!M18</f>
        <v>-1.2777880506003427</v>
      </c>
      <c r="E36" s="56">
        <f t="shared" si="0"/>
        <v>1</v>
      </c>
      <c r="F36" s="38">
        <f t="shared" si="1"/>
        <v>7.7326948160621231E-2</v>
      </c>
      <c r="G36" s="13" t="str">
        <f t="shared" si="2"/>
        <v>Low activity</v>
      </c>
      <c r="X36" s="18">
        <f t="shared" si="3"/>
        <v>0</v>
      </c>
      <c r="Y36" s="18">
        <f t="shared" si="3"/>
        <v>4.9587151541907053</v>
      </c>
      <c r="Z36" s="18">
        <f t="shared" si="3"/>
        <v>3.1192988553680774</v>
      </c>
      <c r="AA36" s="56">
        <f t="shared" si="4"/>
        <v>1</v>
      </c>
      <c r="AC36" s="18">
        <f t="shared" si="5"/>
        <v>0.41393292598339321</v>
      </c>
      <c r="AD36" s="18">
        <f t="shared" si="5"/>
        <v>4.0646714991015349</v>
      </c>
      <c r="AE36" s="18">
        <f t="shared" si="5"/>
        <v>2.6934021144751314</v>
      </c>
      <c r="AF36" s="56">
        <f t="shared" si="6"/>
        <v>1</v>
      </c>
      <c r="AH36" s="18">
        <f t="shared" si="7"/>
        <v>0.32408532110701904</v>
      </c>
      <c r="AI36" s="18">
        <f t="shared" si="7"/>
        <v>4.2218793439823337</v>
      </c>
      <c r="AJ36" s="18">
        <f t="shared" si="7"/>
        <v>2.6843906751823492</v>
      </c>
      <c r="AK36" s="56">
        <f t="shared" si="8"/>
        <v>1</v>
      </c>
      <c r="AM36" s="18">
        <f t="shared" si="9"/>
        <v>0.27807723416457741</v>
      </c>
      <c r="AN36" s="18">
        <f t="shared" si="9"/>
        <v>4.2535538455194954</v>
      </c>
      <c r="AO36" s="18">
        <f t="shared" si="9"/>
        <v>2.6697523867955799</v>
      </c>
      <c r="AP36" s="56">
        <f t="shared" si="10"/>
        <v>1</v>
      </c>
      <c r="AR36" s="18">
        <f t="shared" si="11"/>
        <v>0.27807723416457741</v>
      </c>
      <c r="AS36" s="18">
        <f t="shared" si="11"/>
        <v>4.2535538455194954</v>
      </c>
      <c r="AT36" s="18">
        <f t="shared" si="11"/>
        <v>2.6697523867955799</v>
      </c>
      <c r="AU36" s="56">
        <f t="shared" si="12"/>
        <v>1</v>
      </c>
      <c r="AW36" s="18">
        <f t="shared" si="13"/>
        <v>0.27807723416457741</v>
      </c>
      <c r="AX36" s="18">
        <f t="shared" si="13"/>
        <v>4.2535538455194954</v>
      </c>
      <c r="AY36" s="18">
        <f t="shared" si="13"/>
        <v>2.6697523867955799</v>
      </c>
      <c r="AZ36" s="56">
        <f t="shared" si="14"/>
        <v>1</v>
      </c>
      <c r="BB36" s="18">
        <f t="shared" si="15"/>
        <v>0.27807723416457741</v>
      </c>
      <c r="BC36" s="18">
        <f t="shared" si="15"/>
        <v>4.2535538455194954</v>
      </c>
      <c r="BD36" s="18">
        <f t="shared" si="15"/>
        <v>2.6697523867955799</v>
      </c>
      <c r="BE36" s="56">
        <f t="shared" si="16"/>
        <v>1</v>
      </c>
      <c r="BG36" s="18">
        <f t="shared" si="17"/>
        <v>0.27807723416457741</v>
      </c>
      <c r="BH36" s="18">
        <f t="shared" si="17"/>
        <v>4.2535538455194954</v>
      </c>
      <c r="BI36" s="18">
        <f t="shared" si="17"/>
        <v>2.6697523867955799</v>
      </c>
      <c r="BJ36" s="56">
        <f t="shared" si="18"/>
        <v>1</v>
      </c>
      <c r="BL36" s="18">
        <f t="shared" si="19"/>
        <v>0.27807723416457741</v>
      </c>
      <c r="BM36" s="18">
        <f t="shared" si="19"/>
        <v>4.2535538455194954</v>
      </c>
      <c r="BN36" s="18">
        <f t="shared" si="19"/>
        <v>2.6697523867955799</v>
      </c>
      <c r="BO36" s="56">
        <f t="shared" si="20"/>
        <v>1</v>
      </c>
      <c r="BQ36" s="18">
        <f t="shared" si="21"/>
        <v>0.27807723416457741</v>
      </c>
      <c r="BR36" s="18">
        <f t="shared" si="21"/>
        <v>4.2535538455194954</v>
      </c>
      <c r="BS36" s="18">
        <f t="shared" si="21"/>
        <v>2.6697523867955799</v>
      </c>
      <c r="BT36" s="56">
        <f t="shared" si="22"/>
        <v>1</v>
      </c>
      <c r="BV36" s="18">
        <f t="shared" si="23"/>
        <v>0.27807723416457741</v>
      </c>
      <c r="BW36" s="18">
        <f t="shared" si="23"/>
        <v>4.2535538455194954</v>
      </c>
      <c r="BX36" s="18">
        <f t="shared" si="23"/>
        <v>2.6697523867955799</v>
      </c>
      <c r="BY36" s="56">
        <f t="shared" si="24"/>
        <v>1</v>
      </c>
      <c r="CA36" s="18">
        <f t="shared" si="25"/>
        <v>0.27807723416457741</v>
      </c>
      <c r="CB36" s="18">
        <f t="shared" si="25"/>
        <v>4.2535538455194954</v>
      </c>
      <c r="CC36" s="18">
        <f t="shared" si="25"/>
        <v>2.6697523867955799</v>
      </c>
      <c r="CD36" s="56">
        <f t="shared" si="26"/>
        <v>1</v>
      </c>
    </row>
    <row r="37" spans="1:82" x14ac:dyDescent="0.25">
      <c r="A37" s="63">
        <f>Phase_Data!A19</f>
        <v>43901</v>
      </c>
      <c r="B37" s="18">
        <f>Phase_Data!K19</f>
        <v>-1.8403483272019492</v>
      </c>
      <c r="C37" s="18">
        <f>Phase_Data!L19</f>
        <v>-1.4074974765281474</v>
      </c>
      <c r="D37" s="18">
        <f>Phase_Data!M19</f>
        <v>-1.0102756110451747</v>
      </c>
      <c r="E37" s="56">
        <f t="shared" si="0"/>
        <v>1</v>
      </c>
      <c r="F37" s="38">
        <f t="shared" si="1"/>
        <v>0.31019299674526241</v>
      </c>
      <c r="G37" s="13" t="str">
        <f t="shared" si="2"/>
        <v>Low activity</v>
      </c>
      <c r="X37" s="18">
        <f t="shared" si="3"/>
        <v>0.38494217188158109</v>
      </c>
      <c r="Y37" s="18">
        <f t="shared" si="3"/>
        <v>4.9714020850754697</v>
      </c>
      <c r="Z37" s="18">
        <f t="shared" si="3"/>
        <v>3.3332057770087</v>
      </c>
      <c r="AA37" s="56">
        <f t="shared" si="4"/>
        <v>1</v>
      </c>
      <c r="AC37" s="18">
        <f t="shared" si="5"/>
        <v>0.65256941774341559</v>
      </c>
      <c r="AD37" s="18">
        <f t="shared" si="5"/>
        <v>4.0873572323688601</v>
      </c>
      <c r="AE37" s="18">
        <f t="shared" si="5"/>
        <v>2.7966204624239182</v>
      </c>
      <c r="AF37" s="56">
        <f t="shared" si="6"/>
        <v>1</v>
      </c>
      <c r="AH37" s="18">
        <f t="shared" si="7"/>
        <v>0.59065542177617192</v>
      </c>
      <c r="AI37" s="18">
        <f t="shared" si="7"/>
        <v>4.2453167760262351</v>
      </c>
      <c r="AJ37" s="18">
        <f t="shared" si="7"/>
        <v>2.7757634128543804</v>
      </c>
      <c r="AK37" s="56">
        <f t="shared" si="8"/>
        <v>1</v>
      </c>
      <c r="AM37" s="18">
        <f t="shared" si="9"/>
        <v>0.55694972550963917</v>
      </c>
      <c r="AN37" s="18">
        <f t="shared" si="9"/>
        <v>4.2771344985311437</v>
      </c>
      <c r="AO37" s="18">
        <f t="shared" si="9"/>
        <v>2.7601541459790386</v>
      </c>
      <c r="AP37" s="56">
        <f t="shared" si="10"/>
        <v>1</v>
      </c>
      <c r="AR37" s="18">
        <f t="shared" si="11"/>
        <v>0.55694972550963917</v>
      </c>
      <c r="AS37" s="18">
        <f t="shared" si="11"/>
        <v>4.2771344985311437</v>
      </c>
      <c r="AT37" s="18">
        <f t="shared" si="11"/>
        <v>2.7601541459790386</v>
      </c>
      <c r="AU37" s="56">
        <f t="shared" si="12"/>
        <v>1</v>
      </c>
      <c r="AW37" s="18">
        <f t="shared" si="13"/>
        <v>0.55694972550963917</v>
      </c>
      <c r="AX37" s="18">
        <f t="shared" si="13"/>
        <v>4.2771344985311437</v>
      </c>
      <c r="AY37" s="18">
        <f t="shared" si="13"/>
        <v>2.7601541459790386</v>
      </c>
      <c r="AZ37" s="56">
        <f t="shared" si="14"/>
        <v>1</v>
      </c>
      <c r="BB37" s="18">
        <f t="shared" si="15"/>
        <v>0.55694972550963917</v>
      </c>
      <c r="BC37" s="18">
        <f t="shared" si="15"/>
        <v>4.2771344985311437</v>
      </c>
      <c r="BD37" s="18">
        <f t="shared" si="15"/>
        <v>2.7601541459790386</v>
      </c>
      <c r="BE37" s="56">
        <f t="shared" si="16"/>
        <v>1</v>
      </c>
      <c r="BG37" s="18">
        <f t="shared" si="17"/>
        <v>0.55694972550963917</v>
      </c>
      <c r="BH37" s="18">
        <f t="shared" si="17"/>
        <v>4.2771344985311437</v>
      </c>
      <c r="BI37" s="18">
        <f t="shared" si="17"/>
        <v>2.7601541459790386</v>
      </c>
      <c r="BJ37" s="56">
        <f t="shared" si="18"/>
        <v>1</v>
      </c>
      <c r="BL37" s="18">
        <f t="shared" si="19"/>
        <v>0.55694972550963917</v>
      </c>
      <c r="BM37" s="18">
        <f t="shared" si="19"/>
        <v>4.2771344985311437</v>
      </c>
      <c r="BN37" s="18">
        <f t="shared" si="19"/>
        <v>2.7601541459790386</v>
      </c>
      <c r="BO37" s="56">
        <f t="shared" si="20"/>
        <v>1</v>
      </c>
      <c r="BQ37" s="18">
        <f t="shared" si="21"/>
        <v>0.55694972550963917</v>
      </c>
      <c r="BR37" s="18">
        <f t="shared" si="21"/>
        <v>4.2771344985311437</v>
      </c>
      <c r="BS37" s="18">
        <f t="shared" si="21"/>
        <v>2.7601541459790386</v>
      </c>
      <c r="BT37" s="56">
        <f t="shared" si="22"/>
        <v>1</v>
      </c>
      <c r="BV37" s="18">
        <f t="shared" si="23"/>
        <v>0.55694972550963917</v>
      </c>
      <c r="BW37" s="18">
        <f t="shared" si="23"/>
        <v>4.2771344985311437</v>
      </c>
      <c r="BX37" s="18">
        <f t="shared" si="23"/>
        <v>2.7601541459790386</v>
      </c>
      <c r="BY37" s="56">
        <f t="shared" si="24"/>
        <v>1</v>
      </c>
      <c r="CA37" s="18">
        <f t="shared" si="25"/>
        <v>0.55694972550963917</v>
      </c>
      <c r="CB37" s="18">
        <f t="shared" si="25"/>
        <v>4.2771344985311437</v>
      </c>
      <c r="CC37" s="18">
        <f t="shared" si="25"/>
        <v>2.7601541459790386</v>
      </c>
      <c r="CD37" s="56">
        <f t="shared" si="26"/>
        <v>1</v>
      </c>
    </row>
    <row r="38" spans="1:82" x14ac:dyDescent="0.25">
      <c r="A38" s="63">
        <f>Phase_Data!A20</f>
        <v>43902</v>
      </c>
      <c r="B38" s="18">
        <f>Phase_Data!K20</f>
        <v>-1.8403483272019492</v>
      </c>
      <c r="C38" s="18">
        <f>Phase_Data!L20</f>
        <v>-1.4074974765281474</v>
      </c>
      <c r="D38" s="18">
        <f>Phase_Data!M20</f>
        <v>-1.2777880506003427</v>
      </c>
      <c r="E38" s="56">
        <f t="shared" si="0"/>
        <v>1</v>
      </c>
      <c r="F38" s="38">
        <f t="shared" si="1"/>
        <v>0.28628039554450846</v>
      </c>
      <c r="G38" s="13" t="str">
        <f t="shared" si="2"/>
        <v>Low activity</v>
      </c>
      <c r="X38" s="18">
        <f t="shared" si="3"/>
        <v>0.27679879041670552</v>
      </c>
      <c r="Y38" s="18">
        <f t="shared" si="3"/>
        <v>5.119142493723877</v>
      </c>
      <c r="Z38" s="18">
        <f t="shared" si="3"/>
        <v>3.3224535883240591</v>
      </c>
      <c r="AA38" s="56">
        <f t="shared" si="4"/>
        <v>1</v>
      </c>
      <c r="AC38" s="18">
        <f t="shared" si="5"/>
        <v>0.66393131252392368</v>
      </c>
      <c r="AD38" s="18">
        <f t="shared" si="5"/>
        <v>4.2301234003225403</v>
      </c>
      <c r="AE38" s="18">
        <f t="shared" si="5"/>
        <v>2.8921183072330505</v>
      </c>
      <c r="AF38" s="56">
        <f t="shared" si="6"/>
        <v>1</v>
      </c>
      <c r="AH38" s="18">
        <f t="shared" si="7"/>
        <v>0.57972050653947327</v>
      </c>
      <c r="AI38" s="18">
        <f t="shared" si="7"/>
        <v>4.3868906635567129</v>
      </c>
      <c r="AJ38" s="18">
        <f t="shared" si="7"/>
        <v>2.880403697278731</v>
      </c>
      <c r="AK38" s="56">
        <f t="shared" si="8"/>
        <v>1</v>
      </c>
      <c r="AM38" s="18">
        <f t="shared" si="9"/>
        <v>0.53505176903222029</v>
      </c>
      <c r="AN38" s="18">
        <f t="shared" si="9"/>
        <v>4.4182168535225115</v>
      </c>
      <c r="AO38" s="18">
        <f t="shared" si="9"/>
        <v>2.8662020610501462</v>
      </c>
      <c r="AP38" s="56">
        <f t="shared" si="10"/>
        <v>1</v>
      </c>
      <c r="AR38" s="18">
        <f t="shared" si="11"/>
        <v>0.53505176903222029</v>
      </c>
      <c r="AS38" s="18">
        <f t="shared" si="11"/>
        <v>4.4182168535225115</v>
      </c>
      <c r="AT38" s="18">
        <f t="shared" si="11"/>
        <v>2.8662020610501462</v>
      </c>
      <c r="AU38" s="56">
        <f t="shared" si="12"/>
        <v>1</v>
      </c>
      <c r="AW38" s="18">
        <f t="shared" si="13"/>
        <v>0.53505176903222029</v>
      </c>
      <c r="AX38" s="18">
        <f t="shared" si="13"/>
        <v>4.4182168535225115</v>
      </c>
      <c r="AY38" s="18">
        <f t="shared" si="13"/>
        <v>2.8662020610501462</v>
      </c>
      <c r="AZ38" s="56">
        <f t="shared" si="14"/>
        <v>1</v>
      </c>
      <c r="BB38" s="18">
        <f t="shared" si="15"/>
        <v>0.53505176903222029</v>
      </c>
      <c r="BC38" s="18">
        <f t="shared" si="15"/>
        <v>4.4182168535225115</v>
      </c>
      <c r="BD38" s="18">
        <f t="shared" si="15"/>
        <v>2.8662020610501462</v>
      </c>
      <c r="BE38" s="56">
        <f t="shared" si="16"/>
        <v>1</v>
      </c>
      <c r="BG38" s="18">
        <f t="shared" si="17"/>
        <v>0.53505176903222029</v>
      </c>
      <c r="BH38" s="18">
        <f t="shared" si="17"/>
        <v>4.4182168535225115</v>
      </c>
      <c r="BI38" s="18">
        <f t="shared" si="17"/>
        <v>2.8662020610501462</v>
      </c>
      <c r="BJ38" s="56">
        <f t="shared" si="18"/>
        <v>1</v>
      </c>
      <c r="BL38" s="18">
        <f t="shared" si="19"/>
        <v>0.53505176903222029</v>
      </c>
      <c r="BM38" s="18">
        <f t="shared" si="19"/>
        <v>4.4182168535225115</v>
      </c>
      <c r="BN38" s="18">
        <f t="shared" si="19"/>
        <v>2.8662020610501462</v>
      </c>
      <c r="BO38" s="56">
        <f t="shared" si="20"/>
        <v>1</v>
      </c>
      <c r="BQ38" s="18">
        <f t="shared" si="21"/>
        <v>0.53505176903222029</v>
      </c>
      <c r="BR38" s="18">
        <f t="shared" si="21"/>
        <v>4.4182168535225115</v>
      </c>
      <c r="BS38" s="18">
        <f t="shared" si="21"/>
        <v>2.8662020610501462</v>
      </c>
      <c r="BT38" s="56">
        <f t="shared" si="22"/>
        <v>1</v>
      </c>
      <c r="BV38" s="18">
        <f t="shared" si="23"/>
        <v>0.53505176903222029</v>
      </c>
      <c r="BW38" s="18">
        <f t="shared" si="23"/>
        <v>4.4182168535225115</v>
      </c>
      <c r="BX38" s="18">
        <f t="shared" si="23"/>
        <v>2.8662020610501462</v>
      </c>
      <c r="BY38" s="56">
        <f t="shared" si="24"/>
        <v>1</v>
      </c>
      <c r="CA38" s="18">
        <f t="shared" si="25"/>
        <v>0.53505176903222029</v>
      </c>
      <c r="CB38" s="18">
        <f t="shared" si="25"/>
        <v>4.4182168535225115</v>
      </c>
      <c r="CC38" s="18">
        <f t="shared" si="25"/>
        <v>2.8662020610501462</v>
      </c>
      <c r="CD38" s="56">
        <f t="shared" si="26"/>
        <v>1</v>
      </c>
    </row>
    <row r="39" spans="1:82" x14ac:dyDescent="0.25">
      <c r="A39" s="63">
        <f>Phase_Data!A21</f>
        <v>43903</v>
      </c>
      <c r="B39" s="18">
        <f>Phase_Data!K21</f>
        <v>-1.1976414391025618</v>
      </c>
      <c r="C39" s="18">
        <f>Phase_Data!L21</f>
        <v>-1.4074974765281474</v>
      </c>
      <c r="D39" s="18">
        <f>Phase_Data!M21</f>
        <v>-1.0102756110451747</v>
      </c>
      <c r="E39" s="56">
        <f t="shared" si="0"/>
        <v>1</v>
      </c>
      <c r="F39" s="38">
        <f t="shared" si="1"/>
        <v>6.0189771533049524E-2</v>
      </c>
      <c r="G39" s="13" t="str">
        <f t="shared" si="2"/>
        <v>Low activity</v>
      </c>
      <c r="X39" s="18">
        <f t="shared" si="3"/>
        <v>0.45326773684712707</v>
      </c>
      <c r="Y39" s="18">
        <f t="shared" si="3"/>
        <v>4.6039114724099033</v>
      </c>
      <c r="Z39" s="18">
        <f t="shared" si="3"/>
        <v>2.8821500599034673</v>
      </c>
      <c r="AA39" s="56">
        <f t="shared" si="4"/>
        <v>1</v>
      </c>
      <c r="AC39" s="18">
        <f t="shared" si="5"/>
        <v>0.18799394496205352</v>
      </c>
      <c r="AD39" s="18">
        <f t="shared" si="5"/>
        <v>3.7087829354274349</v>
      </c>
      <c r="AE39" s="18">
        <f t="shared" si="5"/>
        <v>2.3407418119867378</v>
      </c>
      <c r="AF39" s="56">
        <f t="shared" si="6"/>
        <v>1</v>
      </c>
      <c r="AH39" s="18">
        <f t="shared" si="7"/>
        <v>0.21812061573715838</v>
      </c>
      <c r="AI39" s="18">
        <f t="shared" si="7"/>
        <v>3.8677492164913585</v>
      </c>
      <c r="AJ39" s="18">
        <f t="shared" si="7"/>
        <v>2.3253687127396385</v>
      </c>
      <c r="AK39" s="56">
        <f t="shared" si="8"/>
        <v>1</v>
      </c>
      <c r="AM39" s="18">
        <f t="shared" si="9"/>
        <v>0.24533603798270145</v>
      </c>
      <c r="AN39" s="18">
        <f t="shared" si="9"/>
        <v>3.9004517637012337</v>
      </c>
      <c r="AO39" s="18">
        <f t="shared" si="9"/>
        <v>2.3083416410071851</v>
      </c>
      <c r="AP39" s="56">
        <f t="shared" si="10"/>
        <v>1</v>
      </c>
      <c r="AR39" s="18">
        <f t="shared" si="11"/>
        <v>0.24533603798270145</v>
      </c>
      <c r="AS39" s="18">
        <f t="shared" si="11"/>
        <v>3.9004517637012337</v>
      </c>
      <c r="AT39" s="18">
        <f t="shared" si="11"/>
        <v>2.3083416410071851</v>
      </c>
      <c r="AU39" s="56">
        <f t="shared" si="12"/>
        <v>1</v>
      </c>
      <c r="AW39" s="18">
        <f t="shared" si="13"/>
        <v>0.24533603798270145</v>
      </c>
      <c r="AX39" s="18">
        <f t="shared" si="13"/>
        <v>3.9004517637012337</v>
      </c>
      <c r="AY39" s="18">
        <f t="shared" si="13"/>
        <v>2.3083416410071851</v>
      </c>
      <c r="AZ39" s="56">
        <f t="shared" si="14"/>
        <v>1</v>
      </c>
      <c r="BB39" s="18">
        <f t="shared" si="15"/>
        <v>0.24533603798270145</v>
      </c>
      <c r="BC39" s="18">
        <f t="shared" si="15"/>
        <v>3.9004517637012337</v>
      </c>
      <c r="BD39" s="18">
        <f t="shared" si="15"/>
        <v>2.3083416410071851</v>
      </c>
      <c r="BE39" s="56">
        <f t="shared" si="16"/>
        <v>1</v>
      </c>
      <c r="BG39" s="18">
        <f t="shared" si="17"/>
        <v>0.24533603798270145</v>
      </c>
      <c r="BH39" s="18">
        <f t="shared" si="17"/>
        <v>3.9004517637012337</v>
      </c>
      <c r="BI39" s="18">
        <f t="shared" si="17"/>
        <v>2.3083416410071851</v>
      </c>
      <c r="BJ39" s="56">
        <f t="shared" si="18"/>
        <v>1</v>
      </c>
      <c r="BL39" s="18">
        <f t="shared" si="19"/>
        <v>0.24533603798270145</v>
      </c>
      <c r="BM39" s="18">
        <f t="shared" si="19"/>
        <v>3.9004517637012337</v>
      </c>
      <c r="BN39" s="18">
        <f t="shared" si="19"/>
        <v>2.3083416410071851</v>
      </c>
      <c r="BO39" s="56">
        <f t="shared" si="20"/>
        <v>1</v>
      </c>
      <c r="BQ39" s="18">
        <f t="shared" si="21"/>
        <v>0.24533603798270145</v>
      </c>
      <c r="BR39" s="18">
        <f t="shared" si="21"/>
        <v>3.9004517637012337</v>
      </c>
      <c r="BS39" s="18">
        <f t="shared" si="21"/>
        <v>2.3083416410071851</v>
      </c>
      <c r="BT39" s="56">
        <f t="shared" si="22"/>
        <v>1</v>
      </c>
      <c r="BV39" s="18">
        <f t="shared" si="23"/>
        <v>0.24533603798270145</v>
      </c>
      <c r="BW39" s="18">
        <f t="shared" si="23"/>
        <v>3.9004517637012337</v>
      </c>
      <c r="BX39" s="18">
        <f t="shared" si="23"/>
        <v>2.3083416410071851</v>
      </c>
      <c r="BY39" s="56">
        <f t="shared" si="24"/>
        <v>1</v>
      </c>
      <c r="CA39" s="18">
        <f t="shared" si="25"/>
        <v>0.24533603798270145</v>
      </c>
      <c r="CB39" s="18">
        <f t="shared" si="25"/>
        <v>3.9004517637012337</v>
      </c>
      <c r="CC39" s="18">
        <f t="shared" si="25"/>
        <v>2.3083416410071851</v>
      </c>
      <c r="CD39" s="56">
        <f t="shared" si="26"/>
        <v>1</v>
      </c>
    </row>
    <row r="40" spans="1:82" x14ac:dyDescent="0.25">
      <c r="A40" s="63">
        <f>Phase_Data!A22</f>
        <v>43904</v>
      </c>
      <c r="B40" s="18">
        <f>Phase_Data!K22</f>
        <v>-2.1171471176186549</v>
      </c>
      <c r="C40" s="18">
        <f>Phase_Data!L22</f>
        <v>-1.4074974765281474</v>
      </c>
      <c r="D40" s="18">
        <f>Phase_Data!M22</f>
        <v>-1.2777880506003427</v>
      </c>
      <c r="E40" s="56">
        <f t="shared" si="0"/>
        <v>1</v>
      </c>
      <c r="F40" s="38">
        <f t="shared" si="1"/>
        <v>0.6484689836806985</v>
      </c>
      <c r="G40" s="13" t="str">
        <f t="shared" si="2"/>
        <v>Low activity</v>
      </c>
      <c r="X40" s="18">
        <f t="shared" si="3"/>
        <v>0.55359758083341126</v>
      </c>
      <c r="Y40" s="18">
        <f t="shared" si="3"/>
        <v>5.2891983232292183</v>
      </c>
      <c r="Z40" s="18">
        <f t="shared" si="3"/>
        <v>3.5356195333755212</v>
      </c>
      <c r="AA40" s="56">
        <f t="shared" si="4"/>
        <v>1</v>
      </c>
      <c r="AC40" s="18">
        <f t="shared" si="5"/>
        <v>0.9292492932677483</v>
      </c>
      <c r="AD40" s="18">
        <f t="shared" si="5"/>
        <v>4.4067639724696681</v>
      </c>
      <c r="AE40" s="18">
        <f t="shared" si="5"/>
        <v>3.1028240034778518</v>
      </c>
      <c r="AF40" s="56">
        <f t="shared" si="6"/>
        <v>1</v>
      </c>
      <c r="AH40" s="18">
        <f t="shared" si="7"/>
        <v>0.84873763720011286</v>
      </c>
      <c r="AI40" s="18">
        <f t="shared" si="7"/>
        <v>4.5627392357672294</v>
      </c>
      <c r="AJ40" s="18">
        <f t="shared" si="7"/>
        <v>3.0888076603020016</v>
      </c>
      <c r="AK40" s="56">
        <f t="shared" si="8"/>
        <v>1</v>
      </c>
      <c r="AM40" s="18">
        <f t="shared" si="9"/>
        <v>0.80527571904329664</v>
      </c>
      <c r="AN40" s="18">
        <f t="shared" si="9"/>
        <v>4.5936690296014282</v>
      </c>
      <c r="AO40" s="18">
        <f t="shared" si="9"/>
        <v>3.0750424132827527</v>
      </c>
      <c r="AP40" s="56">
        <f t="shared" si="10"/>
        <v>1</v>
      </c>
      <c r="AR40" s="18">
        <f t="shared" si="11"/>
        <v>0.80527571904329664</v>
      </c>
      <c r="AS40" s="18">
        <f t="shared" si="11"/>
        <v>4.5936690296014282</v>
      </c>
      <c r="AT40" s="18">
        <f t="shared" si="11"/>
        <v>3.0750424132827527</v>
      </c>
      <c r="AU40" s="56">
        <f t="shared" si="12"/>
        <v>1</v>
      </c>
      <c r="AW40" s="18">
        <f t="shared" si="13"/>
        <v>0.80527571904329664</v>
      </c>
      <c r="AX40" s="18">
        <f t="shared" si="13"/>
        <v>4.5936690296014282</v>
      </c>
      <c r="AY40" s="18">
        <f t="shared" si="13"/>
        <v>3.0750424132827527</v>
      </c>
      <c r="AZ40" s="56">
        <f t="shared" si="14"/>
        <v>1</v>
      </c>
      <c r="BB40" s="18">
        <f t="shared" si="15"/>
        <v>0.80527571904329664</v>
      </c>
      <c r="BC40" s="18">
        <f t="shared" si="15"/>
        <v>4.5936690296014282</v>
      </c>
      <c r="BD40" s="18">
        <f t="shared" si="15"/>
        <v>3.0750424132827527</v>
      </c>
      <c r="BE40" s="56">
        <f t="shared" si="16"/>
        <v>1</v>
      </c>
      <c r="BG40" s="18">
        <f t="shared" si="17"/>
        <v>0.80527571904329664</v>
      </c>
      <c r="BH40" s="18">
        <f t="shared" si="17"/>
        <v>4.5936690296014282</v>
      </c>
      <c r="BI40" s="18">
        <f t="shared" si="17"/>
        <v>3.0750424132827527</v>
      </c>
      <c r="BJ40" s="56">
        <f t="shared" si="18"/>
        <v>1</v>
      </c>
      <c r="BL40" s="18">
        <f t="shared" si="19"/>
        <v>0.80527571904329664</v>
      </c>
      <c r="BM40" s="18">
        <f t="shared" si="19"/>
        <v>4.5936690296014282</v>
      </c>
      <c r="BN40" s="18">
        <f t="shared" si="19"/>
        <v>3.0750424132827527</v>
      </c>
      <c r="BO40" s="56">
        <f t="shared" si="20"/>
        <v>1</v>
      </c>
      <c r="BQ40" s="18">
        <f t="shared" si="21"/>
        <v>0.80527571904329664</v>
      </c>
      <c r="BR40" s="18">
        <f t="shared" si="21"/>
        <v>4.5936690296014282</v>
      </c>
      <c r="BS40" s="18">
        <f t="shared" si="21"/>
        <v>3.0750424132827527</v>
      </c>
      <c r="BT40" s="56">
        <f t="shared" si="22"/>
        <v>1</v>
      </c>
      <c r="BV40" s="18">
        <f t="shared" si="23"/>
        <v>0.80527571904329664</v>
      </c>
      <c r="BW40" s="18">
        <f t="shared" si="23"/>
        <v>4.5936690296014282</v>
      </c>
      <c r="BX40" s="18">
        <f t="shared" si="23"/>
        <v>3.0750424132827527</v>
      </c>
      <c r="BY40" s="56">
        <f t="shared" si="24"/>
        <v>1</v>
      </c>
      <c r="CA40" s="18">
        <f t="shared" si="25"/>
        <v>0.80527571904329664</v>
      </c>
      <c r="CB40" s="18">
        <f t="shared" si="25"/>
        <v>4.5936690296014282</v>
      </c>
      <c r="CC40" s="18">
        <f t="shared" si="25"/>
        <v>3.0750424132827527</v>
      </c>
      <c r="CD40" s="56">
        <f t="shared" si="26"/>
        <v>1</v>
      </c>
    </row>
    <row r="41" spans="1:82" x14ac:dyDescent="0.25">
      <c r="A41" s="63">
        <f>Phase_Data!A23</f>
        <v>43905</v>
      </c>
      <c r="B41" s="18">
        <f>Phase_Data!K23</f>
        <v>-0.69736778282333789</v>
      </c>
      <c r="C41" s="18">
        <f>Phase_Data!L23</f>
        <v>-0.93684730084180778</v>
      </c>
      <c r="D41" s="18">
        <f>Phase_Data!M23</f>
        <v>-1.2777880506003427</v>
      </c>
      <c r="E41" s="56">
        <f t="shared" si="0"/>
        <v>1</v>
      </c>
      <c r="F41" s="38">
        <f t="shared" si="1"/>
        <v>0.53080399021913338</v>
      </c>
      <c r="G41" s="13" t="str">
        <f t="shared" si="2"/>
        <v>Low activity</v>
      </c>
      <c r="X41" s="18">
        <f t="shared" si="3"/>
        <v>0.98579025090031491</v>
      </c>
      <c r="Y41" s="18">
        <f t="shared" si="3"/>
        <v>4.245664877061138</v>
      </c>
      <c r="Z41" s="18">
        <f t="shared" si="3"/>
        <v>2.1883837167360261</v>
      </c>
      <c r="AA41" s="56">
        <f t="shared" si="4"/>
        <v>1</v>
      </c>
      <c r="AC41" s="18">
        <f t="shared" si="5"/>
        <v>0.62794244470132166</v>
      </c>
      <c r="AD41" s="18">
        <f t="shared" si="5"/>
        <v>3.3510988182739063</v>
      </c>
      <c r="AE41" s="18">
        <f t="shared" si="5"/>
        <v>1.8759882404090742</v>
      </c>
      <c r="AF41" s="56">
        <f t="shared" si="6"/>
        <v>1</v>
      </c>
      <c r="AH41" s="18">
        <f t="shared" si="7"/>
        <v>0.69115484746895628</v>
      </c>
      <c r="AI41" s="18">
        <f t="shared" si="7"/>
        <v>3.5026619196439608</v>
      </c>
      <c r="AJ41" s="18">
        <f t="shared" si="7"/>
        <v>1.8901761268743393</v>
      </c>
      <c r="AK41" s="56">
        <f t="shared" si="8"/>
        <v>1</v>
      </c>
      <c r="AM41" s="18">
        <f t="shared" si="9"/>
        <v>0.7285629624261265</v>
      </c>
      <c r="AN41" s="18">
        <f t="shared" si="9"/>
        <v>3.533190029633194</v>
      </c>
      <c r="AO41" s="18">
        <f t="shared" si="9"/>
        <v>1.8786383195894518</v>
      </c>
      <c r="AP41" s="56">
        <f t="shared" si="10"/>
        <v>1</v>
      </c>
      <c r="AR41" s="18">
        <f t="shared" si="11"/>
        <v>0.7285629624261265</v>
      </c>
      <c r="AS41" s="18">
        <f t="shared" si="11"/>
        <v>3.533190029633194</v>
      </c>
      <c r="AT41" s="18">
        <f t="shared" si="11"/>
        <v>1.8786383195894518</v>
      </c>
      <c r="AU41" s="56">
        <f t="shared" si="12"/>
        <v>1</v>
      </c>
      <c r="AW41" s="18">
        <f t="shared" si="13"/>
        <v>0.7285629624261265</v>
      </c>
      <c r="AX41" s="18">
        <f t="shared" si="13"/>
        <v>3.533190029633194</v>
      </c>
      <c r="AY41" s="18">
        <f t="shared" si="13"/>
        <v>1.8786383195894518</v>
      </c>
      <c r="AZ41" s="56">
        <f t="shared" si="14"/>
        <v>1</v>
      </c>
      <c r="BB41" s="18">
        <f t="shared" si="15"/>
        <v>0.7285629624261265</v>
      </c>
      <c r="BC41" s="18">
        <f t="shared" si="15"/>
        <v>3.533190029633194</v>
      </c>
      <c r="BD41" s="18">
        <f t="shared" si="15"/>
        <v>1.8786383195894518</v>
      </c>
      <c r="BE41" s="56">
        <f t="shared" si="16"/>
        <v>1</v>
      </c>
      <c r="BG41" s="18">
        <f t="shared" si="17"/>
        <v>0.7285629624261265</v>
      </c>
      <c r="BH41" s="18">
        <f t="shared" si="17"/>
        <v>3.533190029633194</v>
      </c>
      <c r="BI41" s="18">
        <f t="shared" si="17"/>
        <v>1.8786383195894518</v>
      </c>
      <c r="BJ41" s="56">
        <f t="shared" si="18"/>
        <v>1</v>
      </c>
      <c r="BL41" s="18">
        <f t="shared" si="19"/>
        <v>0.7285629624261265</v>
      </c>
      <c r="BM41" s="18">
        <f t="shared" si="19"/>
        <v>3.533190029633194</v>
      </c>
      <c r="BN41" s="18">
        <f t="shared" si="19"/>
        <v>1.8786383195894518</v>
      </c>
      <c r="BO41" s="56">
        <f t="shared" si="20"/>
        <v>1</v>
      </c>
      <c r="BQ41" s="18">
        <f t="shared" si="21"/>
        <v>0.7285629624261265</v>
      </c>
      <c r="BR41" s="18">
        <f t="shared" si="21"/>
        <v>3.533190029633194</v>
      </c>
      <c r="BS41" s="18">
        <f t="shared" si="21"/>
        <v>1.8786383195894518</v>
      </c>
      <c r="BT41" s="56">
        <f t="shared" si="22"/>
        <v>1</v>
      </c>
      <c r="BV41" s="18">
        <f t="shared" si="23"/>
        <v>0.7285629624261265</v>
      </c>
      <c r="BW41" s="18">
        <f t="shared" si="23"/>
        <v>3.533190029633194</v>
      </c>
      <c r="BX41" s="18">
        <f t="shared" si="23"/>
        <v>1.8786383195894518</v>
      </c>
      <c r="BY41" s="56">
        <f t="shared" si="24"/>
        <v>1</v>
      </c>
      <c r="CA41" s="18">
        <f t="shared" si="25"/>
        <v>0.7285629624261265</v>
      </c>
      <c r="CB41" s="18">
        <f t="shared" si="25"/>
        <v>3.533190029633194</v>
      </c>
      <c r="CC41" s="18">
        <f t="shared" si="25"/>
        <v>1.8786383195894518</v>
      </c>
      <c r="CD41" s="56">
        <f t="shared" si="26"/>
        <v>1</v>
      </c>
    </row>
    <row r="42" spans="1:82" x14ac:dyDescent="0.25">
      <c r="A42" s="63">
        <f>Phase_Data!A24</f>
        <v>43906</v>
      </c>
      <c r="B42" s="18">
        <f>Phase_Data!K24</f>
        <v>-0.11092954886950991</v>
      </c>
      <c r="C42" s="18">
        <f>Phase_Data!L24</f>
        <v>-1.4074974765281474</v>
      </c>
      <c r="D42" s="18">
        <f>Phase_Data!M24</f>
        <v>-1.0102756110451747</v>
      </c>
      <c r="E42" s="56">
        <f t="shared" si="0"/>
        <v>1</v>
      </c>
      <c r="F42" s="38">
        <f t="shared" si="1"/>
        <v>1.5168552886890976</v>
      </c>
      <c r="G42" s="13" t="str">
        <f t="shared" si="2"/>
        <v>Low activity</v>
      </c>
      <c r="X42" s="18">
        <f t="shared" si="3"/>
        <v>1.4770469642530206</v>
      </c>
      <c r="Y42" s="18">
        <f t="shared" si="3"/>
        <v>4.1383092418580238</v>
      </c>
      <c r="Z42" s="18">
        <f t="shared" si="3"/>
        <v>2.3336576727868246</v>
      </c>
      <c r="AA42" s="56">
        <f t="shared" si="4"/>
        <v>1</v>
      </c>
      <c r="AC42" s="18">
        <f t="shared" si="5"/>
        <v>1.1200185657767887</v>
      </c>
      <c r="AD42" s="18">
        <f t="shared" si="5"/>
        <v>3.2625276664226672</v>
      </c>
      <c r="AE42" s="18">
        <f t="shared" si="5"/>
        <v>1.8434997051393074</v>
      </c>
      <c r="AF42" s="56">
        <f t="shared" si="6"/>
        <v>1</v>
      </c>
      <c r="AH42" s="18">
        <f t="shared" si="7"/>
        <v>1.1905932908695867</v>
      </c>
      <c r="AI42" s="18">
        <f t="shared" si="7"/>
        <v>3.4145927656481541</v>
      </c>
      <c r="AJ42" s="18">
        <f t="shared" si="7"/>
        <v>1.8444471815010002</v>
      </c>
      <c r="AK42" s="56">
        <f t="shared" si="8"/>
        <v>1</v>
      </c>
      <c r="AM42" s="18">
        <f t="shared" si="9"/>
        <v>1.231606791426995</v>
      </c>
      <c r="AN42" s="18">
        <f t="shared" si="9"/>
        <v>3.4473943925800312</v>
      </c>
      <c r="AO42" s="18">
        <f t="shared" si="9"/>
        <v>1.8264146022520478</v>
      </c>
      <c r="AP42" s="56">
        <f t="shared" si="10"/>
        <v>1</v>
      </c>
      <c r="AR42" s="18">
        <f t="shared" si="11"/>
        <v>1.231606791426995</v>
      </c>
      <c r="AS42" s="18">
        <f t="shared" si="11"/>
        <v>3.4473943925800312</v>
      </c>
      <c r="AT42" s="18">
        <f t="shared" si="11"/>
        <v>1.8264146022520478</v>
      </c>
      <c r="AU42" s="56">
        <f t="shared" si="12"/>
        <v>1</v>
      </c>
      <c r="AW42" s="18">
        <f t="shared" si="13"/>
        <v>1.231606791426995</v>
      </c>
      <c r="AX42" s="18">
        <f t="shared" si="13"/>
        <v>3.4473943925800312</v>
      </c>
      <c r="AY42" s="18">
        <f t="shared" si="13"/>
        <v>1.8264146022520478</v>
      </c>
      <c r="AZ42" s="56">
        <f t="shared" si="14"/>
        <v>1</v>
      </c>
      <c r="BB42" s="18">
        <f t="shared" si="15"/>
        <v>1.231606791426995</v>
      </c>
      <c r="BC42" s="18">
        <f t="shared" si="15"/>
        <v>3.4473943925800312</v>
      </c>
      <c r="BD42" s="18">
        <f t="shared" si="15"/>
        <v>1.8264146022520478</v>
      </c>
      <c r="BE42" s="56">
        <f t="shared" si="16"/>
        <v>1</v>
      </c>
      <c r="BG42" s="18">
        <f t="shared" si="17"/>
        <v>1.231606791426995</v>
      </c>
      <c r="BH42" s="18">
        <f t="shared" si="17"/>
        <v>3.4473943925800312</v>
      </c>
      <c r="BI42" s="18">
        <f t="shared" si="17"/>
        <v>1.8264146022520478</v>
      </c>
      <c r="BJ42" s="56">
        <f t="shared" si="18"/>
        <v>1</v>
      </c>
      <c r="BL42" s="18">
        <f t="shared" si="19"/>
        <v>1.231606791426995</v>
      </c>
      <c r="BM42" s="18">
        <f t="shared" si="19"/>
        <v>3.4473943925800312</v>
      </c>
      <c r="BN42" s="18">
        <f t="shared" si="19"/>
        <v>1.8264146022520478</v>
      </c>
      <c r="BO42" s="56">
        <f t="shared" si="20"/>
        <v>1</v>
      </c>
      <c r="BQ42" s="18">
        <f t="shared" si="21"/>
        <v>1.231606791426995</v>
      </c>
      <c r="BR42" s="18">
        <f t="shared" si="21"/>
        <v>3.4473943925800312</v>
      </c>
      <c r="BS42" s="18">
        <f t="shared" si="21"/>
        <v>1.8264146022520478</v>
      </c>
      <c r="BT42" s="56">
        <f t="shared" si="22"/>
        <v>1</v>
      </c>
      <c r="BV42" s="18">
        <f t="shared" si="23"/>
        <v>1.231606791426995</v>
      </c>
      <c r="BW42" s="18">
        <f t="shared" si="23"/>
        <v>3.4473943925800312</v>
      </c>
      <c r="BX42" s="18">
        <f t="shared" si="23"/>
        <v>1.8264146022520478</v>
      </c>
      <c r="BY42" s="56">
        <f t="shared" si="24"/>
        <v>1</v>
      </c>
      <c r="CA42" s="18">
        <f t="shared" si="25"/>
        <v>1.231606791426995</v>
      </c>
      <c r="CB42" s="18">
        <f t="shared" si="25"/>
        <v>3.4473943925800312</v>
      </c>
      <c r="CC42" s="18">
        <f t="shared" si="25"/>
        <v>1.8264146022520478</v>
      </c>
      <c r="CD42" s="56">
        <f t="shared" si="26"/>
        <v>1</v>
      </c>
    </row>
    <row r="43" spans="1:82" x14ac:dyDescent="0.25">
      <c r="A43" s="63">
        <f>Phase_Data!A25</f>
        <v>43907</v>
      </c>
      <c r="B43" s="18">
        <f>Phase_Data!K25</f>
        <v>-0.53166566419245498</v>
      </c>
      <c r="C43" s="18">
        <f>Phase_Data!L25</f>
        <v>-1.4074974765281474</v>
      </c>
      <c r="D43" s="18">
        <f>Phase_Data!M25</f>
        <v>-1.2777880506003427</v>
      </c>
      <c r="E43" s="56">
        <f t="shared" si="0"/>
        <v>1</v>
      </c>
      <c r="F43" s="38">
        <f t="shared" si="1"/>
        <v>0.64877365190801306</v>
      </c>
      <c r="G43" s="13" t="str">
        <f t="shared" si="2"/>
        <v>Low activity</v>
      </c>
      <c r="X43" s="18">
        <f t="shared" ref="X43:Z62" si="27">SQRT(($B43-X$16)^2+($C43-X$17)^2+($D43-X$18)^2)</f>
        <v>1.0318838725927888</v>
      </c>
      <c r="Y43" s="18">
        <f t="shared" si="27"/>
        <v>4.4622973160192281</v>
      </c>
      <c r="Z43" s="18">
        <f t="shared" si="27"/>
        <v>2.4903427297805854</v>
      </c>
      <c r="AA43" s="56">
        <f t="shared" si="4"/>
        <v>1</v>
      </c>
      <c r="AC43" s="18">
        <f t="shared" ref="AC43:AE62" si="28">SQRT(($B43-AC$16)^2+($C43-AC$17)^2+($D43-AC$18)^2)</f>
        <v>0.71917136289705819</v>
      </c>
      <c r="AD43" s="18">
        <f t="shared" si="28"/>
        <v>3.5715268050699711</v>
      </c>
      <c r="AE43" s="18">
        <f t="shared" si="28"/>
        <v>2.1135468377952518</v>
      </c>
      <c r="AF43" s="56">
        <f t="shared" si="6"/>
        <v>1</v>
      </c>
      <c r="AH43" s="18">
        <f t="shared" ref="AH43:AJ62" si="29">SQRT(($B43-AH$16)^2+($C43-AH$17)^2+($D43-AH$18)^2)</f>
        <v>0.77079442781596863</v>
      </c>
      <c r="AI43" s="18">
        <f t="shared" si="29"/>
        <v>3.7254525678824741</v>
      </c>
      <c r="AJ43" s="18">
        <f t="shared" si="29"/>
        <v>2.1189738026304945</v>
      </c>
      <c r="AK43" s="56">
        <f t="shared" si="8"/>
        <v>1</v>
      </c>
      <c r="AM43" s="18">
        <f t="shared" ref="AM43:AO62" si="30">SQRT(($B43-AM$16)^2+($C43-AM$17)^2+($D43-AM$18)^2)</f>
        <v>0.80546486696069686</v>
      </c>
      <c r="AN43" s="18">
        <f t="shared" si="30"/>
        <v>3.757653156178316</v>
      </c>
      <c r="AO43" s="18">
        <f t="shared" si="30"/>
        <v>2.1032681644624551</v>
      </c>
      <c r="AP43" s="56">
        <f t="shared" si="10"/>
        <v>1</v>
      </c>
      <c r="AR43" s="18">
        <f t="shared" ref="AR43:AT62" si="31">SQRT(($B43-AR$16)^2+($C43-AR$17)^2+($D43-AR$18)^2)</f>
        <v>0.80546486696069686</v>
      </c>
      <c r="AS43" s="18">
        <f t="shared" si="31"/>
        <v>3.757653156178316</v>
      </c>
      <c r="AT43" s="18">
        <f t="shared" si="31"/>
        <v>2.1032681644624551</v>
      </c>
      <c r="AU43" s="56">
        <f t="shared" si="12"/>
        <v>1</v>
      </c>
      <c r="AW43" s="18">
        <f t="shared" ref="AW43:AY62" si="32">SQRT(($B43-AW$16)^2+($C43-AW$17)^2+($D43-AW$18)^2)</f>
        <v>0.80546486696069686</v>
      </c>
      <c r="AX43" s="18">
        <f t="shared" si="32"/>
        <v>3.757653156178316</v>
      </c>
      <c r="AY43" s="18">
        <f t="shared" si="32"/>
        <v>2.1032681644624551</v>
      </c>
      <c r="AZ43" s="56">
        <f t="shared" si="14"/>
        <v>1</v>
      </c>
      <c r="BB43" s="18">
        <f t="shared" ref="BB43:BD62" si="33">SQRT(($B43-BB$16)^2+($C43-BB$17)^2+($D43-BB$18)^2)</f>
        <v>0.80546486696069686</v>
      </c>
      <c r="BC43" s="18">
        <f t="shared" si="33"/>
        <v>3.757653156178316</v>
      </c>
      <c r="BD43" s="18">
        <f t="shared" si="33"/>
        <v>2.1032681644624551</v>
      </c>
      <c r="BE43" s="56">
        <f t="shared" si="16"/>
        <v>1</v>
      </c>
      <c r="BG43" s="18">
        <f t="shared" ref="BG43:BI62" si="34">SQRT(($B43-BG$16)^2+($C43-BG$17)^2+($D43-BG$18)^2)</f>
        <v>0.80546486696069686</v>
      </c>
      <c r="BH43" s="18">
        <f t="shared" si="34"/>
        <v>3.757653156178316</v>
      </c>
      <c r="BI43" s="18">
        <f t="shared" si="34"/>
        <v>2.1032681644624551</v>
      </c>
      <c r="BJ43" s="56">
        <f t="shared" si="18"/>
        <v>1</v>
      </c>
      <c r="BL43" s="18">
        <f t="shared" ref="BL43:BN62" si="35">SQRT(($B43-BL$16)^2+($C43-BL$17)^2+($D43-BL$18)^2)</f>
        <v>0.80546486696069686</v>
      </c>
      <c r="BM43" s="18">
        <f t="shared" si="35"/>
        <v>3.757653156178316</v>
      </c>
      <c r="BN43" s="18">
        <f t="shared" si="35"/>
        <v>2.1032681644624551</v>
      </c>
      <c r="BO43" s="56">
        <f t="shared" si="20"/>
        <v>1</v>
      </c>
      <c r="BQ43" s="18">
        <f t="shared" ref="BQ43:BS62" si="36">SQRT(($B43-BQ$16)^2+($C43-BQ$17)^2+($D43-BQ$18)^2)</f>
        <v>0.80546486696069686</v>
      </c>
      <c r="BR43" s="18">
        <f t="shared" si="36"/>
        <v>3.757653156178316</v>
      </c>
      <c r="BS43" s="18">
        <f t="shared" si="36"/>
        <v>2.1032681644624551</v>
      </c>
      <c r="BT43" s="56">
        <f t="shared" si="22"/>
        <v>1</v>
      </c>
      <c r="BV43" s="18">
        <f t="shared" ref="BV43:BX62" si="37">SQRT(($B43-BV$16)^2+($C43-BV$17)^2+($D43-BV$18)^2)</f>
        <v>0.80546486696069686</v>
      </c>
      <c r="BW43" s="18">
        <f t="shared" si="37"/>
        <v>3.757653156178316</v>
      </c>
      <c r="BX43" s="18">
        <f t="shared" si="37"/>
        <v>2.1032681644624551</v>
      </c>
      <c r="BY43" s="56">
        <f t="shared" si="24"/>
        <v>1</v>
      </c>
      <c r="CA43" s="18">
        <f t="shared" ref="CA43:CC62" si="38">SQRT(($B43-CA$16)^2+($C43-CA$17)^2+($D43-CA$18)^2)</f>
        <v>0.80546486696069686</v>
      </c>
      <c r="CB43" s="18">
        <f t="shared" si="38"/>
        <v>3.757653156178316</v>
      </c>
      <c r="CC43" s="18">
        <f t="shared" si="38"/>
        <v>2.1032681644624551</v>
      </c>
      <c r="CD43" s="56">
        <f t="shared" si="26"/>
        <v>1</v>
      </c>
    </row>
    <row r="44" spans="1:82" x14ac:dyDescent="0.25">
      <c r="A44" s="63">
        <f>Phase_Data!A26</f>
        <v>43908</v>
      </c>
      <c r="B44" s="18">
        <f>Phase_Data!K26</f>
        <v>-0.49566506388329379</v>
      </c>
      <c r="C44" s="18">
        <f>Phase_Data!L26</f>
        <v>-0.6615345971074752</v>
      </c>
      <c r="D44" s="18">
        <f>Phase_Data!M26</f>
        <v>-1.2777880506003427</v>
      </c>
      <c r="E44" s="56">
        <f t="shared" si="0"/>
        <v>1</v>
      </c>
      <c r="F44" s="38">
        <f t="shared" si="1"/>
        <v>1.0984799132907683</v>
      </c>
      <c r="G44" s="13" t="str">
        <f t="shared" si="2"/>
        <v>Low activity</v>
      </c>
      <c r="X44" s="18">
        <f t="shared" si="27"/>
        <v>1.3026272931804614</v>
      </c>
      <c r="Y44" s="18">
        <f t="shared" si="27"/>
        <v>4.0049979489320533</v>
      </c>
      <c r="Z44" s="18">
        <f t="shared" si="27"/>
        <v>1.8473815092410124</v>
      </c>
      <c r="AA44" s="56">
        <f t="shared" si="4"/>
        <v>1</v>
      </c>
      <c r="AC44" s="18">
        <f t="shared" si="28"/>
        <v>0.94542170098379452</v>
      </c>
      <c r="AD44" s="18">
        <f t="shared" si="28"/>
        <v>3.117486640834922</v>
      </c>
      <c r="AE44" s="18">
        <f t="shared" si="28"/>
        <v>1.6215950770465024</v>
      </c>
      <c r="AF44" s="56">
        <f t="shared" si="6"/>
        <v>1</v>
      </c>
      <c r="AH44" s="18">
        <f t="shared" si="29"/>
        <v>1.0111570223419961</v>
      </c>
      <c r="AI44" s="18">
        <f t="shared" si="29"/>
        <v>3.2643784656463444</v>
      </c>
      <c r="AJ44" s="18">
        <f t="shared" si="29"/>
        <v>1.6496961840214055</v>
      </c>
      <c r="AK44" s="56">
        <f t="shared" si="8"/>
        <v>1</v>
      </c>
      <c r="AM44" s="18">
        <f t="shared" si="30"/>
        <v>1.0480839247363583</v>
      </c>
      <c r="AN44" s="18">
        <f t="shared" si="30"/>
        <v>3.2935836038974009</v>
      </c>
      <c r="AO44" s="18">
        <f t="shared" si="30"/>
        <v>1.6416025047974203</v>
      </c>
      <c r="AP44" s="56">
        <f t="shared" si="10"/>
        <v>1</v>
      </c>
      <c r="AR44" s="18">
        <f t="shared" si="31"/>
        <v>1.0480839247363583</v>
      </c>
      <c r="AS44" s="18">
        <f t="shared" si="31"/>
        <v>3.2935836038974009</v>
      </c>
      <c r="AT44" s="18">
        <f t="shared" si="31"/>
        <v>1.6416025047974203</v>
      </c>
      <c r="AU44" s="56">
        <f t="shared" si="12"/>
        <v>1</v>
      </c>
      <c r="AW44" s="18">
        <f t="shared" si="32"/>
        <v>1.0480839247363583</v>
      </c>
      <c r="AX44" s="18">
        <f t="shared" si="32"/>
        <v>3.2935836038974009</v>
      </c>
      <c r="AY44" s="18">
        <f t="shared" si="32"/>
        <v>1.6416025047974203</v>
      </c>
      <c r="AZ44" s="56">
        <f t="shared" si="14"/>
        <v>1</v>
      </c>
      <c r="BB44" s="18">
        <f t="shared" si="33"/>
        <v>1.0480839247363583</v>
      </c>
      <c r="BC44" s="18">
        <f t="shared" si="33"/>
        <v>3.2935836038974009</v>
      </c>
      <c r="BD44" s="18">
        <f t="shared" si="33"/>
        <v>1.6416025047974203</v>
      </c>
      <c r="BE44" s="56">
        <f t="shared" si="16"/>
        <v>1</v>
      </c>
      <c r="BG44" s="18">
        <f t="shared" si="34"/>
        <v>1.0480839247363583</v>
      </c>
      <c r="BH44" s="18">
        <f t="shared" si="34"/>
        <v>3.2935836038974009</v>
      </c>
      <c r="BI44" s="18">
        <f t="shared" si="34"/>
        <v>1.6416025047974203</v>
      </c>
      <c r="BJ44" s="56">
        <f t="shared" si="18"/>
        <v>1</v>
      </c>
      <c r="BL44" s="18">
        <f t="shared" si="35"/>
        <v>1.0480839247363583</v>
      </c>
      <c r="BM44" s="18">
        <f t="shared" si="35"/>
        <v>3.2935836038974009</v>
      </c>
      <c r="BN44" s="18">
        <f t="shared" si="35"/>
        <v>1.6416025047974203</v>
      </c>
      <c r="BO44" s="56">
        <f t="shared" si="20"/>
        <v>1</v>
      </c>
      <c r="BQ44" s="18">
        <f t="shared" si="36"/>
        <v>1.0480839247363583</v>
      </c>
      <c r="BR44" s="18">
        <f t="shared" si="36"/>
        <v>3.2935836038974009</v>
      </c>
      <c r="BS44" s="18">
        <f t="shared" si="36"/>
        <v>1.6416025047974203</v>
      </c>
      <c r="BT44" s="56">
        <f t="shared" si="22"/>
        <v>1</v>
      </c>
      <c r="BV44" s="18">
        <f t="shared" si="37"/>
        <v>1.0480839247363583</v>
      </c>
      <c r="BW44" s="18">
        <f t="shared" si="37"/>
        <v>3.2935836038974009</v>
      </c>
      <c r="BX44" s="18">
        <f t="shared" si="37"/>
        <v>1.6416025047974203</v>
      </c>
      <c r="BY44" s="56">
        <f t="shared" si="24"/>
        <v>1</v>
      </c>
      <c r="CA44" s="18">
        <f t="shared" si="38"/>
        <v>1.0480839247363583</v>
      </c>
      <c r="CB44" s="18">
        <f t="shared" si="38"/>
        <v>3.2935836038974009</v>
      </c>
      <c r="CC44" s="18">
        <f t="shared" si="38"/>
        <v>1.6416025047974203</v>
      </c>
      <c r="CD44" s="56">
        <f t="shared" si="26"/>
        <v>1</v>
      </c>
    </row>
    <row r="45" spans="1:82" x14ac:dyDescent="0.25">
      <c r="A45" s="63">
        <f>Phase_Data!A27</f>
        <v>43909</v>
      </c>
      <c r="B45" s="18">
        <f>Phase_Data!K27</f>
        <v>-0.1031246833172747</v>
      </c>
      <c r="C45" s="18">
        <f>Phase_Data!L27</f>
        <v>-1.4074974765281474</v>
      </c>
      <c r="D45" s="18">
        <f>Phase_Data!M27</f>
        <v>-1.0102756110451747</v>
      </c>
      <c r="E45" s="56">
        <f t="shared" si="0"/>
        <v>1</v>
      </c>
      <c r="F45" s="38">
        <f t="shared" si="1"/>
        <v>1.5358597516144281</v>
      </c>
      <c r="G45" s="13" t="str">
        <f t="shared" si="2"/>
        <v>Low activity</v>
      </c>
      <c r="X45" s="18">
        <f t="shared" si="27"/>
        <v>1.4847234280982085</v>
      </c>
      <c r="Y45" s="18">
        <f t="shared" si="27"/>
        <v>4.1358085020206206</v>
      </c>
      <c r="Z45" s="18">
        <f t="shared" si="27"/>
        <v>2.3310842836720536</v>
      </c>
      <c r="AA45" s="56">
        <f t="shared" si="4"/>
        <v>1</v>
      </c>
      <c r="AC45" s="18">
        <f t="shared" si="28"/>
        <v>1.1277144284193408</v>
      </c>
      <c r="AD45" s="18">
        <f t="shared" si="28"/>
        <v>3.2604119301303669</v>
      </c>
      <c r="AE45" s="18">
        <f t="shared" si="28"/>
        <v>1.8417629578314856</v>
      </c>
      <c r="AF45" s="56">
        <f t="shared" si="6"/>
        <v>1</v>
      </c>
      <c r="AH45" s="18">
        <f t="shared" si="29"/>
        <v>1.1982879229068617</v>
      </c>
      <c r="AI45" s="18">
        <f t="shared" si="29"/>
        <v>3.4123723589785282</v>
      </c>
      <c r="AJ45" s="18">
        <f t="shared" si="29"/>
        <v>1.8428579221833223</v>
      </c>
      <c r="AK45" s="56">
        <f t="shared" si="8"/>
        <v>1</v>
      </c>
      <c r="AM45" s="18">
        <f t="shared" si="30"/>
        <v>1.239298088279986</v>
      </c>
      <c r="AN45" s="18">
        <f t="shared" si="30"/>
        <v>3.4451649448428054</v>
      </c>
      <c r="AO45" s="18">
        <f t="shared" si="30"/>
        <v>1.8248346370049899</v>
      </c>
      <c r="AP45" s="56">
        <f t="shared" si="10"/>
        <v>1</v>
      </c>
      <c r="AR45" s="18">
        <f t="shared" si="31"/>
        <v>1.239298088279986</v>
      </c>
      <c r="AS45" s="18">
        <f t="shared" si="31"/>
        <v>3.4451649448428054</v>
      </c>
      <c r="AT45" s="18">
        <f t="shared" si="31"/>
        <v>1.8248346370049899</v>
      </c>
      <c r="AU45" s="56">
        <f t="shared" si="12"/>
        <v>1</v>
      </c>
      <c r="AW45" s="18">
        <f t="shared" si="32"/>
        <v>1.239298088279986</v>
      </c>
      <c r="AX45" s="18">
        <f t="shared" si="32"/>
        <v>3.4451649448428054</v>
      </c>
      <c r="AY45" s="18">
        <f t="shared" si="32"/>
        <v>1.8248346370049899</v>
      </c>
      <c r="AZ45" s="56">
        <f t="shared" si="14"/>
        <v>1</v>
      </c>
      <c r="BB45" s="18">
        <f t="shared" si="33"/>
        <v>1.239298088279986</v>
      </c>
      <c r="BC45" s="18">
        <f t="shared" si="33"/>
        <v>3.4451649448428054</v>
      </c>
      <c r="BD45" s="18">
        <f t="shared" si="33"/>
        <v>1.8248346370049899</v>
      </c>
      <c r="BE45" s="56">
        <f t="shared" si="16"/>
        <v>1</v>
      </c>
      <c r="BG45" s="18">
        <f t="shared" si="34"/>
        <v>1.239298088279986</v>
      </c>
      <c r="BH45" s="18">
        <f t="shared" si="34"/>
        <v>3.4451649448428054</v>
      </c>
      <c r="BI45" s="18">
        <f t="shared" si="34"/>
        <v>1.8248346370049899</v>
      </c>
      <c r="BJ45" s="56">
        <f t="shared" si="18"/>
        <v>1</v>
      </c>
      <c r="BL45" s="18">
        <f t="shared" si="35"/>
        <v>1.239298088279986</v>
      </c>
      <c r="BM45" s="18">
        <f t="shared" si="35"/>
        <v>3.4451649448428054</v>
      </c>
      <c r="BN45" s="18">
        <f t="shared" si="35"/>
        <v>1.8248346370049899</v>
      </c>
      <c r="BO45" s="56">
        <f t="shared" si="20"/>
        <v>1</v>
      </c>
      <c r="BQ45" s="18">
        <f t="shared" si="36"/>
        <v>1.239298088279986</v>
      </c>
      <c r="BR45" s="18">
        <f t="shared" si="36"/>
        <v>3.4451649448428054</v>
      </c>
      <c r="BS45" s="18">
        <f t="shared" si="36"/>
        <v>1.8248346370049899</v>
      </c>
      <c r="BT45" s="56">
        <f t="shared" si="22"/>
        <v>1</v>
      </c>
      <c r="BV45" s="18">
        <f t="shared" si="37"/>
        <v>1.239298088279986</v>
      </c>
      <c r="BW45" s="18">
        <f t="shared" si="37"/>
        <v>3.4451649448428054</v>
      </c>
      <c r="BX45" s="18">
        <f t="shared" si="37"/>
        <v>1.8248346370049899</v>
      </c>
      <c r="BY45" s="56">
        <f t="shared" si="24"/>
        <v>1</v>
      </c>
      <c r="CA45" s="18">
        <f t="shared" si="38"/>
        <v>1.239298088279986</v>
      </c>
      <c r="CB45" s="18">
        <f t="shared" si="38"/>
        <v>3.4451649448428054</v>
      </c>
      <c r="CC45" s="18">
        <f t="shared" si="38"/>
        <v>1.8248346370049899</v>
      </c>
      <c r="CD45" s="56">
        <f t="shared" si="26"/>
        <v>1</v>
      </c>
    </row>
    <row r="46" spans="1:82" x14ac:dyDescent="0.25">
      <c r="A46" s="63">
        <f>Phase_Data!A28</f>
        <v>43910</v>
      </c>
      <c r="B46" s="18">
        <f>Phase_Data!K28</f>
        <v>-0.54702664423187741</v>
      </c>
      <c r="C46" s="18">
        <f>Phase_Data!L28</f>
        <v>-0.93684730084180778</v>
      </c>
      <c r="D46" s="18">
        <f>Phase_Data!M28</f>
        <v>-1.2777880506003427</v>
      </c>
      <c r="E46" s="56">
        <f t="shared" si="0"/>
        <v>1</v>
      </c>
      <c r="F46" s="38">
        <f t="shared" si="1"/>
        <v>0.74197473448526596</v>
      </c>
      <c r="G46" s="13" t="str">
        <f t="shared" si="2"/>
        <v>Low activity</v>
      </c>
      <c r="X46" s="18">
        <f t="shared" si="27"/>
        <v>1.120192116986477</v>
      </c>
      <c r="Y46" s="18">
        <f t="shared" si="27"/>
        <v>4.1799760232835164</v>
      </c>
      <c r="Z46" s="18">
        <f t="shared" si="27"/>
        <v>2.0983064776632383</v>
      </c>
      <c r="AA46" s="56">
        <f t="shared" si="4"/>
        <v>1</v>
      </c>
      <c r="AC46" s="18">
        <f t="shared" si="28"/>
        <v>0.75671424050963465</v>
      </c>
      <c r="AD46" s="18">
        <f t="shared" si="28"/>
        <v>3.2877230151833108</v>
      </c>
      <c r="AE46" s="18">
        <f t="shared" si="28"/>
        <v>1.8003172780940013</v>
      </c>
      <c r="AF46" s="56">
        <f t="shared" si="6"/>
        <v>1</v>
      </c>
      <c r="AH46" s="18">
        <f t="shared" si="29"/>
        <v>0.82271935893002801</v>
      </c>
      <c r="AI46" s="18">
        <f t="shared" si="29"/>
        <v>3.4382764413164852</v>
      </c>
      <c r="AJ46" s="18">
        <f t="shared" si="29"/>
        <v>1.817961349370562</v>
      </c>
      <c r="AK46" s="56">
        <f t="shared" si="8"/>
        <v>1</v>
      </c>
      <c r="AM46" s="18">
        <f t="shared" si="30"/>
        <v>0.86137955309216963</v>
      </c>
      <c r="AN46" s="18">
        <f t="shared" si="30"/>
        <v>3.468793779514233</v>
      </c>
      <c r="AO46" s="18">
        <f t="shared" si="30"/>
        <v>1.806448744479149</v>
      </c>
      <c r="AP46" s="56">
        <f t="shared" si="10"/>
        <v>1</v>
      </c>
      <c r="AR46" s="18">
        <f t="shared" si="31"/>
        <v>0.86137955309216963</v>
      </c>
      <c r="AS46" s="18">
        <f t="shared" si="31"/>
        <v>3.468793779514233</v>
      </c>
      <c r="AT46" s="18">
        <f t="shared" si="31"/>
        <v>1.806448744479149</v>
      </c>
      <c r="AU46" s="56">
        <f t="shared" si="12"/>
        <v>1</v>
      </c>
      <c r="AW46" s="18">
        <f t="shared" si="32"/>
        <v>0.86137955309216963</v>
      </c>
      <c r="AX46" s="18">
        <f t="shared" si="32"/>
        <v>3.468793779514233</v>
      </c>
      <c r="AY46" s="18">
        <f t="shared" si="32"/>
        <v>1.806448744479149</v>
      </c>
      <c r="AZ46" s="56">
        <f t="shared" si="14"/>
        <v>1</v>
      </c>
      <c r="BB46" s="18">
        <f t="shared" si="33"/>
        <v>0.86137955309216963</v>
      </c>
      <c r="BC46" s="18">
        <f t="shared" si="33"/>
        <v>3.468793779514233</v>
      </c>
      <c r="BD46" s="18">
        <f t="shared" si="33"/>
        <v>1.806448744479149</v>
      </c>
      <c r="BE46" s="56">
        <f t="shared" si="16"/>
        <v>1</v>
      </c>
      <c r="BG46" s="18">
        <f t="shared" si="34"/>
        <v>0.86137955309216963</v>
      </c>
      <c r="BH46" s="18">
        <f t="shared" si="34"/>
        <v>3.468793779514233</v>
      </c>
      <c r="BI46" s="18">
        <f t="shared" si="34"/>
        <v>1.806448744479149</v>
      </c>
      <c r="BJ46" s="56">
        <f t="shared" si="18"/>
        <v>1</v>
      </c>
      <c r="BL46" s="18">
        <f t="shared" si="35"/>
        <v>0.86137955309216963</v>
      </c>
      <c r="BM46" s="18">
        <f t="shared" si="35"/>
        <v>3.468793779514233</v>
      </c>
      <c r="BN46" s="18">
        <f t="shared" si="35"/>
        <v>1.806448744479149</v>
      </c>
      <c r="BO46" s="56">
        <f t="shared" si="20"/>
        <v>1</v>
      </c>
      <c r="BQ46" s="18">
        <f t="shared" si="36"/>
        <v>0.86137955309216963</v>
      </c>
      <c r="BR46" s="18">
        <f t="shared" si="36"/>
        <v>3.468793779514233</v>
      </c>
      <c r="BS46" s="18">
        <f t="shared" si="36"/>
        <v>1.806448744479149</v>
      </c>
      <c r="BT46" s="56">
        <f t="shared" si="22"/>
        <v>1</v>
      </c>
      <c r="BV46" s="18">
        <f t="shared" si="37"/>
        <v>0.86137955309216963</v>
      </c>
      <c r="BW46" s="18">
        <f t="shared" si="37"/>
        <v>3.468793779514233</v>
      </c>
      <c r="BX46" s="18">
        <f t="shared" si="37"/>
        <v>1.806448744479149</v>
      </c>
      <c r="BY46" s="56">
        <f t="shared" si="24"/>
        <v>1</v>
      </c>
      <c r="CA46" s="18">
        <f t="shared" si="38"/>
        <v>0.86137955309216963</v>
      </c>
      <c r="CB46" s="18">
        <f t="shared" si="38"/>
        <v>3.468793779514233</v>
      </c>
      <c r="CC46" s="18">
        <f t="shared" si="38"/>
        <v>1.806448744479149</v>
      </c>
      <c r="CD46" s="56">
        <f t="shared" si="26"/>
        <v>1</v>
      </c>
    </row>
    <row r="47" spans="1:82" x14ac:dyDescent="0.25">
      <c r="A47" s="63">
        <f>Phase_Data!A29</f>
        <v>43911</v>
      </c>
      <c r="B47" s="18">
        <f>Phase_Data!K29</f>
        <v>-0.15829312035290879</v>
      </c>
      <c r="C47" s="18">
        <f>Phase_Data!L29</f>
        <v>-1.4074974765281474</v>
      </c>
      <c r="D47" s="18">
        <f>Phase_Data!M29</f>
        <v>-0.7427631714900067</v>
      </c>
      <c r="E47" s="56">
        <f t="shared" si="0"/>
        <v>1</v>
      </c>
      <c r="F47" s="38">
        <f t="shared" si="1"/>
        <v>1.5711787126776176</v>
      </c>
      <c r="G47" s="13" t="str">
        <f t="shared" si="2"/>
        <v>Low activity</v>
      </c>
      <c r="X47" s="18">
        <f t="shared" si="27"/>
        <v>1.5036612707625603</v>
      </c>
      <c r="Y47" s="18">
        <f t="shared" si="27"/>
        <v>3.9882485087245167</v>
      </c>
      <c r="Z47" s="18">
        <f t="shared" si="27"/>
        <v>2.3950170972280449</v>
      </c>
      <c r="AA47" s="56">
        <f t="shared" si="4"/>
        <v>1</v>
      </c>
      <c r="AC47" s="18">
        <f t="shared" si="28"/>
        <v>1.1314807109113503</v>
      </c>
      <c r="AD47" s="18">
        <f t="shared" si="28"/>
        <v>3.1122532910001945</v>
      </c>
      <c r="AE47" s="18">
        <f t="shared" si="28"/>
        <v>1.7435045430668239</v>
      </c>
      <c r="AF47" s="56">
        <f t="shared" si="6"/>
        <v>1</v>
      </c>
      <c r="AH47" s="18">
        <f t="shared" si="29"/>
        <v>1.2101657832742772</v>
      </c>
      <c r="AI47" s="18">
        <f t="shared" si="29"/>
        <v>3.2672736462553869</v>
      </c>
      <c r="AJ47" s="18">
        <f t="shared" si="29"/>
        <v>1.7295730638505913</v>
      </c>
      <c r="AK47" s="56">
        <f t="shared" si="8"/>
        <v>1</v>
      </c>
      <c r="AM47" s="18">
        <f t="shared" si="30"/>
        <v>1.2534666779287025</v>
      </c>
      <c r="AN47" s="18">
        <f t="shared" si="30"/>
        <v>3.3010237732233252</v>
      </c>
      <c r="AO47" s="18">
        <f t="shared" si="30"/>
        <v>1.7087638215518217</v>
      </c>
      <c r="AP47" s="56">
        <f t="shared" si="10"/>
        <v>1</v>
      </c>
      <c r="AR47" s="18">
        <f t="shared" si="31"/>
        <v>1.2534666779287025</v>
      </c>
      <c r="AS47" s="18">
        <f t="shared" si="31"/>
        <v>3.3010237732233252</v>
      </c>
      <c r="AT47" s="18">
        <f t="shared" si="31"/>
        <v>1.7087638215518217</v>
      </c>
      <c r="AU47" s="56">
        <f t="shared" si="12"/>
        <v>1</v>
      </c>
      <c r="AW47" s="18">
        <f t="shared" si="32"/>
        <v>1.2534666779287025</v>
      </c>
      <c r="AX47" s="18">
        <f t="shared" si="32"/>
        <v>3.3010237732233252</v>
      </c>
      <c r="AY47" s="18">
        <f t="shared" si="32"/>
        <v>1.7087638215518217</v>
      </c>
      <c r="AZ47" s="56">
        <f t="shared" si="14"/>
        <v>1</v>
      </c>
      <c r="BB47" s="18">
        <f t="shared" si="33"/>
        <v>1.2534666779287025</v>
      </c>
      <c r="BC47" s="18">
        <f t="shared" si="33"/>
        <v>3.3010237732233252</v>
      </c>
      <c r="BD47" s="18">
        <f t="shared" si="33"/>
        <v>1.7087638215518217</v>
      </c>
      <c r="BE47" s="56">
        <f t="shared" si="16"/>
        <v>1</v>
      </c>
      <c r="BG47" s="18">
        <f t="shared" si="34"/>
        <v>1.2534666779287025</v>
      </c>
      <c r="BH47" s="18">
        <f t="shared" si="34"/>
        <v>3.3010237732233252</v>
      </c>
      <c r="BI47" s="18">
        <f t="shared" si="34"/>
        <v>1.7087638215518217</v>
      </c>
      <c r="BJ47" s="56">
        <f t="shared" si="18"/>
        <v>1</v>
      </c>
      <c r="BL47" s="18">
        <f t="shared" si="35"/>
        <v>1.2534666779287025</v>
      </c>
      <c r="BM47" s="18">
        <f t="shared" si="35"/>
        <v>3.3010237732233252</v>
      </c>
      <c r="BN47" s="18">
        <f t="shared" si="35"/>
        <v>1.7087638215518217</v>
      </c>
      <c r="BO47" s="56">
        <f t="shared" si="20"/>
        <v>1</v>
      </c>
      <c r="BQ47" s="18">
        <f t="shared" si="36"/>
        <v>1.2534666779287025</v>
      </c>
      <c r="BR47" s="18">
        <f t="shared" si="36"/>
        <v>3.3010237732233252</v>
      </c>
      <c r="BS47" s="18">
        <f t="shared" si="36"/>
        <v>1.7087638215518217</v>
      </c>
      <c r="BT47" s="56">
        <f t="shared" si="22"/>
        <v>1</v>
      </c>
      <c r="BV47" s="18">
        <f t="shared" si="37"/>
        <v>1.2534666779287025</v>
      </c>
      <c r="BW47" s="18">
        <f t="shared" si="37"/>
        <v>3.3010237732233252</v>
      </c>
      <c r="BX47" s="18">
        <f t="shared" si="37"/>
        <v>1.7087638215518217</v>
      </c>
      <c r="BY47" s="56">
        <f t="shared" si="24"/>
        <v>1</v>
      </c>
      <c r="CA47" s="18">
        <f t="shared" si="38"/>
        <v>1.2534666779287025</v>
      </c>
      <c r="CB47" s="18">
        <f t="shared" si="38"/>
        <v>3.3010237732233252</v>
      </c>
      <c r="CC47" s="18">
        <f t="shared" si="38"/>
        <v>1.7087638215518217</v>
      </c>
      <c r="CD47" s="56">
        <f t="shared" si="26"/>
        <v>1</v>
      </c>
    </row>
    <row r="48" spans="1:82" x14ac:dyDescent="0.25">
      <c r="A48" s="63">
        <f>Phase_Data!A30</f>
        <v>43912</v>
      </c>
      <c r="B48" s="18">
        <f>Phase_Data!K30</f>
        <v>-0.236461024224873</v>
      </c>
      <c r="C48" s="18">
        <f>Phase_Data!L30</f>
        <v>-0.93684730084180778</v>
      </c>
      <c r="D48" s="18">
        <f>Phase_Data!M30</f>
        <v>-1.2777880506003427</v>
      </c>
      <c r="E48" s="56">
        <f t="shared" si="0"/>
        <v>1</v>
      </c>
      <c r="F48" s="38">
        <f t="shared" si="1"/>
        <v>1.3213402635318876</v>
      </c>
      <c r="G48" s="13" t="str">
        <f t="shared" si="2"/>
        <v>Low activity</v>
      </c>
      <c r="X48" s="18">
        <f t="shared" si="27"/>
        <v>1.4080751073871305</v>
      </c>
      <c r="Y48" s="18">
        <f t="shared" si="27"/>
        <v>4.0585730382496559</v>
      </c>
      <c r="Z48" s="18">
        <f t="shared" si="27"/>
        <v>1.9360736684275297</v>
      </c>
      <c r="AA48" s="56">
        <f t="shared" si="4"/>
        <v>1</v>
      </c>
      <c r="AC48" s="18">
        <f t="shared" si="28"/>
        <v>1.0411961124291198</v>
      </c>
      <c r="AD48" s="18">
        <f t="shared" si="28"/>
        <v>3.1753934921479066</v>
      </c>
      <c r="AE48" s="18">
        <f t="shared" si="28"/>
        <v>1.6761911926590538</v>
      </c>
      <c r="AF48" s="56">
        <f t="shared" si="6"/>
        <v>1</v>
      </c>
      <c r="AH48" s="18">
        <f t="shared" si="29"/>
        <v>1.1097056555543101</v>
      </c>
      <c r="AI48" s="18">
        <f t="shared" si="29"/>
        <v>3.3229078736529161</v>
      </c>
      <c r="AJ48" s="18">
        <f t="shared" si="29"/>
        <v>1.7014572443956124</v>
      </c>
      <c r="AK48" s="56">
        <f t="shared" si="8"/>
        <v>1</v>
      </c>
      <c r="AM48" s="18">
        <f t="shared" si="30"/>
        <v>1.1494956561605127</v>
      </c>
      <c r="AN48" s="18">
        <f t="shared" si="30"/>
        <v>3.3532412771522084</v>
      </c>
      <c r="AO48" s="18">
        <f t="shared" si="30"/>
        <v>1.6902250719777168</v>
      </c>
      <c r="AP48" s="56">
        <f t="shared" si="10"/>
        <v>1</v>
      </c>
      <c r="AR48" s="18">
        <f t="shared" si="31"/>
        <v>1.1494956561605127</v>
      </c>
      <c r="AS48" s="18">
        <f t="shared" si="31"/>
        <v>3.3532412771522084</v>
      </c>
      <c r="AT48" s="18">
        <f t="shared" si="31"/>
        <v>1.6902250719777168</v>
      </c>
      <c r="AU48" s="56">
        <f t="shared" si="12"/>
        <v>1</v>
      </c>
      <c r="AW48" s="18">
        <f t="shared" si="32"/>
        <v>1.1494956561605127</v>
      </c>
      <c r="AX48" s="18">
        <f t="shared" si="32"/>
        <v>3.3532412771522084</v>
      </c>
      <c r="AY48" s="18">
        <f t="shared" si="32"/>
        <v>1.6902250719777168</v>
      </c>
      <c r="AZ48" s="56">
        <f t="shared" si="14"/>
        <v>1</v>
      </c>
      <c r="BB48" s="18">
        <f t="shared" si="33"/>
        <v>1.1494956561605127</v>
      </c>
      <c r="BC48" s="18">
        <f t="shared" si="33"/>
        <v>3.3532412771522084</v>
      </c>
      <c r="BD48" s="18">
        <f t="shared" si="33"/>
        <v>1.6902250719777168</v>
      </c>
      <c r="BE48" s="56">
        <f t="shared" si="16"/>
        <v>1</v>
      </c>
      <c r="BG48" s="18">
        <f t="shared" si="34"/>
        <v>1.1494956561605127</v>
      </c>
      <c r="BH48" s="18">
        <f t="shared" si="34"/>
        <v>3.3532412771522084</v>
      </c>
      <c r="BI48" s="18">
        <f t="shared" si="34"/>
        <v>1.6902250719777168</v>
      </c>
      <c r="BJ48" s="56">
        <f t="shared" si="18"/>
        <v>1</v>
      </c>
      <c r="BL48" s="18">
        <f t="shared" si="35"/>
        <v>1.1494956561605127</v>
      </c>
      <c r="BM48" s="18">
        <f t="shared" si="35"/>
        <v>3.3532412771522084</v>
      </c>
      <c r="BN48" s="18">
        <f t="shared" si="35"/>
        <v>1.6902250719777168</v>
      </c>
      <c r="BO48" s="56">
        <f t="shared" si="20"/>
        <v>1</v>
      </c>
      <c r="BQ48" s="18">
        <f t="shared" si="36"/>
        <v>1.1494956561605127</v>
      </c>
      <c r="BR48" s="18">
        <f t="shared" si="36"/>
        <v>3.3532412771522084</v>
      </c>
      <c r="BS48" s="18">
        <f t="shared" si="36"/>
        <v>1.6902250719777168</v>
      </c>
      <c r="BT48" s="56">
        <f t="shared" si="22"/>
        <v>1</v>
      </c>
      <c r="BV48" s="18">
        <f t="shared" si="37"/>
        <v>1.1494956561605127</v>
      </c>
      <c r="BW48" s="18">
        <f t="shared" si="37"/>
        <v>3.3532412771522084</v>
      </c>
      <c r="BX48" s="18">
        <f t="shared" si="37"/>
        <v>1.6902250719777168</v>
      </c>
      <c r="BY48" s="56">
        <f t="shared" si="24"/>
        <v>1</v>
      </c>
      <c r="CA48" s="18">
        <f t="shared" si="38"/>
        <v>1.1494956561605127</v>
      </c>
      <c r="CB48" s="18">
        <f t="shared" si="38"/>
        <v>3.3532412771522084</v>
      </c>
      <c r="CC48" s="18">
        <f t="shared" si="38"/>
        <v>1.6902250719777168</v>
      </c>
      <c r="CD48" s="56">
        <f t="shared" si="26"/>
        <v>1</v>
      </c>
    </row>
    <row r="49" spans="1:82" x14ac:dyDescent="0.25">
      <c r="A49" s="63">
        <f>Phase_Data!A31</f>
        <v>43913</v>
      </c>
      <c r="B49" s="18">
        <f>Phase_Data!K31</f>
        <v>-0.35254391416302344</v>
      </c>
      <c r="C49" s="18">
        <f>Phase_Data!L31</f>
        <v>-0.93684730084180778</v>
      </c>
      <c r="D49" s="18">
        <f>Phase_Data!M31</f>
        <v>-1.2777880506003427</v>
      </c>
      <c r="E49" s="56">
        <f t="shared" si="0"/>
        <v>1</v>
      </c>
      <c r="F49" s="38">
        <f t="shared" si="1"/>
        <v>1.0822095097073454</v>
      </c>
      <c r="G49" s="13" t="str">
        <f t="shared" si="2"/>
        <v>Low activity</v>
      </c>
      <c r="X49" s="18">
        <f t="shared" si="27"/>
        <v>1.2992483234148171</v>
      </c>
      <c r="Y49" s="18">
        <f t="shared" si="27"/>
        <v>4.1016200308950186</v>
      </c>
      <c r="Z49" s="18">
        <f t="shared" si="27"/>
        <v>1.992597990183357</v>
      </c>
      <c r="AA49" s="56">
        <f t="shared" si="4"/>
        <v>1</v>
      </c>
      <c r="AC49" s="18">
        <f t="shared" si="28"/>
        <v>0.93291769464121033</v>
      </c>
      <c r="AD49" s="18">
        <f t="shared" si="28"/>
        <v>3.2143289776348931</v>
      </c>
      <c r="AE49" s="18">
        <f t="shared" si="28"/>
        <v>1.7170718975206074</v>
      </c>
      <c r="AF49" s="56">
        <f t="shared" si="6"/>
        <v>1</v>
      </c>
      <c r="AH49" s="18">
        <f t="shared" si="29"/>
        <v>1.0007898803132811</v>
      </c>
      <c r="AI49" s="18">
        <f t="shared" si="29"/>
        <v>3.3631382247550103</v>
      </c>
      <c r="AJ49" s="18">
        <f t="shared" si="29"/>
        <v>1.7394366874533305</v>
      </c>
      <c r="AK49" s="56">
        <f t="shared" si="8"/>
        <v>1</v>
      </c>
      <c r="AM49" s="18">
        <f t="shared" si="30"/>
        <v>1.0402929922417747</v>
      </c>
      <c r="AN49" s="18">
        <f t="shared" si="30"/>
        <v>3.3935677527432491</v>
      </c>
      <c r="AO49" s="18">
        <f t="shared" si="30"/>
        <v>1.7280587509563006</v>
      </c>
      <c r="AP49" s="56">
        <f t="shared" si="10"/>
        <v>1</v>
      </c>
      <c r="AR49" s="18">
        <f t="shared" si="31"/>
        <v>1.0402929922417747</v>
      </c>
      <c r="AS49" s="18">
        <f t="shared" si="31"/>
        <v>3.3935677527432491</v>
      </c>
      <c r="AT49" s="18">
        <f t="shared" si="31"/>
        <v>1.7280587509563006</v>
      </c>
      <c r="AU49" s="56">
        <f t="shared" si="12"/>
        <v>1</v>
      </c>
      <c r="AW49" s="18">
        <f t="shared" si="32"/>
        <v>1.0402929922417747</v>
      </c>
      <c r="AX49" s="18">
        <f t="shared" si="32"/>
        <v>3.3935677527432491</v>
      </c>
      <c r="AY49" s="18">
        <f t="shared" si="32"/>
        <v>1.7280587509563006</v>
      </c>
      <c r="AZ49" s="56">
        <f t="shared" si="14"/>
        <v>1</v>
      </c>
      <c r="BB49" s="18">
        <f t="shared" si="33"/>
        <v>1.0402929922417747</v>
      </c>
      <c r="BC49" s="18">
        <f t="shared" si="33"/>
        <v>3.3935677527432491</v>
      </c>
      <c r="BD49" s="18">
        <f t="shared" si="33"/>
        <v>1.7280587509563006</v>
      </c>
      <c r="BE49" s="56">
        <f t="shared" si="16"/>
        <v>1</v>
      </c>
      <c r="BG49" s="18">
        <f t="shared" si="34"/>
        <v>1.0402929922417747</v>
      </c>
      <c r="BH49" s="18">
        <f t="shared" si="34"/>
        <v>3.3935677527432491</v>
      </c>
      <c r="BI49" s="18">
        <f t="shared" si="34"/>
        <v>1.7280587509563006</v>
      </c>
      <c r="BJ49" s="56">
        <f t="shared" si="18"/>
        <v>1</v>
      </c>
      <c r="BL49" s="18">
        <f t="shared" si="35"/>
        <v>1.0402929922417747</v>
      </c>
      <c r="BM49" s="18">
        <f t="shared" si="35"/>
        <v>3.3935677527432491</v>
      </c>
      <c r="BN49" s="18">
        <f t="shared" si="35"/>
        <v>1.7280587509563006</v>
      </c>
      <c r="BO49" s="56">
        <f t="shared" si="20"/>
        <v>1</v>
      </c>
      <c r="BQ49" s="18">
        <f t="shared" si="36"/>
        <v>1.0402929922417747</v>
      </c>
      <c r="BR49" s="18">
        <f t="shared" si="36"/>
        <v>3.3935677527432491</v>
      </c>
      <c r="BS49" s="18">
        <f t="shared" si="36"/>
        <v>1.7280587509563006</v>
      </c>
      <c r="BT49" s="56">
        <f t="shared" si="22"/>
        <v>1</v>
      </c>
      <c r="BV49" s="18">
        <f t="shared" si="37"/>
        <v>1.0402929922417747</v>
      </c>
      <c r="BW49" s="18">
        <f t="shared" si="37"/>
        <v>3.3935677527432491</v>
      </c>
      <c r="BX49" s="18">
        <f t="shared" si="37"/>
        <v>1.7280587509563006</v>
      </c>
      <c r="BY49" s="56">
        <f t="shared" si="24"/>
        <v>1</v>
      </c>
      <c r="CA49" s="18">
        <f t="shared" si="38"/>
        <v>1.0402929922417747</v>
      </c>
      <c r="CB49" s="18">
        <f t="shared" si="38"/>
        <v>3.3935677527432491</v>
      </c>
      <c r="CC49" s="18">
        <f t="shared" si="38"/>
        <v>1.7280587509563006</v>
      </c>
      <c r="CD49" s="56">
        <f t="shared" si="26"/>
        <v>1</v>
      </c>
    </row>
    <row r="50" spans="1:82" x14ac:dyDescent="0.25">
      <c r="A50" s="63">
        <f>Phase_Data!A32</f>
        <v>43914</v>
      </c>
      <c r="B50" s="18">
        <f>Phase_Data!K32</f>
        <v>-0.22232375170765961</v>
      </c>
      <c r="C50" s="18">
        <f>Phase_Data!L32</f>
        <v>-0.93684730084180778</v>
      </c>
      <c r="D50" s="18">
        <f>Phase_Data!M32</f>
        <v>-0.14141459842553039</v>
      </c>
      <c r="E50" s="56">
        <f t="shared" si="0"/>
        <v>3</v>
      </c>
      <c r="F50" s="38">
        <f t="shared" si="1"/>
        <v>1.2957195709857412</v>
      </c>
      <c r="G50" s="13" t="str">
        <f t="shared" si="2"/>
        <v>Medium activity</v>
      </c>
      <c r="X50" s="18">
        <f t="shared" si="27"/>
        <v>1.8198194463292956</v>
      </c>
      <c r="Y50" s="18">
        <f t="shared" si="27"/>
        <v>3.3295189254512554</v>
      </c>
      <c r="Z50" s="18">
        <f t="shared" si="27"/>
        <v>2.2393129209641311</v>
      </c>
      <c r="AA50" s="56">
        <f t="shared" si="4"/>
        <v>1</v>
      </c>
      <c r="AC50" s="18">
        <f t="shared" si="28"/>
        <v>1.4268051275902127</v>
      </c>
      <c r="AD50" s="18">
        <f t="shared" si="28"/>
        <v>2.449039512280395</v>
      </c>
      <c r="AE50" s="18">
        <f t="shared" si="28"/>
        <v>1.2141563285281252</v>
      </c>
      <c r="AF50" s="56">
        <f t="shared" si="6"/>
        <v>3</v>
      </c>
      <c r="AH50" s="18">
        <f t="shared" si="29"/>
        <v>1.5175630124310291</v>
      </c>
      <c r="AI50" s="18">
        <f t="shared" si="29"/>
        <v>2.6089803301776198</v>
      </c>
      <c r="AJ50" s="18">
        <f t="shared" si="29"/>
        <v>1.1636331311857298</v>
      </c>
      <c r="AK50" s="56">
        <f t="shared" si="8"/>
        <v>3</v>
      </c>
      <c r="AM50" s="18">
        <f t="shared" si="30"/>
        <v>1.5624447471311778</v>
      </c>
      <c r="AN50" s="18">
        <f t="shared" si="30"/>
        <v>2.6436893490111557</v>
      </c>
      <c r="AO50" s="18">
        <f t="shared" si="30"/>
        <v>1.1382967851073555</v>
      </c>
      <c r="AP50" s="56">
        <f t="shared" si="10"/>
        <v>3</v>
      </c>
      <c r="AR50" s="18">
        <f t="shared" si="31"/>
        <v>1.5624447471311778</v>
      </c>
      <c r="AS50" s="18">
        <f t="shared" si="31"/>
        <v>2.6436893490111557</v>
      </c>
      <c r="AT50" s="18">
        <f t="shared" si="31"/>
        <v>1.1382967851073555</v>
      </c>
      <c r="AU50" s="56">
        <f t="shared" si="12"/>
        <v>3</v>
      </c>
      <c r="AW50" s="18">
        <f t="shared" si="32"/>
        <v>1.5624447471311778</v>
      </c>
      <c r="AX50" s="18">
        <f t="shared" si="32"/>
        <v>2.6436893490111557</v>
      </c>
      <c r="AY50" s="18">
        <f t="shared" si="32"/>
        <v>1.1382967851073555</v>
      </c>
      <c r="AZ50" s="56">
        <f t="shared" si="14"/>
        <v>3</v>
      </c>
      <c r="BB50" s="18">
        <f t="shared" si="33"/>
        <v>1.5624447471311778</v>
      </c>
      <c r="BC50" s="18">
        <f t="shared" si="33"/>
        <v>2.6436893490111557</v>
      </c>
      <c r="BD50" s="18">
        <f t="shared" si="33"/>
        <v>1.1382967851073555</v>
      </c>
      <c r="BE50" s="56">
        <f t="shared" si="16"/>
        <v>3</v>
      </c>
      <c r="BG50" s="18">
        <f t="shared" si="34"/>
        <v>1.5624447471311778</v>
      </c>
      <c r="BH50" s="18">
        <f t="shared" si="34"/>
        <v>2.6436893490111557</v>
      </c>
      <c r="BI50" s="18">
        <f t="shared" si="34"/>
        <v>1.1382967851073555</v>
      </c>
      <c r="BJ50" s="56">
        <f t="shared" si="18"/>
        <v>3</v>
      </c>
      <c r="BL50" s="18">
        <f t="shared" si="35"/>
        <v>1.5624447471311778</v>
      </c>
      <c r="BM50" s="18">
        <f t="shared" si="35"/>
        <v>2.6436893490111557</v>
      </c>
      <c r="BN50" s="18">
        <f t="shared" si="35"/>
        <v>1.1382967851073555</v>
      </c>
      <c r="BO50" s="56">
        <f t="shared" si="20"/>
        <v>3</v>
      </c>
      <c r="BQ50" s="18">
        <f t="shared" si="36"/>
        <v>1.5624447471311778</v>
      </c>
      <c r="BR50" s="18">
        <f t="shared" si="36"/>
        <v>2.6436893490111557</v>
      </c>
      <c r="BS50" s="18">
        <f t="shared" si="36"/>
        <v>1.1382967851073555</v>
      </c>
      <c r="BT50" s="56">
        <f t="shared" si="22"/>
        <v>3</v>
      </c>
      <c r="BV50" s="18">
        <f t="shared" si="37"/>
        <v>1.5624447471311778</v>
      </c>
      <c r="BW50" s="18">
        <f t="shared" si="37"/>
        <v>2.6436893490111557</v>
      </c>
      <c r="BX50" s="18">
        <f t="shared" si="37"/>
        <v>1.1382967851073555</v>
      </c>
      <c r="BY50" s="56">
        <f t="shared" si="24"/>
        <v>3</v>
      </c>
      <c r="CA50" s="18">
        <f t="shared" si="38"/>
        <v>1.5624447471311778</v>
      </c>
      <c r="CB50" s="18">
        <f t="shared" si="38"/>
        <v>2.6436893490111557</v>
      </c>
      <c r="CC50" s="18">
        <f t="shared" si="38"/>
        <v>1.1382967851073555</v>
      </c>
      <c r="CD50" s="56">
        <f t="shared" si="26"/>
        <v>3</v>
      </c>
    </row>
    <row r="51" spans="1:82" x14ac:dyDescent="0.25">
      <c r="A51" s="63">
        <f>Phase_Data!A33</f>
        <v>43915</v>
      </c>
      <c r="B51" s="18">
        <f>Phase_Data!K33</f>
        <v>-0.236461024224873</v>
      </c>
      <c r="C51" s="18">
        <f>Phase_Data!L33</f>
        <v>-0.93684730084180778</v>
      </c>
      <c r="D51" s="18">
        <f>Phase_Data!M33</f>
        <v>-0.65664340146534084</v>
      </c>
      <c r="E51" s="56">
        <f t="shared" si="0"/>
        <v>1</v>
      </c>
      <c r="F51" s="38">
        <f t="shared" si="1"/>
        <v>1.5965203588240566</v>
      </c>
      <c r="G51" s="13" t="str">
        <f t="shared" si="2"/>
        <v>Low activity</v>
      </c>
      <c r="X51" s="18">
        <f t="shared" si="27"/>
        <v>1.5389919373383099</v>
      </c>
      <c r="Y51" s="18">
        <f t="shared" si="27"/>
        <v>3.6373321483481726</v>
      </c>
      <c r="Z51" s="18">
        <f t="shared" si="27"/>
        <v>2.0332736964627949</v>
      </c>
      <c r="AA51" s="56">
        <f t="shared" si="4"/>
        <v>1</v>
      </c>
      <c r="AC51" s="18">
        <f t="shared" si="28"/>
        <v>1.126505584410064</v>
      </c>
      <c r="AD51" s="18">
        <f t="shared" si="28"/>
        <v>2.7469247964540666</v>
      </c>
      <c r="AE51" s="18">
        <f t="shared" si="28"/>
        <v>1.3296080963856325</v>
      </c>
      <c r="AF51" s="56">
        <f t="shared" si="6"/>
        <v>1</v>
      </c>
      <c r="AH51" s="18">
        <f t="shared" si="29"/>
        <v>1.2168892074634361</v>
      </c>
      <c r="AI51" s="18">
        <f t="shared" si="29"/>
        <v>2.9023708227659708</v>
      </c>
      <c r="AJ51" s="18">
        <f t="shared" si="29"/>
        <v>1.3192233820651569</v>
      </c>
      <c r="AK51" s="56">
        <f t="shared" si="8"/>
        <v>1</v>
      </c>
      <c r="AM51" s="18">
        <f t="shared" si="30"/>
        <v>1.2635348664853125</v>
      </c>
      <c r="AN51" s="18">
        <f t="shared" si="30"/>
        <v>2.9352059224809817</v>
      </c>
      <c r="AO51" s="18">
        <f t="shared" si="30"/>
        <v>1.3004261471796297</v>
      </c>
      <c r="AP51" s="56">
        <f t="shared" si="10"/>
        <v>1</v>
      </c>
      <c r="AR51" s="18">
        <f t="shared" si="31"/>
        <v>1.2635348664853125</v>
      </c>
      <c r="AS51" s="18">
        <f t="shared" si="31"/>
        <v>2.9352059224809817</v>
      </c>
      <c r="AT51" s="18">
        <f t="shared" si="31"/>
        <v>1.3004261471796297</v>
      </c>
      <c r="AU51" s="56">
        <f t="shared" si="12"/>
        <v>1</v>
      </c>
      <c r="AW51" s="18">
        <f t="shared" si="32"/>
        <v>1.2635348664853125</v>
      </c>
      <c r="AX51" s="18">
        <f t="shared" si="32"/>
        <v>2.9352059224809817</v>
      </c>
      <c r="AY51" s="18">
        <f t="shared" si="32"/>
        <v>1.3004261471796297</v>
      </c>
      <c r="AZ51" s="56">
        <f t="shared" si="14"/>
        <v>1</v>
      </c>
      <c r="BB51" s="18">
        <f t="shared" si="33"/>
        <v>1.2635348664853125</v>
      </c>
      <c r="BC51" s="18">
        <f t="shared" si="33"/>
        <v>2.9352059224809817</v>
      </c>
      <c r="BD51" s="18">
        <f t="shared" si="33"/>
        <v>1.3004261471796297</v>
      </c>
      <c r="BE51" s="56">
        <f t="shared" si="16"/>
        <v>1</v>
      </c>
      <c r="BG51" s="18">
        <f t="shared" si="34"/>
        <v>1.2635348664853125</v>
      </c>
      <c r="BH51" s="18">
        <f t="shared" si="34"/>
        <v>2.9352059224809817</v>
      </c>
      <c r="BI51" s="18">
        <f t="shared" si="34"/>
        <v>1.3004261471796297</v>
      </c>
      <c r="BJ51" s="56">
        <f t="shared" si="18"/>
        <v>1</v>
      </c>
      <c r="BL51" s="18">
        <f t="shared" si="35"/>
        <v>1.2635348664853125</v>
      </c>
      <c r="BM51" s="18">
        <f t="shared" si="35"/>
        <v>2.9352059224809817</v>
      </c>
      <c r="BN51" s="18">
        <f t="shared" si="35"/>
        <v>1.3004261471796297</v>
      </c>
      <c r="BO51" s="56">
        <f t="shared" si="20"/>
        <v>1</v>
      </c>
      <c r="BQ51" s="18">
        <f t="shared" si="36"/>
        <v>1.2635348664853125</v>
      </c>
      <c r="BR51" s="18">
        <f t="shared" si="36"/>
        <v>2.9352059224809817</v>
      </c>
      <c r="BS51" s="18">
        <f t="shared" si="36"/>
        <v>1.3004261471796297</v>
      </c>
      <c r="BT51" s="56">
        <f t="shared" si="22"/>
        <v>1</v>
      </c>
      <c r="BV51" s="18">
        <f t="shared" si="37"/>
        <v>1.2635348664853125</v>
      </c>
      <c r="BW51" s="18">
        <f t="shared" si="37"/>
        <v>2.9352059224809817</v>
      </c>
      <c r="BX51" s="18">
        <f t="shared" si="37"/>
        <v>1.3004261471796297</v>
      </c>
      <c r="BY51" s="56">
        <f t="shared" si="24"/>
        <v>1</v>
      </c>
      <c r="CA51" s="18">
        <f t="shared" si="38"/>
        <v>1.2635348664853125</v>
      </c>
      <c r="CB51" s="18">
        <f t="shared" si="38"/>
        <v>2.9352059224809817</v>
      </c>
      <c r="CC51" s="18">
        <f t="shared" si="38"/>
        <v>1.3004261471796297</v>
      </c>
      <c r="CD51" s="56">
        <f t="shared" si="26"/>
        <v>1</v>
      </c>
    </row>
    <row r="52" spans="1:82" x14ac:dyDescent="0.25">
      <c r="A52" s="63">
        <f>Phase_Data!A34</f>
        <v>43916</v>
      </c>
      <c r="B52" s="18">
        <f>Phase_Data!K34</f>
        <v>-0.16726734616168126</v>
      </c>
      <c r="C52" s="18">
        <f>Phase_Data!L34</f>
        <v>-0.93684730084180778</v>
      </c>
      <c r="D52" s="18">
        <f>Phase_Data!M34</f>
        <v>-0.58627842587379841</v>
      </c>
      <c r="E52" s="56">
        <f t="shared" si="0"/>
        <v>3</v>
      </c>
      <c r="F52" s="38">
        <f t="shared" si="1"/>
        <v>1.543438856170309</v>
      </c>
      <c r="G52" s="13" t="str">
        <f t="shared" si="2"/>
        <v>Medium activity</v>
      </c>
      <c r="X52" s="18">
        <f t="shared" si="27"/>
        <v>1.6276673815050675</v>
      </c>
      <c r="Y52" s="18">
        <f t="shared" si="27"/>
        <v>3.5658150182586152</v>
      </c>
      <c r="Z52" s="18">
        <f t="shared" si="27"/>
        <v>2.0265783745185537</v>
      </c>
      <c r="AA52" s="56">
        <f t="shared" si="4"/>
        <v>1</v>
      </c>
      <c r="AC52" s="18">
        <f t="shared" si="28"/>
        <v>1.2160815349953347</v>
      </c>
      <c r="AD52" s="18">
        <f t="shared" si="28"/>
        <v>2.677932215418116</v>
      </c>
      <c r="AE52" s="18">
        <f t="shared" si="28"/>
        <v>1.276180221203679</v>
      </c>
      <c r="AF52" s="56">
        <f t="shared" si="6"/>
        <v>1</v>
      </c>
      <c r="AH52" s="18">
        <f t="shared" si="29"/>
        <v>1.3067377973919028</v>
      </c>
      <c r="AI52" s="18">
        <f t="shared" si="29"/>
        <v>2.8334311755865764</v>
      </c>
      <c r="AJ52" s="18">
        <f t="shared" si="29"/>
        <v>1.2621944535133478</v>
      </c>
      <c r="AK52" s="56">
        <f t="shared" si="8"/>
        <v>3</v>
      </c>
      <c r="AM52" s="18">
        <f t="shared" si="30"/>
        <v>1.3534070044416135</v>
      </c>
      <c r="AN52" s="18">
        <f t="shared" si="30"/>
        <v>2.8665203265248369</v>
      </c>
      <c r="AO52" s="18">
        <f t="shared" si="30"/>
        <v>1.2423521466034939</v>
      </c>
      <c r="AP52" s="56">
        <f t="shared" si="10"/>
        <v>3</v>
      </c>
      <c r="AR52" s="18">
        <f t="shared" si="31"/>
        <v>1.3534070044416135</v>
      </c>
      <c r="AS52" s="18">
        <f t="shared" si="31"/>
        <v>2.8665203265248369</v>
      </c>
      <c r="AT52" s="18">
        <f t="shared" si="31"/>
        <v>1.2423521466034939</v>
      </c>
      <c r="AU52" s="56">
        <f t="shared" si="12"/>
        <v>3</v>
      </c>
      <c r="AW52" s="18">
        <f t="shared" si="32"/>
        <v>1.3534070044416135</v>
      </c>
      <c r="AX52" s="18">
        <f t="shared" si="32"/>
        <v>2.8665203265248369</v>
      </c>
      <c r="AY52" s="18">
        <f t="shared" si="32"/>
        <v>1.2423521466034939</v>
      </c>
      <c r="AZ52" s="56">
        <f t="shared" si="14"/>
        <v>3</v>
      </c>
      <c r="BB52" s="18">
        <f t="shared" si="33"/>
        <v>1.3534070044416135</v>
      </c>
      <c r="BC52" s="18">
        <f t="shared" si="33"/>
        <v>2.8665203265248369</v>
      </c>
      <c r="BD52" s="18">
        <f t="shared" si="33"/>
        <v>1.2423521466034939</v>
      </c>
      <c r="BE52" s="56">
        <f t="shared" si="16"/>
        <v>3</v>
      </c>
      <c r="BG52" s="18">
        <f t="shared" si="34"/>
        <v>1.3534070044416135</v>
      </c>
      <c r="BH52" s="18">
        <f t="shared" si="34"/>
        <v>2.8665203265248369</v>
      </c>
      <c r="BI52" s="18">
        <f t="shared" si="34"/>
        <v>1.2423521466034939</v>
      </c>
      <c r="BJ52" s="56">
        <f t="shared" si="18"/>
        <v>3</v>
      </c>
      <c r="BL52" s="18">
        <f t="shared" si="35"/>
        <v>1.3534070044416135</v>
      </c>
      <c r="BM52" s="18">
        <f t="shared" si="35"/>
        <v>2.8665203265248369</v>
      </c>
      <c r="BN52" s="18">
        <f t="shared" si="35"/>
        <v>1.2423521466034939</v>
      </c>
      <c r="BO52" s="56">
        <f t="shared" si="20"/>
        <v>3</v>
      </c>
      <c r="BQ52" s="18">
        <f t="shared" si="36"/>
        <v>1.3534070044416135</v>
      </c>
      <c r="BR52" s="18">
        <f t="shared" si="36"/>
        <v>2.8665203265248369</v>
      </c>
      <c r="BS52" s="18">
        <f t="shared" si="36"/>
        <v>1.2423521466034939</v>
      </c>
      <c r="BT52" s="56">
        <f t="shared" si="22"/>
        <v>3</v>
      </c>
      <c r="BV52" s="18">
        <f t="shared" si="37"/>
        <v>1.3534070044416135</v>
      </c>
      <c r="BW52" s="18">
        <f t="shared" si="37"/>
        <v>2.8665203265248369</v>
      </c>
      <c r="BX52" s="18">
        <f t="shared" si="37"/>
        <v>1.2423521466034939</v>
      </c>
      <c r="BY52" s="56">
        <f t="shared" si="24"/>
        <v>3</v>
      </c>
      <c r="CA52" s="18">
        <f t="shared" si="38"/>
        <v>1.3534070044416135</v>
      </c>
      <c r="CB52" s="18">
        <f t="shared" si="38"/>
        <v>2.8665203265248369</v>
      </c>
      <c r="CC52" s="18">
        <f t="shared" si="38"/>
        <v>1.2423521466034939</v>
      </c>
      <c r="CD52" s="56">
        <f t="shared" si="26"/>
        <v>3</v>
      </c>
    </row>
    <row r="53" spans="1:82" x14ac:dyDescent="0.25">
      <c r="A53" s="63">
        <f>Phase_Data!A35</f>
        <v>43917</v>
      </c>
      <c r="B53" s="18">
        <f>Phase_Data!K35</f>
        <v>-0.19546750009032046</v>
      </c>
      <c r="C53" s="18">
        <f>Phase_Data!L35</f>
        <v>-0.6615345971074752</v>
      </c>
      <c r="D53" s="18">
        <f>Phase_Data!M35</f>
        <v>-0.58627842587379841</v>
      </c>
      <c r="E53" s="56">
        <f t="shared" si="0"/>
        <v>3</v>
      </c>
      <c r="F53" s="38">
        <f t="shared" si="1"/>
        <v>1.080600358064949</v>
      </c>
      <c r="G53" s="13" t="str">
        <f t="shared" si="2"/>
        <v>Medium activity</v>
      </c>
      <c r="X53" s="18">
        <f t="shared" si="27"/>
        <v>1.7047858040499855</v>
      </c>
      <c r="Y53" s="18">
        <f t="shared" si="27"/>
        <v>3.3971347009082522</v>
      </c>
      <c r="Z53" s="18">
        <f t="shared" si="27"/>
        <v>1.8127521503465607</v>
      </c>
      <c r="AA53" s="56">
        <f t="shared" si="4"/>
        <v>1</v>
      </c>
      <c r="AC53" s="18">
        <f t="shared" si="28"/>
        <v>1.2924693631605568</v>
      </c>
      <c r="AD53" s="18">
        <f t="shared" si="28"/>
        <v>2.503668888670437</v>
      </c>
      <c r="AE53" s="18">
        <f t="shared" si="28"/>
        <v>1.0625731475873672</v>
      </c>
      <c r="AF53" s="56">
        <f t="shared" si="6"/>
        <v>3</v>
      </c>
      <c r="AH53" s="18">
        <f t="shared" si="29"/>
        <v>1.3829348734831812</v>
      </c>
      <c r="AI53" s="18">
        <f t="shared" si="29"/>
        <v>2.6578247025520918</v>
      </c>
      <c r="AJ53" s="18">
        <f t="shared" si="29"/>
        <v>1.0564746628425576</v>
      </c>
      <c r="AK53" s="56">
        <f t="shared" si="8"/>
        <v>3</v>
      </c>
      <c r="AM53" s="18">
        <f t="shared" si="30"/>
        <v>1.4287196168375729</v>
      </c>
      <c r="AN53" s="18">
        <f t="shared" si="30"/>
        <v>2.6898883678599335</v>
      </c>
      <c r="AO53" s="18">
        <f t="shared" si="30"/>
        <v>1.0395192918195164</v>
      </c>
      <c r="AP53" s="56">
        <f t="shared" si="10"/>
        <v>3</v>
      </c>
      <c r="AR53" s="18">
        <f t="shared" si="31"/>
        <v>1.4287196168375729</v>
      </c>
      <c r="AS53" s="18">
        <f t="shared" si="31"/>
        <v>2.6898883678599335</v>
      </c>
      <c r="AT53" s="18">
        <f t="shared" si="31"/>
        <v>1.0395192918195164</v>
      </c>
      <c r="AU53" s="56">
        <f t="shared" si="12"/>
        <v>3</v>
      </c>
      <c r="AW53" s="18">
        <f t="shared" si="32"/>
        <v>1.4287196168375729</v>
      </c>
      <c r="AX53" s="18">
        <f t="shared" si="32"/>
        <v>2.6898883678599335</v>
      </c>
      <c r="AY53" s="18">
        <f t="shared" si="32"/>
        <v>1.0395192918195164</v>
      </c>
      <c r="AZ53" s="56">
        <f t="shared" si="14"/>
        <v>3</v>
      </c>
      <c r="BB53" s="18">
        <f t="shared" si="33"/>
        <v>1.4287196168375729</v>
      </c>
      <c r="BC53" s="18">
        <f t="shared" si="33"/>
        <v>2.6898883678599335</v>
      </c>
      <c r="BD53" s="18">
        <f t="shared" si="33"/>
        <v>1.0395192918195164</v>
      </c>
      <c r="BE53" s="56">
        <f t="shared" si="16"/>
        <v>3</v>
      </c>
      <c r="BG53" s="18">
        <f t="shared" si="34"/>
        <v>1.4287196168375729</v>
      </c>
      <c r="BH53" s="18">
        <f t="shared" si="34"/>
        <v>2.6898883678599335</v>
      </c>
      <c r="BI53" s="18">
        <f t="shared" si="34"/>
        <v>1.0395192918195164</v>
      </c>
      <c r="BJ53" s="56">
        <f t="shared" si="18"/>
        <v>3</v>
      </c>
      <c r="BL53" s="18">
        <f t="shared" si="35"/>
        <v>1.4287196168375729</v>
      </c>
      <c r="BM53" s="18">
        <f t="shared" si="35"/>
        <v>2.6898883678599335</v>
      </c>
      <c r="BN53" s="18">
        <f t="shared" si="35"/>
        <v>1.0395192918195164</v>
      </c>
      <c r="BO53" s="56">
        <f t="shared" si="20"/>
        <v>3</v>
      </c>
      <c r="BQ53" s="18">
        <f t="shared" si="36"/>
        <v>1.4287196168375729</v>
      </c>
      <c r="BR53" s="18">
        <f t="shared" si="36"/>
        <v>2.6898883678599335</v>
      </c>
      <c r="BS53" s="18">
        <f t="shared" si="36"/>
        <v>1.0395192918195164</v>
      </c>
      <c r="BT53" s="56">
        <f t="shared" si="22"/>
        <v>3</v>
      </c>
      <c r="BV53" s="18">
        <f t="shared" si="37"/>
        <v>1.4287196168375729</v>
      </c>
      <c r="BW53" s="18">
        <f t="shared" si="37"/>
        <v>2.6898883678599335</v>
      </c>
      <c r="BX53" s="18">
        <f t="shared" si="37"/>
        <v>1.0395192918195164</v>
      </c>
      <c r="BY53" s="56">
        <f t="shared" si="24"/>
        <v>3</v>
      </c>
      <c r="CA53" s="18">
        <f t="shared" si="38"/>
        <v>1.4287196168375729</v>
      </c>
      <c r="CB53" s="18">
        <f t="shared" si="38"/>
        <v>2.6898883678599335</v>
      </c>
      <c r="CC53" s="18">
        <f t="shared" si="38"/>
        <v>1.0395192918195164</v>
      </c>
      <c r="CD53" s="56">
        <f t="shared" si="26"/>
        <v>3</v>
      </c>
    </row>
    <row r="54" spans="1:82" x14ac:dyDescent="0.25">
      <c r="A54" s="63">
        <f>Phase_Data!A36</f>
        <v>43918</v>
      </c>
      <c r="B54" s="18">
        <f>Phase_Data!K36</f>
        <v>-3.2469839180938494E-2</v>
      </c>
      <c r="C54" s="18">
        <f>Phase_Data!L36</f>
        <v>-0.6615345971074752</v>
      </c>
      <c r="D54" s="18">
        <f>Phase_Data!M36</f>
        <v>-1.0102756110451747</v>
      </c>
      <c r="E54" s="56">
        <f t="shared" si="0"/>
        <v>3</v>
      </c>
      <c r="F54" s="38">
        <f t="shared" si="1"/>
        <v>1.6103511112738791</v>
      </c>
      <c r="G54" s="13" t="str">
        <f t="shared" si="2"/>
        <v>Medium activity</v>
      </c>
      <c r="X54" s="18">
        <f t="shared" si="27"/>
        <v>1.7240152444820283</v>
      </c>
      <c r="Y54" s="18">
        <f t="shared" si="27"/>
        <v>3.6298448472672935</v>
      </c>
      <c r="Z54" s="18">
        <f t="shared" si="27"/>
        <v>1.6206442702133499</v>
      </c>
      <c r="AA54" s="56">
        <f t="shared" si="4"/>
        <v>3</v>
      </c>
      <c r="AC54" s="18">
        <f t="shared" si="28"/>
        <v>1.3266432080251274</v>
      </c>
      <c r="AD54" s="18">
        <f t="shared" si="28"/>
        <v>2.7507726945736368</v>
      </c>
      <c r="AE54" s="18">
        <f t="shared" si="28"/>
        <v>1.2493938464354983</v>
      </c>
      <c r="AF54" s="56">
        <f t="shared" si="6"/>
        <v>3</v>
      </c>
      <c r="AH54" s="18">
        <f t="shared" si="29"/>
        <v>1.4073542783310522</v>
      </c>
      <c r="AI54" s="18">
        <f t="shared" si="29"/>
        <v>2.8963721182141082</v>
      </c>
      <c r="AJ54" s="18">
        <f t="shared" si="29"/>
        <v>1.2792089709204348</v>
      </c>
      <c r="AK54" s="56">
        <f t="shared" si="8"/>
        <v>3</v>
      </c>
      <c r="AM54" s="18">
        <f t="shared" si="30"/>
        <v>1.4507823369720783</v>
      </c>
      <c r="AN54" s="18">
        <f t="shared" si="30"/>
        <v>2.9263441770070724</v>
      </c>
      <c r="AO54" s="18">
        <f t="shared" si="30"/>
        <v>1.2689961037268314</v>
      </c>
      <c r="AP54" s="56">
        <f t="shared" si="10"/>
        <v>3</v>
      </c>
      <c r="AR54" s="18">
        <f t="shared" si="31"/>
        <v>1.4507823369720783</v>
      </c>
      <c r="AS54" s="18">
        <f t="shared" si="31"/>
        <v>2.9263441770070724</v>
      </c>
      <c r="AT54" s="18">
        <f t="shared" si="31"/>
        <v>1.2689961037268314</v>
      </c>
      <c r="AU54" s="56">
        <f t="shared" si="12"/>
        <v>3</v>
      </c>
      <c r="AW54" s="18">
        <f t="shared" si="32"/>
        <v>1.4507823369720783</v>
      </c>
      <c r="AX54" s="18">
        <f t="shared" si="32"/>
        <v>2.9263441770070724</v>
      </c>
      <c r="AY54" s="18">
        <f t="shared" si="32"/>
        <v>1.2689961037268314</v>
      </c>
      <c r="AZ54" s="56">
        <f t="shared" si="14"/>
        <v>3</v>
      </c>
      <c r="BB54" s="18">
        <f t="shared" si="33"/>
        <v>1.4507823369720783</v>
      </c>
      <c r="BC54" s="18">
        <f t="shared" si="33"/>
        <v>2.9263441770070724</v>
      </c>
      <c r="BD54" s="18">
        <f t="shared" si="33"/>
        <v>1.2689961037268314</v>
      </c>
      <c r="BE54" s="56">
        <f t="shared" si="16"/>
        <v>3</v>
      </c>
      <c r="BG54" s="18">
        <f t="shared" si="34"/>
        <v>1.4507823369720783</v>
      </c>
      <c r="BH54" s="18">
        <f t="shared" si="34"/>
        <v>2.9263441770070724</v>
      </c>
      <c r="BI54" s="18">
        <f t="shared" si="34"/>
        <v>1.2689961037268314</v>
      </c>
      <c r="BJ54" s="56">
        <f t="shared" si="18"/>
        <v>3</v>
      </c>
      <c r="BL54" s="18">
        <f t="shared" si="35"/>
        <v>1.4507823369720783</v>
      </c>
      <c r="BM54" s="18">
        <f t="shared" si="35"/>
        <v>2.9263441770070724</v>
      </c>
      <c r="BN54" s="18">
        <f t="shared" si="35"/>
        <v>1.2689961037268314</v>
      </c>
      <c r="BO54" s="56">
        <f t="shared" si="20"/>
        <v>3</v>
      </c>
      <c r="BQ54" s="18">
        <f t="shared" si="36"/>
        <v>1.4507823369720783</v>
      </c>
      <c r="BR54" s="18">
        <f t="shared" si="36"/>
        <v>2.9263441770070724</v>
      </c>
      <c r="BS54" s="18">
        <f t="shared" si="36"/>
        <v>1.2689961037268314</v>
      </c>
      <c r="BT54" s="56">
        <f t="shared" si="22"/>
        <v>3</v>
      </c>
      <c r="BV54" s="18">
        <f t="shared" si="37"/>
        <v>1.4507823369720783</v>
      </c>
      <c r="BW54" s="18">
        <f t="shared" si="37"/>
        <v>2.9263441770070724</v>
      </c>
      <c r="BX54" s="18">
        <f t="shared" si="37"/>
        <v>1.2689961037268314</v>
      </c>
      <c r="BY54" s="56">
        <f t="shared" si="24"/>
        <v>3</v>
      </c>
      <c r="CA54" s="18">
        <f t="shared" si="38"/>
        <v>1.4507823369720783</v>
      </c>
      <c r="CB54" s="18">
        <f t="shared" si="38"/>
        <v>2.9263441770070724</v>
      </c>
      <c r="CC54" s="18">
        <f t="shared" si="38"/>
        <v>1.2689961037268314</v>
      </c>
      <c r="CD54" s="56">
        <f t="shared" si="26"/>
        <v>3</v>
      </c>
    </row>
    <row r="55" spans="1:82" x14ac:dyDescent="0.25">
      <c r="A55" s="63">
        <f>Phase_Data!A37</f>
        <v>43919</v>
      </c>
      <c r="B55" s="18">
        <f>Phase_Data!K37</f>
        <v>-0.32918425880042829</v>
      </c>
      <c r="C55" s="18">
        <f>Phase_Data!L37</f>
        <v>-8.6215389247826166E-2</v>
      </c>
      <c r="D55" s="18">
        <f>Phase_Data!M37</f>
        <v>-0.47525073193483869</v>
      </c>
      <c r="E55" s="56">
        <f t="shared" ref="E55:E86" si="39">CD55</f>
        <v>3</v>
      </c>
      <c r="F55" s="38">
        <f t="shared" ref="F55:F86" si="40">($B55-INDEX($L$16:$N$16,E55))^2+($C55-INDEX($L$17:$N$17,E55))^2+($D55-INDEX($L$18:$N$18,E55))^2</f>
        <v>0.57938431725146022</v>
      </c>
      <c r="G55" s="13" t="str">
        <f t="shared" ref="G55:G86" si="41">INDEX($M$5:$M$7,E55)</f>
        <v>Medium activity</v>
      </c>
      <c r="X55" s="18">
        <f t="shared" si="27"/>
        <v>1.9782593716480126</v>
      </c>
      <c r="Y55" s="18">
        <f t="shared" si="27"/>
        <v>3.0535265860408125</v>
      </c>
      <c r="Z55" s="18">
        <f t="shared" si="27"/>
        <v>1.5406487854773006</v>
      </c>
      <c r="AA55" s="56">
        <f t="shared" ref="AA55:AA86" si="42">MATCH(MIN(X55:Z55),X55:Z55,0)</f>
        <v>3</v>
      </c>
      <c r="AC55" s="18">
        <f t="shared" si="28"/>
        <v>1.5991506176277748</v>
      </c>
      <c r="AD55" s="18">
        <f t="shared" si="28"/>
        <v>2.1631410064413052</v>
      </c>
      <c r="AE55" s="18">
        <f t="shared" si="28"/>
        <v>0.7611136062528846</v>
      </c>
      <c r="AF55" s="56">
        <f t="shared" ref="AF55:AF86" si="43">MATCH(MIN(AC55:AE55),AC55:AE55,0)</f>
        <v>3</v>
      </c>
      <c r="AH55" s="18">
        <f t="shared" si="29"/>
        <v>1.6817531316432479</v>
      </c>
      <c r="AI55" s="18">
        <f t="shared" si="29"/>
        <v>2.3119929474140419</v>
      </c>
      <c r="AJ55" s="18">
        <f t="shared" si="29"/>
        <v>0.76694469347543737</v>
      </c>
      <c r="AK55" s="56">
        <f t="shared" ref="AK55:AK86" si="44">MATCH(MIN(AH55:AJ55),AH55:AJ55,0)</f>
        <v>3</v>
      </c>
      <c r="AM55" s="18">
        <f t="shared" si="30"/>
        <v>1.7219895416295277</v>
      </c>
      <c r="AN55" s="18">
        <f t="shared" si="30"/>
        <v>2.3411576632601632</v>
      </c>
      <c r="AO55" s="18">
        <f t="shared" si="30"/>
        <v>0.76117298773108089</v>
      </c>
      <c r="AP55" s="56">
        <f t="shared" ref="AP55:AP86" si="45">MATCH(MIN(AM55:AO55),AM55:AO55,0)</f>
        <v>3</v>
      </c>
      <c r="AR55" s="18">
        <f t="shared" si="31"/>
        <v>1.7219895416295277</v>
      </c>
      <c r="AS55" s="18">
        <f t="shared" si="31"/>
        <v>2.3411576632601632</v>
      </c>
      <c r="AT55" s="18">
        <f t="shared" si="31"/>
        <v>0.76117298773108089</v>
      </c>
      <c r="AU55" s="56">
        <f t="shared" ref="AU55:AU86" si="46">MATCH(MIN(AR55:AT55),AR55:AT55,0)</f>
        <v>3</v>
      </c>
      <c r="AW55" s="18">
        <f t="shared" si="32"/>
        <v>1.7219895416295277</v>
      </c>
      <c r="AX55" s="18">
        <f t="shared" si="32"/>
        <v>2.3411576632601632</v>
      </c>
      <c r="AY55" s="18">
        <f t="shared" si="32"/>
        <v>0.76117298773108089</v>
      </c>
      <c r="AZ55" s="56">
        <f t="shared" ref="AZ55:AZ86" si="47">MATCH(MIN(AW55:AY55),AW55:AY55,0)</f>
        <v>3</v>
      </c>
      <c r="BB55" s="18">
        <f t="shared" si="33"/>
        <v>1.7219895416295277</v>
      </c>
      <c r="BC55" s="18">
        <f t="shared" si="33"/>
        <v>2.3411576632601632</v>
      </c>
      <c r="BD55" s="18">
        <f t="shared" si="33"/>
        <v>0.76117298773108089</v>
      </c>
      <c r="BE55" s="56">
        <f t="shared" ref="BE55:BE86" si="48">MATCH(MIN(BB55:BD55),BB55:BD55,0)</f>
        <v>3</v>
      </c>
      <c r="BG55" s="18">
        <f t="shared" si="34"/>
        <v>1.7219895416295277</v>
      </c>
      <c r="BH55" s="18">
        <f t="shared" si="34"/>
        <v>2.3411576632601632</v>
      </c>
      <c r="BI55" s="18">
        <f t="shared" si="34"/>
        <v>0.76117298773108089</v>
      </c>
      <c r="BJ55" s="56">
        <f t="shared" ref="BJ55:BJ86" si="49">MATCH(MIN(BG55:BI55),BG55:BI55,0)</f>
        <v>3</v>
      </c>
      <c r="BL55" s="18">
        <f t="shared" si="35"/>
        <v>1.7219895416295277</v>
      </c>
      <c r="BM55" s="18">
        <f t="shared" si="35"/>
        <v>2.3411576632601632</v>
      </c>
      <c r="BN55" s="18">
        <f t="shared" si="35"/>
        <v>0.76117298773108089</v>
      </c>
      <c r="BO55" s="56">
        <f t="shared" ref="BO55:BO86" si="50">MATCH(MIN(BL55:BN55),BL55:BN55,0)</f>
        <v>3</v>
      </c>
      <c r="BQ55" s="18">
        <f t="shared" si="36"/>
        <v>1.7219895416295277</v>
      </c>
      <c r="BR55" s="18">
        <f t="shared" si="36"/>
        <v>2.3411576632601632</v>
      </c>
      <c r="BS55" s="18">
        <f t="shared" si="36"/>
        <v>0.76117298773108089</v>
      </c>
      <c r="BT55" s="56">
        <f t="shared" ref="BT55:BT86" si="51">MATCH(MIN(BQ55:BS55),BQ55:BS55,0)</f>
        <v>3</v>
      </c>
      <c r="BV55" s="18">
        <f t="shared" si="37"/>
        <v>1.7219895416295277</v>
      </c>
      <c r="BW55" s="18">
        <f t="shared" si="37"/>
        <v>2.3411576632601632</v>
      </c>
      <c r="BX55" s="18">
        <f t="shared" si="37"/>
        <v>0.76117298773108089</v>
      </c>
      <c r="BY55" s="56">
        <f t="shared" ref="BY55:BY86" si="52">MATCH(MIN(BV55:BX55),BV55:BX55,0)</f>
        <v>3</v>
      </c>
      <c r="CA55" s="18">
        <f t="shared" si="38"/>
        <v>1.7219895416295277</v>
      </c>
      <c r="CB55" s="18">
        <f t="shared" si="38"/>
        <v>2.3411576632601632</v>
      </c>
      <c r="CC55" s="18">
        <f t="shared" si="38"/>
        <v>0.76117298773108089</v>
      </c>
      <c r="CD55" s="56">
        <f t="shared" ref="CD55:CD86" si="53">MATCH(MIN(CA55:CC55),CA55:CC55,0)</f>
        <v>3</v>
      </c>
    </row>
    <row r="56" spans="1:82" x14ac:dyDescent="0.25">
      <c r="A56" s="63">
        <f>Phase_Data!A38</f>
        <v>43920</v>
      </c>
      <c r="B56" s="18">
        <f>Phase_Data!K38</f>
        <v>-0.12701237641234248</v>
      </c>
      <c r="C56" s="18">
        <f>Phase_Data!L38</f>
        <v>-0.31468161073836282</v>
      </c>
      <c r="D56" s="18">
        <f>Phase_Data!M38</f>
        <v>7.1650126346980647E-2</v>
      </c>
      <c r="E56" s="56">
        <f t="shared" si="39"/>
        <v>3</v>
      </c>
      <c r="F56" s="38">
        <f t="shared" si="40"/>
        <v>0.32307175918356718</v>
      </c>
      <c r="G56" s="13" t="str">
        <f t="shared" si="41"/>
        <v>Medium activity</v>
      </c>
      <c r="X56" s="18">
        <f t="shared" si="27"/>
        <v>2.2536346028265162</v>
      </c>
      <c r="Y56" s="18">
        <f t="shared" si="27"/>
        <v>2.7365232219481852</v>
      </c>
      <c r="Z56" s="18">
        <f t="shared" si="27"/>
        <v>1.9072910862177925</v>
      </c>
      <c r="AA56" s="56">
        <f t="shared" si="42"/>
        <v>3</v>
      </c>
      <c r="AC56" s="18">
        <f t="shared" si="28"/>
        <v>1.8642575909688863</v>
      </c>
      <c r="AD56" s="18">
        <f t="shared" si="28"/>
        <v>1.8429101546892475</v>
      </c>
      <c r="AE56" s="18">
        <f t="shared" si="28"/>
        <v>0.66945802734308635</v>
      </c>
      <c r="AF56" s="56">
        <f t="shared" si="43"/>
        <v>3</v>
      </c>
      <c r="AH56" s="18">
        <f t="shared" si="29"/>
        <v>1.9537065022195166</v>
      </c>
      <c r="AI56" s="18">
        <f t="shared" si="29"/>
        <v>2.0028557154850786</v>
      </c>
      <c r="AJ56" s="18">
        <f t="shared" si="29"/>
        <v>0.59275994724605285</v>
      </c>
      <c r="AK56" s="56">
        <f t="shared" si="44"/>
        <v>3</v>
      </c>
      <c r="AM56" s="18">
        <f t="shared" si="30"/>
        <v>1.9967748219426047</v>
      </c>
      <c r="AN56" s="18">
        <f t="shared" si="30"/>
        <v>2.0364332273285553</v>
      </c>
      <c r="AO56" s="18">
        <f t="shared" si="30"/>
        <v>0.56839401754730601</v>
      </c>
      <c r="AP56" s="56">
        <f t="shared" si="45"/>
        <v>3</v>
      </c>
      <c r="AR56" s="18">
        <f t="shared" si="31"/>
        <v>1.9967748219426047</v>
      </c>
      <c r="AS56" s="18">
        <f t="shared" si="31"/>
        <v>2.0364332273285553</v>
      </c>
      <c r="AT56" s="18">
        <f t="shared" si="31"/>
        <v>0.56839401754730601</v>
      </c>
      <c r="AU56" s="56">
        <f t="shared" si="46"/>
        <v>3</v>
      </c>
      <c r="AW56" s="18">
        <f t="shared" si="32"/>
        <v>1.9967748219426047</v>
      </c>
      <c r="AX56" s="18">
        <f t="shared" si="32"/>
        <v>2.0364332273285553</v>
      </c>
      <c r="AY56" s="18">
        <f t="shared" si="32"/>
        <v>0.56839401754730601</v>
      </c>
      <c r="AZ56" s="56">
        <f t="shared" si="47"/>
        <v>3</v>
      </c>
      <c r="BB56" s="18">
        <f t="shared" si="33"/>
        <v>1.9967748219426047</v>
      </c>
      <c r="BC56" s="18">
        <f t="shared" si="33"/>
        <v>2.0364332273285553</v>
      </c>
      <c r="BD56" s="18">
        <f t="shared" si="33"/>
        <v>0.56839401754730601</v>
      </c>
      <c r="BE56" s="56">
        <f t="shared" si="48"/>
        <v>3</v>
      </c>
      <c r="BG56" s="18">
        <f t="shared" si="34"/>
        <v>1.9967748219426047</v>
      </c>
      <c r="BH56" s="18">
        <f t="shared" si="34"/>
        <v>2.0364332273285553</v>
      </c>
      <c r="BI56" s="18">
        <f t="shared" si="34"/>
        <v>0.56839401754730601</v>
      </c>
      <c r="BJ56" s="56">
        <f t="shared" si="49"/>
        <v>3</v>
      </c>
      <c r="BL56" s="18">
        <f t="shared" si="35"/>
        <v>1.9967748219426047</v>
      </c>
      <c r="BM56" s="18">
        <f t="shared" si="35"/>
        <v>2.0364332273285553</v>
      </c>
      <c r="BN56" s="18">
        <f t="shared" si="35"/>
        <v>0.56839401754730601</v>
      </c>
      <c r="BO56" s="56">
        <f t="shared" si="50"/>
        <v>3</v>
      </c>
      <c r="BQ56" s="18">
        <f t="shared" si="36"/>
        <v>1.9967748219426047</v>
      </c>
      <c r="BR56" s="18">
        <f t="shared" si="36"/>
        <v>2.0364332273285553</v>
      </c>
      <c r="BS56" s="18">
        <f t="shared" si="36"/>
        <v>0.56839401754730601</v>
      </c>
      <c r="BT56" s="56">
        <f t="shared" si="51"/>
        <v>3</v>
      </c>
      <c r="BV56" s="18">
        <f t="shared" si="37"/>
        <v>1.9967748219426047</v>
      </c>
      <c r="BW56" s="18">
        <f t="shared" si="37"/>
        <v>2.0364332273285553</v>
      </c>
      <c r="BX56" s="18">
        <f t="shared" si="37"/>
        <v>0.56839401754730601</v>
      </c>
      <c r="BY56" s="56">
        <f t="shared" si="52"/>
        <v>3</v>
      </c>
      <c r="CA56" s="18">
        <f t="shared" si="38"/>
        <v>1.9967748219426047</v>
      </c>
      <c r="CB56" s="18">
        <f t="shared" si="38"/>
        <v>2.0364332273285553</v>
      </c>
      <c r="CC56" s="18">
        <f t="shared" si="38"/>
        <v>0.56839401754730601</v>
      </c>
      <c r="CD56" s="56">
        <f t="shared" si="53"/>
        <v>3</v>
      </c>
    </row>
    <row r="57" spans="1:82" x14ac:dyDescent="0.25">
      <c r="A57" s="63">
        <f>Phase_Data!A39</f>
        <v>43921</v>
      </c>
      <c r="B57" s="18">
        <f>Phase_Data!K39</f>
        <v>4.3919281160802376E-2</v>
      </c>
      <c r="C57" s="18">
        <f>Phase_Data!L39</f>
        <v>-0.31468161073836282</v>
      </c>
      <c r="D57" s="18">
        <f>Phase_Data!M39</f>
        <v>0.17380527160224096</v>
      </c>
      <c r="E57" s="56">
        <f t="shared" si="39"/>
        <v>3</v>
      </c>
      <c r="F57" s="38">
        <f t="shared" si="40"/>
        <v>0.25007944191918263</v>
      </c>
      <c r="G57" s="13" t="str">
        <f t="shared" si="41"/>
        <v>Medium activity</v>
      </c>
      <c r="X57" s="18">
        <f t="shared" si="27"/>
        <v>2.4259690208767855</v>
      </c>
      <c r="Y57" s="18">
        <f t="shared" si="27"/>
        <v>2.5975595597864127</v>
      </c>
      <c r="Z57" s="18">
        <f t="shared" si="27"/>
        <v>1.9192146123301714</v>
      </c>
      <c r="AA57" s="56">
        <f t="shared" si="42"/>
        <v>3</v>
      </c>
      <c r="AC57" s="18">
        <f t="shared" si="28"/>
        <v>2.0321871561906435</v>
      </c>
      <c r="AD57" s="18">
        <f t="shared" si="28"/>
        <v>1.7093314882384958</v>
      </c>
      <c r="AE57" s="18">
        <f t="shared" si="28"/>
        <v>0.61785375162326839</v>
      </c>
      <c r="AF57" s="56">
        <f t="shared" si="43"/>
        <v>3</v>
      </c>
      <c r="AH57" s="18">
        <f t="shared" si="29"/>
        <v>2.1226450236043255</v>
      </c>
      <c r="AI57" s="18">
        <f t="shared" si="29"/>
        <v>1.8692142923477841</v>
      </c>
      <c r="AJ57" s="18">
        <f t="shared" si="29"/>
        <v>0.52745333593394472</v>
      </c>
      <c r="AK57" s="56">
        <f t="shared" si="44"/>
        <v>3</v>
      </c>
      <c r="AM57" s="18">
        <f t="shared" si="30"/>
        <v>2.1664830446240861</v>
      </c>
      <c r="AN57" s="18">
        <f t="shared" si="30"/>
        <v>1.9034850224736934</v>
      </c>
      <c r="AO57" s="18">
        <f t="shared" si="30"/>
        <v>0.50007943560916668</v>
      </c>
      <c r="AP57" s="56">
        <f t="shared" si="45"/>
        <v>3</v>
      </c>
      <c r="AR57" s="18">
        <f t="shared" si="31"/>
        <v>2.1664830446240861</v>
      </c>
      <c r="AS57" s="18">
        <f t="shared" si="31"/>
        <v>1.9034850224736934</v>
      </c>
      <c r="AT57" s="18">
        <f t="shared" si="31"/>
        <v>0.50007943560916668</v>
      </c>
      <c r="AU57" s="56">
        <f t="shared" si="46"/>
        <v>3</v>
      </c>
      <c r="AW57" s="18">
        <f t="shared" si="32"/>
        <v>2.1664830446240861</v>
      </c>
      <c r="AX57" s="18">
        <f t="shared" si="32"/>
        <v>1.9034850224736934</v>
      </c>
      <c r="AY57" s="18">
        <f t="shared" si="32"/>
        <v>0.50007943560916668</v>
      </c>
      <c r="AZ57" s="56">
        <f t="shared" si="47"/>
        <v>3</v>
      </c>
      <c r="BB57" s="18">
        <f t="shared" si="33"/>
        <v>2.1664830446240861</v>
      </c>
      <c r="BC57" s="18">
        <f t="shared" si="33"/>
        <v>1.9034850224736934</v>
      </c>
      <c r="BD57" s="18">
        <f t="shared" si="33"/>
        <v>0.50007943560916668</v>
      </c>
      <c r="BE57" s="56">
        <f t="shared" si="48"/>
        <v>3</v>
      </c>
      <c r="BG57" s="18">
        <f t="shared" si="34"/>
        <v>2.1664830446240861</v>
      </c>
      <c r="BH57" s="18">
        <f t="shared" si="34"/>
        <v>1.9034850224736934</v>
      </c>
      <c r="BI57" s="18">
        <f t="shared" si="34"/>
        <v>0.50007943560916668</v>
      </c>
      <c r="BJ57" s="56">
        <f t="shared" si="49"/>
        <v>3</v>
      </c>
      <c r="BL57" s="18">
        <f t="shared" si="35"/>
        <v>2.1664830446240861</v>
      </c>
      <c r="BM57" s="18">
        <f t="shared" si="35"/>
        <v>1.9034850224736934</v>
      </c>
      <c r="BN57" s="18">
        <f t="shared" si="35"/>
        <v>0.50007943560916668</v>
      </c>
      <c r="BO57" s="56">
        <f t="shared" si="50"/>
        <v>3</v>
      </c>
      <c r="BQ57" s="18">
        <f t="shared" si="36"/>
        <v>2.1664830446240861</v>
      </c>
      <c r="BR57" s="18">
        <f t="shared" si="36"/>
        <v>1.9034850224736934</v>
      </c>
      <c r="BS57" s="18">
        <f t="shared" si="36"/>
        <v>0.50007943560916668</v>
      </c>
      <c r="BT57" s="56">
        <f t="shared" si="51"/>
        <v>3</v>
      </c>
      <c r="BV57" s="18">
        <f t="shared" si="37"/>
        <v>2.1664830446240861</v>
      </c>
      <c r="BW57" s="18">
        <f t="shared" si="37"/>
        <v>1.9034850224736934</v>
      </c>
      <c r="BX57" s="18">
        <f t="shared" si="37"/>
        <v>0.50007943560916668</v>
      </c>
      <c r="BY57" s="56">
        <f t="shared" si="52"/>
        <v>3</v>
      </c>
      <c r="CA57" s="18">
        <f t="shared" si="38"/>
        <v>2.1664830446240861</v>
      </c>
      <c r="CB57" s="18">
        <f t="shared" si="38"/>
        <v>1.9034850224736934</v>
      </c>
      <c r="CC57" s="18">
        <f t="shared" si="38"/>
        <v>0.50007943560916668</v>
      </c>
      <c r="CD57" s="56">
        <f t="shared" si="53"/>
        <v>3</v>
      </c>
    </row>
    <row r="58" spans="1:82" x14ac:dyDescent="0.25">
      <c r="A58" s="63">
        <f>Phase_Data!A40</f>
        <v>43922</v>
      </c>
      <c r="B58" s="18">
        <f>Phase_Data!K40</f>
        <v>0.10496755181090651</v>
      </c>
      <c r="C58" s="18">
        <f>Phase_Data!L40</f>
        <v>-0.31468161073836282</v>
      </c>
      <c r="D58" s="18">
        <f>Phase_Data!M40</f>
        <v>-0.20773829237967062</v>
      </c>
      <c r="E58" s="56">
        <f t="shared" si="39"/>
        <v>3</v>
      </c>
      <c r="F58" s="38">
        <f t="shared" si="40"/>
        <v>0.21806433277800077</v>
      </c>
      <c r="G58" s="13" t="str">
        <f t="shared" si="41"/>
        <v>Medium activity</v>
      </c>
      <c r="X58" s="18">
        <f t="shared" si="27"/>
        <v>2.2634491990162644</v>
      </c>
      <c r="Y58" s="18">
        <f t="shared" si="27"/>
        <v>2.8060341462714615</v>
      </c>
      <c r="Z58" s="18">
        <f t="shared" si="27"/>
        <v>1.6277377787675609</v>
      </c>
      <c r="AA58" s="56">
        <f t="shared" si="42"/>
        <v>3</v>
      </c>
      <c r="AC58" s="18">
        <f t="shared" si="28"/>
        <v>1.857021890629436</v>
      </c>
      <c r="AD58" s="18">
        <f t="shared" si="28"/>
        <v>1.9156198589133266</v>
      </c>
      <c r="AE58" s="18">
        <f t="shared" si="28"/>
        <v>0.51828992663264739</v>
      </c>
      <c r="AF58" s="56">
        <f t="shared" si="43"/>
        <v>3</v>
      </c>
      <c r="AH58" s="18">
        <f t="shared" si="29"/>
        <v>1.9476277390212762</v>
      </c>
      <c r="AI58" s="18">
        <f t="shared" si="29"/>
        <v>2.068944909718466</v>
      </c>
      <c r="AJ58" s="18">
        <f t="shared" si="29"/>
        <v>0.48849935160432423</v>
      </c>
      <c r="AK58" s="56">
        <f t="shared" si="44"/>
        <v>3</v>
      </c>
      <c r="AM58" s="18">
        <f t="shared" si="30"/>
        <v>1.9925612909915873</v>
      </c>
      <c r="AN58" s="18">
        <f t="shared" si="30"/>
        <v>2.1011553415905446</v>
      </c>
      <c r="AO58" s="18">
        <f t="shared" si="30"/>
        <v>0.46697358895123908</v>
      </c>
      <c r="AP58" s="56">
        <f t="shared" si="45"/>
        <v>3</v>
      </c>
      <c r="AR58" s="18">
        <f t="shared" si="31"/>
        <v>1.9925612909915873</v>
      </c>
      <c r="AS58" s="18">
        <f t="shared" si="31"/>
        <v>2.1011553415905446</v>
      </c>
      <c r="AT58" s="18">
        <f t="shared" si="31"/>
        <v>0.46697358895123908</v>
      </c>
      <c r="AU58" s="56">
        <f t="shared" si="46"/>
        <v>3</v>
      </c>
      <c r="AW58" s="18">
        <f t="shared" si="32"/>
        <v>1.9925612909915873</v>
      </c>
      <c r="AX58" s="18">
        <f t="shared" si="32"/>
        <v>2.1011553415905446</v>
      </c>
      <c r="AY58" s="18">
        <f t="shared" si="32"/>
        <v>0.46697358895123908</v>
      </c>
      <c r="AZ58" s="56">
        <f t="shared" si="47"/>
        <v>3</v>
      </c>
      <c r="BB58" s="18">
        <f t="shared" si="33"/>
        <v>1.9925612909915873</v>
      </c>
      <c r="BC58" s="18">
        <f t="shared" si="33"/>
        <v>2.1011553415905446</v>
      </c>
      <c r="BD58" s="18">
        <f t="shared" si="33"/>
        <v>0.46697358895123908</v>
      </c>
      <c r="BE58" s="56">
        <f t="shared" si="48"/>
        <v>3</v>
      </c>
      <c r="BG58" s="18">
        <f t="shared" si="34"/>
        <v>1.9925612909915873</v>
      </c>
      <c r="BH58" s="18">
        <f t="shared" si="34"/>
        <v>2.1011553415905446</v>
      </c>
      <c r="BI58" s="18">
        <f t="shared" si="34"/>
        <v>0.46697358895123908</v>
      </c>
      <c r="BJ58" s="56">
        <f t="shared" si="49"/>
        <v>3</v>
      </c>
      <c r="BL58" s="18">
        <f t="shared" si="35"/>
        <v>1.9925612909915873</v>
      </c>
      <c r="BM58" s="18">
        <f t="shared" si="35"/>
        <v>2.1011553415905446</v>
      </c>
      <c r="BN58" s="18">
        <f t="shared" si="35"/>
        <v>0.46697358895123908</v>
      </c>
      <c r="BO58" s="56">
        <f t="shared" si="50"/>
        <v>3</v>
      </c>
      <c r="BQ58" s="18">
        <f t="shared" si="36"/>
        <v>1.9925612909915873</v>
      </c>
      <c r="BR58" s="18">
        <f t="shared" si="36"/>
        <v>2.1011553415905446</v>
      </c>
      <c r="BS58" s="18">
        <f t="shared" si="36"/>
        <v>0.46697358895123908</v>
      </c>
      <c r="BT58" s="56">
        <f t="shared" si="51"/>
        <v>3</v>
      </c>
      <c r="BV58" s="18">
        <f t="shared" si="37"/>
        <v>1.9925612909915873</v>
      </c>
      <c r="BW58" s="18">
        <f t="shared" si="37"/>
        <v>2.1011553415905446</v>
      </c>
      <c r="BX58" s="18">
        <f t="shared" si="37"/>
        <v>0.46697358895123908</v>
      </c>
      <c r="BY58" s="56">
        <f t="shared" si="52"/>
        <v>3</v>
      </c>
      <c r="CA58" s="18">
        <f t="shared" si="38"/>
        <v>1.9925612909915873</v>
      </c>
      <c r="CB58" s="18">
        <f t="shared" si="38"/>
        <v>2.1011553415905446</v>
      </c>
      <c r="CC58" s="18">
        <f t="shared" si="38"/>
        <v>0.46697358895123908</v>
      </c>
      <c r="CD58" s="56">
        <f t="shared" si="53"/>
        <v>3</v>
      </c>
    </row>
    <row r="59" spans="1:82" x14ac:dyDescent="0.25">
      <c r="A59" s="63">
        <f>Phase_Data!A41</f>
        <v>43923</v>
      </c>
      <c r="B59" s="18">
        <f>Phase_Data!K41</f>
        <v>-3.4634268556930303E-2</v>
      </c>
      <c r="C59" s="18">
        <f>Phase_Data!L41</f>
        <v>-0.19088442142113579</v>
      </c>
      <c r="D59" s="18">
        <f>Phase_Data!M41</f>
        <v>-0.23264621629396448</v>
      </c>
      <c r="E59" s="56">
        <f t="shared" si="39"/>
        <v>3</v>
      </c>
      <c r="F59" s="38">
        <f t="shared" si="40"/>
        <v>0.20699049187487964</v>
      </c>
      <c r="G59" s="13" t="str">
        <f t="shared" si="41"/>
        <v>Medium activity</v>
      </c>
      <c r="X59" s="18">
        <f t="shared" si="27"/>
        <v>2.2158634157131107</v>
      </c>
      <c r="Y59" s="18">
        <f t="shared" si="27"/>
        <v>2.8051133944099313</v>
      </c>
      <c r="Z59" s="18">
        <f t="shared" si="27"/>
        <v>1.5863820808853293</v>
      </c>
      <c r="AA59" s="56">
        <f t="shared" si="42"/>
        <v>3</v>
      </c>
      <c r="AC59" s="18">
        <f t="shared" si="28"/>
        <v>1.8172689756036078</v>
      </c>
      <c r="AD59" s="18">
        <f t="shared" si="28"/>
        <v>1.9095135061859034</v>
      </c>
      <c r="AE59" s="18">
        <f t="shared" si="28"/>
        <v>0.49631599644813784</v>
      </c>
      <c r="AF59" s="56">
        <f t="shared" si="43"/>
        <v>3</v>
      </c>
      <c r="AH59" s="18">
        <f t="shared" si="29"/>
        <v>1.9060376586861001</v>
      </c>
      <c r="AI59" s="18">
        <f t="shared" si="29"/>
        <v>2.0627410276842908</v>
      </c>
      <c r="AJ59" s="18">
        <f t="shared" si="29"/>
        <v>0.47141104233810133</v>
      </c>
      <c r="AK59" s="56">
        <f t="shared" si="44"/>
        <v>3</v>
      </c>
      <c r="AM59" s="18">
        <f t="shared" si="30"/>
        <v>1.9495956296033372</v>
      </c>
      <c r="AN59" s="18">
        <f t="shared" si="30"/>
        <v>2.0941181118837258</v>
      </c>
      <c r="AO59" s="18">
        <f t="shared" si="30"/>
        <v>0.45496207740302885</v>
      </c>
      <c r="AP59" s="56">
        <f t="shared" si="45"/>
        <v>3</v>
      </c>
      <c r="AR59" s="18">
        <f t="shared" si="31"/>
        <v>1.9495956296033372</v>
      </c>
      <c r="AS59" s="18">
        <f t="shared" si="31"/>
        <v>2.0941181118837258</v>
      </c>
      <c r="AT59" s="18">
        <f t="shared" si="31"/>
        <v>0.45496207740302885</v>
      </c>
      <c r="AU59" s="56">
        <f t="shared" si="46"/>
        <v>3</v>
      </c>
      <c r="AW59" s="18">
        <f t="shared" si="32"/>
        <v>1.9495956296033372</v>
      </c>
      <c r="AX59" s="18">
        <f t="shared" si="32"/>
        <v>2.0941181118837258</v>
      </c>
      <c r="AY59" s="18">
        <f t="shared" si="32"/>
        <v>0.45496207740302885</v>
      </c>
      <c r="AZ59" s="56">
        <f t="shared" si="47"/>
        <v>3</v>
      </c>
      <c r="BB59" s="18">
        <f t="shared" si="33"/>
        <v>1.9495956296033372</v>
      </c>
      <c r="BC59" s="18">
        <f t="shared" si="33"/>
        <v>2.0941181118837258</v>
      </c>
      <c r="BD59" s="18">
        <f t="shared" si="33"/>
        <v>0.45496207740302885</v>
      </c>
      <c r="BE59" s="56">
        <f t="shared" si="48"/>
        <v>3</v>
      </c>
      <c r="BG59" s="18">
        <f t="shared" si="34"/>
        <v>1.9495956296033372</v>
      </c>
      <c r="BH59" s="18">
        <f t="shared" si="34"/>
        <v>2.0941181118837258</v>
      </c>
      <c r="BI59" s="18">
        <f t="shared" si="34"/>
        <v>0.45496207740302885</v>
      </c>
      <c r="BJ59" s="56">
        <f t="shared" si="49"/>
        <v>3</v>
      </c>
      <c r="BL59" s="18">
        <f t="shared" si="35"/>
        <v>1.9495956296033372</v>
      </c>
      <c r="BM59" s="18">
        <f t="shared" si="35"/>
        <v>2.0941181118837258</v>
      </c>
      <c r="BN59" s="18">
        <f t="shared" si="35"/>
        <v>0.45496207740302885</v>
      </c>
      <c r="BO59" s="56">
        <f t="shared" si="50"/>
        <v>3</v>
      </c>
      <c r="BQ59" s="18">
        <f t="shared" si="36"/>
        <v>1.9495956296033372</v>
      </c>
      <c r="BR59" s="18">
        <f t="shared" si="36"/>
        <v>2.0941181118837258</v>
      </c>
      <c r="BS59" s="18">
        <f t="shared" si="36"/>
        <v>0.45496207740302885</v>
      </c>
      <c r="BT59" s="56">
        <f t="shared" si="51"/>
        <v>3</v>
      </c>
      <c r="BV59" s="18">
        <f t="shared" si="37"/>
        <v>1.9495956296033372</v>
      </c>
      <c r="BW59" s="18">
        <f t="shared" si="37"/>
        <v>2.0941181118837258</v>
      </c>
      <c r="BX59" s="18">
        <f t="shared" si="37"/>
        <v>0.45496207740302885</v>
      </c>
      <c r="BY59" s="56">
        <f t="shared" si="52"/>
        <v>3</v>
      </c>
      <c r="CA59" s="18">
        <f t="shared" si="38"/>
        <v>1.9495956296033372</v>
      </c>
      <c r="CB59" s="18">
        <f t="shared" si="38"/>
        <v>2.0941181118837258</v>
      </c>
      <c r="CC59" s="18">
        <f t="shared" si="38"/>
        <v>0.45496207740302885</v>
      </c>
      <c r="CD59" s="56">
        <f t="shared" si="53"/>
        <v>3</v>
      </c>
    </row>
    <row r="60" spans="1:82" x14ac:dyDescent="0.25">
      <c r="A60" s="63">
        <f>Phase_Data!A42</f>
        <v>43924</v>
      </c>
      <c r="B60" s="18">
        <f>Phase_Data!K42</f>
        <v>7.1470635203007643E-2</v>
      </c>
      <c r="C60" s="18">
        <f>Phase_Data!L42</f>
        <v>-0.19088442142113579</v>
      </c>
      <c r="D60" s="18">
        <f>Phase_Data!M42</f>
        <v>-1.0102756110451747</v>
      </c>
      <c r="E60" s="56">
        <f t="shared" si="39"/>
        <v>3</v>
      </c>
      <c r="F60" s="38">
        <f t="shared" si="40"/>
        <v>1.076887454091306</v>
      </c>
      <c r="G60" s="13" t="str">
        <f t="shared" si="41"/>
        <v>Medium activity</v>
      </c>
      <c r="X60" s="18">
        <f t="shared" si="27"/>
        <v>2.0554807695481037</v>
      </c>
      <c r="Y60" s="18">
        <f t="shared" si="27"/>
        <v>3.3368836968266296</v>
      </c>
      <c r="Z60" s="18">
        <f t="shared" si="27"/>
        <v>1.1658802187128678</v>
      </c>
      <c r="AA60" s="56">
        <f t="shared" si="42"/>
        <v>3</v>
      </c>
      <c r="AC60" s="18">
        <f t="shared" si="28"/>
        <v>1.6718253508787837</v>
      </c>
      <c r="AD60" s="18">
        <f t="shared" si="28"/>
        <v>2.4747348661755462</v>
      </c>
      <c r="AE60" s="18">
        <f t="shared" si="28"/>
        <v>0.97591502533898711</v>
      </c>
      <c r="AF60" s="56">
        <f t="shared" si="43"/>
        <v>3</v>
      </c>
      <c r="AH60" s="18">
        <f t="shared" si="29"/>
        <v>1.7491589532495564</v>
      </c>
      <c r="AI60" s="18">
        <f t="shared" si="29"/>
        <v>2.6105953079939899</v>
      </c>
      <c r="AJ60" s="18">
        <f t="shared" si="29"/>
        <v>1.0377527279004559</v>
      </c>
      <c r="AK60" s="56">
        <f t="shared" si="44"/>
        <v>3</v>
      </c>
      <c r="AM60" s="18">
        <f t="shared" si="30"/>
        <v>1.7898770139510116</v>
      </c>
      <c r="AN60" s="18">
        <f t="shared" si="30"/>
        <v>2.6374936666708888</v>
      </c>
      <c r="AO60" s="18">
        <f t="shared" si="30"/>
        <v>1.0377318796737942</v>
      </c>
      <c r="AP60" s="56">
        <f t="shared" si="45"/>
        <v>3</v>
      </c>
      <c r="AR60" s="18">
        <f t="shared" si="31"/>
        <v>1.7898770139510116</v>
      </c>
      <c r="AS60" s="18">
        <f t="shared" si="31"/>
        <v>2.6374936666708888</v>
      </c>
      <c r="AT60" s="18">
        <f t="shared" si="31"/>
        <v>1.0377318796737942</v>
      </c>
      <c r="AU60" s="56">
        <f t="shared" si="46"/>
        <v>3</v>
      </c>
      <c r="AW60" s="18">
        <f t="shared" si="32"/>
        <v>1.7898770139510116</v>
      </c>
      <c r="AX60" s="18">
        <f t="shared" si="32"/>
        <v>2.6374936666708888</v>
      </c>
      <c r="AY60" s="18">
        <f t="shared" si="32"/>
        <v>1.0377318796737942</v>
      </c>
      <c r="AZ60" s="56">
        <f t="shared" si="47"/>
        <v>3</v>
      </c>
      <c r="BB60" s="18">
        <f t="shared" si="33"/>
        <v>1.7898770139510116</v>
      </c>
      <c r="BC60" s="18">
        <f t="shared" si="33"/>
        <v>2.6374936666708888</v>
      </c>
      <c r="BD60" s="18">
        <f t="shared" si="33"/>
        <v>1.0377318796737942</v>
      </c>
      <c r="BE60" s="56">
        <f t="shared" si="48"/>
        <v>3</v>
      </c>
      <c r="BG60" s="18">
        <f t="shared" si="34"/>
        <v>1.7898770139510116</v>
      </c>
      <c r="BH60" s="18">
        <f t="shared" si="34"/>
        <v>2.6374936666708888</v>
      </c>
      <c r="BI60" s="18">
        <f t="shared" si="34"/>
        <v>1.0377318796737942</v>
      </c>
      <c r="BJ60" s="56">
        <f t="shared" si="49"/>
        <v>3</v>
      </c>
      <c r="BL60" s="18">
        <f t="shared" si="35"/>
        <v>1.7898770139510116</v>
      </c>
      <c r="BM60" s="18">
        <f t="shared" si="35"/>
        <v>2.6374936666708888</v>
      </c>
      <c r="BN60" s="18">
        <f t="shared" si="35"/>
        <v>1.0377318796737942</v>
      </c>
      <c r="BO60" s="56">
        <f t="shared" si="50"/>
        <v>3</v>
      </c>
      <c r="BQ60" s="18">
        <f t="shared" si="36"/>
        <v>1.7898770139510116</v>
      </c>
      <c r="BR60" s="18">
        <f t="shared" si="36"/>
        <v>2.6374936666708888</v>
      </c>
      <c r="BS60" s="18">
        <f t="shared" si="36"/>
        <v>1.0377318796737942</v>
      </c>
      <c r="BT60" s="56">
        <f t="shared" si="51"/>
        <v>3</v>
      </c>
      <c r="BV60" s="18">
        <f t="shared" si="37"/>
        <v>1.7898770139510116</v>
      </c>
      <c r="BW60" s="18">
        <f t="shared" si="37"/>
        <v>2.6374936666708888</v>
      </c>
      <c r="BX60" s="18">
        <f t="shared" si="37"/>
        <v>1.0377318796737942</v>
      </c>
      <c r="BY60" s="56">
        <f t="shared" si="52"/>
        <v>3</v>
      </c>
      <c r="CA60" s="18">
        <f t="shared" si="38"/>
        <v>1.7898770139510116</v>
      </c>
      <c r="CB60" s="18">
        <f t="shared" si="38"/>
        <v>2.6374936666708888</v>
      </c>
      <c r="CC60" s="18">
        <f t="shared" si="38"/>
        <v>1.0377318796737942</v>
      </c>
      <c r="CD60" s="56">
        <f t="shared" si="53"/>
        <v>3</v>
      </c>
    </row>
    <row r="61" spans="1:82" x14ac:dyDescent="0.25">
      <c r="A61" s="63">
        <f>Phase_Data!A43</f>
        <v>43925</v>
      </c>
      <c r="B61" s="18">
        <f>Phase_Data!K43</f>
        <v>-0.36724506785244532</v>
      </c>
      <c r="C61" s="18">
        <f>Phase_Data!L43</f>
        <v>-0.31468161073836282</v>
      </c>
      <c r="D61" s="18">
        <f>Phase_Data!M43</f>
        <v>8.3171545208802197E-2</v>
      </c>
      <c r="E61" s="56">
        <f t="shared" si="39"/>
        <v>3</v>
      </c>
      <c r="F61" s="38">
        <f t="shared" si="40"/>
        <v>0.57039802516237936</v>
      </c>
      <c r="G61" s="13" t="str">
        <f t="shared" si="41"/>
        <v>Medium activity</v>
      </c>
      <c r="X61" s="18">
        <f t="shared" si="27"/>
        <v>2.1160344799495712</v>
      </c>
      <c r="Y61" s="18">
        <f t="shared" si="27"/>
        <v>2.8559922485968539</v>
      </c>
      <c r="Z61" s="18">
        <f t="shared" si="27"/>
        <v>2.0262745123775772</v>
      </c>
      <c r="AA61" s="56">
        <f t="shared" si="42"/>
        <v>3</v>
      </c>
      <c r="AC61" s="18">
        <f t="shared" si="28"/>
        <v>1.7429383330961226</v>
      </c>
      <c r="AD61" s="18">
        <f t="shared" si="28"/>
        <v>1.9660677763848289</v>
      </c>
      <c r="AE61" s="18">
        <f t="shared" si="28"/>
        <v>0.84689930094412214</v>
      </c>
      <c r="AF61" s="56">
        <f t="shared" si="43"/>
        <v>3</v>
      </c>
      <c r="AH61" s="18">
        <f t="shared" si="29"/>
        <v>1.8295348617318903</v>
      </c>
      <c r="AI61" s="18">
        <f t="shared" si="29"/>
        <v>2.1262260565989326</v>
      </c>
      <c r="AJ61" s="18">
        <f t="shared" si="29"/>
        <v>0.77569686964896145</v>
      </c>
      <c r="AK61" s="56">
        <f t="shared" si="44"/>
        <v>3</v>
      </c>
      <c r="AM61" s="18">
        <f t="shared" si="30"/>
        <v>1.8704663292453805</v>
      </c>
      <c r="AN61" s="18">
        <f t="shared" si="30"/>
        <v>2.1593208699099353</v>
      </c>
      <c r="AO61" s="18">
        <f t="shared" si="30"/>
        <v>0.7552469961293321</v>
      </c>
      <c r="AP61" s="56">
        <f t="shared" si="45"/>
        <v>3</v>
      </c>
      <c r="AR61" s="18">
        <f t="shared" si="31"/>
        <v>1.8704663292453805</v>
      </c>
      <c r="AS61" s="18">
        <f t="shared" si="31"/>
        <v>2.1593208699099353</v>
      </c>
      <c r="AT61" s="18">
        <f t="shared" si="31"/>
        <v>0.7552469961293321</v>
      </c>
      <c r="AU61" s="56">
        <f t="shared" si="46"/>
        <v>3</v>
      </c>
      <c r="AW61" s="18">
        <f t="shared" si="32"/>
        <v>1.8704663292453805</v>
      </c>
      <c r="AX61" s="18">
        <f t="shared" si="32"/>
        <v>2.1593208699099353</v>
      </c>
      <c r="AY61" s="18">
        <f t="shared" si="32"/>
        <v>0.7552469961293321</v>
      </c>
      <c r="AZ61" s="56">
        <f t="shared" si="47"/>
        <v>3</v>
      </c>
      <c r="BB61" s="18">
        <f t="shared" si="33"/>
        <v>1.8704663292453805</v>
      </c>
      <c r="BC61" s="18">
        <f t="shared" si="33"/>
        <v>2.1593208699099353</v>
      </c>
      <c r="BD61" s="18">
        <f t="shared" si="33"/>
        <v>0.7552469961293321</v>
      </c>
      <c r="BE61" s="56">
        <f t="shared" si="48"/>
        <v>3</v>
      </c>
      <c r="BG61" s="18">
        <f t="shared" si="34"/>
        <v>1.8704663292453805</v>
      </c>
      <c r="BH61" s="18">
        <f t="shared" si="34"/>
        <v>2.1593208699099353</v>
      </c>
      <c r="BI61" s="18">
        <f t="shared" si="34"/>
        <v>0.7552469961293321</v>
      </c>
      <c r="BJ61" s="56">
        <f t="shared" si="49"/>
        <v>3</v>
      </c>
      <c r="BL61" s="18">
        <f t="shared" si="35"/>
        <v>1.8704663292453805</v>
      </c>
      <c r="BM61" s="18">
        <f t="shared" si="35"/>
        <v>2.1593208699099353</v>
      </c>
      <c r="BN61" s="18">
        <f t="shared" si="35"/>
        <v>0.7552469961293321</v>
      </c>
      <c r="BO61" s="56">
        <f t="shared" si="50"/>
        <v>3</v>
      </c>
      <c r="BQ61" s="18">
        <f t="shared" si="36"/>
        <v>1.8704663292453805</v>
      </c>
      <c r="BR61" s="18">
        <f t="shared" si="36"/>
        <v>2.1593208699099353</v>
      </c>
      <c r="BS61" s="18">
        <f t="shared" si="36"/>
        <v>0.7552469961293321</v>
      </c>
      <c r="BT61" s="56">
        <f t="shared" si="51"/>
        <v>3</v>
      </c>
      <c r="BV61" s="18">
        <f t="shared" si="37"/>
        <v>1.8704663292453805</v>
      </c>
      <c r="BW61" s="18">
        <f t="shared" si="37"/>
        <v>2.1593208699099353</v>
      </c>
      <c r="BX61" s="18">
        <f t="shared" si="37"/>
        <v>0.7552469961293321</v>
      </c>
      <c r="BY61" s="56">
        <f t="shared" si="52"/>
        <v>3</v>
      </c>
      <c r="CA61" s="18">
        <f t="shared" si="38"/>
        <v>1.8704663292453805</v>
      </c>
      <c r="CB61" s="18">
        <f t="shared" si="38"/>
        <v>2.1593208699099353</v>
      </c>
      <c r="CC61" s="18">
        <f t="shared" si="38"/>
        <v>0.7552469961293321</v>
      </c>
      <c r="CD61" s="56">
        <f t="shared" si="53"/>
        <v>3</v>
      </c>
    </row>
    <row r="62" spans="1:82" x14ac:dyDescent="0.25">
      <c r="A62" s="63">
        <f>Phase_Data!A44</f>
        <v>43926</v>
      </c>
      <c r="B62" s="18">
        <f>Phase_Data!K44</f>
        <v>-4.119884776231935E-2</v>
      </c>
      <c r="C62" s="18">
        <f>Phase_Data!L44</f>
        <v>-0.46619712515546841</v>
      </c>
      <c r="D62" s="18">
        <f>Phase_Data!M44</f>
        <v>0.19983348329858469</v>
      </c>
      <c r="E62" s="56">
        <f t="shared" si="39"/>
        <v>3</v>
      </c>
      <c r="F62" s="38">
        <f t="shared" si="40"/>
        <v>0.45040002043069732</v>
      </c>
      <c r="G62" s="13" t="str">
        <f t="shared" si="41"/>
        <v>Medium activity</v>
      </c>
      <c r="X62" s="18">
        <f t="shared" si="27"/>
        <v>2.3209832763948817</v>
      </c>
      <c r="Y62" s="18">
        <f t="shared" si="27"/>
        <v>2.7285011894313191</v>
      </c>
      <c r="Z62" s="18">
        <f t="shared" si="27"/>
        <v>2.0557734946172594</v>
      </c>
      <c r="AA62" s="56">
        <f t="shared" si="42"/>
        <v>3</v>
      </c>
      <c r="AC62" s="18">
        <f t="shared" si="28"/>
        <v>1.9310864667149361</v>
      </c>
      <c r="AD62" s="18">
        <f t="shared" si="28"/>
        <v>1.8467367291481112</v>
      </c>
      <c r="AE62" s="18">
        <f t="shared" si="28"/>
        <v>0.78461440809307592</v>
      </c>
      <c r="AF62" s="56">
        <f t="shared" si="43"/>
        <v>3</v>
      </c>
      <c r="AH62" s="18">
        <f t="shared" si="29"/>
        <v>2.0214678704426445</v>
      </c>
      <c r="AI62" s="18">
        <f t="shared" si="29"/>
        <v>2.0076051198722809</v>
      </c>
      <c r="AJ62" s="18">
        <f t="shared" si="29"/>
        <v>0.69854320104908429</v>
      </c>
      <c r="AK62" s="56">
        <f t="shared" si="44"/>
        <v>3</v>
      </c>
      <c r="AM62" s="18">
        <f t="shared" si="30"/>
        <v>2.065160055071654</v>
      </c>
      <c r="AN62" s="18">
        <f t="shared" si="30"/>
        <v>2.0424082531540706</v>
      </c>
      <c r="AO62" s="18">
        <f t="shared" si="30"/>
        <v>0.67111848464387969</v>
      </c>
      <c r="AP62" s="56">
        <f t="shared" si="45"/>
        <v>3</v>
      </c>
      <c r="AR62" s="18">
        <f t="shared" si="31"/>
        <v>2.065160055071654</v>
      </c>
      <c r="AS62" s="18">
        <f t="shared" si="31"/>
        <v>2.0424082531540706</v>
      </c>
      <c r="AT62" s="18">
        <f t="shared" si="31"/>
        <v>0.67111848464387969</v>
      </c>
      <c r="AU62" s="56">
        <f t="shared" si="46"/>
        <v>3</v>
      </c>
      <c r="AW62" s="18">
        <f t="shared" si="32"/>
        <v>2.065160055071654</v>
      </c>
      <c r="AX62" s="18">
        <f t="shared" si="32"/>
        <v>2.0424082531540706</v>
      </c>
      <c r="AY62" s="18">
        <f t="shared" si="32"/>
        <v>0.67111848464387969</v>
      </c>
      <c r="AZ62" s="56">
        <f t="shared" si="47"/>
        <v>3</v>
      </c>
      <c r="BB62" s="18">
        <f t="shared" si="33"/>
        <v>2.065160055071654</v>
      </c>
      <c r="BC62" s="18">
        <f t="shared" si="33"/>
        <v>2.0424082531540706</v>
      </c>
      <c r="BD62" s="18">
        <f t="shared" si="33"/>
        <v>0.67111848464387969</v>
      </c>
      <c r="BE62" s="56">
        <f t="shared" si="48"/>
        <v>3</v>
      </c>
      <c r="BG62" s="18">
        <f t="shared" si="34"/>
        <v>2.065160055071654</v>
      </c>
      <c r="BH62" s="18">
        <f t="shared" si="34"/>
        <v>2.0424082531540706</v>
      </c>
      <c r="BI62" s="18">
        <f t="shared" si="34"/>
        <v>0.67111848464387969</v>
      </c>
      <c r="BJ62" s="56">
        <f t="shared" si="49"/>
        <v>3</v>
      </c>
      <c r="BL62" s="18">
        <f t="shared" si="35"/>
        <v>2.065160055071654</v>
      </c>
      <c r="BM62" s="18">
        <f t="shared" si="35"/>
        <v>2.0424082531540706</v>
      </c>
      <c r="BN62" s="18">
        <f t="shared" si="35"/>
        <v>0.67111848464387969</v>
      </c>
      <c r="BO62" s="56">
        <f t="shared" si="50"/>
        <v>3</v>
      </c>
      <c r="BQ62" s="18">
        <f t="shared" si="36"/>
        <v>2.065160055071654</v>
      </c>
      <c r="BR62" s="18">
        <f t="shared" si="36"/>
        <v>2.0424082531540706</v>
      </c>
      <c r="BS62" s="18">
        <f t="shared" si="36"/>
        <v>0.67111848464387969</v>
      </c>
      <c r="BT62" s="56">
        <f t="shared" si="51"/>
        <v>3</v>
      </c>
      <c r="BV62" s="18">
        <f t="shared" si="37"/>
        <v>2.065160055071654</v>
      </c>
      <c r="BW62" s="18">
        <f t="shared" si="37"/>
        <v>2.0424082531540706</v>
      </c>
      <c r="BX62" s="18">
        <f t="shared" si="37"/>
        <v>0.67111848464387969</v>
      </c>
      <c r="BY62" s="56">
        <f t="shared" si="52"/>
        <v>3</v>
      </c>
      <c r="CA62" s="18">
        <f t="shared" si="38"/>
        <v>2.065160055071654</v>
      </c>
      <c r="CB62" s="18">
        <f t="shared" si="38"/>
        <v>2.0424082531540706</v>
      </c>
      <c r="CC62" s="18">
        <f t="shared" si="38"/>
        <v>0.67111848464387969</v>
      </c>
      <c r="CD62" s="56">
        <f t="shared" si="53"/>
        <v>3</v>
      </c>
    </row>
    <row r="63" spans="1:82" x14ac:dyDescent="0.25">
      <c r="A63" s="63">
        <f>Phase_Data!A45</f>
        <v>43927</v>
      </c>
      <c r="B63" s="18">
        <f>Phase_Data!K45</f>
        <v>8.7772337096212849E-2</v>
      </c>
      <c r="C63" s="18">
        <f>Phase_Data!L45</f>
        <v>-0.19088442142113579</v>
      </c>
      <c r="D63" s="18">
        <f>Phase_Data!M45</f>
        <v>0.7177026993962764</v>
      </c>
      <c r="E63" s="56">
        <f t="shared" si="39"/>
        <v>3</v>
      </c>
      <c r="F63" s="38">
        <f t="shared" si="40"/>
        <v>0.66498233740259116</v>
      </c>
      <c r="G63" s="13" t="str">
        <f t="shared" si="41"/>
        <v>Medium activity</v>
      </c>
      <c r="X63" s="18">
        <f t="shared" ref="X63:Z82" si="54">SQRT(($B63-X$16)^2+($C63-X$17)^2+($D63-X$18)^2)</f>
        <v>2.8616419395756436</v>
      </c>
      <c r="Y63" s="18">
        <f t="shared" si="54"/>
        <v>2.217256530714772</v>
      </c>
      <c r="Z63" s="18">
        <f t="shared" si="54"/>
        <v>2.2914427378769817</v>
      </c>
      <c r="AA63" s="56">
        <f t="shared" si="42"/>
        <v>2</v>
      </c>
      <c r="AC63" s="18">
        <f t="shared" ref="AC63:AE82" si="55">SQRT(($B63-AC$16)^2+($C63-AC$17)^2+($D63-AC$18)^2)</f>
        <v>2.4877219382033227</v>
      </c>
      <c r="AD63" s="18">
        <f t="shared" si="55"/>
        <v>1.3709318900482568</v>
      </c>
      <c r="AE63" s="18">
        <f t="shared" si="55"/>
        <v>0.94027997638046967</v>
      </c>
      <c r="AF63" s="56">
        <f t="shared" si="43"/>
        <v>3</v>
      </c>
      <c r="AH63" s="18">
        <f t="shared" ref="AH63:AJ82" si="56">SQRT(($B63-AH$16)^2+($C63-AH$17)^2+($D63-AH$18)^2)</f>
        <v>2.5758236602442608</v>
      </c>
      <c r="AI63" s="18">
        <f t="shared" si="56"/>
        <v>1.5309332446239814</v>
      </c>
      <c r="AJ63" s="18">
        <f t="shared" si="56"/>
        <v>0.83417202354303188</v>
      </c>
      <c r="AK63" s="56">
        <f t="shared" si="44"/>
        <v>3</v>
      </c>
      <c r="AM63" s="18">
        <f t="shared" ref="AM63:AO82" si="57">SQRT(($B63-AM$16)^2+($C63-AM$17)^2+($D63-AM$18)^2)</f>
        <v>2.6176450279575065</v>
      </c>
      <c r="AN63" s="18">
        <f t="shared" si="57"/>
        <v>1.5666367996052972</v>
      </c>
      <c r="AO63" s="18">
        <f t="shared" si="57"/>
        <v>0.8154644918097852</v>
      </c>
      <c r="AP63" s="56">
        <f t="shared" si="45"/>
        <v>3</v>
      </c>
      <c r="AR63" s="18">
        <f t="shared" ref="AR63:AT82" si="58">SQRT(($B63-AR$16)^2+($C63-AR$17)^2+($D63-AR$18)^2)</f>
        <v>2.6176450279575065</v>
      </c>
      <c r="AS63" s="18">
        <f t="shared" si="58"/>
        <v>1.5666367996052972</v>
      </c>
      <c r="AT63" s="18">
        <f t="shared" si="58"/>
        <v>0.8154644918097852</v>
      </c>
      <c r="AU63" s="56">
        <f t="shared" si="46"/>
        <v>3</v>
      </c>
      <c r="AW63" s="18">
        <f t="shared" ref="AW63:AY82" si="59">SQRT(($B63-AW$16)^2+($C63-AW$17)^2+($D63-AW$18)^2)</f>
        <v>2.6176450279575065</v>
      </c>
      <c r="AX63" s="18">
        <f t="shared" si="59"/>
        <v>1.5666367996052972</v>
      </c>
      <c r="AY63" s="18">
        <f t="shared" si="59"/>
        <v>0.8154644918097852</v>
      </c>
      <c r="AZ63" s="56">
        <f t="shared" si="47"/>
        <v>3</v>
      </c>
      <c r="BB63" s="18">
        <f t="shared" ref="BB63:BD82" si="60">SQRT(($B63-BB$16)^2+($C63-BB$17)^2+($D63-BB$18)^2)</f>
        <v>2.6176450279575065</v>
      </c>
      <c r="BC63" s="18">
        <f t="shared" si="60"/>
        <v>1.5666367996052972</v>
      </c>
      <c r="BD63" s="18">
        <f t="shared" si="60"/>
        <v>0.8154644918097852</v>
      </c>
      <c r="BE63" s="56">
        <f t="shared" si="48"/>
        <v>3</v>
      </c>
      <c r="BG63" s="18">
        <f t="shared" ref="BG63:BI82" si="61">SQRT(($B63-BG$16)^2+($C63-BG$17)^2+($D63-BG$18)^2)</f>
        <v>2.6176450279575065</v>
      </c>
      <c r="BH63" s="18">
        <f t="shared" si="61"/>
        <v>1.5666367996052972</v>
      </c>
      <c r="BI63" s="18">
        <f t="shared" si="61"/>
        <v>0.8154644918097852</v>
      </c>
      <c r="BJ63" s="56">
        <f t="shared" si="49"/>
        <v>3</v>
      </c>
      <c r="BL63" s="18">
        <f t="shared" ref="BL63:BN82" si="62">SQRT(($B63-BL$16)^2+($C63-BL$17)^2+($D63-BL$18)^2)</f>
        <v>2.6176450279575065</v>
      </c>
      <c r="BM63" s="18">
        <f t="shared" si="62"/>
        <v>1.5666367996052972</v>
      </c>
      <c r="BN63" s="18">
        <f t="shared" si="62"/>
        <v>0.8154644918097852</v>
      </c>
      <c r="BO63" s="56">
        <f t="shared" si="50"/>
        <v>3</v>
      </c>
      <c r="BQ63" s="18">
        <f t="shared" ref="BQ63:BS82" si="63">SQRT(($B63-BQ$16)^2+($C63-BQ$17)^2+($D63-BQ$18)^2)</f>
        <v>2.6176450279575065</v>
      </c>
      <c r="BR63" s="18">
        <f t="shared" si="63"/>
        <v>1.5666367996052972</v>
      </c>
      <c r="BS63" s="18">
        <f t="shared" si="63"/>
        <v>0.8154644918097852</v>
      </c>
      <c r="BT63" s="56">
        <f t="shared" si="51"/>
        <v>3</v>
      </c>
      <c r="BV63" s="18">
        <f t="shared" ref="BV63:BX82" si="64">SQRT(($B63-BV$16)^2+($C63-BV$17)^2+($D63-BV$18)^2)</f>
        <v>2.6176450279575065</v>
      </c>
      <c r="BW63" s="18">
        <f t="shared" si="64"/>
        <v>1.5666367996052972</v>
      </c>
      <c r="BX63" s="18">
        <f t="shared" si="64"/>
        <v>0.8154644918097852</v>
      </c>
      <c r="BY63" s="56">
        <f t="shared" si="52"/>
        <v>3</v>
      </c>
      <c r="CA63" s="18">
        <f t="shared" ref="CA63:CC82" si="65">SQRT(($B63-CA$16)^2+($C63-CA$17)^2+($D63-CA$18)^2)</f>
        <v>2.6176450279575065</v>
      </c>
      <c r="CB63" s="18">
        <f t="shared" si="65"/>
        <v>1.5666367996052972</v>
      </c>
      <c r="CC63" s="18">
        <f t="shared" si="65"/>
        <v>0.8154644918097852</v>
      </c>
      <c r="CD63" s="56">
        <f t="shared" si="53"/>
        <v>3</v>
      </c>
    </row>
    <row r="64" spans="1:82" x14ac:dyDescent="0.25">
      <c r="A64" s="63">
        <f>Phase_Data!A46</f>
        <v>43928</v>
      </c>
      <c r="B64" s="18">
        <f>Phase_Data!K46</f>
        <v>-0.24740242761888509</v>
      </c>
      <c r="C64" s="18">
        <f>Phase_Data!L46</f>
        <v>-0.46619712515546841</v>
      </c>
      <c r="D64" s="18">
        <f>Phase_Data!M46</f>
        <v>0.42761429993966443</v>
      </c>
      <c r="E64" s="56">
        <f t="shared" si="39"/>
        <v>3</v>
      </c>
      <c r="F64" s="38">
        <f t="shared" si="40"/>
        <v>0.77423628643504516</v>
      </c>
      <c r="G64" s="13" t="str">
        <f t="shared" si="41"/>
        <v>Medium activity</v>
      </c>
      <c r="X64" s="18">
        <f t="shared" si="54"/>
        <v>2.3508906273343881</v>
      </c>
      <c r="Y64" s="18">
        <f t="shared" si="54"/>
        <v>2.7205672628112567</v>
      </c>
      <c r="Z64" s="18">
        <f t="shared" si="54"/>
        <v>2.2986425738188792</v>
      </c>
      <c r="AA64" s="56">
        <f t="shared" si="42"/>
        <v>3</v>
      </c>
      <c r="AC64" s="18">
        <f t="shared" si="55"/>
        <v>1.9846436870522359</v>
      </c>
      <c r="AD64" s="18">
        <f t="shared" si="55"/>
        <v>1.8556483769490479</v>
      </c>
      <c r="AE64" s="18">
        <f t="shared" si="55"/>
        <v>1.0008049716228768</v>
      </c>
      <c r="AF64" s="56">
        <f t="shared" si="43"/>
        <v>3</v>
      </c>
      <c r="AH64" s="18">
        <f t="shared" si="56"/>
        <v>2.0714874815370972</v>
      </c>
      <c r="AI64" s="18">
        <f t="shared" si="56"/>
        <v>2.0173870764053965</v>
      </c>
      <c r="AJ64" s="18">
        <f t="shared" si="56"/>
        <v>0.90459758085011632</v>
      </c>
      <c r="AK64" s="56">
        <f t="shared" si="44"/>
        <v>3</v>
      </c>
      <c r="AM64" s="18">
        <f t="shared" si="57"/>
        <v>2.1124916534757334</v>
      </c>
      <c r="AN64" s="18">
        <f t="shared" si="57"/>
        <v>2.0523950758684255</v>
      </c>
      <c r="AO64" s="18">
        <f t="shared" si="57"/>
        <v>0.87990697601226298</v>
      </c>
      <c r="AP64" s="56">
        <f t="shared" si="45"/>
        <v>3</v>
      </c>
      <c r="AR64" s="18">
        <f t="shared" si="58"/>
        <v>2.1124916534757334</v>
      </c>
      <c r="AS64" s="18">
        <f t="shared" si="58"/>
        <v>2.0523950758684255</v>
      </c>
      <c r="AT64" s="18">
        <f t="shared" si="58"/>
        <v>0.87990697601226298</v>
      </c>
      <c r="AU64" s="56">
        <f t="shared" si="46"/>
        <v>3</v>
      </c>
      <c r="AW64" s="18">
        <f t="shared" si="59"/>
        <v>2.1124916534757334</v>
      </c>
      <c r="AX64" s="18">
        <f t="shared" si="59"/>
        <v>2.0523950758684255</v>
      </c>
      <c r="AY64" s="18">
        <f t="shared" si="59"/>
        <v>0.87990697601226298</v>
      </c>
      <c r="AZ64" s="56">
        <f t="shared" si="47"/>
        <v>3</v>
      </c>
      <c r="BB64" s="18">
        <f t="shared" si="60"/>
        <v>2.1124916534757334</v>
      </c>
      <c r="BC64" s="18">
        <f t="shared" si="60"/>
        <v>2.0523950758684255</v>
      </c>
      <c r="BD64" s="18">
        <f t="shared" si="60"/>
        <v>0.87990697601226298</v>
      </c>
      <c r="BE64" s="56">
        <f t="shared" si="48"/>
        <v>3</v>
      </c>
      <c r="BG64" s="18">
        <f t="shared" si="61"/>
        <v>2.1124916534757334</v>
      </c>
      <c r="BH64" s="18">
        <f t="shared" si="61"/>
        <v>2.0523950758684255</v>
      </c>
      <c r="BI64" s="18">
        <f t="shared" si="61"/>
        <v>0.87990697601226298</v>
      </c>
      <c r="BJ64" s="56">
        <f t="shared" si="49"/>
        <v>3</v>
      </c>
      <c r="BL64" s="18">
        <f t="shared" si="62"/>
        <v>2.1124916534757334</v>
      </c>
      <c r="BM64" s="18">
        <f t="shared" si="62"/>
        <v>2.0523950758684255</v>
      </c>
      <c r="BN64" s="18">
        <f t="shared" si="62"/>
        <v>0.87990697601226298</v>
      </c>
      <c r="BO64" s="56">
        <f t="shared" si="50"/>
        <v>3</v>
      </c>
      <c r="BQ64" s="18">
        <f t="shared" si="63"/>
        <v>2.1124916534757334</v>
      </c>
      <c r="BR64" s="18">
        <f t="shared" si="63"/>
        <v>2.0523950758684255</v>
      </c>
      <c r="BS64" s="18">
        <f t="shared" si="63"/>
        <v>0.87990697601226298</v>
      </c>
      <c r="BT64" s="56">
        <f t="shared" si="51"/>
        <v>3</v>
      </c>
      <c r="BV64" s="18">
        <f t="shared" si="64"/>
        <v>2.1124916534757334</v>
      </c>
      <c r="BW64" s="18">
        <f t="shared" si="64"/>
        <v>2.0523950758684255</v>
      </c>
      <c r="BX64" s="18">
        <f t="shared" si="64"/>
        <v>0.87990697601226298</v>
      </c>
      <c r="BY64" s="56">
        <f t="shared" si="52"/>
        <v>3</v>
      </c>
      <c r="CA64" s="18">
        <f t="shared" si="65"/>
        <v>2.1124916534757334</v>
      </c>
      <c r="CB64" s="18">
        <f t="shared" si="65"/>
        <v>2.0523950758684255</v>
      </c>
      <c r="CC64" s="18">
        <f t="shared" si="65"/>
        <v>0.87990697601226298</v>
      </c>
      <c r="CD64" s="56">
        <f t="shared" si="53"/>
        <v>3</v>
      </c>
    </row>
    <row r="65" spans="1:82" x14ac:dyDescent="0.25">
      <c r="A65" s="63">
        <f>Phase_Data!A47</f>
        <v>43929</v>
      </c>
      <c r="B65" s="18">
        <f>Phase_Data!K47</f>
        <v>0.20820614878082908</v>
      </c>
      <c r="C65" s="18">
        <f>Phase_Data!L47</f>
        <v>4.453050530870948E-3</v>
      </c>
      <c r="D65" s="18">
        <f>Phase_Data!M47</f>
        <v>0.54669466183817894</v>
      </c>
      <c r="E65" s="56">
        <f t="shared" si="39"/>
        <v>3</v>
      </c>
      <c r="F65" s="38">
        <f t="shared" si="40"/>
        <v>0.3409639599784629</v>
      </c>
      <c r="G65" s="13" t="str">
        <f t="shared" si="41"/>
        <v>Medium activity</v>
      </c>
      <c r="X65" s="18">
        <f t="shared" si="54"/>
        <v>2.9088588257570991</v>
      </c>
      <c r="Y65" s="18">
        <f t="shared" si="54"/>
        <v>2.0953079002659658</v>
      </c>
      <c r="Z65" s="18">
        <f t="shared" si="54"/>
        <v>2.0330376827248906</v>
      </c>
      <c r="AA65" s="56">
        <f t="shared" si="42"/>
        <v>3</v>
      </c>
      <c r="AC65" s="18">
        <f t="shared" si="55"/>
        <v>2.5243427528852371</v>
      </c>
      <c r="AD65" s="18">
        <f t="shared" si="55"/>
        <v>1.2150303741438717</v>
      </c>
      <c r="AE65" s="18">
        <f t="shared" si="55"/>
        <v>0.69895859141598837</v>
      </c>
      <c r="AF65" s="56">
        <f t="shared" si="43"/>
        <v>3</v>
      </c>
      <c r="AH65" s="18">
        <f t="shared" si="56"/>
        <v>2.6133534422679339</v>
      </c>
      <c r="AI65" s="18">
        <f t="shared" si="56"/>
        <v>1.3765147780060607</v>
      </c>
      <c r="AJ65" s="18">
        <f t="shared" si="56"/>
        <v>0.59755265866185026</v>
      </c>
      <c r="AK65" s="56">
        <f t="shared" si="44"/>
        <v>3</v>
      </c>
      <c r="AM65" s="18">
        <f t="shared" si="57"/>
        <v>2.6559687739247706</v>
      </c>
      <c r="AN65" s="18">
        <f t="shared" si="57"/>
        <v>1.4115477341059441</v>
      </c>
      <c r="AO65" s="18">
        <f t="shared" si="57"/>
        <v>0.58392119329449155</v>
      </c>
      <c r="AP65" s="56">
        <f t="shared" si="45"/>
        <v>3</v>
      </c>
      <c r="AR65" s="18">
        <f t="shared" si="58"/>
        <v>2.6559687739247706</v>
      </c>
      <c r="AS65" s="18">
        <f t="shared" si="58"/>
        <v>1.4115477341059441</v>
      </c>
      <c r="AT65" s="18">
        <f t="shared" si="58"/>
        <v>0.58392119329449155</v>
      </c>
      <c r="AU65" s="56">
        <f t="shared" si="46"/>
        <v>3</v>
      </c>
      <c r="AW65" s="18">
        <f t="shared" si="59"/>
        <v>2.6559687739247706</v>
      </c>
      <c r="AX65" s="18">
        <f t="shared" si="59"/>
        <v>1.4115477341059441</v>
      </c>
      <c r="AY65" s="18">
        <f t="shared" si="59"/>
        <v>0.58392119329449155</v>
      </c>
      <c r="AZ65" s="56">
        <f t="shared" si="47"/>
        <v>3</v>
      </c>
      <c r="BB65" s="18">
        <f t="shared" si="60"/>
        <v>2.6559687739247706</v>
      </c>
      <c r="BC65" s="18">
        <f t="shared" si="60"/>
        <v>1.4115477341059441</v>
      </c>
      <c r="BD65" s="18">
        <f t="shared" si="60"/>
        <v>0.58392119329449155</v>
      </c>
      <c r="BE65" s="56">
        <f t="shared" si="48"/>
        <v>3</v>
      </c>
      <c r="BG65" s="18">
        <f t="shared" si="61"/>
        <v>2.6559687739247706</v>
      </c>
      <c r="BH65" s="18">
        <f t="shared" si="61"/>
        <v>1.4115477341059441</v>
      </c>
      <c r="BI65" s="18">
        <f t="shared" si="61"/>
        <v>0.58392119329449155</v>
      </c>
      <c r="BJ65" s="56">
        <f t="shared" si="49"/>
        <v>3</v>
      </c>
      <c r="BL65" s="18">
        <f t="shared" si="62"/>
        <v>2.6559687739247706</v>
      </c>
      <c r="BM65" s="18">
        <f t="shared" si="62"/>
        <v>1.4115477341059441</v>
      </c>
      <c r="BN65" s="18">
        <f t="shared" si="62"/>
        <v>0.58392119329449155</v>
      </c>
      <c r="BO65" s="56">
        <f t="shared" si="50"/>
        <v>3</v>
      </c>
      <c r="BQ65" s="18">
        <f t="shared" si="63"/>
        <v>2.6559687739247706</v>
      </c>
      <c r="BR65" s="18">
        <f t="shared" si="63"/>
        <v>1.4115477341059441</v>
      </c>
      <c r="BS65" s="18">
        <f t="shared" si="63"/>
        <v>0.58392119329449155</v>
      </c>
      <c r="BT65" s="56">
        <f t="shared" si="51"/>
        <v>3</v>
      </c>
      <c r="BV65" s="18">
        <f t="shared" si="64"/>
        <v>2.6559687739247706</v>
      </c>
      <c r="BW65" s="18">
        <f t="shared" si="64"/>
        <v>1.4115477341059441</v>
      </c>
      <c r="BX65" s="18">
        <f t="shared" si="64"/>
        <v>0.58392119329449155</v>
      </c>
      <c r="BY65" s="56">
        <f t="shared" si="52"/>
        <v>3</v>
      </c>
      <c r="CA65" s="18">
        <f t="shared" si="65"/>
        <v>2.6559687739247706</v>
      </c>
      <c r="CB65" s="18">
        <f t="shared" si="65"/>
        <v>1.4115477341059441</v>
      </c>
      <c r="CC65" s="18">
        <f t="shared" si="65"/>
        <v>0.58392119329449155</v>
      </c>
      <c r="CD65" s="56">
        <f t="shared" si="53"/>
        <v>3</v>
      </c>
    </row>
    <row r="66" spans="1:82" x14ac:dyDescent="0.25">
      <c r="A66" s="63">
        <f>Phase_Data!A48</f>
        <v>43930</v>
      </c>
      <c r="B66" s="18">
        <f>Phase_Data!K48</f>
        <v>0.58804599337543684</v>
      </c>
      <c r="C66" s="18">
        <f>Phase_Data!L48</f>
        <v>-0.31468161073836282</v>
      </c>
      <c r="D66" s="18">
        <f>Phase_Data!M48</f>
        <v>0.55009502630101414</v>
      </c>
      <c r="E66" s="56">
        <f t="shared" si="39"/>
        <v>3</v>
      </c>
      <c r="F66" s="38">
        <f t="shared" si="40"/>
        <v>0.60232777076298949</v>
      </c>
      <c r="G66" s="13" t="str">
        <f t="shared" si="41"/>
        <v>Medium activity</v>
      </c>
      <c r="X66" s="18">
        <f t="shared" si="54"/>
        <v>3.0273365166019568</v>
      </c>
      <c r="Y66" s="18">
        <f t="shared" si="54"/>
        <v>2.1912389816968827</v>
      </c>
      <c r="Z66" s="18">
        <f t="shared" si="54"/>
        <v>2.1309320048195159</v>
      </c>
      <c r="AA66" s="56">
        <f t="shared" si="42"/>
        <v>3</v>
      </c>
      <c r="AC66" s="18">
        <f t="shared" si="55"/>
        <v>2.6283888241798334</v>
      </c>
      <c r="AD66" s="18">
        <f t="shared" si="55"/>
        <v>1.3722537692727654</v>
      </c>
      <c r="AE66" s="18">
        <f t="shared" si="55"/>
        <v>0.87468815803324007</v>
      </c>
      <c r="AF66" s="56">
        <f t="shared" si="43"/>
        <v>3</v>
      </c>
      <c r="AH66" s="18">
        <f t="shared" si="56"/>
        <v>2.7200794412699891</v>
      </c>
      <c r="AI66" s="18">
        <f t="shared" si="56"/>
        <v>1.5204736796111076</v>
      </c>
      <c r="AJ66" s="18">
        <f t="shared" si="56"/>
        <v>0.79425878156446861</v>
      </c>
      <c r="AK66" s="56">
        <f t="shared" si="44"/>
        <v>3</v>
      </c>
      <c r="AM66" s="18">
        <f t="shared" si="57"/>
        <v>2.7651255972255622</v>
      </c>
      <c r="AN66" s="18">
        <f t="shared" si="57"/>
        <v>1.5556582020198499</v>
      </c>
      <c r="AO66" s="18">
        <f t="shared" si="57"/>
        <v>0.77609778427913934</v>
      </c>
      <c r="AP66" s="56">
        <f t="shared" si="45"/>
        <v>3</v>
      </c>
      <c r="AR66" s="18">
        <f t="shared" si="58"/>
        <v>2.7651255972255622</v>
      </c>
      <c r="AS66" s="18">
        <f t="shared" si="58"/>
        <v>1.5556582020198499</v>
      </c>
      <c r="AT66" s="18">
        <f t="shared" si="58"/>
        <v>0.77609778427913934</v>
      </c>
      <c r="AU66" s="56">
        <f t="shared" si="46"/>
        <v>3</v>
      </c>
      <c r="AW66" s="18">
        <f t="shared" si="59"/>
        <v>2.7651255972255622</v>
      </c>
      <c r="AX66" s="18">
        <f t="shared" si="59"/>
        <v>1.5556582020198499</v>
      </c>
      <c r="AY66" s="18">
        <f t="shared" si="59"/>
        <v>0.77609778427913934</v>
      </c>
      <c r="AZ66" s="56">
        <f t="shared" si="47"/>
        <v>3</v>
      </c>
      <c r="BB66" s="18">
        <f t="shared" si="60"/>
        <v>2.7651255972255622</v>
      </c>
      <c r="BC66" s="18">
        <f t="shared" si="60"/>
        <v>1.5556582020198499</v>
      </c>
      <c r="BD66" s="18">
        <f t="shared" si="60"/>
        <v>0.77609778427913934</v>
      </c>
      <c r="BE66" s="56">
        <f t="shared" si="48"/>
        <v>3</v>
      </c>
      <c r="BG66" s="18">
        <f t="shared" si="61"/>
        <v>2.7651255972255622</v>
      </c>
      <c r="BH66" s="18">
        <f t="shared" si="61"/>
        <v>1.5556582020198499</v>
      </c>
      <c r="BI66" s="18">
        <f t="shared" si="61"/>
        <v>0.77609778427913934</v>
      </c>
      <c r="BJ66" s="56">
        <f t="shared" si="49"/>
        <v>3</v>
      </c>
      <c r="BL66" s="18">
        <f t="shared" si="62"/>
        <v>2.7651255972255622</v>
      </c>
      <c r="BM66" s="18">
        <f t="shared" si="62"/>
        <v>1.5556582020198499</v>
      </c>
      <c r="BN66" s="18">
        <f t="shared" si="62"/>
        <v>0.77609778427913934</v>
      </c>
      <c r="BO66" s="56">
        <f t="shared" si="50"/>
        <v>3</v>
      </c>
      <c r="BQ66" s="18">
        <f t="shared" si="63"/>
        <v>2.7651255972255622</v>
      </c>
      <c r="BR66" s="18">
        <f t="shared" si="63"/>
        <v>1.5556582020198499</v>
      </c>
      <c r="BS66" s="18">
        <f t="shared" si="63"/>
        <v>0.77609778427913934</v>
      </c>
      <c r="BT66" s="56">
        <f t="shared" si="51"/>
        <v>3</v>
      </c>
      <c r="BV66" s="18">
        <f t="shared" si="64"/>
        <v>2.7651255972255622</v>
      </c>
      <c r="BW66" s="18">
        <f t="shared" si="64"/>
        <v>1.5556582020198499</v>
      </c>
      <c r="BX66" s="18">
        <f t="shared" si="64"/>
        <v>0.77609778427913934</v>
      </c>
      <c r="BY66" s="56">
        <f t="shared" si="52"/>
        <v>3</v>
      </c>
      <c r="CA66" s="18">
        <f t="shared" si="65"/>
        <v>2.7651255972255622</v>
      </c>
      <c r="CB66" s="18">
        <f t="shared" si="65"/>
        <v>1.5556582020198499</v>
      </c>
      <c r="CC66" s="18">
        <f t="shared" si="65"/>
        <v>0.77609778427913934</v>
      </c>
      <c r="CD66" s="56">
        <f t="shared" si="53"/>
        <v>3</v>
      </c>
    </row>
    <row r="67" spans="1:82" x14ac:dyDescent="0.25">
      <c r="A67" s="63">
        <f>Phase_Data!A49</f>
        <v>43931</v>
      </c>
      <c r="B67" s="18">
        <f>Phase_Data!K49</f>
        <v>-9.8004917776849748E-2</v>
      </c>
      <c r="C67" s="18">
        <f>Phase_Data!L49</f>
        <v>-0.31468161073836282</v>
      </c>
      <c r="D67" s="18">
        <f>Phase_Data!M49</f>
        <v>0.26171594446895419</v>
      </c>
      <c r="E67" s="56">
        <f t="shared" si="39"/>
        <v>3</v>
      </c>
      <c r="F67" s="38">
        <f t="shared" si="40"/>
        <v>0.37563215779404896</v>
      </c>
      <c r="G67" s="13" t="str">
        <f t="shared" si="41"/>
        <v>Medium activity</v>
      </c>
      <c r="X67" s="18">
        <f t="shared" si="54"/>
        <v>2.3900083886172157</v>
      </c>
      <c r="Y67" s="18">
        <f t="shared" si="54"/>
        <v>2.6173257188346102</v>
      </c>
      <c r="Z67" s="18">
        <f t="shared" si="54"/>
        <v>2.0351697226338015</v>
      </c>
      <c r="AA67" s="56">
        <f t="shared" si="42"/>
        <v>3</v>
      </c>
      <c r="AC67" s="18">
        <f t="shared" si="55"/>
        <v>2.0067499708163452</v>
      </c>
      <c r="AD67" s="18">
        <f t="shared" si="55"/>
        <v>1.7318410053299711</v>
      </c>
      <c r="AE67" s="18">
        <f t="shared" si="55"/>
        <v>0.73234447734469021</v>
      </c>
      <c r="AF67" s="56">
        <f t="shared" si="43"/>
        <v>3</v>
      </c>
      <c r="AH67" s="18">
        <f t="shared" si="56"/>
        <v>2.0957826238698112</v>
      </c>
      <c r="AI67" s="18">
        <f t="shared" si="56"/>
        <v>1.8933378650383261</v>
      </c>
      <c r="AJ67" s="18">
        <f t="shared" si="56"/>
        <v>0.6379626342581316</v>
      </c>
      <c r="AK67" s="56">
        <f t="shared" si="44"/>
        <v>3</v>
      </c>
      <c r="AM67" s="18">
        <f t="shared" si="57"/>
        <v>2.1383772685548799</v>
      </c>
      <c r="AN67" s="18">
        <f t="shared" si="57"/>
        <v>1.9277629111512364</v>
      </c>
      <c r="AO67" s="18">
        <f t="shared" si="57"/>
        <v>0.61288837302893007</v>
      </c>
      <c r="AP67" s="56">
        <f t="shared" si="45"/>
        <v>3</v>
      </c>
      <c r="AR67" s="18">
        <f t="shared" si="58"/>
        <v>2.1383772685548799</v>
      </c>
      <c r="AS67" s="18">
        <f t="shared" si="58"/>
        <v>1.9277629111512364</v>
      </c>
      <c r="AT67" s="18">
        <f t="shared" si="58"/>
        <v>0.61288837302893007</v>
      </c>
      <c r="AU67" s="56">
        <f t="shared" si="46"/>
        <v>3</v>
      </c>
      <c r="AW67" s="18">
        <f t="shared" si="59"/>
        <v>2.1383772685548799</v>
      </c>
      <c r="AX67" s="18">
        <f t="shared" si="59"/>
        <v>1.9277629111512364</v>
      </c>
      <c r="AY67" s="18">
        <f t="shared" si="59"/>
        <v>0.61288837302893007</v>
      </c>
      <c r="AZ67" s="56">
        <f t="shared" si="47"/>
        <v>3</v>
      </c>
      <c r="BB67" s="18">
        <f t="shared" si="60"/>
        <v>2.1383772685548799</v>
      </c>
      <c r="BC67" s="18">
        <f t="shared" si="60"/>
        <v>1.9277629111512364</v>
      </c>
      <c r="BD67" s="18">
        <f t="shared" si="60"/>
        <v>0.61288837302893007</v>
      </c>
      <c r="BE67" s="56">
        <f t="shared" si="48"/>
        <v>3</v>
      </c>
      <c r="BG67" s="18">
        <f t="shared" si="61"/>
        <v>2.1383772685548799</v>
      </c>
      <c r="BH67" s="18">
        <f t="shared" si="61"/>
        <v>1.9277629111512364</v>
      </c>
      <c r="BI67" s="18">
        <f t="shared" si="61"/>
        <v>0.61288837302893007</v>
      </c>
      <c r="BJ67" s="56">
        <f t="shared" si="49"/>
        <v>3</v>
      </c>
      <c r="BL67" s="18">
        <f t="shared" si="62"/>
        <v>2.1383772685548799</v>
      </c>
      <c r="BM67" s="18">
        <f t="shared" si="62"/>
        <v>1.9277629111512364</v>
      </c>
      <c r="BN67" s="18">
        <f t="shared" si="62"/>
        <v>0.61288837302893007</v>
      </c>
      <c r="BO67" s="56">
        <f t="shared" si="50"/>
        <v>3</v>
      </c>
      <c r="BQ67" s="18">
        <f t="shared" si="63"/>
        <v>2.1383772685548799</v>
      </c>
      <c r="BR67" s="18">
        <f t="shared" si="63"/>
        <v>1.9277629111512364</v>
      </c>
      <c r="BS67" s="18">
        <f t="shared" si="63"/>
        <v>0.61288837302893007</v>
      </c>
      <c r="BT67" s="56">
        <f t="shared" si="51"/>
        <v>3</v>
      </c>
      <c r="BV67" s="18">
        <f t="shared" si="64"/>
        <v>2.1383772685548799</v>
      </c>
      <c r="BW67" s="18">
        <f t="shared" si="64"/>
        <v>1.9277629111512364</v>
      </c>
      <c r="BX67" s="18">
        <f t="shared" si="64"/>
        <v>0.61288837302893007</v>
      </c>
      <c r="BY67" s="56">
        <f t="shared" si="52"/>
        <v>3</v>
      </c>
      <c r="CA67" s="18">
        <f t="shared" si="65"/>
        <v>2.1383772685548799</v>
      </c>
      <c r="CB67" s="18">
        <f t="shared" si="65"/>
        <v>1.9277629111512364</v>
      </c>
      <c r="CC67" s="18">
        <f t="shared" si="65"/>
        <v>0.61288837302893007</v>
      </c>
      <c r="CD67" s="56">
        <f t="shared" si="53"/>
        <v>3</v>
      </c>
    </row>
    <row r="68" spans="1:82" x14ac:dyDescent="0.25">
      <c r="A68" s="63">
        <f>Phase_Data!A50</f>
        <v>43932</v>
      </c>
      <c r="B68" s="18">
        <f>Phase_Data!K50</f>
        <v>0.15790878707633499</v>
      </c>
      <c r="C68" s="18">
        <f>Phase_Data!L50</f>
        <v>0.47510322621721046</v>
      </c>
      <c r="D68" s="18">
        <f>Phase_Data!M50</f>
        <v>0.12609784112963771</v>
      </c>
      <c r="E68" s="56">
        <f t="shared" si="39"/>
        <v>3</v>
      </c>
      <c r="F68" s="38">
        <f t="shared" si="40"/>
        <v>0.18569172666321146</v>
      </c>
      <c r="G68" s="13" t="str">
        <f t="shared" si="41"/>
        <v>Medium activity</v>
      </c>
      <c r="X68" s="18">
        <f t="shared" si="54"/>
        <v>2.9117863526996812</v>
      </c>
      <c r="Y68" s="18">
        <f t="shared" si="54"/>
        <v>2.1043288751685743</v>
      </c>
      <c r="Z68" s="18">
        <f t="shared" si="54"/>
        <v>1.5221117656721621</v>
      </c>
      <c r="AA68" s="56">
        <f t="shared" si="42"/>
        <v>3</v>
      </c>
      <c r="AC68" s="18">
        <f t="shared" si="55"/>
        <v>2.5328012567147562</v>
      </c>
      <c r="AD68" s="18">
        <f t="shared" si="55"/>
        <v>1.2246024390944568</v>
      </c>
      <c r="AE68" s="18">
        <f t="shared" si="55"/>
        <v>0.4320645912413027</v>
      </c>
      <c r="AF68" s="56">
        <f t="shared" si="43"/>
        <v>3</v>
      </c>
      <c r="AH68" s="18">
        <f t="shared" si="56"/>
        <v>2.6174869143426998</v>
      </c>
      <c r="AI68" s="18">
        <f t="shared" si="56"/>
        <v>1.366790262318565</v>
      </c>
      <c r="AJ68" s="18">
        <f t="shared" si="56"/>
        <v>0.4123970052886321</v>
      </c>
      <c r="AK68" s="56">
        <f t="shared" si="44"/>
        <v>3</v>
      </c>
      <c r="AM68" s="18">
        <f t="shared" si="57"/>
        <v>2.658192316685358</v>
      </c>
      <c r="AN68" s="18">
        <f t="shared" si="57"/>
        <v>1.39423128604378</v>
      </c>
      <c r="AO68" s="18">
        <f t="shared" si="57"/>
        <v>0.43091962900662978</v>
      </c>
      <c r="AP68" s="56">
        <f t="shared" si="45"/>
        <v>3</v>
      </c>
      <c r="AR68" s="18">
        <f t="shared" si="58"/>
        <v>2.658192316685358</v>
      </c>
      <c r="AS68" s="18">
        <f t="shared" si="58"/>
        <v>1.39423128604378</v>
      </c>
      <c r="AT68" s="18">
        <f t="shared" si="58"/>
        <v>0.43091962900662978</v>
      </c>
      <c r="AU68" s="56">
        <f t="shared" si="46"/>
        <v>3</v>
      </c>
      <c r="AW68" s="18">
        <f t="shared" si="59"/>
        <v>2.658192316685358</v>
      </c>
      <c r="AX68" s="18">
        <f t="shared" si="59"/>
        <v>1.39423128604378</v>
      </c>
      <c r="AY68" s="18">
        <f t="shared" si="59"/>
        <v>0.43091962900662978</v>
      </c>
      <c r="AZ68" s="56">
        <f t="shared" si="47"/>
        <v>3</v>
      </c>
      <c r="BB68" s="18">
        <f t="shared" si="60"/>
        <v>2.658192316685358</v>
      </c>
      <c r="BC68" s="18">
        <f t="shared" si="60"/>
        <v>1.39423128604378</v>
      </c>
      <c r="BD68" s="18">
        <f t="shared" si="60"/>
        <v>0.43091962900662978</v>
      </c>
      <c r="BE68" s="56">
        <f t="shared" si="48"/>
        <v>3</v>
      </c>
      <c r="BG68" s="18">
        <f t="shared" si="61"/>
        <v>2.658192316685358</v>
      </c>
      <c r="BH68" s="18">
        <f t="shared" si="61"/>
        <v>1.39423128604378</v>
      </c>
      <c r="BI68" s="18">
        <f t="shared" si="61"/>
        <v>0.43091962900662978</v>
      </c>
      <c r="BJ68" s="56">
        <f t="shared" si="49"/>
        <v>3</v>
      </c>
      <c r="BL68" s="18">
        <f t="shared" si="62"/>
        <v>2.658192316685358</v>
      </c>
      <c r="BM68" s="18">
        <f t="shared" si="62"/>
        <v>1.39423128604378</v>
      </c>
      <c r="BN68" s="18">
        <f t="shared" si="62"/>
        <v>0.43091962900662978</v>
      </c>
      <c r="BO68" s="56">
        <f t="shared" si="50"/>
        <v>3</v>
      </c>
      <c r="BQ68" s="18">
        <f t="shared" si="63"/>
        <v>2.658192316685358</v>
      </c>
      <c r="BR68" s="18">
        <f t="shared" si="63"/>
        <v>1.39423128604378</v>
      </c>
      <c r="BS68" s="18">
        <f t="shared" si="63"/>
        <v>0.43091962900662978</v>
      </c>
      <c r="BT68" s="56">
        <f t="shared" si="51"/>
        <v>3</v>
      </c>
      <c r="BV68" s="18">
        <f t="shared" si="64"/>
        <v>2.658192316685358</v>
      </c>
      <c r="BW68" s="18">
        <f t="shared" si="64"/>
        <v>1.39423128604378</v>
      </c>
      <c r="BX68" s="18">
        <f t="shared" si="64"/>
        <v>0.43091962900662978</v>
      </c>
      <c r="BY68" s="56">
        <f t="shared" si="52"/>
        <v>3</v>
      </c>
      <c r="CA68" s="18">
        <f t="shared" si="65"/>
        <v>2.658192316685358</v>
      </c>
      <c r="CB68" s="18">
        <f t="shared" si="65"/>
        <v>1.39423128604378</v>
      </c>
      <c r="CC68" s="18">
        <f t="shared" si="65"/>
        <v>0.43091962900662978</v>
      </c>
      <c r="CD68" s="56">
        <f t="shared" si="53"/>
        <v>3</v>
      </c>
    </row>
    <row r="69" spans="1:82" x14ac:dyDescent="0.25">
      <c r="A69" s="63">
        <f>Phase_Data!A51</f>
        <v>43933</v>
      </c>
      <c r="B69" s="18">
        <f>Phase_Data!K51</f>
        <v>9.4111140700339005E-2</v>
      </c>
      <c r="C69" s="18">
        <f>Phase_Data!L51</f>
        <v>4.453050530870948E-3</v>
      </c>
      <c r="D69" s="18">
        <f>Phase_Data!M51</f>
        <v>0.81420710139334707</v>
      </c>
      <c r="E69" s="56">
        <f t="shared" si="39"/>
        <v>3</v>
      </c>
      <c r="F69" s="38">
        <f t="shared" si="40"/>
        <v>0.74586042330688695</v>
      </c>
      <c r="G69" s="13" t="str">
        <f t="shared" si="41"/>
        <v>Medium activity</v>
      </c>
      <c r="X69" s="18">
        <f t="shared" si="54"/>
        <v>3.0195838998956961</v>
      </c>
      <c r="Y69" s="18">
        <f t="shared" si="54"/>
        <v>2.0295907466928869</v>
      </c>
      <c r="Z69" s="18">
        <f t="shared" si="54"/>
        <v>2.3016333443358103</v>
      </c>
      <c r="AA69" s="56">
        <f t="shared" si="42"/>
        <v>2</v>
      </c>
      <c r="AC69" s="18">
        <f t="shared" si="55"/>
        <v>2.6498496493484733</v>
      </c>
      <c r="AD69" s="18">
        <f t="shared" si="55"/>
        <v>1.186515381142228</v>
      </c>
      <c r="AE69" s="18">
        <f t="shared" si="55"/>
        <v>0.97778960693362216</v>
      </c>
      <c r="AF69" s="56">
        <f t="shared" si="43"/>
        <v>3</v>
      </c>
      <c r="AH69" s="18">
        <f t="shared" si="56"/>
        <v>2.7369568007848284</v>
      </c>
      <c r="AI69" s="18">
        <f t="shared" si="56"/>
        <v>1.3459278389014939</v>
      </c>
      <c r="AJ69" s="18">
        <f t="shared" si="56"/>
        <v>0.87641302917301844</v>
      </c>
      <c r="AK69" s="56">
        <f t="shared" si="44"/>
        <v>3</v>
      </c>
      <c r="AM69" s="18">
        <f t="shared" si="57"/>
        <v>2.778038019528561</v>
      </c>
      <c r="AN69" s="18">
        <f t="shared" si="57"/>
        <v>1.381148224589398</v>
      </c>
      <c r="AO69" s="18">
        <f t="shared" si="57"/>
        <v>0.86363211109064664</v>
      </c>
      <c r="AP69" s="56">
        <f t="shared" si="45"/>
        <v>3</v>
      </c>
      <c r="AR69" s="18">
        <f t="shared" si="58"/>
        <v>2.778038019528561</v>
      </c>
      <c r="AS69" s="18">
        <f t="shared" si="58"/>
        <v>1.381148224589398</v>
      </c>
      <c r="AT69" s="18">
        <f t="shared" si="58"/>
        <v>0.86363211109064664</v>
      </c>
      <c r="AU69" s="56">
        <f t="shared" si="46"/>
        <v>3</v>
      </c>
      <c r="AW69" s="18">
        <f t="shared" si="59"/>
        <v>2.778038019528561</v>
      </c>
      <c r="AX69" s="18">
        <f t="shared" si="59"/>
        <v>1.381148224589398</v>
      </c>
      <c r="AY69" s="18">
        <f t="shared" si="59"/>
        <v>0.86363211109064664</v>
      </c>
      <c r="AZ69" s="56">
        <f t="shared" si="47"/>
        <v>3</v>
      </c>
      <c r="BB69" s="18">
        <f t="shared" si="60"/>
        <v>2.778038019528561</v>
      </c>
      <c r="BC69" s="18">
        <f t="shared" si="60"/>
        <v>1.381148224589398</v>
      </c>
      <c r="BD69" s="18">
        <f t="shared" si="60"/>
        <v>0.86363211109064664</v>
      </c>
      <c r="BE69" s="56">
        <f t="shared" si="48"/>
        <v>3</v>
      </c>
      <c r="BG69" s="18">
        <f t="shared" si="61"/>
        <v>2.778038019528561</v>
      </c>
      <c r="BH69" s="18">
        <f t="shared" si="61"/>
        <v>1.381148224589398</v>
      </c>
      <c r="BI69" s="18">
        <f t="shared" si="61"/>
        <v>0.86363211109064664</v>
      </c>
      <c r="BJ69" s="56">
        <f t="shared" si="49"/>
        <v>3</v>
      </c>
      <c r="BL69" s="18">
        <f t="shared" si="62"/>
        <v>2.778038019528561</v>
      </c>
      <c r="BM69" s="18">
        <f t="shared" si="62"/>
        <v>1.381148224589398</v>
      </c>
      <c r="BN69" s="18">
        <f t="shared" si="62"/>
        <v>0.86363211109064664</v>
      </c>
      <c r="BO69" s="56">
        <f t="shared" si="50"/>
        <v>3</v>
      </c>
      <c r="BQ69" s="18">
        <f t="shared" si="63"/>
        <v>2.778038019528561</v>
      </c>
      <c r="BR69" s="18">
        <f t="shared" si="63"/>
        <v>1.381148224589398</v>
      </c>
      <c r="BS69" s="18">
        <f t="shared" si="63"/>
        <v>0.86363211109064664</v>
      </c>
      <c r="BT69" s="56">
        <f t="shared" si="51"/>
        <v>3</v>
      </c>
      <c r="BV69" s="18">
        <f t="shared" si="64"/>
        <v>2.778038019528561</v>
      </c>
      <c r="BW69" s="18">
        <f t="shared" si="64"/>
        <v>1.381148224589398</v>
      </c>
      <c r="BX69" s="18">
        <f t="shared" si="64"/>
        <v>0.86363211109064664</v>
      </c>
      <c r="BY69" s="56">
        <f t="shared" si="52"/>
        <v>3</v>
      </c>
      <c r="CA69" s="18">
        <f t="shared" si="65"/>
        <v>2.778038019528561</v>
      </c>
      <c r="CB69" s="18">
        <f t="shared" si="65"/>
        <v>1.381148224589398</v>
      </c>
      <c r="CC69" s="18">
        <f t="shared" si="65"/>
        <v>0.86363211109064664</v>
      </c>
      <c r="CD69" s="56">
        <f t="shared" si="53"/>
        <v>3</v>
      </c>
    </row>
    <row r="70" spans="1:82" x14ac:dyDescent="0.25">
      <c r="A70" s="63">
        <f>Phase_Data!A52</f>
        <v>43934</v>
      </c>
      <c r="B70" s="18">
        <f>Phase_Data!K52</f>
        <v>-5.6949360827840849E-2</v>
      </c>
      <c r="C70" s="18">
        <f>Phase_Data!L52</f>
        <v>-0.31468161073836282</v>
      </c>
      <c r="D70" s="18">
        <f>Phase_Data!M52</f>
        <v>0.13612279099779545</v>
      </c>
      <c r="E70" s="56">
        <f t="shared" si="39"/>
        <v>3</v>
      </c>
      <c r="F70" s="38">
        <f t="shared" si="40"/>
        <v>0.29050666049827178</v>
      </c>
      <c r="G70" s="13" t="str">
        <f t="shared" si="41"/>
        <v>Medium activity</v>
      </c>
      <c r="X70" s="18">
        <f t="shared" si="54"/>
        <v>2.3373563003328162</v>
      </c>
      <c r="Y70" s="18">
        <f t="shared" si="54"/>
        <v>2.66581078058441</v>
      </c>
      <c r="Z70" s="18">
        <f t="shared" si="54"/>
        <v>1.9262057018351058</v>
      </c>
      <c r="AA70" s="56">
        <f t="shared" si="42"/>
        <v>3</v>
      </c>
      <c r="AC70" s="18">
        <f t="shared" si="55"/>
        <v>1.9468324343838339</v>
      </c>
      <c r="AD70" s="18">
        <f t="shared" si="55"/>
        <v>1.7746169956814211</v>
      </c>
      <c r="AE70" s="18">
        <f t="shared" si="55"/>
        <v>0.65023838494230601</v>
      </c>
      <c r="AF70" s="56">
        <f t="shared" si="43"/>
        <v>3</v>
      </c>
      <c r="AH70" s="18">
        <f t="shared" si="56"/>
        <v>2.0366844190944908</v>
      </c>
      <c r="AI70" s="18">
        <f t="shared" si="56"/>
        <v>1.9349008088835722</v>
      </c>
      <c r="AJ70" s="18">
        <f t="shared" si="56"/>
        <v>0.56492227209249313</v>
      </c>
      <c r="AK70" s="56">
        <f t="shared" si="44"/>
        <v>3</v>
      </c>
      <c r="AM70" s="18">
        <f t="shared" si="57"/>
        <v>2.0800226958967545</v>
      </c>
      <c r="AN70" s="18">
        <f t="shared" si="57"/>
        <v>1.9688776379649362</v>
      </c>
      <c r="AO70" s="18">
        <f t="shared" si="57"/>
        <v>0.53898669788620179</v>
      </c>
      <c r="AP70" s="56">
        <f t="shared" si="45"/>
        <v>3</v>
      </c>
      <c r="AR70" s="18">
        <f t="shared" si="58"/>
        <v>2.0800226958967545</v>
      </c>
      <c r="AS70" s="18">
        <f t="shared" si="58"/>
        <v>1.9688776379649362</v>
      </c>
      <c r="AT70" s="18">
        <f t="shared" si="58"/>
        <v>0.53898669788620179</v>
      </c>
      <c r="AU70" s="56">
        <f t="shared" si="46"/>
        <v>3</v>
      </c>
      <c r="AW70" s="18">
        <f t="shared" si="59"/>
        <v>2.0800226958967545</v>
      </c>
      <c r="AX70" s="18">
        <f t="shared" si="59"/>
        <v>1.9688776379649362</v>
      </c>
      <c r="AY70" s="18">
        <f t="shared" si="59"/>
        <v>0.53898669788620179</v>
      </c>
      <c r="AZ70" s="56">
        <f t="shared" si="47"/>
        <v>3</v>
      </c>
      <c r="BB70" s="18">
        <f t="shared" si="60"/>
        <v>2.0800226958967545</v>
      </c>
      <c r="BC70" s="18">
        <f t="shared" si="60"/>
        <v>1.9688776379649362</v>
      </c>
      <c r="BD70" s="18">
        <f t="shared" si="60"/>
        <v>0.53898669788620179</v>
      </c>
      <c r="BE70" s="56">
        <f t="shared" si="48"/>
        <v>3</v>
      </c>
      <c r="BG70" s="18">
        <f t="shared" si="61"/>
        <v>2.0800226958967545</v>
      </c>
      <c r="BH70" s="18">
        <f t="shared" si="61"/>
        <v>1.9688776379649362</v>
      </c>
      <c r="BI70" s="18">
        <f t="shared" si="61"/>
        <v>0.53898669788620179</v>
      </c>
      <c r="BJ70" s="56">
        <f t="shared" si="49"/>
        <v>3</v>
      </c>
      <c r="BL70" s="18">
        <f t="shared" si="62"/>
        <v>2.0800226958967545</v>
      </c>
      <c r="BM70" s="18">
        <f t="shared" si="62"/>
        <v>1.9688776379649362</v>
      </c>
      <c r="BN70" s="18">
        <f t="shared" si="62"/>
        <v>0.53898669788620179</v>
      </c>
      <c r="BO70" s="56">
        <f t="shared" si="50"/>
        <v>3</v>
      </c>
      <c r="BQ70" s="18">
        <f t="shared" si="63"/>
        <v>2.0800226958967545</v>
      </c>
      <c r="BR70" s="18">
        <f t="shared" si="63"/>
        <v>1.9688776379649362</v>
      </c>
      <c r="BS70" s="18">
        <f t="shared" si="63"/>
        <v>0.53898669788620179</v>
      </c>
      <c r="BT70" s="56">
        <f t="shared" si="51"/>
        <v>3</v>
      </c>
      <c r="BV70" s="18">
        <f t="shared" si="64"/>
        <v>2.0800226958967545</v>
      </c>
      <c r="BW70" s="18">
        <f t="shared" si="64"/>
        <v>1.9688776379649362</v>
      </c>
      <c r="BX70" s="18">
        <f t="shared" si="64"/>
        <v>0.53898669788620179</v>
      </c>
      <c r="BY70" s="56">
        <f t="shared" si="52"/>
        <v>3</v>
      </c>
      <c r="CA70" s="18">
        <f t="shared" si="65"/>
        <v>2.0800226958967545</v>
      </c>
      <c r="CB70" s="18">
        <f t="shared" si="65"/>
        <v>1.9688776379649362</v>
      </c>
      <c r="CC70" s="18">
        <f t="shared" si="65"/>
        <v>0.53898669788620179</v>
      </c>
      <c r="CD70" s="56">
        <f t="shared" si="53"/>
        <v>3</v>
      </c>
    </row>
    <row r="71" spans="1:82" x14ac:dyDescent="0.25">
      <c r="A71" s="63">
        <f>Phase_Data!A53</f>
        <v>43935</v>
      </c>
      <c r="B71" s="18">
        <f>Phase_Data!K53</f>
        <v>0.4562280430509989</v>
      </c>
      <c r="C71" s="18">
        <f>Phase_Data!L53</f>
        <v>0.27976575426520373</v>
      </c>
      <c r="D71" s="18">
        <f>Phase_Data!M53</f>
        <v>0.28258258674584602</v>
      </c>
      <c r="E71" s="56">
        <f t="shared" si="39"/>
        <v>3</v>
      </c>
      <c r="F71" s="38">
        <f t="shared" si="40"/>
        <v>0.171707349304424</v>
      </c>
      <c r="G71" s="13" t="str">
        <f t="shared" si="41"/>
        <v>Medium activity</v>
      </c>
      <c r="X71" s="18">
        <f t="shared" si="54"/>
        <v>3.0595939612779532</v>
      </c>
      <c r="Y71" s="18">
        <f t="shared" si="54"/>
        <v>1.9657091433056348</v>
      </c>
      <c r="Z71" s="18">
        <f t="shared" si="54"/>
        <v>1.6508988092057375</v>
      </c>
      <c r="AA71" s="56">
        <f t="shared" si="42"/>
        <v>3</v>
      </c>
      <c r="AC71" s="18">
        <f t="shared" si="55"/>
        <v>2.6645013119221628</v>
      </c>
      <c r="AD71" s="18">
        <f t="shared" si="55"/>
        <v>1.0797869918538499</v>
      </c>
      <c r="AE71" s="18">
        <f t="shared" si="55"/>
        <v>0.45549778175872124</v>
      </c>
      <c r="AF71" s="56">
        <f t="shared" si="43"/>
        <v>3</v>
      </c>
      <c r="AH71" s="18">
        <f t="shared" si="56"/>
        <v>2.7533863078423733</v>
      </c>
      <c r="AI71" s="18">
        <f t="shared" si="56"/>
        <v>1.2285123026563884</v>
      </c>
      <c r="AJ71" s="18">
        <f t="shared" si="56"/>
        <v>0.4070461619126251</v>
      </c>
      <c r="AK71" s="56">
        <f t="shared" si="44"/>
        <v>3</v>
      </c>
      <c r="AM71" s="18">
        <f t="shared" si="57"/>
        <v>2.7966669157146686</v>
      </c>
      <c r="AN71" s="18">
        <f t="shared" si="57"/>
        <v>1.2597711982420567</v>
      </c>
      <c r="AO71" s="18">
        <f t="shared" si="57"/>
        <v>0.41437585511757802</v>
      </c>
      <c r="AP71" s="56">
        <f t="shared" si="45"/>
        <v>3</v>
      </c>
      <c r="AR71" s="18">
        <f t="shared" si="58"/>
        <v>2.7966669157146686</v>
      </c>
      <c r="AS71" s="18">
        <f t="shared" si="58"/>
        <v>1.2597711982420567</v>
      </c>
      <c r="AT71" s="18">
        <f t="shared" si="58"/>
        <v>0.41437585511757802</v>
      </c>
      <c r="AU71" s="56">
        <f t="shared" si="46"/>
        <v>3</v>
      </c>
      <c r="AW71" s="18">
        <f t="shared" si="59"/>
        <v>2.7966669157146686</v>
      </c>
      <c r="AX71" s="18">
        <f t="shared" si="59"/>
        <v>1.2597711982420567</v>
      </c>
      <c r="AY71" s="18">
        <f t="shared" si="59"/>
        <v>0.41437585511757802</v>
      </c>
      <c r="AZ71" s="56">
        <f t="shared" si="47"/>
        <v>3</v>
      </c>
      <c r="BB71" s="18">
        <f t="shared" si="60"/>
        <v>2.7966669157146686</v>
      </c>
      <c r="BC71" s="18">
        <f t="shared" si="60"/>
        <v>1.2597711982420567</v>
      </c>
      <c r="BD71" s="18">
        <f t="shared" si="60"/>
        <v>0.41437585511757802</v>
      </c>
      <c r="BE71" s="56">
        <f t="shared" si="48"/>
        <v>3</v>
      </c>
      <c r="BG71" s="18">
        <f t="shared" si="61"/>
        <v>2.7966669157146686</v>
      </c>
      <c r="BH71" s="18">
        <f t="shared" si="61"/>
        <v>1.2597711982420567</v>
      </c>
      <c r="BI71" s="18">
        <f t="shared" si="61"/>
        <v>0.41437585511757802</v>
      </c>
      <c r="BJ71" s="56">
        <f t="shared" si="49"/>
        <v>3</v>
      </c>
      <c r="BL71" s="18">
        <f t="shared" si="62"/>
        <v>2.7966669157146686</v>
      </c>
      <c r="BM71" s="18">
        <f t="shared" si="62"/>
        <v>1.2597711982420567</v>
      </c>
      <c r="BN71" s="18">
        <f t="shared" si="62"/>
        <v>0.41437585511757802</v>
      </c>
      <c r="BO71" s="56">
        <f t="shared" si="50"/>
        <v>3</v>
      </c>
      <c r="BQ71" s="18">
        <f t="shared" si="63"/>
        <v>2.7966669157146686</v>
      </c>
      <c r="BR71" s="18">
        <f t="shared" si="63"/>
        <v>1.2597711982420567</v>
      </c>
      <c r="BS71" s="18">
        <f t="shared" si="63"/>
        <v>0.41437585511757802</v>
      </c>
      <c r="BT71" s="56">
        <f t="shared" si="51"/>
        <v>3</v>
      </c>
      <c r="BV71" s="18">
        <f t="shared" si="64"/>
        <v>2.7966669157146686</v>
      </c>
      <c r="BW71" s="18">
        <f t="shared" si="64"/>
        <v>1.2597711982420567</v>
      </c>
      <c r="BX71" s="18">
        <f t="shared" si="64"/>
        <v>0.41437585511757802</v>
      </c>
      <c r="BY71" s="56">
        <f t="shared" si="52"/>
        <v>3</v>
      </c>
      <c r="CA71" s="18">
        <f t="shared" si="65"/>
        <v>2.7966669157146686</v>
      </c>
      <c r="CB71" s="18">
        <f t="shared" si="65"/>
        <v>1.2597711982420567</v>
      </c>
      <c r="CC71" s="18">
        <f t="shared" si="65"/>
        <v>0.41437585511757802</v>
      </c>
      <c r="CD71" s="56">
        <f t="shared" si="53"/>
        <v>3</v>
      </c>
    </row>
    <row r="72" spans="1:82" x14ac:dyDescent="0.25">
      <c r="A72" s="63">
        <f>Phase_Data!A54</f>
        <v>43936</v>
      </c>
      <c r="B72" s="18">
        <f>Phase_Data!K54</f>
        <v>0.18884059730558808</v>
      </c>
      <c r="C72" s="18">
        <f>Phase_Data!L54</f>
        <v>0.27976575426520373</v>
      </c>
      <c r="D72" s="18">
        <f>Phase_Data!M54</f>
        <v>0.78586858715804186</v>
      </c>
      <c r="E72" s="56">
        <f t="shared" si="39"/>
        <v>3</v>
      </c>
      <c r="F72" s="38">
        <f t="shared" si="40"/>
        <v>0.7063750752158231</v>
      </c>
      <c r="G72" s="13" t="str">
        <f t="shared" si="41"/>
        <v>Medium activity</v>
      </c>
      <c r="X72" s="18">
        <f t="shared" si="54"/>
        <v>3.1900481360961219</v>
      </c>
      <c r="Y72" s="18">
        <f t="shared" si="54"/>
        <v>1.7965967850189553</v>
      </c>
      <c r="Z72" s="18">
        <f t="shared" si="54"/>
        <v>2.1750685077784415</v>
      </c>
      <c r="AA72" s="56">
        <f t="shared" si="42"/>
        <v>2</v>
      </c>
      <c r="AC72" s="18">
        <f t="shared" si="55"/>
        <v>2.8175117571076251</v>
      </c>
      <c r="AD72" s="18">
        <f t="shared" si="55"/>
        <v>0.92967025859947516</v>
      </c>
      <c r="AE72" s="18">
        <f t="shared" si="55"/>
        <v>0.92964924304630048</v>
      </c>
      <c r="AF72" s="56">
        <f t="shared" si="43"/>
        <v>3</v>
      </c>
      <c r="AH72" s="18">
        <f t="shared" si="56"/>
        <v>2.9043151845005419</v>
      </c>
      <c r="AI72" s="18">
        <f t="shared" si="56"/>
        <v>1.0903834925022104</v>
      </c>
      <c r="AJ72" s="18">
        <f t="shared" si="56"/>
        <v>0.84410383221768848</v>
      </c>
      <c r="AK72" s="56">
        <f t="shared" si="44"/>
        <v>3</v>
      </c>
      <c r="AM72" s="18">
        <f t="shared" si="57"/>
        <v>2.9453059173273699</v>
      </c>
      <c r="AN72" s="18">
        <f t="shared" si="57"/>
        <v>1.1247507762976754</v>
      </c>
      <c r="AO72" s="18">
        <f t="shared" si="57"/>
        <v>0.84046122766955944</v>
      </c>
      <c r="AP72" s="56">
        <f t="shared" si="45"/>
        <v>3</v>
      </c>
      <c r="AR72" s="18">
        <f t="shared" si="58"/>
        <v>2.9453059173273699</v>
      </c>
      <c r="AS72" s="18">
        <f t="shared" si="58"/>
        <v>1.1247507762976754</v>
      </c>
      <c r="AT72" s="18">
        <f t="shared" si="58"/>
        <v>0.84046122766955944</v>
      </c>
      <c r="AU72" s="56">
        <f t="shared" si="46"/>
        <v>3</v>
      </c>
      <c r="AW72" s="18">
        <f t="shared" si="59"/>
        <v>2.9453059173273699</v>
      </c>
      <c r="AX72" s="18">
        <f t="shared" si="59"/>
        <v>1.1247507762976754</v>
      </c>
      <c r="AY72" s="18">
        <f t="shared" si="59"/>
        <v>0.84046122766955944</v>
      </c>
      <c r="AZ72" s="56">
        <f t="shared" si="47"/>
        <v>3</v>
      </c>
      <c r="BB72" s="18">
        <f t="shared" si="60"/>
        <v>2.9453059173273699</v>
      </c>
      <c r="BC72" s="18">
        <f t="shared" si="60"/>
        <v>1.1247507762976754</v>
      </c>
      <c r="BD72" s="18">
        <f t="shared" si="60"/>
        <v>0.84046122766955944</v>
      </c>
      <c r="BE72" s="56">
        <f t="shared" si="48"/>
        <v>3</v>
      </c>
      <c r="BG72" s="18">
        <f t="shared" si="61"/>
        <v>2.9453059173273699</v>
      </c>
      <c r="BH72" s="18">
        <f t="shared" si="61"/>
        <v>1.1247507762976754</v>
      </c>
      <c r="BI72" s="18">
        <f t="shared" si="61"/>
        <v>0.84046122766955944</v>
      </c>
      <c r="BJ72" s="56">
        <f t="shared" si="49"/>
        <v>3</v>
      </c>
      <c r="BL72" s="18">
        <f t="shared" si="62"/>
        <v>2.9453059173273699</v>
      </c>
      <c r="BM72" s="18">
        <f t="shared" si="62"/>
        <v>1.1247507762976754</v>
      </c>
      <c r="BN72" s="18">
        <f t="shared" si="62"/>
        <v>0.84046122766955944</v>
      </c>
      <c r="BO72" s="56">
        <f t="shared" si="50"/>
        <v>3</v>
      </c>
      <c r="BQ72" s="18">
        <f t="shared" si="63"/>
        <v>2.9453059173273699</v>
      </c>
      <c r="BR72" s="18">
        <f t="shared" si="63"/>
        <v>1.1247507762976754</v>
      </c>
      <c r="BS72" s="18">
        <f t="shared" si="63"/>
        <v>0.84046122766955944</v>
      </c>
      <c r="BT72" s="56">
        <f t="shared" si="51"/>
        <v>3</v>
      </c>
      <c r="BV72" s="18">
        <f t="shared" si="64"/>
        <v>2.9453059173273699</v>
      </c>
      <c r="BW72" s="18">
        <f t="shared" si="64"/>
        <v>1.1247507762976754</v>
      </c>
      <c r="BX72" s="18">
        <f t="shared" si="64"/>
        <v>0.84046122766955944</v>
      </c>
      <c r="BY72" s="56">
        <f t="shared" si="52"/>
        <v>3</v>
      </c>
      <c r="CA72" s="18">
        <f t="shared" si="65"/>
        <v>2.9453059173273699</v>
      </c>
      <c r="CB72" s="18">
        <f t="shared" si="65"/>
        <v>1.1247507762976754</v>
      </c>
      <c r="CC72" s="18">
        <f t="shared" si="65"/>
        <v>0.84046122766955944</v>
      </c>
      <c r="CD72" s="56">
        <f t="shared" si="53"/>
        <v>3</v>
      </c>
    </row>
    <row r="73" spans="1:82" x14ac:dyDescent="0.25">
      <c r="A73" s="63">
        <f>Phase_Data!A55</f>
        <v>43937</v>
      </c>
      <c r="B73" s="18">
        <f>Phase_Data!K55</f>
        <v>0.48970306682469006</v>
      </c>
      <c r="C73" s="18">
        <f>Phase_Data!L55</f>
        <v>0.51626762781770918</v>
      </c>
      <c r="D73" s="18">
        <f>Phase_Data!M55</f>
        <v>0.78217536404709143</v>
      </c>
      <c r="E73" s="56">
        <f t="shared" si="39"/>
        <v>2</v>
      </c>
      <c r="F73" s="38">
        <f t="shared" si="40"/>
        <v>0.61585689064159976</v>
      </c>
      <c r="G73" s="13" t="str">
        <f t="shared" si="41"/>
        <v>High activity</v>
      </c>
      <c r="X73" s="18">
        <f t="shared" si="54"/>
        <v>3.4871432004745251</v>
      </c>
      <c r="Y73" s="18">
        <f t="shared" si="54"/>
        <v>1.481402515006663</v>
      </c>
      <c r="Z73" s="18">
        <f t="shared" si="54"/>
        <v>2.0836763659435391</v>
      </c>
      <c r="AA73" s="56">
        <f t="shared" si="42"/>
        <v>2</v>
      </c>
      <c r="AC73" s="18">
        <f t="shared" si="55"/>
        <v>3.1049448662550585</v>
      </c>
      <c r="AD73" s="18">
        <f t="shared" si="55"/>
        <v>0.58920957384893302</v>
      </c>
      <c r="AE73" s="18">
        <f t="shared" si="55"/>
        <v>0.99649430908579684</v>
      </c>
      <c r="AF73" s="56">
        <f t="shared" si="43"/>
        <v>2</v>
      </c>
      <c r="AH73" s="18">
        <f t="shared" si="56"/>
        <v>3.1927324027241148</v>
      </c>
      <c r="AI73" s="18">
        <f t="shared" si="56"/>
        <v>0.75036623402714697</v>
      </c>
      <c r="AJ73" s="18">
        <f t="shared" si="56"/>
        <v>0.94012481305252993</v>
      </c>
      <c r="AK73" s="56">
        <f t="shared" si="44"/>
        <v>2</v>
      </c>
      <c r="AM73" s="18">
        <f t="shared" si="57"/>
        <v>3.234663787232364</v>
      </c>
      <c r="AN73" s="18">
        <f t="shared" si="57"/>
        <v>0.78476550041499649</v>
      </c>
      <c r="AO73" s="18">
        <f t="shared" si="57"/>
        <v>0.94537122608406665</v>
      </c>
      <c r="AP73" s="56">
        <f t="shared" si="45"/>
        <v>2</v>
      </c>
      <c r="AR73" s="18">
        <f t="shared" si="58"/>
        <v>3.234663787232364</v>
      </c>
      <c r="AS73" s="18">
        <f t="shared" si="58"/>
        <v>0.78476550041499649</v>
      </c>
      <c r="AT73" s="18">
        <f t="shared" si="58"/>
        <v>0.94537122608406665</v>
      </c>
      <c r="AU73" s="56">
        <f t="shared" si="46"/>
        <v>2</v>
      </c>
      <c r="AW73" s="18">
        <f t="shared" si="59"/>
        <v>3.234663787232364</v>
      </c>
      <c r="AX73" s="18">
        <f t="shared" si="59"/>
        <v>0.78476550041499649</v>
      </c>
      <c r="AY73" s="18">
        <f t="shared" si="59"/>
        <v>0.94537122608406665</v>
      </c>
      <c r="AZ73" s="56">
        <f t="shared" si="47"/>
        <v>2</v>
      </c>
      <c r="BB73" s="18">
        <f t="shared" si="60"/>
        <v>3.234663787232364</v>
      </c>
      <c r="BC73" s="18">
        <f t="shared" si="60"/>
        <v>0.78476550041499649</v>
      </c>
      <c r="BD73" s="18">
        <f t="shared" si="60"/>
        <v>0.94537122608406665</v>
      </c>
      <c r="BE73" s="56">
        <f t="shared" si="48"/>
        <v>2</v>
      </c>
      <c r="BG73" s="18">
        <f t="shared" si="61"/>
        <v>3.234663787232364</v>
      </c>
      <c r="BH73" s="18">
        <f t="shared" si="61"/>
        <v>0.78476550041499649</v>
      </c>
      <c r="BI73" s="18">
        <f t="shared" si="61"/>
        <v>0.94537122608406665</v>
      </c>
      <c r="BJ73" s="56">
        <f t="shared" si="49"/>
        <v>2</v>
      </c>
      <c r="BL73" s="18">
        <f t="shared" si="62"/>
        <v>3.234663787232364</v>
      </c>
      <c r="BM73" s="18">
        <f t="shared" si="62"/>
        <v>0.78476550041499649</v>
      </c>
      <c r="BN73" s="18">
        <f t="shared" si="62"/>
        <v>0.94537122608406665</v>
      </c>
      <c r="BO73" s="56">
        <f t="shared" si="50"/>
        <v>2</v>
      </c>
      <c r="BQ73" s="18">
        <f t="shared" si="63"/>
        <v>3.234663787232364</v>
      </c>
      <c r="BR73" s="18">
        <f t="shared" si="63"/>
        <v>0.78476550041499649</v>
      </c>
      <c r="BS73" s="18">
        <f t="shared" si="63"/>
        <v>0.94537122608406665</v>
      </c>
      <c r="BT73" s="56">
        <f t="shared" si="51"/>
        <v>2</v>
      </c>
      <c r="BV73" s="18">
        <f t="shared" si="64"/>
        <v>3.234663787232364</v>
      </c>
      <c r="BW73" s="18">
        <f t="shared" si="64"/>
        <v>0.78476550041499649</v>
      </c>
      <c r="BX73" s="18">
        <f t="shared" si="64"/>
        <v>0.94537122608406665</v>
      </c>
      <c r="BY73" s="56">
        <f t="shared" si="52"/>
        <v>2</v>
      </c>
      <c r="CA73" s="18">
        <f t="shared" si="65"/>
        <v>3.234663787232364</v>
      </c>
      <c r="CB73" s="18">
        <f t="shared" si="65"/>
        <v>0.78476550041499649</v>
      </c>
      <c r="CC73" s="18">
        <f t="shared" si="65"/>
        <v>0.94537122608406665</v>
      </c>
      <c r="CD73" s="56">
        <f t="shared" si="53"/>
        <v>2</v>
      </c>
    </row>
    <row r="74" spans="1:82" x14ac:dyDescent="0.25">
      <c r="A74" s="63">
        <f>Phase_Data!A56</f>
        <v>43938</v>
      </c>
      <c r="B74" s="18">
        <f>Phase_Data!K56</f>
        <v>0.37482118904673184</v>
      </c>
      <c r="C74" s="18">
        <f>Phase_Data!L56</f>
        <v>-0.31468161073836282</v>
      </c>
      <c r="D74" s="18">
        <f>Phase_Data!M56</f>
        <v>-0.23264621629396448</v>
      </c>
      <c r="E74" s="56">
        <f t="shared" si="39"/>
        <v>3</v>
      </c>
      <c r="F74" s="38">
        <f t="shared" si="40"/>
        <v>0.215375314258172</v>
      </c>
      <c r="G74" s="13" t="str">
        <f t="shared" si="41"/>
        <v>Medium activity</v>
      </c>
      <c r="X74" s="18">
        <f t="shared" si="54"/>
        <v>2.4584240970795821</v>
      </c>
      <c r="Y74" s="18">
        <f t="shared" si="54"/>
        <v>2.7273505061766192</v>
      </c>
      <c r="Z74" s="18">
        <f t="shared" si="54"/>
        <v>1.539167171112829</v>
      </c>
      <c r="AA74" s="56">
        <f t="shared" si="42"/>
        <v>3</v>
      </c>
      <c r="AC74" s="18">
        <f t="shared" si="55"/>
        <v>2.0467596183873322</v>
      </c>
      <c r="AD74" s="18">
        <f t="shared" si="55"/>
        <v>1.8558590397850527</v>
      </c>
      <c r="AE74" s="18">
        <f t="shared" si="55"/>
        <v>0.48900750995735104</v>
      </c>
      <c r="AF74" s="56">
        <f t="shared" si="43"/>
        <v>3</v>
      </c>
      <c r="AH74" s="18">
        <f t="shared" si="56"/>
        <v>2.1374797936443155</v>
      </c>
      <c r="AI74" s="18">
        <f t="shared" si="56"/>
        <v>2.0028542265859235</v>
      </c>
      <c r="AJ74" s="18">
        <f t="shared" si="56"/>
        <v>0.48201774614695098</v>
      </c>
      <c r="AK74" s="56">
        <f t="shared" si="44"/>
        <v>3</v>
      </c>
      <c r="AM74" s="18">
        <f t="shared" si="57"/>
        <v>2.1832014369568671</v>
      </c>
      <c r="AN74" s="18">
        <f t="shared" si="57"/>
        <v>2.0344507584955096</v>
      </c>
      <c r="AO74" s="18">
        <f t="shared" si="57"/>
        <v>0.46408546008054596</v>
      </c>
      <c r="AP74" s="56">
        <f t="shared" si="45"/>
        <v>3</v>
      </c>
      <c r="AR74" s="18">
        <f t="shared" si="58"/>
        <v>2.1832014369568671</v>
      </c>
      <c r="AS74" s="18">
        <f t="shared" si="58"/>
        <v>2.0344507584955096</v>
      </c>
      <c r="AT74" s="18">
        <f t="shared" si="58"/>
        <v>0.46408546008054596</v>
      </c>
      <c r="AU74" s="56">
        <f t="shared" si="46"/>
        <v>3</v>
      </c>
      <c r="AW74" s="18">
        <f t="shared" si="59"/>
        <v>2.1832014369568671</v>
      </c>
      <c r="AX74" s="18">
        <f t="shared" si="59"/>
        <v>2.0344507584955096</v>
      </c>
      <c r="AY74" s="18">
        <f t="shared" si="59"/>
        <v>0.46408546008054596</v>
      </c>
      <c r="AZ74" s="56">
        <f t="shared" si="47"/>
        <v>3</v>
      </c>
      <c r="BB74" s="18">
        <f t="shared" si="60"/>
        <v>2.1832014369568671</v>
      </c>
      <c r="BC74" s="18">
        <f t="shared" si="60"/>
        <v>2.0344507584955096</v>
      </c>
      <c r="BD74" s="18">
        <f t="shared" si="60"/>
        <v>0.46408546008054596</v>
      </c>
      <c r="BE74" s="56">
        <f t="shared" si="48"/>
        <v>3</v>
      </c>
      <c r="BG74" s="18">
        <f t="shared" si="61"/>
        <v>2.1832014369568671</v>
      </c>
      <c r="BH74" s="18">
        <f t="shared" si="61"/>
        <v>2.0344507584955096</v>
      </c>
      <c r="BI74" s="18">
        <f t="shared" si="61"/>
        <v>0.46408546008054596</v>
      </c>
      <c r="BJ74" s="56">
        <f t="shared" si="49"/>
        <v>3</v>
      </c>
      <c r="BL74" s="18">
        <f t="shared" si="62"/>
        <v>2.1832014369568671</v>
      </c>
      <c r="BM74" s="18">
        <f t="shared" si="62"/>
        <v>2.0344507584955096</v>
      </c>
      <c r="BN74" s="18">
        <f t="shared" si="62"/>
        <v>0.46408546008054596</v>
      </c>
      <c r="BO74" s="56">
        <f t="shared" si="50"/>
        <v>3</v>
      </c>
      <c r="BQ74" s="18">
        <f t="shared" si="63"/>
        <v>2.1832014369568671</v>
      </c>
      <c r="BR74" s="18">
        <f t="shared" si="63"/>
        <v>2.0344507584955096</v>
      </c>
      <c r="BS74" s="18">
        <f t="shared" si="63"/>
        <v>0.46408546008054596</v>
      </c>
      <c r="BT74" s="56">
        <f t="shared" si="51"/>
        <v>3</v>
      </c>
      <c r="BV74" s="18">
        <f t="shared" si="64"/>
        <v>2.1832014369568671</v>
      </c>
      <c r="BW74" s="18">
        <f t="shared" si="64"/>
        <v>2.0344507584955096</v>
      </c>
      <c r="BX74" s="18">
        <f t="shared" si="64"/>
        <v>0.46408546008054596</v>
      </c>
      <c r="BY74" s="56">
        <f t="shared" si="52"/>
        <v>3</v>
      </c>
      <c r="CA74" s="18">
        <f t="shared" si="65"/>
        <v>2.1832014369568671</v>
      </c>
      <c r="CB74" s="18">
        <f t="shared" si="65"/>
        <v>2.0344507584955096</v>
      </c>
      <c r="CC74" s="18">
        <f t="shared" si="65"/>
        <v>0.46408546008054596</v>
      </c>
      <c r="CD74" s="56">
        <f t="shared" si="53"/>
        <v>3</v>
      </c>
    </row>
    <row r="75" spans="1:82" x14ac:dyDescent="0.25">
      <c r="A75" s="63">
        <f>Phase_Data!A57</f>
        <v>43939</v>
      </c>
      <c r="B75" s="18">
        <f>Phase_Data!K57</f>
        <v>0.14149539835754951</v>
      </c>
      <c r="C75" s="18">
        <f>Phase_Data!L57</f>
        <v>0.27976575426520373</v>
      </c>
      <c r="D75" s="18">
        <f>Phase_Data!M57</f>
        <v>0.14589391720016337</v>
      </c>
      <c r="E75" s="56">
        <f t="shared" si="39"/>
        <v>3</v>
      </c>
      <c r="F75" s="38">
        <f t="shared" si="40"/>
        <v>8.2396219029850795E-2</v>
      </c>
      <c r="G75" s="13" t="str">
        <f t="shared" si="41"/>
        <v>Medium activity</v>
      </c>
      <c r="X75" s="18">
        <f t="shared" si="54"/>
        <v>2.7894275015285181</v>
      </c>
      <c r="Y75" s="18">
        <f t="shared" si="54"/>
        <v>2.1984805706032748</v>
      </c>
      <c r="Z75" s="18">
        <f t="shared" si="54"/>
        <v>1.5956688851898495</v>
      </c>
      <c r="AA75" s="56">
        <f t="shared" si="42"/>
        <v>3</v>
      </c>
      <c r="AC75" s="18">
        <f t="shared" si="55"/>
        <v>2.4047540594028383</v>
      </c>
      <c r="AD75" s="18">
        <f t="shared" si="55"/>
        <v>1.3047572846127902</v>
      </c>
      <c r="AE75" s="18">
        <f t="shared" si="55"/>
        <v>0.3410974642043923</v>
      </c>
      <c r="AF75" s="56">
        <f t="shared" si="43"/>
        <v>3</v>
      </c>
      <c r="AH75" s="18">
        <f t="shared" si="56"/>
        <v>2.4912936027637262</v>
      </c>
      <c r="AI75" s="18">
        <f t="shared" si="56"/>
        <v>1.4553859579463968</v>
      </c>
      <c r="AJ75" s="18">
        <f t="shared" si="56"/>
        <v>0.27857094840483154</v>
      </c>
      <c r="AK75" s="56">
        <f t="shared" si="44"/>
        <v>3</v>
      </c>
      <c r="AM75" s="18">
        <f t="shared" si="57"/>
        <v>2.5329736944499293</v>
      </c>
      <c r="AN75" s="18">
        <f t="shared" si="57"/>
        <v>1.485496303193315</v>
      </c>
      <c r="AO75" s="18">
        <f t="shared" si="57"/>
        <v>0.28704741599577377</v>
      </c>
      <c r="AP75" s="56">
        <f t="shared" si="45"/>
        <v>3</v>
      </c>
      <c r="AR75" s="18">
        <f t="shared" si="58"/>
        <v>2.5329736944499293</v>
      </c>
      <c r="AS75" s="18">
        <f t="shared" si="58"/>
        <v>1.485496303193315</v>
      </c>
      <c r="AT75" s="18">
        <f t="shared" si="58"/>
        <v>0.28704741599577377</v>
      </c>
      <c r="AU75" s="56">
        <f t="shared" si="46"/>
        <v>3</v>
      </c>
      <c r="AW75" s="18">
        <f t="shared" si="59"/>
        <v>2.5329736944499293</v>
      </c>
      <c r="AX75" s="18">
        <f t="shared" si="59"/>
        <v>1.485496303193315</v>
      </c>
      <c r="AY75" s="18">
        <f t="shared" si="59"/>
        <v>0.28704741599577377</v>
      </c>
      <c r="AZ75" s="56">
        <f t="shared" si="47"/>
        <v>3</v>
      </c>
      <c r="BB75" s="18">
        <f t="shared" si="60"/>
        <v>2.5329736944499293</v>
      </c>
      <c r="BC75" s="18">
        <f t="shared" si="60"/>
        <v>1.485496303193315</v>
      </c>
      <c r="BD75" s="18">
        <f t="shared" si="60"/>
        <v>0.28704741599577377</v>
      </c>
      <c r="BE75" s="56">
        <f t="shared" si="48"/>
        <v>3</v>
      </c>
      <c r="BG75" s="18">
        <f t="shared" si="61"/>
        <v>2.5329736944499293</v>
      </c>
      <c r="BH75" s="18">
        <f t="shared" si="61"/>
        <v>1.485496303193315</v>
      </c>
      <c r="BI75" s="18">
        <f t="shared" si="61"/>
        <v>0.28704741599577377</v>
      </c>
      <c r="BJ75" s="56">
        <f t="shared" si="49"/>
        <v>3</v>
      </c>
      <c r="BL75" s="18">
        <f t="shared" si="62"/>
        <v>2.5329736944499293</v>
      </c>
      <c r="BM75" s="18">
        <f t="shared" si="62"/>
        <v>1.485496303193315</v>
      </c>
      <c r="BN75" s="18">
        <f t="shared" si="62"/>
        <v>0.28704741599577377</v>
      </c>
      <c r="BO75" s="56">
        <f t="shared" si="50"/>
        <v>3</v>
      </c>
      <c r="BQ75" s="18">
        <f t="shared" si="63"/>
        <v>2.5329736944499293</v>
      </c>
      <c r="BR75" s="18">
        <f t="shared" si="63"/>
        <v>1.485496303193315</v>
      </c>
      <c r="BS75" s="18">
        <f t="shared" si="63"/>
        <v>0.28704741599577377</v>
      </c>
      <c r="BT75" s="56">
        <f t="shared" si="51"/>
        <v>3</v>
      </c>
      <c r="BV75" s="18">
        <f t="shared" si="64"/>
        <v>2.5329736944499293</v>
      </c>
      <c r="BW75" s="18">
        <f t="shared" si="64"/>
        <v>1.485496303193315</v>
      </c>
      <c r="BX75" s="18">
        <f t="shared" si="64"/>
        <v>0.28704741599577377</v>
      </c>
      <c r="BY75" s="56">
        <f t="shared" si="52"/>
        <v>3</v>
      </c>
      <c r="CA75" s="18">
        <f t="shared" si="65"/>
        <v>2.5329736944499293</v>
      </c>
      <c r="CB75" s="18">
        <f t="shared" si="65"/>
        <v>1.485496303193315</v>
      </c>
      <c r="CC75" s="18">
        <f t="shared" si="65"/>
        <v>0.28704741599577377</v>
      </c>
      <c r="CD75" s="56">
        <f t="shared" si="53"/>
        <v>3</v>
      </c>
    </row>
    <row r="76" spans="1:82" x14ac:dyDescent="0.25">
      <c r="A76" s="63">
        <f>Phase_Data!A58</f>
        <v>43940</v>
      </c>
      <c r="B76" s="18">
        <f>Phase_Data!K58</f>
        <v>0.42658520442106868</v>
      </c>
      <c r="C76" s="18">
        <f>Phase_Data!L58</f>
        <v>0.59179035397691115</v>
      </c>
      <c r="D76" s="18">
        <f>Phase_Data!M58</f>
        <v>0.4368037547886362</v>
      </c>
      <c r="E76" s="56">
        <f t="shared" si="39"/>
        <v>3</v>
      </c>
      <c r="F76" s="38">
        <f t="shared" si="40"/>
        <v>0.49868874034822175</v>
      </c>
      <c r="G76" s="13" t="str">
        <f t="shared" si="41"/>
        <v>Medium activity</v>
      </c>
      <c r="X76" s="18">
        <f t="shared" si="54"/>
        <v>3.3011533100522579</v>
      </c>
      <c r="Y76" s="18">
        <f t="shared" si="54"/>
        <v>1.6924921407783886</v>
      </c>
      <c r="Z76" s="18">
        <f t="shared" si="54"/>
        <v>1.7406797255838029</v>
      </c>
      <c r="AA76" s="56">
        <f t="shared" si="42"/>
        <v>2</v>
      </c>
      <c r="AC76" s="18">
        <f t="shared" si="55"/>
        <v>2.9172732801686676</v>
      </c>
      <c r="AD76" s="18">
        <f t="shared" si="55"/>
        <v>0.80692681645577102</v>
      </c>
      <c r="AE76" s="18">
        <f t="shared" si="55"/>
        <v>0.72348013352484164</v>
      </c>
      <c r="AF76" s="56">
        <f t="shared" si="43"/>
        <v>3</v>
      </c>
      <c r="AH76" s="18">
        <f t="shared" si="56"/>
        <v>3.0039098265644593</v>
      </c>
      <c r="AI76" s="18">
        <f t="shared" si="56"/>
        <v>0.95107514669150273</v>
      </c>
      <c r="AJ76" s="18">
        <f t="shared" si="56"/>
        <v>0.6923603280509304</v>
      </c>
      <c r="AK76" s="56">
        <f t="shared" si="44"/>
        <v>3</v>
      </c>
      <c r="AM76" s="18">
        <f t="shared" si="57"/>
        <v>3.0455659229314227</v>
      </c>
      <c r="AN76" s="18">
        <f t="shared" si="57"/>
        <v>0.97987182280399054</v>
      </c>
      <c r="AO76" s="18">
        <f t="shared" si="57"/>
        <v>0.70617897189609213</v>
      </c>
      <c r="AP76" s="56">
        <f t="shared" si="45"/>
        <v>3</v>
      </c>
      <c r="AR76" s="18">
        <f t="shared" si="58"/>
        <v>3.0455659229314227</v>
      </c>
      <c r="AS76" s="18">
        <f t="shared" si="58"/>
        <v>0.97987182280399054</v>
      </c>
      <c r="AT76" s="18">
        <f t="shared" si="58"/>
        <v>0.70617897189609213</v>
      </c>
      <c r="AU76" s="56">
        <f t="shared" si="46"/>
        <v>3</v>
      </c>
      <c r="AW76" s="18">
        <f t="shared" si="59"/>
        <v>3.0455659229314227</v>
      </c>
      <c r="AX76" s="18">
        <f t="shared" si="59"/>
        <v>0.97987182280399054</v>
      </c>
      <c r="AY76" s="18">
        <f t="shared" si="59"/>
        <v>0.70617897189609213</v>
      </c>
      <c r="AZ76" s="56">
        <f t="shared" si="47"/>
        <v>3</v>
      </c>
      <c r="BB76" s="18">
        <f t="shared" si="60"/>
        <v>3.0455659229314227</v>
      </c>
      <c r="BC76" s="18">
        <f t="shared" si="60"/>
        <v>0.97987182280399054</v>
      </c>
      <c r="BD76" s="18">
        <f t="shared" si="60"/>
        <v>0.70617897189609213</v>
      </c>
      <c r="BE76" s="56">
        <f t="shared" si="48"/>
        <v>3</v>
      </c>
      <c r="BG76" s="18">
        <f t="shared" si="61"/>
        <v>3.0455659229314227</v>
      </c>
      <c r="BH76" s="18">
        <f t="shared" si="61"/>
        <v>0.97987182280399054</v>
      </c>
      <c r="BI76" s="18">
        <f t="shared" si="61"/>
        <v>0.70617897189609213</v>
      </c>
      <c r="BJ76" s="56">
        <f t="shared" si="49"/>
        <v>3</v>
      </c>
      <c r="BL76" s="18">
        <f t="shared" si="62"/>
        <v>3.0455659229314227</v>
      </c>
      <c r="BM76" s="18">
        <f t="shared" si="62"/>
        <v>0.97987182280399054</v>
      </c>
      <c r="BN76" s="18">
        <f t="shared" si="62"/>
        <v>0.70617897189609213</v>
      </c>
      <c r="BO76" s="56">
        <f t="shared" si="50"/>
        <v>3</v>
      </c>
      <c r="BQ76" s="18">
        <f t="shared" si="63"/>
        <v>3.0455659229314227</v>
      </c>
      <c r="BR76" s="18">
        <f t="shared" si="63"/>
        <v>0.97987182280399054</v>
      </c>
      <c r="BS76" s="18">
        <f t="shared" si="63"/>
        <v>0.70617897189609213</v>
      </c>
      <c r="BT76" s="56">
        <f t="shared" si="51"/>
        <v>3</v>
      </c>
      <c r="BV76" s="18">
        <f t="shared" si="64"/>
        <v>3.0455659229314227</v>
      </c>
      <c r="BW76" s="18">
        <f t="shared" si="64"/>
        <v>0.97987182280399054</v>
      </c>
      <c r="BX76" s="18">
        <f t="shared" si="64"/>
        <v>0.70617897189609213</v>
      </c>
      <c r="BY76" s="56">
        <f t="shared" si="52"/>
        <v>3</v>
      </c>
      <c r="CA76" s="18">
        <f t="shared" si="65"/>
        <v>3.0455659229314227</v>
      </c>
      <c r="CB76" s="18">
        <f t="shared" si="65"/>
        <v>0.97987182280399054</v>
      </c>
      <c r="CC76" s="18">
        <f t="shared" si="65"/>
        <v>0.70617897189609213</v>
      </c>
      <c r="CD76" s="56">
        <f t="shared" si="53"/>
        <v>3</v>
      </c>
    </row>
    <row r="77" spans="1:82" x14ac:dyDescent="0.25">
      <c r="A77" s="63">
        <f>Phase_Data!A59</f>
        <v>43941</v>
      </c>
      <c r="B77" s="18">
        <f>Phase_Data!K59</f>
        <v>0.50347464678680709</v>
      </c>
      <c r="C77" s="18">
        <f>Phase_Data!L59</f>
        <v>0.59179035397691115</v>
      </c>
      <c r="D77" s="18">
        <f>Phase_Data!M59</f>
        <v>0.32120868363924809</v>
      </c>
      <c r="E77" s="56">
        <f t="shared" si="39"/>
        <v>3</v>
      </c>
      <c r="F77" s="38">
        <f t="shared" si="40"/>
        <v>0.43554079860551259</v>
      </c>
      <c r="G77" s="13" t="str">
        <f t="shared" si="41"/>
        <v>Medium activity</v>
      </c>
      <c r="X77" s="18">
        <f t="shared" si="54"/>
        <v>3.290369486970453</v>
      </c>
      <c r="Y77" s="18">
        <f t="shared" si="54"/>
        <v>1.7437690627127769</v>
      </c>
      <c r="Z77" s="18">
        <f t="shared" si="54"/>
        <v>1.6176039850692652</v>
      </c>
      <c r="AA77" s="56">
        <f t="shared" si="42"/>
        <v>3</v>
      </c>
      <c r="AC77" s="18">
        <f t="shared" si="55"/>
        <v>2.9022782474078852</v>
      </c>
      <c r="AD77" s="18">
        <f t="shared" si="55"/>
        <v>0.87415311473810875</v>
      </c>
      <c r="AE77" s="18">
        <f t="shared" si="55"/>
        <v>0.65648986614401894</v>
      </c>
      <c r="AF77" s="56">
        <f t="shared" si="43"/>
        <v>3</v>
      </c>
      <c r="AH77" s="18">
        <f t="shared" si="56"/>
        <v>2.9891283887911695</v>
      </c>
      <c r="AI77" s="18">
        <f t="shared" si="56"/>
        <v>1.0095289314963434</v>
      </c>
      <c r="AJ77" s="18">
        <f t="shared" si="56"/>
        <v>0.64283882283010729</v>
      </c>
      <c r="AK77" s="56">
        <f t="shared" si="44"/>
        <v>3</v>
      </c>
      <c r="AM77" s="18">
        <f t="shared" si="57"/>
        <v>3.0312076480035959</v>
      </c>
      <c r="AN77" s="18">
        <f t="shared" si="57"/>
        <v>1.0366874128361228</v>
      </c>
      <c r="AO77" s="18">
        <f t="shared" si="57"/>
        <v>0.65995514893476859</v>
      </c>
      <c r="AP77" s="56">
        <f t="shared" si="45"/>
        <v>3</v>
      </c>
      <c r="AR77" s="18">
        <f t="shared" si="58"/>
        <v>3.0312076480035959</v>
      </c>
      <c r="AS77" s="18">
        <f t="shared" si="58"/>
        <v>1.0366874128361228</v>
      </c>
      <c r="AT77" s="18">
        <f t="shared" si="58"/>
        <v>0.65995514893476859</v>
      </c>
      <c r="AU77" s="56">
        <f t="shared" si="46"/>
        <v>3</v>
      </c>
      <c r="AW77" s="18">
        <f t="shared" si="59"/>
        <v>3.0312076480035959</v>
      </c>
      <c r="AX77" s="18">
        <f t="shared" si="59"/>
        <v>1.0366874128361228</v>
      </c>
      <c r="AY77" s="18">
        <f t="shared" si="59"/>
        <v>0.65995514893476859</v>
      </c>
      <c r="AZ77" s="56">
        <f t="shared" si="47"/>
        <v>3</v>
      </c>
      <c r="BB77" s="18">
        <f t="shared" si="60"/>
        <v>3.0312076480035959</v>
      </c>
      <c r="BC77" s="18">
        <f t="shared" si="60"/>
        <v>1.0366874128361228</v>
      </c>
      <c r="BD77" s="18">
        <f t="shared" si="60"/>
        <v>0.65995514893476859</v>
      </c>
      <c r="BE77" s="56">
        <f t="shared" si="48"/>
        <v>3</v>
      </c>
      <c r="BG77" s="18">
        <f t="shared" si="61"/>
        <v>3.0312076480035959</v>
      </c>
      <c r="BH77" s="18">
        <f t="shared" si="61"/>
        <v>1.0366874128361228</v>
      </c>
      <c r="BI77" s="18">
        <f t="shared" si="61"/>
        <v>0.65995514893476859</v>
      </c>
      <c r="BJ77" s="56">
        <f t="shared" si="49"/>
        <v>3</v>
      </c>
      <c r="BL77" s="18">
        <f t="shared" si="62"/>
        <v>3.0312076480035959</v>
      </c>
      <c r="BM77" s="18">
        <f t="shared" si="62"/>
        <v>1.0366874128361228</v>
      </c>
      <c r="BN77" s="18">
        <f t="shared" si="62"/>
        <v>0.65995514893476859</v>
      </c>
      <c r="BO77" s="56">
        <f t="shared" si="50"/>
        <v>3</v>
      </c>
      <c r="BQ77" s="18">
        <f t="shared" si="63"/>
        <v>3.0312076480035959</v>
      </c>
      <c r="BR77" s="18">
        <f t="shared" si="63"/>
        <v>1.0366874128361228</v>
      </c>
      <c r="BS77" s="18">
        <f t="shared" si="63"/>
        <v>0.65995514893476859</v>
      </c>
      <c r="BT77" s="56">
        <f t="shared" si="51"/>
        <v>3</v>
      </c>
      <c r="BV77" s="18">
        <f t="shared" si="64"/>
        <v>3.0312076480035959</v>
      </c>
      <c r="BW77" s="18">
        <f t="shared" si="64"/>
        <v>1.0366874128361228</v>
      </c>
      <c r="BX77" s="18">
        <f t="shared" si="64"/>
        <v>0.65995514893476859</v>
      </c>
      <c r="BY77" s="56">
        <f t="shared" si="52"/>
        <v>3</v>
      </c>
      <c r="CA77" s="18">
        <f t="shared" si="65"/>
        <v>3.0312076480035959</v>
      </c>
      <c r="CB77" s="18">
        <f t="shared" si="65"/>
        <v>1.0366874128361228</v>
      </c>
      <c r="CC77" s="18">
        <f t="shared" si="65"/>
        <v>0.65995514893476859</v>
      </c>
      <c r="CD77" s="56">
        <f t="shared" si="53"/>
        <v>3</v>
      </c>
    </row>
    <row r="78" spans="1:82" x14ac:dyDescent="0.25">
      <c r="A78" s="63">
        <f>Phase_Data!A60</f>
        <v>43942</v>
      </c>
      <c r="B78" s="18">
        <f>Phase_Data!K60</f>
        <v>0.48618466307548941</v>
      </c>
      <c r="C78" s="18">
        <f>Phase_Data!L60</f>
        <v>0.75041592995154327</v>
      </c>
      <c r="D78" s="18">
        <f>Phase_Data!M60</f>
        <v>0.5146629244919233</v>
      </c>
      <c r="E78" s="56">
        <f t="shared" si="39"/>
        <v>2</v>
      </c>
      <c r="F78" s="38">
        <f t="shared" si="40"/>
        <v>0.6717203921755095</v>
      </c>
      <c r="G78" s="13" t="str">
        <f t="shared" si="41"/>
        <v>High activity</v>
      </c>
      <c r="X78" s="18">
        <f t="shared" si="54"/>
        <v>3.4743173513731755</v>
      </c>
      <c r="Y78" s="18">
        <f t="shared" si="54"/>
        <v>1.5284861728171861</v>
      </c>
      <c r="Z78" s="18">
        <f t="shared" si="54"/>
        <v>1.8012654860644068</v>
      </c>
      <c r="AA78" s="56">
        <f t="shared" si="42"/>
        <v>2</v>
      </c>
      <c r="AC78" s="18">
        <f t="shared" si="55"/>
        <v>3.0932284031927617</v>
      </c>
      <c r="AD78" s="18">
        <f t="shared" si="55"/>
        <v>0.65922219980948049</v>
      </c>
      <c r="AE78" s="18">
        <f t="shared" si="55"/>
        <v>0.89369672374838138</v>
      </c>
      <c r="AF78" s="56">
        <f t="shared" si="43"/>
        <v>2</v>
      </c>
      <c r="AH78" s="18">
        <f t="shared" si="56"/>
        <v>3.1792034688891477</v>
      </c>
      <c r="AI78" s="18">
        <f t="shared" si="56"/>
        <v>0.7933280773539827</v>
      </c>
      <c r="AJ78" s="18">
        <f t="shared" si="56"/>
        <v>0.87106096907793107</v>
      </c>
      <c r="AK78" s="56">
        <f t="shared" si="44"/>
        <v>2</v>
      </c>
      <c r="AM78" s="18">
        <f t="shared" si="57"/>
        <v>3.2204443221280887</v>
      </c>
      <c r="AN78" s="18">
        <f t="shared" si="57"/>
        <v>0.81958550022283183</v>
      </c>
      <c r="AO78" s="18">
        <f t="shared" si="57"/>
        <v>0.88640833957786724</v>
      </c>
      <c r="AP78" s="56">
        <f t="shared" si="45"/>
        <v>2</v>
      </c>
      <c r="AR78" s="18">
        <f t="shared" si="58"/>
        <v>3.2204443221280887</v>
      </c>
      <c r="AS78" s="18">
        <f t="shared" si="58"/>
        <v>0.81958550022283183</v>
      </c>
      <c r="AT78" s="18">
        <f t="shared" si="58"/>
        <v>0.88640833957786724</v>
      </c>
      <c r="AU78" s="56">
        <f t="shared" si="46"/>
        <v>2</v>
      </c>
      <c r="AW78" s="18">
        <f t="shared" si="59"/>
        <v>3.2204443221280887</v>
      </c>
      <c r="AX78" s="18">
        <f t="shared" si="59"/>
        <v>0.81958550022283183</v>
      </c>
      <c r="AY78" s="18">
        <f t="shared" si="59"/>
        <v>0.88640833957786724</v>
      </c>
      <c r="AZ78" s="56">
        <f t="shared" si="47"/>
        <v>2</v>
      </c>
      <c r="BB78" s="18">
        <f t="shared" si="60"/>
        <v>3.2204443221280887</v>
      </c>
      <c r="BC78" s="18">
        <f t="shared" si="60"/>
        <v>0.81958550022283183</v>
      </c>
      <c r="BD78" s="18">
        <f t="shared" si="60"/>
        <v>0.88640833957786724</v>
      </c>
      <c r="BE78" s="56">
        <f t="shared" si="48"/>
        <v>2</v>
      </c>
      <c r="BG78" s="18">
        <f t="shared" si="61"/>
        <v>3.2204443221280887</v>
      </c>
      <c r="BH78" s="18">
        <f t="shared" si="61"/>
        <v>0.81958550022283183</v>
      </c>
      <c r="BI78" s="18">
        <f t="shared" si="61"/>
        <v>0.88640833957786724</v>
      </c>
      <c r="BJ78" s="56">
        <f t="shared" si="49"/>
        <v>2</v>
      </c>
      <c r="BL78" s="18">
        <f t="shared" si="62"/>
        <v>3.2204443221280887</v>
      </c>
      <c r="BM78" s="18">
        <f t="shared" si="62"/>
        <v>0.81958550022283183</v>
      </c>
      <c r="BN78" s="18">
        <f t="shared" si="62"/>
        <v>0.88640833957786724</v>
      </c>
      <c r="BO78" s="56">
        <f t="shared" si="50"/>
        <v>2</v>
      </c>
      <c r="BQ78" s="18">
        <f t="shared" si="63"/>
        <v>3.2204443221280887</v>
      </c>
      <c r="BR78" s="18">
        <f t="shared" si="63"/>
        <v>0.81958550022283183</v>
      </c>
      <c r="BS78" s="18">
        <f t="shared" si="63"/>
        <v>0.88640833957786724</v>
      </c>
      <c r="BT78" s="56">
        <f t="shared" si="51"/>
        <v>2</v>
      </c>
      <c r="BV78" s="18">
        <f t="shared" si="64"/>
        <v>3.2204443221280887</v>
      </c>
      <c r="BW78" s="18">
        <f t="shared" si="64"/>
        <v>0.81958550022283183</v>
      </c>
      <c r="BX78" s="18">
        <f t="shared" si="64"/>
        <v>0.88640833957786724</v>
      </c>
      <c r="BY78" s="56">
        <f t="shared" si="52"/>
        <v>2</v>
      </c>
      <c r="CA78" s="18">
        <f t="shared" si="65"/>
        <v>3.2204443221280887</v>
      </c>
      <c r="CB78" s="18">
        <f t="shared" si="65"/>
        <v>0.81958550022283183</v>
      </c>
      <c r="CC78" s="18">
        <f t="shared" si="65"/>
        <v>0.88640833957786724</v>
      </c>
      <c r="CD78" s="56">
        <f t="shared" si="53"/>
        <v>2</v>
      </c>
    </row>
    <row r="79" spans="1:82" x14ac:dyDescent="0.25">
      <c r="A79" s="63">
        <f>Phase_Data!A61</f>
        <v>43943</v>
      </c>
      <c r="B79" s="18">
        <f>Phase_Data!K61</f>
        <v>0.5359589087704425</v>
      </c>
      <c r="C79" s="18">
        <f>Phase_Data!L61</f>
        <v>0.3844347864385132</v>
      </c>
      <c r="D79" s="18">
        <f>Phase_Data!M61</f>
        <v>0.35631822891479303</v>
      </c>
      <c r="E79" s="56">
        <f t="shared" si="39"/>
        <v>3</v>
      </c>
      <c r="F79" s="38">
        <f t="shared" si="40"/>
        <v>0.31165162832967314</v>
      </c>
      <c r="G79" s="13" t="str">
        <f t="shared" si="41"/>
        <v>Medium activity</v>
      </c>
      <c r="X79" s="18">
        <f t="shared" si="54"/>
        <v>3.2076876844186795</v>
      </c>
      <c r="Y79" s="18">
        <f t="shared" si="54"/>
        <v>1.8204396828852765</v>
      </c>
      <c r="Z79" s="18">
        <f t="shared" si="54"/>
        <v>1.6855821485463649</v>
      </c>
      <c r="AA79" s="56">
        <f t="shared" si="42"/>
        <v>3</v>
      </c>
      <c r="AC79" s="18">
        <f t="shared" si="55"/>
        <v>2.8135374672623281</v>
      </c>
      <c r="AD79" s="18">
        <f t="shared" si="55"/>
        <v>0.93948395219815517</v>
      </c>
      <c r="AE79" s="18">
        <f t="shared" si="55"/>
        <v>0.58382921055659076</v>
      </c>
      <c r="AF79" s="56">
        <f t="shared" si="43"/>
        <v>3</v>
      </c>
      <c r="AH79" s="18">
        <f t="shared" si="56"/>
        <v>2.9022116067231347</v>
      </c>
      <c r="AI79" s="18">
        <f t="shared" si="56"/>
        <v>1.0850480550445354</v>
      </c>
      <c r="AJ79" s="18">
        <f t="shared" si="56"/>
        <v>0.54819172865757326</v>
      </c>
      <c r="AK79" s="56">
        <f t="shared" si="44"/>
        <v>3</v>
      </c>
      <c r="AM79" s="18">
        <f t="shared" si="57"/>
        <v>2.9453466944263016</v>
      </c>
      <c r="AN79" s="18">
        <f t="shared" si="57"/>
        <v>1.1157500388081296</v>
      </c>
      <c r="AO79" s="18">
        <f t="shared" si="57"/>
        <v>0.55825767198460707</v>
      </c>
      <c r="AP79" s="56">
        <f t="shared" si="45"/>
        <v>3</v>
      </c>
      <c r="AR79" s="18">
        <f t="shared" si="58"/>
        <v>2.9453466944263016</v>
      </c>
      <c r="AS79" s="18">
        <f t="shared" si="58"/>
        <v>1.1157500388081296</v>
      </c>
      <c r="AT79" s="18">
        <f t="shared" si="58"/>
        <v>0.55825767198460707</v>
      </c>
      <c r="AU79" s="56">
        <f t="shared" si="46"/>
        <v>3</v>
      </c>
      <c r="AW79" s="18">
        <f t="shared" si="59"/>
        <v>2.9453466944263016</v>
      </c>
      <c r="AX79" s="18">
        <f t="shared" si="59"/>
        <v>1.1157500388081296</v>
      </c>
      <c r="AY79" s="18">
        <f t="shared" si="59"/>
        <v>0.55825767198460707</v>
      </c>
      <c r="AZ79" s="56">
        <f t="shared" si="47"/>
        <v>3</v>
      </c>
      <c r="BB79" s="18">
        <f t="shared" si="60"/>
        <v>2.9453466944263016</v>
      </c>
      <c r="BC79" s="18">
        <f t="shared" si="60"/>
        <v>1.1157500388081296</v>
      </c>
      <c r="BD79" s="18">
        <f t="shared" si="60"/>
        <v>0.55825767198460707</v>
      </c>
      <c r="BE79" s="56">
        <f t="shared" si="48"/>
        <v>3</v>
      </c>
      <c r="BG79" s="18">
        <f t="shared" si="61"/>
        <v>2.9453466944263016</v>
      </c>
      <c r="BH79" s="18">
        <f t="shared" si="61"/>
        <v>1.1157500388081296</v>
      </c>
      <c r="BI79" s="18">
        <f t="shared" si="61"/>
        <v>0.55825767198460707</v>
      </c>
      <c r="BJ79" s="56">
        <f t="shared" si="49"/>
        <v>3</v>
      </c>
      <c r="BL79" s="18">
        <f t="shared" si="62"/>
        <v>2.9453466944263016</v>
      </c>
      <c r="BM79" s="18">
        <f t="shared" si="62"/>
        <v>1.1157500388081296</v>
      </c>
      <c r="BN79" s="18">
        <f t="shared" si="62"/>
        <v>0.55825767198460707</v>
      </c>
      <c r="BO79" s="56">
        <f t="shared" si="50"/>
        <v>3</v>
      </c>
      <c r="BQ79" s="18">
        <f t="shared" si="63"/>
        <v>2.9453466944263016</v>
      </c>
      <c r="BR79" s="18">
        <f t="shared" si="63"/>
        <v>1.1157500388081296</v>
      </c>
      <c r="BS79" s="18">
        <f t="shared" si="63"/>
        <v>0.55825767198460707</v>
      </c>
      <c r="BT79" s="56">
        <f t="shared" si="51"/>
        <v>3</v>
      </c>
      <c r="BV79" s="18">
        <f t="shared" si="64"/>
        <v>2.9453466944263016</v>
      </c>
      <c r="BW79" s="18">
        <f t="shared" si="64"/>
        <v>1.1157500388081296</v>
      </c>
      <c r="BX79" s="18">
        <f t="shared" si="64"/>
        <v>0.55825767198460707</v>
      </c>
      <c r="BY79" s="56">
        <f t="shared" si="52"/>
        <v>3</v>
      </c>
      <c r="CA79" s="18">
        <f t="shared" si="65"/>
        <v>2.9453466944263016</v>
      </c>
      <c r="CB79" s="18">
        <f t="shared" si="65"/>
        <v>1.1157500388081296</v>
      </c>
      <c r="CC79" s="18">
        <f t="shared" si="65"/>
        <v>0.55825767198460707</v>
      </c>
      <c r="CD79" s="56">
        <f t="shared" si="53"/>
        <v>3</v>
      </c>
    </row>
    <row r="80" spans="1:82" x14ac:dyDescent="0.25">
      <c r="A80" s="63">
        <f>Phase_Data!A62</f>
        <v>43944</v>
      </c>
      <c r="B80" s="18">
        <f>Phase_Data!K62</f>
        <v>0.46439728332349428</v>
      </c>
      <c r="C80" s="18">
        <f>Phase_Data!L62</f>
        <v>8.442828231319699E-2</v>
      </c>
      <c r="D80" s="18">
        <f>Phase_Data!M62</f>
        <v>0.87854838259781298</v>
      </c>
      <c r="E80" s="56">
        <f t="shared" si="39"/>
        <v>3</v>
      </c>
      <c r="F80" s="38">
        <f t="shared" si="40"/>
        <v>0.86407876089984081</v>
      </c>
      <c r="G80" s="13" t="str">
        <f t="shared" si="41"/>
        <v>Medium activity</v>
      </c>
      <c r="X80" s="18">
        <f t="shared" si="54"/>
        <v>3.3148450323086305</v>
      </c>
      <c r="Y80" s="18">
        <f t="shared" si="54"/>
        <v>1.758419592228688</v>
      </c>
      <c r="Z80" s="18">
        <f t="shared" si="54"/>
        <v>2.2737763369252657</v>
      </c>
      <c r="AA80" s="56">
        <f t="shared" si="42"/>
        <v>2</v>
      </c>
      <c r="AC80" s="18">
        <f t="shared" si="55"/>
        <v>2.9306189799423632</v>
      </c>
      <c r="AD80" s="18">
        <f t="shared" si="55"/>
        <v>0.93091326024286791</v>
      </c>
      <c r="AE80" s="18">
        <f t="shared" si="55"/>
        <v>1.0226628041221772</v>
      </c>
      <c r="AF80" s="56">
        <f t="shared" si="43"/>
        <v>2</v>
      </c>
      <c r="AH80" s="18">
        <f t="shared" si="56"/>
        <v>3.020072118927557</v>
      </c>
      <c r="AI80" s="18">
        <f t="shared" si="56"/>
        <v>1.0854994572499999</v>
      </c>
      <c r="AJ80" s="18">
        <f t="shared" si="56"/>
        <v>0.93751574064905785</v>
      </c>
      <c r="AK80" s="56">
        <f t="shared" si="44"/>
        <v>3</v>
      </c>
      <c r="AM80" s="18">
        <f t="shared" si="57"/>
        <v>3.0629412742751652</v>
      </c>
      <c r="AN80" s="18">
        <f t="shared" si="57"/>
        <v>1.1216827724916663</v>
      </c>
      <c r="AO80" s="18">
        <f t="shared" si="57"/>
        <v>0.92955836874283526</v>
      </c>
      <c r="AP80" s="56">
        <f t="shared" si="45"/>
        <v>3</v>
      </c>
      <c r="AR80" s="18">
        <f t="shared" si="58"/>
        <v>3.0629412742751652</v>
      </c>
      <c r="AS80" s="18">
        <f t="shared" si="58"/>
        <v>1.1216827724916663</v>
      </c>
      <c r="AT80" s="18">
        <f t="shared" si="58"/>
        <v>0.92955836874283526</v>
      </c>
      <c r="AU80" s="56">
        <f t="shared" si="46"/>
        <v>3</v>
      </c>
      <c r="AW80" s="18">
        <f t="shared" si="59"/>
        <v>3.0629412742751652</v>
      </c>
      <c r="AX80" s="18">
        <f t="shared" si="59"/>
        <v>1.1216827724916663</v>
      </c>
      <c r="AY80" s="18">
        <f t="shared" si="59"/>
        <v>0.92955836874283526</v>
      </c>
      <c r="AZ80" s="56">
        <f t="shared" si="47"/>
        <v>3</v>
      </c>
      <c r="BB80" s="18">
        <f t="shared" si="60"/>
        <v>3.0629412742751652</v>
      </c>
      <c r="BC80" s="18">
        <f t="shared" si="60"/>
        <v>1.1216827724916663</v>
      </c>
      <c r="BD80" s="18">
        <f t="shared" si="60"/>
        <v>0.92955836874283526</v>
      </c>
      <c r="BE80" s="56">
        <f t="shared" si="48"/>
        <v>3</v>
      </c>
      <c r="BG80" s="18">
        <f t="shared" si="61"/>
        <v>3.0629412742751652</v>
      </c>
      <c r="BH80" s="18">
        <f t="shared" si="61"/>
        <v>1.1216827724916663</v>
      </c>
      <c r="BI80" s="18">
        <f t="shared" si="61"/>
        <v>0.92955836874283526</v>
      </c>
      <c r="BJ80" s="56">
        <f t="shared" si="49"/>
        <v>3</v>
      </c>
      <c r="BL80" s="18">
        <f t="shared" si="62"/>
        <v>3.0629412742751652</v>
      </c>
      <c r="BM80" s="18">
        <f t="shared" si="62"/>
        <v>1.1216827724916663</v>
      </c>
      <c r="BN80" s="18">
        <f t="shared" si="62"/>
        <v>0.92955836874283526</v>
      </c>
      <c r="BO80" s="56">
        <f t="shared" si="50"/>
        <v>3</v>
      </c>
      <c r="BQ80" s="18">
        <f t="shared" si="63"/>
        <v>3.0629412742751652</v>
      </c>
      <c r="BR80" s="18">
        <f t="shared" si="63"/>
        <v>1.1216827724916663</v>
      </c>
      <c r="BS80" s="18">
        <f t="shared" si="63"/>
        <v>0.92955836874283526</v>
      </c>
      <c r="BT80" s="56">
        <f t="shared" si="51"/>
        <v>3</v>
      </c>
      <c r="BV80" s="18">
        <f t="shared" si="64"/>
        <v>3.0629412742751652</v>
      </c>
      <c r="BW80" s="18">
        <f t="shared" si="64"/>
        <v>1.1216827724916663</v>
      </c>
      <c r="BX80" s="18">
        <f t="shared" si="64"/>
        <v>0.92955836874283526</v>
      </c>
      <c r="BY80" s="56">
        <f t="shared" si="52"/>
        <v>3</v>
      </c>
      <c r="CA80" s="18">
        <f t="shared" si="65"/>
        <v>3.0629412742751652</v>
      </c>
      <c r="CB80" s="18">
        <f t="shared" si="65"/>
        <v>1.1216827724916663</v>
      </c>
      <c r="CC80" s="18">
        <f t="shared" si="65"/>
        <v>0.92955836874283526</v>
      </c>
      <c r="CD80" s="56">
        <f t="shared" si="53"/>
        <v>3</v>
      </c>
    </row>
    <row r="81" spans="1:82" x14ac:dyDescent="0.25">
      <c r="A81" s="63">
        <f>Phase_Data!A63</f>
        <v>43945</v>
      </c>
      <c r="B81" s="18">
        <f>Phase_Data!K63</f>
        <v>0.39158967795072319</v>
      </c>
      <c r="C81" s="18">
        <f>Phase_Data!L63</f>
        <v>0.27976575426520373</v>
      </c>
      <c r="D81" s="18">
        <f>Phase_Data!M63</f>
        <v>0.61534815404878818</v>
      </c>
      <c r="E81" s="56">
        <f t="shared" si="39"/>
        <v>3</v>
      </c>
      <c r="F81" s="38">
        <f t="shared" si="40"/>
        <v>0.46883057575353015</v>
      </c>
      <c r="G81" s="13" t="str">
        <f t="shared" si="41"/>
        <v>Medium activity</v>
      </c>
      <c r="X81" s="18">
        <f t="shared" si="54"/>
        <v>3.2020916989272661</v>
      </c>
      <c r="Y81" s="18">
        <f t="shared" si="54"/>
        <v>1.781152829592513</v>
      </c>
      <c r="Z81" s="18">
        <f t="shared" si="54"/>
        <v>1.9762220958311316</v>
      </c>
      <c r="AA81" s="56">
        <f t="shared" si="42"/>
        <v>2</v>
      </c>
      <c r="AC81" s="18">
        <f t="shared" si="55"/>
        <v>2.8158926782556928</v>
      </c>
      <c r="AD81" s="18">
        <f t="shared" si="55"/>
        <v>0.8914492408334489</v>
      </c>
      <c r="AE81" s="18">
        <f t="shared" si="55"/>
        <v>0.75911694886819869</v>
      </c>
      <c r="AF81" s="56">
        <f t="shared" si="43"/>
        <v>3</v>
      </c>
      <c r="AH81" s="18">
        <f t="shared" si="56"/>
        <v>2.904543845531808</v>
      </c>
      <c r="AI81" s="18">
        <f t="shared" si="56"/>
        <v>1.0517316567770298</v>
      </c>
      <c r="AJ81" s="18">
        <f t="shared" si="56"/>
        <v>0.68522752782813634</v>
      </c>
      <c r="AK81" s="56">
        <f t="shared" si="44"/>
        <v>3</v>
      </c>
      <c r="AM81" s="18">
        <f t="shared" si="57"/>
        <v>2.9470751039863363</v>
      </c>
      <c r="AN81" s="18">
        <f t="shared" si="57"/>
        <v>1.0862040603091887</v>
      </c>
      <c r="AO81" s="18">
        <f t="shared" si="57"/>
        <v>0.68471203856331475</v>
      </c>
      <c r="AP81" s="56">
        <f t="shared" si="45"/>
        <v>3</v>
      </c>
      <c r="AR81" s="18">
        <f t="shared" si="58"/>
        <v>2.9470751039863363</v>
      </c>
      <c r="AS81" s="18">
        <f t="shared" si="58"/>
        <v>1.0862040603091887</v>
      </c>
      <c r="AT81" s="18">
        <f t="shared" si="58"/>
        <v>0.68471203856331475</v>
      </c>
      <c r="AU81" s="56">
        <f t="shared" si="46"/>
        <v>3</v>
      </c>
      <c r="AW81" s="18">
        <f t="shared" si="59"/>
        <v>2.9470751039863363</v>
      </c>
      <c r="AX81" s="18">
        <f t="shared" si="59"/>
        <v>1.0862040603091887</v>
      </c>
      <c r="AY81" s="18">
        <f t="shared" si="59"/>
        <v>0.68471203856331475</v>
      </c>
      <c r="AZ81" s="56">
        <f t="shared" si="47"/>
        <v>3</v>
      </c>
      <c r="BB81" s="18">
        <f t="shared" si="60"/>
        <v>2.9470751039863363</v>
      </c>
      <c r="BC81" s="18">
        <f t="shared" si="60"/>
        <v>1.0862040603091887</v>
      </c>
      <c r="BD81" s="18">
        <f t="shared" si="60"/>
        <v>0.68471203856331475</v>
      </c>
      <c r="BE81" s="56">
        <f t="shared" si="48"/>
        <v>3</v>
      </c>
      <c r="BG81" s="18">
        <f t="shared" si="61"/>
        <v>2.9470751039863363</v>
      </c>
      <c r="BH81" s="18">
        <f t="shared" si="61"/>
        <v>1.0862040603091887</v>
      </c>
      <c r="BI81" s="18">
        <f t="shared" si="61"/>
        <v>0.68471203856331475</v>
      </c>
      <c r="BJ81" s="56">
        <f t="shared" si="49"/>
        <v>3</v>
      </c>
      <c r="BL81" s="18">
        <f t="shared" si="62"/>
        <v>2.9470751039863363</v>
      </c>
      <c r="BM81" s="18">
        <f t="shared" si="62"/>
        <v>1.0862040603091887</v>
      </c>
      <c r="BN81" s="18">
        <f t="shared" si="62"/>
        <v>0.68471203856331475</v>
      </c>
      <c r="BO81" s="56">
        <f t="shared" si="50"/>
        <v>3</v>
      </c>
      <c r="BQ81" s="18">
        <f t="shared" si="63"/>
        <v>2.9470751039863363</v>
      </c>
      <c r="BR81" s="18">
        <f t="shared" si="63"/>
        <v>1.0862040603091887</v>
      </c>
      <c r="BS81" s="18">
        <f t="shared" si="63"/>
        <v>0.68471203856331475</v>
      </c>
      <c r="BT81" s="56">
        <f t="shared" si="51"/>
        <v>3</v>
      </c>
      <c r="BV81" s="18">
        <f t="shared" si="64"/>
        <v>2.9470751039863363</v>
      </c>
      <c r="BW81" s="18">
        <f t="shared" si="64"/>
        <v>1.0862040603091887</v>
      </c>
      <c r="BX81" s="18">
        <f t="shared" si="64"/>
        <v>0.68471203856331475</v>
      </c>
      <c r="BY81" s="56">
        <f t="shared" si="52"/>
        <v>3</v>
      </c>
      <c r="CA81" s="18">
        <f t="shared" si="65"/>
        <v>2.9470751039863363</v>
      </c>
      <c r="CB81" s="18">
        <f t="shared" si="65"/>
        <v>1.0862040603091887</v>
      </c>
      <c r="CC81" s="18">
        <f t="shared" si="65"/>
        <v>0.68471203856331475</v>
      </c>
      <c r="CD81" s="56">
        <f t="shared" si="53"/>
        <v>3</v>
      </c>
    </row>
    <row r="82" spans="1:82" x14ac:dyDescent="0.25">
      <c r="A82" s="63">
        <f>Phase_Data!A64</f>
        <v>43946</v>
      </c>
      <c r="B82" s="18">
        <f>Phase_Data!K64</f>
        <v>0.60937268442024939</v>
      </c>
      <c r="C82" s="18">
        <f>Phase_Data!L64</f>
        <v>0.43128126868230932</v>
      </c>
      <c r="D82" s="18">
        <f>Phase_Data!M64</f>
        <v>8.3171545208802197E-2</v>
      </c>
      <c r="E82" s="56">
        <f t="shared" si="39"/>
        <v>3</v>
      </c>
      <c r="F82" s="38">
        <f t="shared" si="40"/>
        <v>0.25147094079797938</v>
      </c>
      <c r="G82" s="13" t="str">
        <f t="shared" si="41"/>
        <v>Medium activity</v>
      </c>
      <c r="X82" s="18">
        <f t="shared" si="54"/>
        <v>3.1551401355044981</v>
      </c>
      <c r="Y82" s="18">
        <f t="shared" si="54"/>
        <v>1.9738627909990036</v>
      </c>
      <c r="Z82" s="18">
        <f t="shared" si="54"/>
        <v>1.4054490051567461</v>
      </c>
      <c r="AA82" s="56">
        <f t="shared" si="42"/>
        <v>3</v>
      </c>
      <c r="AC82" s="18">
        <f t="shared" si="55"/>
        <v>2.7576024210672596</v>
      </c>
      <c r="AD82" s="18">
        <f t="shared" si="55"/>
        <v>1.1270782663928365</v>
      </c>
      <c r="AE82" s="18">
        <f t="shared" si="55"/>
        <v>0.46213717244976571</v>
      </c>
      <c r="AF82" s="56">
        <f t="shared" si="43"/>
        <v>3</v>
      </c>
      <c r="AH82" s="18">
        <f t="shared" si="56"/>
        <v>2.8453457692204145</v>
      </c>
      <c r="AI82" s="18">
        <f t="shared" si="56"/>
        <v>1.2555201785978714</v>
      </c>
      <c r="AJ82" s="18">
        <f t="shared" si="56"/>
        <v>0.48177656838619565</v>
      </c>
      <c r="AK82" s="56">
        <f t="shared" si="44"/>
        <v>3</v>
      </c>
      <c r="AM82" s="18">
        <f t="shared" si="57"/>
        <v>2.8885811096114837</v>
      </c>
      <c r="AN82" s="18">
        <f t="shared" si="57"/>
        <v>1.2820542805861022</v>
      </c>
      <c r="AO82" s="18">
        <f t="shared" si="57"/>
        <v>0.50146878347308854</v>
      </c>
      <c r="AP82" s="56">
        <f t="shared" si="45"/>
        <v>3</v>
      </c>
      <c r="AR82" s="18">
        <f t="shared" si="58"/>
        <v>2.8885811096114837</v>
      </c>
      <c r="AS82" s="18">
        <f t="shared" si="58"/>
        <v>1.2820542805861022</v>
      </c>
      <c r="AT82" s="18">
        <f t="shared" si="58"/>
        <v>0.50146878347308854</v>
      </c>
      <c r="AU82" s="56">
        <f t="shared" si="46"/>
        <v>3</v>
      </c>
      <c r="AW82" s="18">
        <f t="shared" si="59"/>
        <v>2.8885811096114837</v>
      </c>
      <c r="AX82" s="18">
        <f t="shared" si="59"/>
        <v>1.2820542805861022</v>
      </c>
      <c r="AY82" s="18">
        <f t="shared" si="59"/>
        <v>0.50146878347308854</v>
      </c>
      <c r="AZ82" s="56">
        <f t="shared" si="47"/>
        <v>3</v>
      </c>
      <c r="BB82" s="18">
        <f t="shared" si="60"/>
        <v>2.8885811096114837</v>
      </c>
      <c r="BC82" s="18">
        <f t="shared" si="60"/>
        <v>1.2820542805861022</v>
      </c>
      <c r="BD82" s="18">
        <f t="shared" si="60"/>
        <v>0.50146878347308854</v>
      </c>
      <c r="BE82" s="56">
        <f t="shared" si="48"/>
        <v>3</v>
      </c>
      <c r="BG82" s="18">
        <f t="shared" si="61"/>
        <v>2.8885811096114837</v>
      </c>
      <c r="BH82" s="18">
        <f t="shared" si="61"/>
        <v>1.2820542805861022</v>
      </c>
      <c r="BI82" s="18">
        <f t="shared" si="61"/>
        <v>0.50146878347308854</v>
      </c>
      <c r="BJ82" s="56">
        <f t="shared" si="49"/>
        <v>3</v>
      </c>
      <c r="BL82" s="18">
        <f t="shared" si="62"/>
        <v>2.8885811096114837</v>
      </c>
      <c r="BM82" s="18">
        <f t="shared" si="62"/>
        <v>1.2820542805861022</v>
      </c>
      <c r="BN82" s="18">
        <f t="shared" si="62"/>
        <v>0.50146878347308854</v>
      </c>
      <c r="BO82" s="56">
        <f t="shared" si="50"/>
        <v>3</v>
      </c>
      <c r="BQ82" s="18">
        <f t="shared" si="63"/>
        <v>2.8885811096114837</v>
      </c>
      <c r="BR82" s="18">
        <f t="shared" si="63"/>
        <v>1.2820542805861022</v>
      </c>
      <c r="BS82" s="18">
        <f t="shared" si="63"/>
        <v>0.50146878347308854</v>
      </c>
      <c r="BT82" s="56">
        <f t="shared" si="51"/>
        <v>3</v>
      </c>
      <c r="BV82" s="18">
        <f t="shared" si="64"/>
        <v>2.8885811096114837</v>
      </c>
      <c r="BW82" s="18">
        <f t="shared" si="64"/>
        <v>1.2820542805861022</v>
      </c>
      <c r="BX82" s="18">
        <f t="shared" si="64"/>
        <v>0.50146878347308854</v>
      </c>
      <c r="BY82" s="56">
        <f t="shared" si="52"/>
        <v>3</v>
      </c>
      <c r="CA82" s="18">
        <f t="shared" si="65"/>
        <v>2.8885811096114837</v>
      </c>
      <c r="CB82" s="18">
        <f t="shared" si="65"/>
        <v>1.2820542805861022</v>
      </c>
      <c r="CC82" s="18">
        <f t="shared" si="65"/>
        <v>0.50146878347308854</v>
      </c>
      <c r="CD82" s="56">
        <f t="shared" si="53"/>
        <v>3</v>
      </c>
    </row>
    <row r="83" spans="1:82" x14ac:dyDescent="0.25">
      <c r="A83" s="63">
        <f>Phase_Data!A65</f>
        <v>43947</v>
      </c>
      <c r="B83" s="18">
        <f>Phase_Data!K65</f>
        <v>0.47604413893776437</v>
      </c>
      <c r="C83" s="18">
        <f>Phase_Data!L65</f>
        <v>0.33411512693166617</v>
      </c>
      <c r="D83" s="18">
        <f>Phase_Data!M65</f>
        <v>0.32120868363924809</v>
      </c>
      <c r="E83" s="56">
        <f t="shared" si="39"/>
        <v>3</v>
      </c>
      <c r="F83" s="38">
        <f t="shared" si="40"/>
        <v>0.22924907892877228</v>
      </c>
      <c r="G83" s="13" t="str">
        <f t="shared" si="41"/>
        <v>Medium activity</v>
      </c>
      <c r="X83" s="18">
        <f t="shared" ref="X83:Z102" si="66">SQRT(($B83-X$16)^2+($C83-X$17)^2+($D83-X$18)^2)</f>
        <v>3.1224905730343266</v>
      </c>
      <c r="Y83" s="18">
        <f t="shared" si="66"/>
        <v>1.898270243321325</v>
      </c>
      <c r="Z83" s="18">
        <f t="shared" si="66"/>
        <v>1.6698863722144439</v>
      </c>
      <c r="AA83" s="56">
        <f t="shared" si="42"/>
        <v>3</v>
      </c>
      <c r="AC83" s="18">
        <f t="shared" ref="AC83:AE102" si="67">SQRT(($B83-AC$16)^2+($C83-AC$17)^2+($D83-AC$18)^2)</f>
        <v>2.7286108865943994</v>
      </c>
      <c r="AD83" s="18">
        <f t="shared" si="67"/>
        <v>1.0125072119121419</v>
      </c>
      <c r="AE83" s="18">
        <f t="shared" si="67"/>
        <v>0.51324915207384669</v>
      </c>
      <c r="AF83" s="56">
        <f t="shared" si="43"/>
        <v>3</v>
      </c>
      <c r="AH83" s="18">
        <f t="shared" ref="AH83:AJ102" si="68">SQRT(($B83-AH$16)^2+($C83-AH$17)^2+($D83-AH$18)^2)</f>
        <v>2.8172765426027628</v>
      </c>
      <c r="AI83" s="18">
        <f t="shared" si="68"/>
        <v>1.1605805600565784</v>
      </c>
      <c r="AJ83" s="18">
        <f t="shared" si="68"/>
        <v>0.46992538169968984</v>
      </c>
      <c r="AK83" s="56">
        <f t="shared" si="44"/>
        <v>3</v>
      </c>
      <c r="AM83" s="18">
        <f t="shared" ref="AM83:AO102" si="69">SQRT(($B83-AM$16)^2+($C83-AM$17)^2+($D83-AM$18)^2)</f>
        <v>2.8603832565500187</v>
      </c>
      <c r="AN83" s="18">
        <f t="shared" si="69"/>
        <v>1.191635342137132</v>
      </c>
      <c r="AO83" s="18">
        <f t="shared" si="69"/>
        <v>0.47879962294134304</v>
      </c>
      <c r="AP83" s="56">
        <f t="shared" si="45"/>
        <v>3</v>
      </c>
      <c r="AR83" s="18">
        <f t="shared" ref="AR83:AT102" si="70">SQRT(($B83-AR$16)^2+($C83-AR$17)^2+($D83-AR$18)^2)</f>
        <v>2.8603832565500187</v>
      </c>
      <c r="AS83" s="18">
        <f t="shared" si="70"/>
        <v>1.191635342137132</v>
      </c>
      <c r="AT83" s="18">
        <f t="shared" si="70"/>
        <v>0.47879962294134304</v>
      </c>
      <c r="AU83" s="56">
        <f t="shared" si="46"/>
        <v>3</v>
      </c>
      <c r="AW83" s="18">
        <f t="shared" ref="AW83:AY102" si="71">SQRT(($B83-AW$16)^2+($C83-AW$17)^2+($D83-AW$18)^2)</f>
        <v>2.8603832565500187</v>
      </c>
      <c r="AX83" s="18">
        <f t="shared" si="71"/>
        <v>1.191635342137132</v>
      </c>
      <c r="AY83" s="18">
        <f t="shared" si="71"/>
        <v>0.47879962294134304</v>
      </c>
      <c r="AZ83" s="56">
        <f t="shared" si="47"/>
        <v>3</v>
      </c>
      <c r="BB83" s="18">
        <f t="shared" ref="BB83:BD102" si="72">SQRT(($B83-BB$16)^2+($C83-BB$17)^2+($D83-BB$18)^2)</f>
        <v>2.8603832565500187</v>
      </c>
      <c r="BC83" s="18">
        <f t="shared" si="72"/>
        <v>1.191635342137132</v>
      </c>
      <c r="BD83" s="18">
        <f t="shared" si="72"/>
        <v>0.47879962294134304</v>
      </c>
      <c r="BE83" s="56">
        <f t="shared" si="48"/>
        <v>3</v>
      </c>
      <c r="BG83" s="18">
        <f t="shared" ref="BG83:BI102" si="73">SQRT(($B83-BG$16)^2+($C83-BG$17)^2+($D83-BG$18)^2)</f>
        <v>2.8603832565500187</v>
      </c>
      <c r="BH83" s="18">
        <f t="shared" si="73"/>
        <v>1.191635342137132</v>
      </c>
      <c r="BI83" s="18">
        <f t="shared" si="73"/>
        <v>0.47879962294134304</v>
      </c>
      <c r="BJ83" s="56">
        <f t="shared" si="49"/>
        <v>3</v>
      </c>
      <c r="BL83" s="18">
        <f t="shared" ref="BL83:BN102" si="74">SQRT(($B83-BL$16)^2+($C83-BL$17)^2+($D83-BL$18)^2)</f>
        <v>2.8603832565500187</v>
      </c>
      <c r="BM83" s="18">
        <f t="shared" si="74"/>
        <v>1.191635342137132</v>
      </c>
      <c r="BN83" s="18">
        <f t="shared" si="74"/>
        <v>0.47879962294134304</v>
      </c>
      <c r="BO83" s="56">
        <f t="shared" si="50"/>
        <v>3</v>
      </c>
      <c r="BQ83" s="18">
        <f t="shared" ref="BQ83:BS102" si="75">SQRT(($B83-BQ$16)^2+($C83-BQ$17)^2+($D83-BQ$18)^2)</f>
        <v>2.8603832565500187</v>
      </c>
      <c r="BR83" s="18">
        <f t="shared" si="75"/>
        <v>1.191635342137132</v>
      </c>
      <c r="BS83" s="18">
        <f t="shared" si="75"/>
        <v>0.47879962294134304</v>
      </c>
      <c r="BT83" s="56">
        <f t="shared" si="51"/>
        <v>3</v>
      </c>
      <c r="BV83" s="18">
        <f t="shared" ref="BV83:BX102" si="76">SQRT(($B83-BV$16)^2+($C83-BV$17)^2+($D83-BV$18)^2)</f>
        <v>2.8603832565500187</v>
      </c>
      <c r="BW83" s="18">
        <f t="shared" si="76"/>
        <v>1.191635342137132</v>
      </c>
      <c r="BX83" s="18">
        <f t="shared" si="76"/>
        <v>0.47879962294134304</v>
      </c>
      <c r="BY83" s="56">
        <f t="shared" si="52"/>
        <v>3</v>
      </c>
      <c r="CA83" s="18">
        <f t="shared" ref="CA83:CC102" si="77">SQRT(($B83-CA$16)^2+($C83-CA$17)^2+($D83-CA$18)^2)</f>
        <v>2.8603832565500187</v>
      </c>
      <c r="CB83" s="18">
        <f t="shared" si="77"/>
        <v>1.191635342137132</v>
      </c>
      <c r="CC83" s="18">
        <f t="shared" si="77"/>
        <v>0.47879962294134304</v>
      </c>
      <c r="CD83" s="56">
        <f t="shared" si="53"/>
        <v>3</v>
      </c>
    </row>
    <row r="84" spans="1:82" x14ac:dyDescent="0.25">
      <c r="A84" s="63">
        <f>Phase_Data!A66</f>
        <v>43948</v>
      </c>
      <c r="B84" s="18">
        <f>Phase_Data!K66</f>
        <v>0.52112774165247266</v>
      </c>
      <c r="C84" s="18">
        <f>Phase_Data!L66</f>
        <v>0.75041592995154327</v>
      </c>
      <c r="D84" s="18">
        <f>Phase_Data!M66</f>
        <v>0.32728658673066535</v>
      </c>
      <c r="E84" s="56">
        <f t="shared" si="39"/>
        <v>3</v>
      </c>
      <c r="F84" s="38">
        <f t="shared" si="40"/>
        <v>0.63400671303294465</v>
      </c>
      <c r="G84" s="13" t="str">
        <f t="shared" si="41"/>
        <v>Medium activity</v>
      </c>
      <c r="X84" s="18">
        <f t="shared" si="66"/>
        <v>3.4027539165362124</v>
      </c>
      <c r="Y84" s="18">
        <f t="shared" si="66"/>
        <v>1.6565092580349086</v>
      </c>
      <c r="Z84" s="18">
        <f t="shared" si="66"/>
        <v>1.6114825158743598</v>
      </c>
      <c r="AA84" s="56">
        <f t="shared" si="42"/>
        <v>3</v>
      </c>
      <c r="AC84" s="18">
        <f t="shared" si="67"/>
        <v>3.0186375698292305</v>
      </c>
      <c r="AD84" s="18">
        <f t="shared" si="67"/>
        <v>0.81284367734756813</v>
      </c>
      <c r="AE84" s="18">
        <f t="shared" si="67"/>
        <v>0.7789410753514292</v>
      </c>
      <c r="AF84" s="56">
        <f t="shared" si="43"/>
        <v>3</v>
      </c>
      <c r="AH84" s="18">
        <f t="shared" si="68"/>
        <v>3.1043283156922707</v>
      </c>
      <c r="AI84" s="18">
        <f t="shared" si="68"/>
        <v>0.93471640571638936</v>
      </c>
      <c r="AJ84" s="18">
        <f t="shared" si="68"/>
        <v>0.77670026778856494</v>
      </c>
      <c r="AK84" s="56">
        <f t="shared" si="44"/>
        <v>3</v>
      </c>
      <c r="AM84" s="18">
        <f t="shared" si="69"/>
        <v>3.1457566458953052</v>
      </c>
      <c r="AN84" s="18">
        <f t="shared" si="69"/>
        <v>0.95832277293945456</v>
      </c>
      <c r="AO84" s="18">
        <f t="shared" si="69"/>
        <v>0.7962453849366693</v>
      </c>
      <c r="AP84" s="56">
        <f t="shared" si="45"/>
        <v>3</v>
      </c>
      <c r="AR84" s="18">
        <f t="shared" si="70"/>
        <v>3.1457566458953052</v>
      </c>
      <c r="AS84" s="18">
        <f t="shared" si="70"/>
        <v>0.95832277293945456</v>
      </c>
      <c r="AT84" s="18">
        <f t="shared" si="70"/>
        <v>0.7962453849366693</v>
      </c>
      <c r="AU84" s="56">
        <f t="shared" si="46"/>
        <v>3</v>
      </c>
      <c r="AW84" s="18">
        <f t="shared" si="71"/>
        <v>3.1457566458953052</v>
      </c>
      <c r="AX84" s="18">
        <f t="shared" si="71"/>
        <v>0.95832277293945456</v>
      </c>
      <c r="AY84" s="18">
        <f t="shared" si="71"/>
        <v>0.7962453849366693</v>
      </c>
      <c r="AZ84" s="56">
        <f t="shared" si="47"/>
        <v>3</v>
      </c>
      <c r="BB84" s="18">
        <f t="shared" si="72"/>
        <v>3.1457566458953052</v>
      </c>
      <c r="BC84" s="18">
        <f t="shared" si="72"/>
        <v>0.95832277293945456</v>
      </c>
      <c r="BD84" s="18">
        <f t="shared" si="72"/>
        <v>0.7962453849366693</v>
      </c>
      <c r="BE84" s="56">
        <f t="shared" si="48"/>
        <v>3</v>
      </c>
      <c r="BG84" s="18">
        <f t="shared" si="73"/>
        <v>3.1457566458953052</v>
      </c>
      <c r="BH84" s="18">
        <f t="shared" si="73"/>
        <v>0.95832277293945456</v>
      </c>
      <c r="BI84" s="18">
        <f t="shared" si="73"/>
        <v>0.7962453849366693</v>
      </c>
      <c r="BJ84" s="56">
        <f t="shared" si="49"/>
        <v>3</v>
      </c>
      <c r="BL84" s="18">
        <f t="shared" si="74"/>
        <v>3.1457566458953052</v>
      </c>
      <c r="BM84" s="18">
        <f t="shared" si="74"/>
        <v>0.95832277293945456</v>
      </c>
      <c r="BN84" s="18">
        <f t="shared" si="74"/>
        <v>0.7962453849366693</v>
      </c>
      <c r="BO84" s="56">
        <f t="shared" si="50"/>
        <v>3</v>
      </c>
      <c r="BQ84" s="18">
        <f t="shared" si="75"/>
        <v>3.1457566458953052</v>
      </c>
      <c r="BR84" s="18">
        <f t="shared" si="75"/>
        <v>0.95832277293945456</v>
      </c>
      <c r="BS84" s="18">
        <f t="shared" si="75"/>
        <v>0.7962453849366693</v>
      </c>
      <c r="BT84" s="56">
        <f t="shared" si="51"/>
        <v>3</v>
      </c>
      <c r="BV84" s="18">
        <f t="shared" si="76"/>
        <v>3.1457566458953052</v>
      </c>
      <c r="BW84" s="18">
        <f t="shared" si="76"/>
        <v>0.95832277293945456</v>
      </c>
      <c r="BX84" s="18">
        <f t="shared" si="76"/>
        <v>0.7962453849366693</v>
      </c>
      <c r="BY84" s="56">
        <f t="shared" si="52"/>
        <v>3</v>
      </c>
      <c r="CA84" s="18">
        <f t="shared" si="77"/>
        <v>3.1457566458953052</v>
      </c>
      <c r="CB84" s="18">
        <f t="shared" si="77"/>
        <v>0.95832277293945456</v>
      </c>
      <c r="CC84" s="18">
        <f t="shared" si="77"/>
        <v>0.7962453849366693</v>
      </c>
      <c r="CD84" s="56">
        <f t="shared" si="53"/>
        <v>3</v>
      </c>
    </row>
    <row r="85" spans="1:82" x14ac:dyDescent="0.25">
      <c r="A85" s="63">
        <f>Phase_Data!A67</f>
        <v>43949</v>
      </c>
      <c r="B85" s="18">
        <f>Phase_Data!K67</f>
        <v>0.51624117329501173</v>
      </c>
      <c r="C85" s="18">
        <f>Phase_Data!L67</f>
        <v>-0.19088442142113579</v>
      </c>
      <c r="D85" s="18">
        <f>Phase_Data!M67</f>
        <v>-1.2777880506003427</v>
      </c>
      <c r="E85" s="56">
        <f t="shared" si="39"/>
        <v>3</v>
      </c>
      <c r="F85" s="38">
        <f t="shared" si="40"/>
        <v>1.7014073773619991</v>
      </c>
      <c r="G85" s="13" t="str">
        <f t="shared" si="41"/>
        <v>Medium activity</v>
      </c>
      <c r="X85" s="18">
        <f t="shared" si="66"/>
        <v>2.409497193107506</v>
      </c>
      <c r="Y85" s="18">
        <f t="shared" si="66"/>
        <v>3.4355564800005687</v>
      </c>
      <c r="Z85" s="18">
        <f t="shared" si="66"/>
        <v>0.97991875718935817</v>
      </c>
      <c r="AA85" s="56">
        <f t="shared" si="42"/>
        <v>3</v>
      </c>
      <c r="AC85" s="18">
        <f t="shared" si="67"/>
        <v>2.0377249784969842</v>
      </c>
      <c r="AD85" s="18">
        <f t="shared" si="67"/>
        <v>2.6233397626836332</v>
      </c>
      <c r="AE85" s="18">
        <f t="shared" si="67"/>
        <v>1.2196478309738097</v>
      </c>
      <c r="AF85" s="56">
        <f t="shared" si="43"/>
        <v>3</v>
      </c>
      <c r="AH85" s="18">
        <f t="shared" si="68"/>
        <v>2.1097057851005943</v>
      </c>
      <c r="AI85" s="18">
        <f t="shared" si="68"/>
        <v>2.7440972919702746</v>
      </c>
      <c r="AJ85" s="18">
        <f t="shared" si="68"/>
        <v>1.3005579464179746</v>
      </c>
      <c r="AK85" s="56">
        <f t="shared" si="44"/>
        <v>3</v>
      </c>
      <c r="AM85" s="18">
        <f t="shared" si="69"/>
        <v>2.149265775828594</v>
      </c>
      <c r="AN85" s="18">
        <f t="shared" si="69"/>
        <v>2.7684019622374216</v>
      </c>
      <c r="AO85" s="18">
        <f t="shared" si="69"/>
        <v>1.3043800739669398</v>
      </c>
      <c r="AP85" s="56">
        <f t="shared" si="45"/>
        <v>3</v>
      </c>
      <c r="AR85" s="18">
        <f t="shared" si="70"/>
        <v>2.149265775828594</v>
      </c>
      <c r="AS85" s="18">
        <f t="shared" si="70"/>
        <v>2.7684019622374216</v>
      </c>
      <c r="AT85" s="18">
        <f t="shared" si="70"/>
        <v>1.3043800739669398</v>
      </c>
      <c r="AU85" s="56">
        <f t="shared" si="46"/>
        <v>3</v>
      </c>
      <c r="AW85" s="18">
        <f t="shared" si="71"/>
        <v>2.149265775828594</v>
      </c>
      <c r="AX85" s="18">
        <f t="shared" si="71"/>
        <v>2.7684019622374216</v>
      </c>
      <c r="AY85" s="18">
        <f t="shared" si="71"/>
        <v>1.3043800739669398</v>
      </c>
      <c r="AZ85" s="56">
        <f t="shared" si="47"/>
        <v>3</v>
      </c>
      <c r="BB85" s="18">
        <f t="shared" si="72"/>
        <v>2.149265775828594</v>
      </c>
      <c r="BC85" s="18">
        <f t="shared" si="72"/>
        <v>2.7684019622374216</v>
      </c>
      <c r="BD85" s="18">
        <f t="shared" si="72"/>
        <v>1.3043800739669398</v>
      </c>
      <c r="BE85" s="56">
        <f t="shared" si="48"/>
        <v>3</v>
      </c>
      <c r="BG85" s="18">
        <f t="shared" si="73"/>
        <v>2.149265775828594</v>
      </c>
      <c r="BH85" s="18">
        <f t="shared" si="73"/>
        <v>2.7684019622374216</v>
      </c>
      <c r="BI85" s="18">
        <f t="shared" si="73"/>
        <v>1.3043800739669398</v>
      </c>
      <c r="BJ85" s="56">
        <f t="shared" si="49"/>
        <v>3</v>
      </c>
      <c r="BL85" s="18">
        <f t="shared" si="74"/>
        <v>2.149265775828594</v>
      </c>
      <c r="BM85" s="18">
        <f t="shared" si="74"/>
        <v>2.7684019622374216</v>
      </c>
      <c r="BN85" s="18">
        <f t="shared" si="74"/>
        <v>1.3043800739669398</v>
      </c>
      <c r="BO85" s="56">
        <f t="shared" si="50"/>
        <v>3</v>
      </c>
      <c r="BQ85" s="18">
        <f t="shared" si="75"/>
        <v>2.149265775828594</v>
      </c>
      <c r="BR85" s="18">
        <f t="shared" si="75"/>
        <v>2.7684019622374216</v>
      </c>
      <c r="BS85" s="18">
        <f t="shared" si="75"/>
        <v>1.3043800739669398</v>
      </c>
      <c r="BT85" s="56">
        <f t="shared" si="51"/>
        <v>3</v>
      </c>
      <c r="BV85" s="18">
        <f t="shared" si="76"/>
        <v>2.149265775828594</v>
      </c>
      <c r="BW85" s="18">
        <f t="shared" si="76"/>
        <v>2.7684019622374216</v>
      </c>
      <c r="BX85" s="18">
        <f t="shared" si="76"/>
        <v>1.3043800739669398</v>
      </c>
      <c r="BY85" s="56">
        <f t="shared" si="52"/>
        <v>3</v>
      </c>
      <c r="CA85" s="18">
        <f t="shared" si="77"/>
        <v>2.149265775828594</v>
      </c>
      <c r="CB85" s="18">
        <f t="shared" si="77"/>
        <v>2.7684019622374216</v>
      </c>
      <c r="CC85" s="18">
        <f t="shared" si="77"/>
        <v>1.3043800739669398</v>
      </c>
      <c r="CD85" s="56">
        <f t="shared" si="53"/>
        <v>3</v>
      </c>
    </row>
    <row r="86" spans="1:82" x14ac:dyDescent="0.25">
      <c r="A86" s="63">
        <f>Phase_Data!A68</f>
        <v>43950</v>
      </c>
      <c r="B86" s="18">
        <f>Phase_Data!K68</f>
        <v>0.6204660711623412</v>
      </c>
      <c r="C86" s="18">
        <f>Phase_Data!L68</f>
        <v>0.62661874063431611</v>
      </c>
      <c r="D86" s="18">
        <f>Phase_Data!M68</f>
        <v>0.78402639335041679</v>
      </c>
      <c r="E86" s="56">
        <f t="shared" si="39"/>
        <v>2</v>
      </c>
      <c r="F86" s="38">
        <f t="shared" si="40"/>
        <v>0.41539522992252492</v>
      </c>
      <c r="G86" s="13" t="str">
        <f t="shared" si="41"/>
        <v>High activity</v>
      </c>
      <c r="X86" s="18">
        <f t="shared" si="66"/>
        <v>3.6274828410298472</v>
      </c>
      <c r="Y86" s="18">
        <f t="shared" si="66"/>
        <v>1.3483150217455726</v>
      </c>
      <c r="Z86" s="18">
        <f t="shared" si="66"/>
        <v>2.0677911482094777</v>
      </c>
      <c r="AA86" s="56">
        <f t="shared" si="42"/>
        <v>2</v>
      </c>
      <c r="AC86" s="18">
        <f t="shared" si="67"/>
        <v>3.2424324149399646</v>
      </c>
      <c r="AD86" s="18">
        <f t="shared" si="67"/>
        <v>0.45489992223293518</v>
      </c>
      <c r="AE86" s="18">
        <f t="shared" si="67"/>
        <v>1.0740651728231392</v>
      </c>
      <c r="AF86" s="56">
        <f t="shared" si="43"/>
        <v>2</v>
      </c>
      <c r="AH86" s="18">
        <f t="shared" si="68"/>
        <v>3.3303868149379672</v>
      </c>
      <c r="AI86" s="18">
        <f t="shared" si="68"/>
        <v>0.61096257271495069</v>
      </c>
      <c r="AJ86" s="18">
        <f t="shared" si="68"/>
        <v>1.0310177901677193</v>
      </c>
      <c r="AK86" s="56">
        <f t="shared" si="44"/>
        <v>2</v>
      </c>
      <c r="AM86" s="18">
        <f t="shared" si="69"/>
        <v>3.3725714890602534</v>
      </c>
      <c r="AN86" s="18">
        <f t="shared" si="69"/>
        <v>0.64451162124706873</v>
      </c>
      <c r="AO86" s="18">
        <f t="shared" si="69"/>
        <v>1.0393228345124754</v>
      </c>
      <c r="AP86" s="56">
        <f t="shared" si="45"/>
        <v>2</v>
      </c>
      <c r="AR86" s="18">
        <f t="shared" si="70"/>
        <v>3.3725714890602534</v>
      </c>
      <c r="AS86" s="18">
        <f t="shared" si="70"/>
        <v>0.64451162124706873</v>
      </c>
      <c r="AT86" s="18">
        <f t="shared" si="70"/>
        <v>1.0393228345124754</v>
      </c>
      <c r="AU86" s="56">
        <f t="shared" si="46"/>
        <v>2</v>
      </c>
      <c r="AW86" s="18">
        <f t="shared" si="71"/>
        <v>3.3725714890602534</v>
      </c>
      <c r="AX86" s="18">
        <f t="shared" si="71"/>
        <v>0.64451162124706873</v>
      </c>
      <c r="AY86" s="18">
        <f t="shared" si="71"/>
        <v>1.0393228345124754</v>
      </c>
      <c r="AZ86" s="56">
        <f t="shared" si="47"/>
        <v>2</v>
      </c>
      <c r="BB86" s="18">
        <f t="shared" si="72"/>
        <v>3.3725714890602534</v>
      </c>
      <c r="BC86" s="18">
        <f t="shared" si="72"/>
        <v>0.64451162124706873</v>
      </c>
      <c r="BD86" s="18">
        <f t="shared" si="72"/>
        <v>1.0393228345124754</v>
      </c>
      <c r="BE86" s="56">
        <f t="shared" si="48"/>
        <v>2</v>
      </c>
      <c r="BG86" s="18">
        <f t="shared" si="73"/>
        <v>3.3725714890602534</v>
      </c>
      <c r="BH86" s="18">
        <f t="shared" si="73"/>
        <v>0.64451162124706873</v>
      </c>
      <c r="BI86" s="18">
        <f t="shared" si="73"/>
        <v>1.0393228345124754</v>
      </c>
      <c r="BJ86" s="56">
        <f t="shared" si="49"/>
        <v>2</v>
      </c>
      <c r="BL86" s="18">
        <f t="shared" si="74"/>
        <v>3.3725714890602534</v>
      </c>
      <c r="BM86" s="18">
        <f t="shared" si="74"/>
        <v>0.64451162124706873</v>
      </c>
      <c r="BN86" s="18">
        <f t="shared" si="74"/>
        <v>1.0393228345124754</v>
      </c>
      <c r="BO86" s="56">
        <f t="shared" si="50"/>
        <v>2</v>
      </c>
      <c r="BQ86" s="18">
        <f t="shared" si="75"/>
        <v>3.3725714890602534</v>
      </c>
      <c r="BR86" s="18">
        <f t="shared" si="75"/>
        <v>0.64451162124706873</v>
      </c>
      <c r="BS86" s="18">
        <f t="shared" si="75"/>
        <v>1.0393228345124754</v>
      </c>
      <c r="BT86" s="56">
        <f t="shared" si="51"/>
        <v>2</v>
      </c>
      <c r="BV86" s="18">
        <f t="shared" si="76"/>
        <v>3.3725714890602534</v>
      </c>
      <c r="BW86" s="18">
        <f t="shared" si="76"/>
        <v>0.64451162124706873</v>
      </c>
      <c r="BX86" s="18">
        <f t="shared" si="76"/>
        <v>1.0393228345124754</v>
      </c>
      <c r="BY86" s="56">
        <f t="shared" si="52"/>
        <v>2</v>
      </c>
      <c r="CA86" s="18">
        <f t="shared" si="77"/>
        <v>3.3725714890602534</v>
      </c>
      <c r="CB86" s="18">
        <f t="shared" si="77"/>
        <v>0.64451162124706873</v>
      </c>
      <c r="CC86" s="18">
        <f t="shared" si="77"/>
        <v>1.0393228345124754</v>
      </c>
      <c r="CD86" s="56">
        <f t="shared" si="53"/>
        <v>2</v>
      </c>
    </row>
    <row r="87" spans="1:82" x14ac:dyDescent="0.25">
      <c r="A87" s="63">
        <f>Phase_Data!A69</f>
        <v>43951</v>
      </c>
      <c r="B87" s="18">
        <f>Phase_Data!K69</f>
        <v>0.47905346924728553</v>
      </c>
      <c r="C87" s="18">
        <f>Phase_Data!L69</f>
        <v>0.47510322621721046</v>
      </c>
      <c r="D87" s="18">
        <f>Phase_Data!M69</f>
        <v>-1.2777880506003427</v>
      </c>
      <c r="E87" s="56">
        <f t="shared" ref="E87:E121" si="78">CD87</f>
        <v>3</v>
      </c>
      <c r="F87" s="38">
        <f t="shared" ref="F87:F118" si="79">($B87-INDEX($L$16:$N$16,E87))^2+($C87-INDEX($L$17:$N$17,E87))^2+($D87-INDEX($L$18:$N$18,E87))^2</f>
        <v>1.7575292985281203</v>
      </c>
      <c r="G87" s="13" t="str">
        <f t="shared" ref="G87:G121" si="80">INDEX($M$5:$M$7,E87)</f>
        <v>Medium activity</v>
      </c>
      <c r="X87" s="18">
        <f t="shared" si="66"/>
        <v>2.7778431284416403</v>
      </c>
      <c r="Y87" s="18">
        <f t="shared" si="66"/>
        <v>3.1746319912400813</v>
      </c>
      <c r="Z87" s="18">
        <f t="shared" si="66"/>
        <v>0.35396984572997747</v>
      </c>
      <c r="AA87" s="56">
        <f t="shared" ref="AA87:AA118" si="81">MATCH(MIN(X87:Z87),X87:Z87,0)</f>
        <v>3</v>
      </c>
      <c r="AC87" s="18">
        <f t="shared" si="67"/>
        <v>2.4255529945244834</v>
      </c>
      <c r="AD87" s="18">
        <f t="shared" si="67"/>
        <v>2.4169050899872402</v>
      </c>
      <c r="AE87" s="18">
        <f t="shared" si="67"/>
        <v>1.2051088822167031</v>
      </c>
      <c r="AF87" s="56">
        <f t="shared" ref="AF87:AF118" si="82">MATCH(MIN(AC87:AE87),AC87:AE87,0)</f>
        <v>3</v>
      </c>
      <c r="AH87" s="18">
        <f t="shared" si="68"/>
        <v>2.4936673531927407</v>
      </c>
      <c r="AI87" s="18">
        <f t="shared" si="68"/>
        <v>2.5171044533933711</v>
      </c>
      <c r="AJ87" s="18">
        <f t="shared" si="68"/>
        <v>1.3088019522663541</v>
      </c>
      <c r="AK87" s="56">
        <f t="shared" ref="AK87:AK118" si="83">MATCH(MIN(AH87:AJ87),AH87:AJ87,0)</f>
        <v>3</v>
      </c>
      <c r="AM87" s="18">
        <f t="shared" si="69"/>
        <v>2.5299065258182369</v>
      </c>
      <c r="AN87" s="18">
        <f t="shared" si="69"/>
        <v>2.5352528948154487</v>
      </c>
      <c r="AO87" s="18">
        <f t="shared" si="69"/>
        <v>1.3257184084593985</v>
      </c>
      <c r="AP87" s="56">
        <f t="shared" ref="AP87:AP118" si="84">MATCH(MIN(AM87:AO87),AM87:AO87,0)</f>
        <v>3</v>
      </c>
      <c r="AR87" s="18">
        <f t="shared" si="70"/>
        <v>2.5299065258182369</v>
      </c>
      <c r="AS87" s="18">
        <f t="shared" si="70"/>
        <v>2.5352528948154487</v>
      </c>
      <c r="AT87" s="18">
        <f t="shared" si="70"/>
        <v>1.3257184084593985</v>
      </c>
      <c r="AU87" s="56">
        <f t="shared" ref="AU87:AU118" si="85">MATCH(MIN(AR87:AT87),AR87:AT87,0)</f>
        <v>3</v>
      </c>
      <c r="AW87" s="18">
        <f t="shared" si="71"/>
        <v>2.5299065258182369</v>
      </c>
      <c r="AX87" s="18">
        <f t="shared" si="71"/>
        <v>2.5352528948154487</v>
      </c>
      <c r="AY87" s="18">
        <f t="shared" si="71"/>
        <v>1.3257184084593985</v>
      </c>
      <c r="AZ87" s="56">
        <f t="shared" ref="AZ87:AZ118" si="86">MATCH(MIN(AW87:AY87),AW87:AY87,0)</f>
        <v>3</v>
      </c>
      <c r="BB87" s="18">
        <f t="shared" si="72"/>
        <v>2.5299065258182369</v>
      </c>
      <c r="BC87" s="18">
        <f t="shared" si="72"/>
        <v>2.5352528948154487</v>
      </c>
      <c r="BD87" s="18">
        <f t="shared" si="72"/>
        <v>1.3257184084593985</v>
      </c>
      <c r="BE87" s="56">
        <f t="shared" ref="BE87:BE118" si="87">MATCH(MIN(BB87:BD87),BB87:BD87,0)</f>
        <v>3</v>
      </c>
      <c r="BG87" s="18">
        <f t="shared" si="73"/>
        <v>2.5299065258182369</v>
      </c>
      <c r="BH87" s="18">
        <f t="shared" si="73"/>
        <v>2.5352528948154487</v>
      </c>
      <c r="BI87" s="18">
        <f t="shared" si="73"/>
        <v>1.3257184084593985</v>
      </c>
      <c r="BJ87" s="56">
        <f t="shared" ref="BJ87:BJ118" si="88">MATCH(MIN(BG87:BI87),BG87:BI87,0)</f>
        <v>3</v>
      </c>
      <c r="BL87" s="18">
        <f t="shared" si="74"/>
        <v>2.5299065258182369</v>
      </c>
      <c r="BM87" s="18">
        <f t="shared" si="74"/>
        <v>2.5352528948154487</v>
      </c>
      <c r="BN87" s="18">
        <f t="shared" si="74"/>
        <v>1.3257184084593985</v>
      </c>
      <c r="BO87" s="56">
        <f t="shared" ref="BO87:BO118" si="89">MATCH(MIN(BL87:BN87),BL87:BN87,0)</f>
        <v>3</v>
      </c>
      <c r="BQ87" s="18">
        <f t="shared" si="75"/>
        <v>2.5299065258182369</v>
      </c>
      <c r="BR87" s="18">
        <f t="shared" si="75"/>
        <v>2.5352528948154487</v>
      </c>
      <c r="BS87" s="18">
        <f t="shared" si="75"/>
        <v>1.3257184084593985</v>
      </c>
      <c r="BT87" s="56">
        <f t="shared" ref="BT87:BT118" si="90">MATCH(MIN(BQ87:BS87),BQ87:BS87,0)</f>
        <v>3</v>
      </c>
      <c r="BV87" s="18">
        <f t="shared" si="76"/>
        <v>2.5299065258182369</v>
      </c>
      <c r="BW87" s="18">
        <f t="shared" si="76"/>
        <v>2.5352528948154487</v>
      </c>
      <c r="BX87" s="18">
        <f t="shared" si="76"/>
        <v>1.3257184084593985</v>
      </c>
      <c r="BY87" s="56">
        <f t="shared" ref="BY87:BY118" si="91">MATCH(MIN(BV87:BX87),BV87:BX87,0)</f>
        <v>3</v>
      </c>
      <c r="CA87" s="18">
        <f t="shared" si="77"/>
        <v>2.5299065258182369</v>
      </c>
      <c r="CB87" s="18">
        <f t="shared" si="77"/>
        <v>2.5352528948154487</v>
      </c>
      <c r="CC87" s="18">
        <f t="shared" si="77"/>
        <v>1.3257184084593985</v>
      </c>
      <c r="CD87" s="56">
        <f t="shared" ref="CD87:CD118" si="92">MATCH(MIN(CA87:CC87),CA87:CC87,0)</f>
        <v>3</v>
      </c>
    </row>
    <row r="88" spans="1:82" x14ac:dyDescent="0.25">
      <c r="A88" s="63">
        <f>Phase_Data!A70</f>
        <v>43952</v>
      </c>
      <c r="B88" s="18">
        <f>Phase_Data!K70</f>
        <v>0.66876150551950486</v>
      </c>
      <c r="C88" s="18">
        <f>Phase_Data!L70</f>
        <v>0.75041592995154327</v>
      </c>
      <c r="D88" s="18">
        <f>Phase_Data!M70</f>
        <v>0.56989110237153962</v>
      </c>
      <c r="E88" s="56">
        <f t="shared" si="78"/>
        <v>2</v>
      </c>
      <c r="F88" s="38">
        <f t="shared" si="79"/>
        <v>0.4951996682522084</v>
      </c>
      <c r="G88" s="13" t="str">
        <f t="shared" si="80"/>
        <v>High activity</v>
      </c>
      <c r="X88" s="18">
        <f t="shared" si="66"/>
        <v>3.6129933727848695</v>
      </c>
      <c r="Y88" s="18">
        <f t="shared" si="66"/>
        <v>1.4073664091031852</v>
      </c>
      <c r="Z88" s="18">
        <f t="shared" si="66"/>
        <v>1.8478994484150579</v>
      </c>
      <c r="AA88" s="56">
        <f t="shared" si="81"/>
        <v>2</v>
      </c>
      <c r="AC88" s="18">
        <f t="shared" si="67"/>
        <v>3.2258080748282847</v>
      </c>
      <c r="AD88" s="18">
        <f t="shared" si="67"/>
        <v>0.55026878567356075</v>
      </c>
      <c r="AE88" s="18">
        <f t="shared" si="67"/>
        <v>0.98642093003575471</v>
      </c>
      <c r="AF88" s="56">
        <f t="shared" si="82"/>
        <v>2</v>
      </c>
      <c r="AH88" s="18">
        <f t="shared" si="68"/>
        <v>3.3130322102187377</v>
      </c>
      <c r="AI88" s="18">
        <f t="shared" si="68"/>
        <v>0.67725674374944644</v>
      </c>
      <c r="AJ88" s="18">
        <f t="shared" si="68"/>
        <v>0.96730798085237923</v>
      </c>
      <c r="AK88" s="56">
        <f t="shared" si="83"/>
        <v>2</v>
      </c>
      <c r="AM88" s="18">
        <f t="shared" si="69"/>
        <v>3.3551416247068997</v>
      </c>
      <c r="AN88" s="18">
        <f t="shared" si="69"/>
        <v>0.7037042477150528</v>
      </c>
      <c r="AO88" s="18">
        <f t="shared" si="69"/>
        <v>0.98173341338474196</v>
      </c>
      <c r="AP88" s="56">
        <f t="shared" si="84"/>
        <v>2</v>
      </c>
      <c r="AR88" s="18">
        <f t="shared" si="70"/>
        <v>3.3551416247068997</v>
      </c>
      <c r="AS88" s="18">
        <f t="shared" si="70"/>
        <v>0.7037042477150528</v>
      </c>
      <c r="AT88" s="18">
        <f t="shared" si="70"/>
        <v>0.98173341338474196</v>
      </c>
      <c r="AU88" s="56">
        <f t="shared" si="85"/>
        <v>2</v>
      </c>
      <c r="AW88" s="18">
        <f t="shared" si="71"/>
        <v>3.3551416247068997</v>
      </c>
      <c r="AX88" s="18">
        <f t="shared" si="71"/>
        <v>0.7037042477150528</v>
      </c>
      <c r="AY88" s="18">
        <f t="shared" si="71"/>
        <v>0.98173341338474196</v>
      </c>
      <c r="AZ88" s="56">
        <f t="shared" si="86"/>
        <v>2</v>
      </c>
      <c r="BB88" s="18">
        <f t="shared" si="72"/>
        <v>3.3551416247068997</v>
      </c>
      <c r="BC88" s="18">
        <f t="shared" si="72"/>
        <v>0.7037042477150528</v>
      </c>
      <c r="BD88" s="18">
        <f t="shared" si="72"/>
        <v>0.98173341338474196</v>
      </c>
      <c r="BE88" s="56">
        <f t="shared" si="87"/>
        <v>2</v>
      </c>
      <c r="BG88" s="18">
        <f t="shared" si="73"/>
        <v>3.3551416247068997</v>
      </c>
      <c r="BH88" s="18">
        <f t="shared" si="73"/>
        <v>0.7037042477150528</v>
      </c>
      <c r="BI88" s="18">
        <f t="shared" si="73"/>
        <v>0.98173341338474196</v>
      </c>
      <c r="BJ88" s="56">
        <f t="shared" si="88"/>
        <v>2</v>
      </c>
      <c r="BL88" s="18">
        <f t="shared" si="74"/>
        <v>3.3551416247068997</v>
      </c>
      <c r="BM88" s="18">
        <f t="shared" si="74"/>
        <v>0.7037042477150528</v>
      </c>
      <c r="BN88" s="18">
        <f t="shared" si="74"/>
        <v>0.98173341338474196</v>
      </c>
      <c r="BO88" s="56">
        <f t="shared" si="89"/>
        <v>2</v>
      </c>
      <c r="BQ88" s="18">
        <f t="shared" si="75"/>
        <v>3.3551416247068997</v>
      </c>
      <c r="BR88" s="18">
        <f t="shared" si="75"/>
        <v>0.7037042477150528</v>
      </c>
      <c r="BS88" s="18">
        <f t="shared" si="75"/>
        <v>0.98173341338474196</v>
      </c>
      <c r="BT88" s="56">
        <f t="shared" si="90"/>
        <v>2</v>
      </c>
      <c r="BV88" s="18">
        <f t="shared" si="76"/>
        <v>3.3551416247068997</v>
      </c>
      <c r="BW88" s="18">
        <f t="shared" si="76"/>
        <v>0.7037042477150528</v>
      </c>
      <c r="BX88" s="18">
        <f t="shared" si="76"/>
        <v>0.98173341338474196</v>
      </c>
      <c r="BY88" s="56">
        <f t="shared" si="91"/>
        <v>2</v>
      </c>
      <c r="CA88" s="18">
        <f t="shared" si="77"/>
        <v>3.3551416247068997</v>
      </c>
      <c r="CB88" s="18">
        <f t="shared" si="77"/>
        <v>0.7037042477150528</v>
      </c>
      <c r="CC88" s="18">
        <f t="shared" si="77"/>
        <v>0.98173341338474196</v>
      </c>
      <c r="CD88" s="56">
        <f t="shared" si="92"/>
        <v>2</v>
      </c>
    </row>
    <row r="89" spans="1:82" x14ac:dyDescent="0.25">
      <c r="A89" s="63">
        <f>Phase_Data!A71</f>
        <v>43953</v>
      </c>
      <c r="B89" s="18">
        <f>Phase_Data!K71</f>
        <v>0.68804982938572179</v>
      </c>
      <c r="C89" s="18">
        <f>Phase_Data!L71</f>
        <v>0.77813425505142164</v>
      </c>
      <c r="D89" s="18">
        <f>Phase_Data!M71</f>
        <v>0.1826778202859404</v>
      </c>
      <c r="E89" s="56">
        <f t="shared" si="78"/>
        <v>3</v>
      </c>
      <c r="F89" s="38">
        <f t="shared" si="79"/>
        <v>0.70366992428936448</v>
      </c>
      <c r="G89" s="13" t="str">
        <f t="shared" si="80"/>
        <v>Medium activity</v>
      </c>
      <c r="X89" s="18">
        <f t="shared" si="66"/>
        <v>3.4611625694053476</v>
      </c>
      <c r="Y89" s="18">
        <f t="shared" si="66"/>
        <v>1.7031707946754409</v>
      </c>
      <c r="Z89" s="18">
        <f t="shared" si="66"/>
        <v>1.4606982994082029</v>
      </c>
      <c r="AA89" s="56">
        <f t="shared" si="81"/>
        <v>3</v>
      </c>
      <c r="AC89" s="18">
        <f t="shared" si="67"/>
        <v>3.0716445969999713</v>
      </c>
      <c r="AD89" s="18">
        <f t="shared" si="67"/>
        <v>0.9114432276975275</v>
      </c>
      <c r="AE89" s="18">
        <f t="shared" si="67"/>
        <v>0.7937952419653086</v>
      </c>
      <c r="AF89" s="56">
        <f t="shared" si="82"/>
        <v>3</v>
      </c>
      <c r="AH89" s="18">
        <f t="shared" si="68"/>
        <v>3.1574645344413055</v>
      </c>
      <c r="AI89" s="18">
        <f t="shared" si="68"/>
        <v>1.013274521328055</v>
      </c>
      <c r="AJ89" s="18">
        <f t="shared" si="68"/>
        <v>0.81665275078919286</v>
      </c>
      <c r="AK89" s="56">
        <f t="shared" si="83"/>
        <v>3</v>
      </c>
      <c r="AM89" s="18">
        <f t="shared" si="69"/>
        <v>3.1994553748199261</v>
      </c>
      <c r="AN89" s="18">
        <f t="shared" si="69"/>
        <v>1.0332889993612933</v>
      </c>
      <c r="AO89" s="18">
        <f t="shared" si="69"/>
        <v>0.83885035869895441</v>
      </c>
      <c r="AP89" s="56">
        <f t="shared" si="84"/>
        <v>3</v>
      </c>
      <c r="AR89" s="18">
        <f t="shared" si="70"/>
        <v>3.1994553748199261</v>
      </c>
      <c r="AS89" s="18">
        <f t="shared" si="70"/>
        <v>1.0332889993612933</v>
      </c>
      <c r="AT89" s="18">
        <f t="shared" si="70"/>
        <v>0.83885035869895441</v>
      </c>
      <c r="AU89" s="56">
        <f t="shared" si="85"/>
        <v>3</v>
      </c>
      <c r="AW89" s="18">
        <f t="shared" si="71"/>
        <v>3.1994553748199261</v>
      </c>
      <c r="AX89" s="18">
        <f t="shared" si="71"/>
        <v>1.0332889993612933</v>
      </c>
      <c r="AY89" s="18">
        <f t="shared" si="71"/>
        <v>0.83885035869895441</v>
      </c>
      <c r="AZ89" s="56">
        <f t="shared" si="86"/>
        <v>3</v>
      </c>
      <c r="BB89" s="18">
        <f t="shared" si="72"/>
        <v>3.1994553748199261</v>
      </c>
      <c r="BC89" s="18">
        <f t="shared" si="72"/>
        <v>1.0332889993612933</v>
      </c>
      <c r="BD89" s="18">
        <f t="shared" si="72"/>
        <v>0.83885035869895441</v>
      </c>
      <c r="BE89" s="56">
        <f t="shared" si="87"/>
        <v>3</v>
      </c>
      <c r="BG89" s="18">
        <f t="shared" si="73"/>
        <v>3.1994553748199261</v>
      </c>
      <c r="BH89" s="18">
        <f t="shared" si="73"/>
        <v>1.0332889993612933</v>
      </c>
      <c r="BI89" s="18">
        <f t="shared" si="73"/>
        <v>0.83885035869895441</v>
      </c>
      <c r="BJ89" s="56">
        <f t="shared" si="88"/>
        <v>3</v>
      </c>
      <c r="BL89" s="18">
        <f t="shared" si="74"/>
        <v>3.1994553748199261</v>
      </c>
      <c r="BM89" s="18">
        <f t="shared" si="74"/>
        <v>1.0332889993612933</v>
      </c>
      <c r="BN89" s="18">
        <f t="shared" si="74"/>
        <v>0.83885035869895441</v>
      </c>
      <c r="BO89" s="56">
        <f t="shared" si="89"/>
        <v>3</v>
      </c>
      <c r="BQ89" s="18">
        <f t="shared" si="75"/>
        <v>3.1994553748199261</v>
      </c>
      <c r="BR89" s="18">
        <f t="shared" si="75"/>
        <v>1.0332889993612933</v>
      </c>
      <c r="BS89" s="18">
        <f t="shared" si="75"/>
        <v>0.83885035869895441</v>
      </c>
      <c r="BT89" s="56">
        <f t="shared" si="90"/>
        <v>3</v>
      </c>
      <c r="BV89" s="18">
        <f t="shared" si="76"/>
        <v>3.1994553748199261</v>
      </c>
      <c r="BW89" s="18">
        <f t="shared" si="76"/>
        <v>1.0332889993612933</v>
      </c>
      <c r="BX89" s="18">
        <f t="shared" si="76"/>
        <v>0.83885035869895441</v>
      </c>
      <c r="BY89" s="56">
        <f t="shared" si="91"/>
        <v>3</v>
      </c>
      <c r="CA89" s="18">
        <f t="shared" si="77"/>
        <v>3.1994553748199261</v>
      </c>
      <c r="CB89" s="18">
        <f t="shared" si="77"/>
        <v>1.0332889993612933</v>
      </c>
      <c r="CC89" s="18">
        <f t="shared" si="77"/>
        <v>0.83885035869895441</v>
      </c>
      <c r="CD89" s="56">
        <f t="shared" si="92"/>
        <v>3</v>
      </c>
    </row>
    <row r="90" spans="1:82" x14ac:dyDescent="0.25">
      <c r="A90" s="63">
        <f>Phase_Data!A72</f>
        <v>43954</v>
      </c>
      <c r="B90" s="18">
        <f>Phase_Data!K72</f>
        <v>0.75913653886020693</v>
      </c>
      <c r="C90" s="18">
        <f>Phase_Data!L72</f>
        <v>0.9241958873400502</v>
      </c>
      <c r="D90" s="18">
        <f>Phase_Data!M72</f>
        <v>-1.2777880506003427</v>
      </c>
      <c r="E90" s="56">
        <f t="shared" si="78"/>
        <v>3</v>
      </c>
      <c r="F90" s="38">
        <f t="shared" si="79"/>
        <v>2.5076694391359777</v>
      </c>
      <c r="G90" s="13" t="str">
        <f t="shared" si="80"/>
        <v>Medium activity</v>
      </c>
      <c r="X90" s="18">
        <f t="shared" si="66"/>
        <v>3.2911494267359318</v>
      </c>
      <c r="Y90" s="18">
        <f t="shared" si="66"/>
        <v>3.0073379351562997</v>
      </c>
      <c r="Z90" s="18">
        <f t="shared" si="66"/>
        <v>0.17541630672521974</v>
      </c>
      <c r="AA90" s="56">
        <f t="shared" si="81"/>
        <v>3</v>
      </c>
      <c r="AC90" s="18">
        <f t="shared" si="67"/>
        <v>2.9435934617379762</v>
      </c>
      <c r="AD90" s="18">
        <f t="shared" si="67"/>
        <v>2.3533089898863779</v>
      </c>
      <c r="AE90" s="18">
        <f t="shared" si="67"/>
        <v>1.4546886648823034</v>
      </c>
      <c r="AF90" s="56">
        <f t="shared" si="82"/>
        <v>3</v>
      </c>
      <c r="AH90" s="18">
        <f t="shared" si="68"/>
        <v>3.0111134426437913</v>
      </c>
      <c r="AI90" s="18">
        <f t="shared" si="68"/>
        <v>2.4239771609656091</v>
      </c>
      <c r="AJ90" s="18">
        <f t="shared" si="68"/>
        <v>1.5608320846473533</v>
      </c>
      <c r="AK90" s="56">
        <f t="shared" si="83"/>
        <v>3</v>
      </c>
      <c r="AM90" s="18">
        <f t="shared" si="69"/>
        <v>3.0466959702862768</v>
      </c>
      <c r="AN90" s="18">
        <f t="shared" si="69"/>
        <v>2.4353051961494234</v>
      </c>
      <c r="AO90" s="18">
        <f t="shared" si="69"/>
        <v>1.5835622624753274</v>
      </c>
      <c r="AP90" s="56">
        <f t="shared" si="84"/>
        <v>3</v>
      </c>
      <c r="AR90" s="18">
        <f t="shared" si="70"/>
        <v>3.0466959702862768</v>
      </c>
      <c r="AS90" s="18">
        <f t="shared" si="70"/>
        <v>2.4353051961494234</v>
      </c>
      <c r="AT90" s="18">
        <f t="shared" si="70"/>
        <v>1.5835622624753274</v>
      </c>
      <c r="AU90" s="56">
        <f t="shared" si="85"/>
        <v>3</v>
      </c>
      <c r="AW90" s="18">
        <f t="shared" si="71"/>
        <v>3.0466959702862768</v>
      </c>
      <c r="AX90" s="18">
        <f t="shared" si="71"/>
        <v>2.4353051961494234</v>
      </c>
      <c r="AY90" s="18">
        <f t="shared" si="71"/>
        <v>1.5835622624753274</v>
      </c>
      <c r="AZ90" s="56">
        <f t="shared" si="86"/>
        <v>3</v>
      </c>
      <c r="BB90" s="18">
        <f t="shared" si="72"/>
        <v>3.0466959702862768</v>
      </c>
      <c r="BC90" s="18">
        <f t="shared" si="72"/>
        <v>2.4353051961494234</v>
      </c>
      <c r="BD90" s="18">
        <f t="shared" si="72"/>
        <v>1.5835622624753274</v>
      </c>
      <c r="BE90" s="56">
        <f t="shared" si="87"/>
        <v>3</v>
      </c>
      <c r="BG90" s="18">
        <f t="shared" si="73"/>
        <v>3.0466959702862768</v>
      </c>
      <c r="BH90" s="18">
        <f t="shared" si="73"/>
        <v>2.4353051961494234</v>
      </c>
      <c r="BI90" s="18">
        <f t="shared" si="73"/>
        <v>1.5835622624753274</v>
      </c>
      <c r="BJ90" s="56">
        <f t="shared" si="88"/>
        <v>3</v>
      </c>
      <c r="BL90" s="18">
        <f t="shared" si="74"/>
        <v>3.0466959702862768</v>
      </c>
      <c r="BM90" s="18">
        <f t="shared" si="74"/>
        <v>2.4353051961494234</v>
      </c>
      <c r="BN90" s="18">
        <f t="shared" si="74"/>
        <v>1.5835622624753274</v>
      </c>
      <c r="BO90" s="56">
        <f t="shared" si="89"/>
        <v>3</v>
      </c>
      <c r="BQ90" s="18">
        <f t="shared" si="75"/>
        <v>3.0466959702862768</v>
      </c>
      <c r="BR90" s="18">
        <f t="shared" si="75"/>
        <v>2.4353051961494234</v>
      </c>
      <c r="BS90" s="18">
        <f t="shared" si="75"/>
        <v>1.5835622624753274</v>
      </c>
      <c r="BT90" s="56">
        <f t="shared" si="90"/>
        <v>3</v>
      </c>
      <c r="BV90" s="18">
        <f t="shared" si="76"/>
        <v>3.0466959702862768</v>
      </c>
      <c r="BW90" s="18">
        <f t="shared" si="76"/>
        <v>2.4353051961494234</v>
      </c>
      <c r="BX90" s="18">
        <f t="shared" si="76"/>
        <v>1.5835622624753274</v>
      </c>
      <c r="BY90" s="56">
        <f t="shared" si="91"/>
        <v>3</v>
      </c>
      <c r="CA90" s="18">
        <f t="shared" si="77"/>
        <v>3.0466959702862768</v>
      </c>
      <c r="CB90" s="18">
        <f t="shared" si="77"/>
        <v>2.4353051961494234</v>
      </c>
      <c r="CC90" s="18">
        <f t="shared" si="77"/>
        <v>1.5835622624753274</v>
      </c>
      <c r="CD90" s="56">
        <f t="shared" si="92"/>
        <v>3</v>
      </c>
    </row>
    <row r="91" spans="1:82" x14ac:dyDescent="0.25">
      <c r="A91" s="63">
        <f>Phase_Data!A73</f>
        <v>43955</v>
      </c>
      <c r="B91" s="18">
        <f>Phase_Data!K73</f>
        <v>0.66199293259454561</v>
      </c>
      <c r="C91" s="18">
        <f>Phase_Data!L73</f>
        <v>0.77813425505142164</v>
      </c>
      <c r="D91" s="18">
        <f>Phase_Data!M73</f>
        <v>-1.2777880506003427</v>
      </c>
      <c r="E91" s="56">
        <f t="shared" si="78"/>
        <v>3</v>
      </c>
      <c r="F91" s="38">
        <f t="shared" si="79"/>
        <v>2.1973489272260847</v>
      </c>
      <c r="G91" s="13" t="str">
        <f t="shared" si="80"/>
        <v>Medium activity</v>
      </c>
      <c r="X91" s="18">
        <f t="shared" si="66"/>
        <v>3.1192988553680774</v>
      </c>
      <c r="Y91" s="18">
        <f t="shared" si="66"/>
        <v>3.0537951152764635</v>
      </c>
      <c r="Z91" s="18">
        <f t="shared" si="66"/>
        <v>0</v>
      </c>
      <c r="AA91" s="56">
        <f t="shared" si="81"/>
        <v>3</v>
      </c>
      <c r="AC91" s="18">
        <f t="shared" si="67"/>
        <v>2.7705393226771995</v>
      </c>
      <c r="AD91" s="18">
        <f t="shared" si="67"/>
        <v>2.3614844094512559</v>
      </c>
      <c r="AE91" s="18">
        <f t="shared" si="67"/>
        <v>1.3543850487350597</v>
      </c>
      <c r="AF91" s="56">
        <f t="shared" si="82"/>
        <v>3</v>
      </c>
      <c r="AH91" s="18">
        <f t="shared" si="68"/>
        <v>2.8381898682180431</v>
      </c>
      <c r="AI91" s="18">
        <f t="shared" si="68"/>
        <v>2.4425918114313347</v>
      </c>
      <c r="AJ91" s="18">
        <f t="shared" si="68"/>
        <v>1.4610605076650713</v>
      </c>
      <c r="AK91" s="56">
        <f t="shared" si="83"/>
        <v>3</v>
      </c>
      <c r="AM91" s="18">
        <f t="shared" si="69"/>
        <v>2.8739337047074867</v>
      </c>
      <c r="AN91" s="18">
        <f t="shared" si="69"/>
        <v>2.4562941238499838</v>
      </c>
      <c r="AO91" s="18">
        <f t="shared" si="69"/>
        <v>1.4823457515795984</v>
      </c>
      <c r="AP91" s="56">
        <f t="shared" si="84"/>
        <v>3</v>
      </c>
      <c r="AR91" s="18">
        <f t="shared" si="70"/>
        <v>2.8739337047074867</v>
      </c>
      <c r="AS91" s="18">
        <f t="shared" si="70"/>
        <v>2.4562941238499838</v>
      </c>
      <c r="AT91" s="18">
        <f t="shared" si="70"/>
        <v>1.4823457515795984</v>
      </c>
      <c r="AU91" s="56">
        <f t="shared" si="85"/>
        <v>3</v>
      </c>
      <c r="AW91" s="18">
        <f t="shared" si="71"/>
        <v>2.8739337047074867</v>
      </c>
      <c r="AX91" s="18">
        <f t="shared" si="71"/>
        <v>2.4562941238499838</v>
      </c>
      <c r="AY91" s="18">
        <f t="shared" si="71"/>
        <v>1.4823457515795984</v>
      </c>
      <c r="AZ91" s="56">
        <f t="shared" si="86"/>
        <v>3</v>
      </c>
      <c r="BB91" s="18">
        <f t="shared" si="72"/>
        <v>2.8739337047074867</v>
      </c>
      <c r="BC91" s="18">
        <f t="shared" si="72"/>
        <v>2.4562941238499838</v>
      </c>
      <c r="BD91" s="18">
        <f t="shared" si="72"/>
        <v>1.4823457515795984</v>
      </c>
      <c r="BE91" s="56">
        <f t="shared" si="87"/>
        <v>3</v>
      </c>
      <c r="BG91" s="18">
        <f t="shared" si="73"/>
        <v>2.8739337047074867</v>
      </c>
      <c r="BH91" s="18">
        <f t="shared" si="73"/>
        <v>2.4562941238499838</v>
      </c>
      <c r="BI91" s="18">
        <f t="shared" si="73"/>
        <v>1.4823457515795984</v>
      </c>
      <c r="BJ91" s="56">
        <f t="shared" si="88"/>
        <v>3</v>
      </c>
      <c r="BL91" s="18">
        <f t="shared" si="74"/>
        <v>2.8739337047074867</v>
      </c>
      <c r="BM91" s="18">
        <f t="shared" si="74"/>
        <v>2.4562941238499838</v>
      </c>
      <c r="BN91" s="18">
        <f t="shared" si="74"/>
        <v>1.4823457515795984</v>
      </c>
      <c r="BO91" s="56">
        <f t="shared" si="89"/>
        <v>3</v>
      </c>
      <c r="BQ91" s="18">
        <f t="shared" si="75"/>
        <v>2.8739337047074867</v>
      </c>
      <c r="BR91" s="18">
        <f t="shared" si="75"/>
        <v>2.4562941238499838</v>
      </c>
      <c r="BS91" s="18">
        <f t="shared" si="75"/>
        <v>1.4823457515795984</v>
      </c>
      <c r="BT91" s="56">
        <f t="shared" si="90"/>
        <v>3</v>
      </c>
      <c r="BV91" s="18">
        <f t="shared" si="76"/>
        <v>2.8739337047074867</v>
      </c>
      <c r="BW91" s="18">
        <f t="shared" si="76"/>
        <v>2.4562941238499838</v>
      </c>
      <c r="BX91" s="18">
        <f t="shared" si="76"/>
        <v>1.4823457515795984</v>
      </c>
      <c r="BY91" s="56">
        <f t="shared" si="91"/>
        <v>3</v>
      </c>
      <c r="CA91" s="18">
        <f t="shared" si="77"/>
        <v>2.8739337047074867</v>
      </c>
      <c r="CB91" s="18">
        <f t="shared" si="77"/>
        <v>2.4562941238499838</v>
      </c>
      <c r="CC91" s="18">
        <f t="shared" si="77"/>
        <v>1.4823457515795984</v>
      </c>
      <c r="CD91" s="56">
        <f t="shared" si="92"/>
        <v>3</v>
      </c>
    </row>
    <row r="92" spans="1:82" x14ac:dyDescent="0.25">
      <c r="A92" s="63">
        <f>Phase_Data!A74</f>
        <v>43956</v>
      </c>
      <c r="B92" s="18">
        <f>Phase_Data!K74</f>
        <v>0.65084078654840072</v>
      </c>
      <c r="C92" s="18">
        <f>Phase_Data!L74</f>
        <v>0.87891213230954279</v>
      </c>
      <c r="D92" s="18">
        <f>Phase_Data!M74</f>
        <v>0.19983348329858469</v>
      </c>
      <c r="E92" s="56">
        <f t="shared" si="78"/>
        <v>3</v>
      </c>
      <c r="F92" s="38">
        <f t="shared" si="79"/>
        <v>0.8304291874733013</v>
      </c>
      <c r="G92" s="13" t="str">
        <f t="shared" si="80"/>
        <v>Medium activity</v>
      </c>
      <c r="X92" s="18">
        <f t="shared" si="66"/>
        <v>3.5092105666233282</v>
      </c>
      <c r="Y92" s="18">
        <f t="shared" si="66"/>
        <v>1.6616582645990055</v>
      </c>
      <c r="Z92" s="18">
        <f t="shared" si="66"/>
        <v>1.4810961982085789</v>
      </c>
      <c r="AA92" s="56">
        <f t="shared" si="81"/>
        <v>3</v>
      </c>
      <c r="AC92" s="18">
        <f t="shared" si="67"/>
        <v>3.1239666064274685</v>
      </c>
      <c r="AD92" s="18">
        <f t="shared" si="67"/>
        <v>0.88665780862170684</v>
      </c>
      <c r="AE92" s="18">
        <f t="shared" si="67"/>
        <v>0.86546125449998779</v>
      </c>
      <c r="AF92" s="56">
        <f t="shared" si="82"/>
        <v>3</v>
      </c>
      <c r="AH92" s="18">
        <f t="shared" si="68"/>
        <v>3.2088430828366659</v>
      </c>
      <c r="AI92" s="18">
        <f t="shared" si="68"/>
        <v>0.9808986583645215</v>
      </c>
      <c r="AJ92" s="18">
        <f t="shared" si="68"/>
        <v>0.88832468411464338</v>
      </c>
      <c r="AK92" s="56">
        <f t="shared" si="83"/>
        <v>3</v>
      </c>
      <c r="AM92" s="18">
        <f t="shared" si="69"/>
        <v>3.2502078883847925</v>
      </c>
      <c r="AN92" s="18">
        <f t="shared" si="69"/>
        <v>0.99863229595676961</v>
      </c>
      <c r="AO92" s="18">
        <f t="shared" si="69"/>
        <v>0.91127887469934321</v>
      </c>
      <c r="AP92" s="56">
        <f t="shared" si="84"/>
        <v>3</v>
      </c>
      <c r="AR92" s="18">
        <f t="shared" si="70"/>
        <v>3.2502078883847925</v>
      </c>
      <c r="AS92" s="18">
        <f t="shared" si="70"/>
        <v>0.99863229595676961</v>
      </c>
      <c r="AT92" s="18">
        <f t="shared" si="70"/>
        <v>0.91127887469934321</v>
      </c>
      <c r="AU92" s="56">
        <f t="shared" si="85"/>
        <v>3</v>
      </c>
      <c r="AW92" s="18">
        <f t="shared" si="71"/>
        <v>3.2502078883847925</v>
      </c>
      <c r="AX92" s="18">
        <f t="shared" si="71"/>
        <v>0.99863229595676961</v>
      </c>
      <c r="AY92" s="18">
        <f t="shared" si="71"/>
        <v>0.91127887469934321</v>
      </c>
      <c r="AZ92" s="56">
        <f t="shared" si="86"/>
        <v>3</v>
      </c>
      <c r="BB92" s="18">
        <f t="shared" si="72"/>
        <v>3.2502078883847925</v>
      </c>
      <c r="BC92" s="18">
        <f t="shared" si="72"/>
        <v>0.99863229595676961</v>
      </c>
      <c r="BD92" s="18">
        <f t="shared" si="72"/>
        <v>0.91127887469934321</v>
      </c>
      <c r="BE92" s="56">
        <f t="shared" si="87"/>
        <v>3</v>
      </c>
      <c r="BG92" s="18">
        <f t="shared" si="73"/>
        <v>3.2502078883847925</v>
      </c>
      <c r="BH92" s="18">
        <f t="shared" si="73"/>
        <v>0.99863229595676961</v>
      </c>
      <c r="BI92" s="18">
        <f t="shared" si="73"/>
        <v>0.91127887469934321</v>
      </c>
      <c r="BJ92" s="56">
        <f t="shared" si="88"/>
        <v>3</v>
      </c>
      <c r="BL92" s="18">
        <f t="shared" si="74"/>
        <v>3.2502078883847925</v>
      </c>
      <c r="BM92" s="18">
        <f t="shared" si="74"/>
        <v>0.99863229595676961</v>
      </c>
      <c r="BN92" s="18">
        <f t="shared" si="74"/>
        <v>0.91127887469934321</v>
      </c>
      <c r="BO92" s="56">
        <f t="shared" si="89"/>
        <v>3</v>
      </c>
      <c r="BQ92" s="18">
        <f t="shared" si="75"/>
        <v>3.2502078883847925</v>
      </c>
      <c r="BR92" s="18">
        <f t="shared" si="75"/>
        <v>0.99863229595676961</v>
      </c>
      <c r="BS92" s="18">
        <f t="shared" si="75"/>
        <v>0.91127887469934321</v>
      </c>
      <c r="BT92" s="56">
        <f t="shared" si="90"/>
        <v>3</v>
      </c>
      <c r="BV92" s="18">
        <f t="shared" si="76"/>
        <v>3.2502078883847925</v>
      </c>
      <c r="BW92" s="18">
        <f t="shared" si="76"/>
        <v>0.99863229595676961</v>
      </c>
      <c r="BX92" s="18">
        <f t="shared" si="76"/>
        <v>0.91127887469934321</v>
      </c>
      <c r="BY92" s="56">
        <f t="shared" si="91"/>
        <v>3</v>
      </c>
      <c r="CA92" s="18">
        <f t="shared" si="77"/>
        <v>3.2502078883847925</v>
      </c>
      <c r="CB92" s="18">
        <f t="shared" si="77"/>
        <v>0.99863229595676961</v>
      </c>
      <c r="CC92" s="18">
        <f t="shared" si="77"/>
        <v>0.91127887469934321</v>
      </c>
      <c r="CD92" s="56">
        <f t="shared" si="92"/>
        <v>3</v>
      </c>
    </row>
    <row r="93" spans="1:82" x14ac:dyDescent="0.25">
      <c r="A93" s="63">
        <f>Phase_Data!A75</f>
        <v>43957</v>
      </c>
      <c r="B93" s="18">
        <f>Phase_Data!K75</f>
        <v>0.87720216547878893</v>
      </c>
      <c r="C93" s="18">
        <f>Phase_Data!L75</f>
        <v>1.2487844307377611</v>
      </c>
      <c r="D93" s="18">
        <f>Phase_Data!M75</f>
        <v>0.58564589680466339</v>
      </c>
      <c r="E93" s="56">
        <f t="shared" si="78"/>
        <v>2</v>
      </c>
      <c r="F93" s="38">
        <f t="shared" si="79"/>
        <v>0.34190991622957156</v>
      </c>
      <c r="G93" s="13" t="str">
        <f t="shared" si="80"/>
        <v>High activity</v>
      </c>
      <c r="X93" s="18">
        <f t="shared" si="66"/>
        <v>4.0602325696090844</v>
      </c>
      <c r="Y93" s="18">
        <f t="shared" si="66"/>
        <v>1.1337141946864364</v>
      </c>
      <c r="Z93" s="18">
        <f t="shared" si="66"/>
        <v>1.9339629464220895</v>
      </c>
      <c r="AA93" s="56">
        <f t="shared" si="81"/>
        <v>2</v>
      </c>
      <c r="AC93" s="18">
        <f t="shared" si="67"/>
        <v>3.6787755513478348</v>
      </c>
      <c r="AD93" s="18">
        <f t="shared" si="67"/>
        <v>0.5881627586164736</v>
      </c>
      <c r="AE93" s="18">
        <f t="shared" si="67"/>
        <v>1.4249063717664276</v>
      </c>
      <c r="AF93" s="56">
        <f t="shared" si="82"/>
        <v>2</v>
      </c>
      <c r="AH93" s="18">
        <f t="shared" si="68"/>
        <v>3.7637085568197328</v>
      </c>
      <c r="AI93" s="18">
        <f t="shared" si="68"/>
        <v>0.58617503780812097</v>
      </c>
      <c r="AJ93" s="18">
        <f t="shared" si="68"/>
        <v>1.4314286559173088</v>
      </c>
      <c r="AK93" s="56">
        <f t="shared" si="83"/>
        <v>2</v>
      </c>
      <c r="AM93" s="18">
        <f t="shared" si="69"/>
        <v>3.8047282602548993</v>
      </c>
      <c r="AN93" s="18">
        <f t="shared" si="69"/>
        <v>0.58473063561743677</v>
      </c>
      <c r="AO93" s="18">
        <f t="shared" si="69"/>
        <v>1.4510280536112115</v>
      </c>
      <c r="AP93" s="56">
        <f t="shared" si="84"/>
        <v>2</v>
      </c>
      <c r="AR93" s="18">
        <f t="shared" si="70"/>
        <v>3.8047282602548993</v>
      </c>
      <c r="AS93" s="18">
        <f t="shared" si="70"/>
        <v>0.58473063561743677</v>
      </c>
      <c r="AT93" s="18">
        <f t="shared" si="70"/>
        <v>1.4510280536112115</v>
      </c>
      <c r="AU93" s="56">
        <f t="shared" si="85"/>
        <v>2</v>
      </c>
      <c r="AW93" s="18">
        <f t="shared" si="71"/>
        <v>3.8047282602548993</v>
      </c>
      <c r="AX93" s="18">
        <f t="shared" si="71"/>
        <v>0.58473063561743677</v>
      </c>
      <c r="AY93" s="18">
        <f t="shared" si="71"/>
        <v>1.4510280536112115</v>
      </c>
      <c r="AZ93" s="56">
        <f t="shared" si="86"/>
        <v>2</v>
      </c>
      <c r="BB93" s="18">
        <f t="shared" si="72"/>
        <v>3.8047282602548993</v>
      </c>
      <c r="BC93" s="18">
        <f t="shared" si="72"/>
        <v>0.58473063561743677</v>
      </c>
      <c r="BD93" s="18">
        <f t="shared" si="72"/>
        <v>1.4510280536112115</v>
      </c>
      <c r="BE93" s="56">
        <f t="shared" si="87"/>
        <v>2</v>
      </c>
      <c r="BG93" s="18">
        <f t="shared" si="73"/>
        <v>3.8047282602548993</v>
      </c>
      <c r="BH93" s="18">
        <f t="shared" si="73"/>
        <v>0.58473063561743677</v>
      </c>
      <c r="BI93" s="18">
        <f t="shared" si="73"/>
        <v>1.4510280536112115</v>
      </c>
      <c r="BJ93" s="56">
        <f t="shared" si="88"/>
        <v>2</v>
      </c>
      <c r="BL93" s="18">
        <f t="shared" si="74"/>
        <v>3.8047282602548993</v>
      </c>
      <c r="BM93" s="18">
        <f t="shared" si="74"/>
        <v>0.58473063561743677</v>
      </c>
      <c r="BN93" s="18">
        <f t="shared" si="74"/>
        <v>1.4510280536112115</v>
      </c>
      <c r="BO93" s="56">
        <f t="shared" si="89"/>
        <v>2</v>
      </c>
      <c r="BQ93" s="18">
        <f t="shared" si="75"/>
        <v>3.8047282602548993</v>
      </c>
      <c r="BR93" s="18">
        <f t="shared" si="75"/>
        <v>0.58473063561743677</v>
      </c>
      <c r="BS93" s="18">
        <f t="shared" si="75"/>
        <v>1.4510280536112115</v>
      </c>
      <c r="BT93" s="56">
        <f t="shared" si="90"/>
        <v>2</v>
      </c>
      <c r="BV93" s="18">
        <f t="shared" si="76"/>
        <v>3.8047282602548993</v>
      </c>
      <c r="BW93" s="18">
        <f t="shared" si="76"/>
        <v>0.58473063561743677</v>
      </c>
      <c r="BX93" s="18">
        <f t="shared" si="76"/>
        <v>1.4510280536112115</v>
      </c>
      <c r="BY93" s="56">
        <f t="shared" si="91"/>
        <v>2</v>
      </c>
      <c r="CA93" s="18">
        <f t="shared" si="77"/>
        <v>3.8047282602548993</v>
      </c>
      <c r="CB93" s="18">
        <f t="shared" si="77"/>
        <v>0.58473063561743677</v>
      </c>
      <c r="CC93" s="18">
        <f t="shared" si="77"/>
        <v>1.4510280536112115</v>
      </c>
      <c r="CD93" s="56">
        <f t="shared" si="92"/>
        <v>2</v>
      </c>
    </row>
    <row r="94" spans="1:82" x14ac:dyDescent="0.25">
      <c r="A94" s="63">
        <f>Phase_Data!A76</f>
        <v>43958</v>
      </c>
      <c r="B94" s="18">
        <f>Phase_Data!K76</f>
        <v>0.58299394363123136</v>
      </c>
      <c r="C94" s="18">
        <f>Phase_Data!L76</f>
        <v>0.87891213230954279</v>
      </c>
      <c r="D94" s="18">
        <f>Phase_Data!M76</f>
        <v>-0.23264621629396448</v>
      </c>
      <c r="E94" s="56">
        <f t="shared" si="78"/>
        <v>3</v>
      </c>
      <c r="F94" s="38">
        <f t="shared" si="79"/>
        <v>0.77160074580496629</v>
      </c>
      <c r="G94" s="13" t="str">
        <f t="shared" si="80"/>
        <v>Medium activity</v>
      </c>
      <c r="X94" s="18">
        <f t="shared" si="66"/>
        <v>3.305697999896708</v>
      </c>
      <c r="Y94" s="18">
        <f t="shared" si="66"/>
        <v>2.0682105073486654</v>
      </c>
      <c r="Z94" s="18">
        <f t="shared" si="66"/>
        <v>1.0529570146113183</v>
      </c>
      <c r="AA94" s="56">
        <f t="shared" si="81"/>
        <v>3</v>
      </c>
      <c r="AC94" s="18">
        <f t="shared" si="67"/>
        <v>2.925643988854179</v>
      </c>
      <c r="AD94" s="18">
        <f t="shared" si="67"/>
        <v>1.3237334991999969</v>
      </c>
      <c r="AE94" s="18">
        <f t="shared" si="67"/>
        <v>0.78061036991605792</v>
      </c>
      <c r="AF94" s="56">
        <f t="shared" si="82"/>
        <v>3</v>
      </c>
      <c r="AH94" s="18">
        <f t="shared" si="68"/>
        <v>3.0070932784229769</v>
      </c>
      <c r="AI94" s="18">
        <f t="shared" si="68"/>
        <v>1.4128254962147815</v>
      </c>
      <c r="AJ94" s="18">
        <f t="shared" si="68"/>
        <v>0.85048499770310904</v>
      </c>
      <c r="AK94" s="56">
        <f t="shared" si="83"/>
        <v>3</v>
      </c>
      <c r="AM94" s="18">
        <f t="shared" si="69"/>
        <v>3.0473601432529702</v>
      </c>
      <c r="AN94" s="18">
        <f t="shared" si="69"/>
        <v>1.4284713882771074</v>
      </c>
      <c r="AO94" s="18">
        <f t="shared" si="69"/>
        <v>0.87840807476079497</v>
      </c>
      <c r="AP94" s="56">
        <f t="shared" si="84"/>
        <v>3</v>
      </c>
      <c r="AR94" s="18">
        <f t="shared" si="70"/>
        <v>3.0473601432529702</v>
      </c>
      <c r="AS94" s="18">
        <f t="shared" si="70"/>
        <v>1.4284713882771074</v>
      </c>
      <c r="AT94" s="18">
        <f t="shared" si="70"/>
        <v>0.87840807476079497</v>
      </c>
      <c r="AU94" s="56">
        <f t="shared" si="85"/>
        <v>3</v>
      </c>
      <c r="AW94" s="18">
        <f t="shared" si="71"/>
        <v>3.0473601432529702</v>
      </c>
      <c r="AX94" s="18">
        <f t="shared" si="71"/>
        <v>1.4284713882771074</v>
      </c>
      <c r="AY94" s="18">
        <f t="shared" si="71"/>
        <v>0.87840807476079497</v>
      </c>
      <c r="AZ94" s="56">
        <f t="shared" si="86"/>
        <v>3</v>
      </c>
      <c r="BB94" s="18">
        <f t="shared" si="72"/>
        <v>3.0473601432529702</v>
      </c>
      <c r="BC94" s="18">
        <f t="shared" si="72"/>
        <v>1.4284713882771074</v>
      </c>
      <c r="BD94" s="18">
        <f t="shared" si="72"/>
        <v>0.87840807476079497</v>
      </c>
      <c r="BE94" s="56">
        <f t="shared" si="87"/>
        <v>3</v>
      </c>
      <c r="BG94" s="18">
        <f t="shared" si="73"/>
        <v>3.0473601432529702</v>
      </c>
      <c r="BH94" s="18">
        <f t="shared" si="73"/>
        <v>1.4284713882771074</v>
      </c>
      <c r="BI94" s="18">
        <f t="shared" si="73"/>
        <v>0.87840807476079497</v>
      </c>
      <c r="BJ94" s="56">
        <f t="shared" si="88"/>
        <v>3</v>
      </c>
      <c r="BL94" s="18">
        <f t="shared" si="74"/>
        <v>3.0473601432529702</v>
      </c>
      <c r="BM94" s="18">
        <f t="shared" si="74"/>
        <v>1.4284713882771074</v>
      </c>
      <c r="BN94" s="18">
        <f t="shared" si="74"/>
        <v>0.87840807476079497</v>
      </c>
      <c r="BO94" s="56">
        <f t="shared" si="89"/>
        <v>3</v>
      </c>
      <c r="BQ94" s="18">
        <f t="shared" si="75"/>
        <v>3.0473601432529702</v>
      </c>
      <c r="BR94" s="18">
        <f t="shared" si="75"/>
        <v>1.4284713882771074</v>
      </c>
      <c r="BS94" s="18">
        <f t="shared" si="75"/>
        <v>0.87840807476079497</v>
      </c>
      <c r="BT94" s="56">
        <f t="shared" si="90"/>
        <v>3</v>
      </c>
      <c r="BV94" s="18">
        <f t="shared" si="76"/>
        <v>3.0473601432529702</v>
      </c>
      <c r="BW94" s="18">
        <f t="shared" si="76"/>
        <v>1.4284713882771074</v>
      </c>
      <c r="BX94" s="18">
        <f t="shared" si="76"/>
        <v>0.87840807476079497</v>
      </c>
      <c r="BY94" s="56">
        <f t="shared" si="91"/>
        <v>3</v>
      </c>
      <c r="CA94" s="18">
        <f t="shared" si="77"/>
        <v>3.0473601432529702</v>
      </c>
      <c r="CB94" s="18">
        <f t="shared" si="77"/>
        <v>1.4284713882771074</v>
      </c>
      <c r="CC94" s="18">
        <f t="shared" si="77"/>
        <v>0.87840807476079497</v>
      </c>
      <c r="CD94" s="56">
        <f t="shared" si="92"/>
        <v>3</v>
      </c>
    </row>
    <row r="95" spans="1:82" x14ac:dyDescent="0.25">
      <c r="A95" s="63">
        <f>Phase_Data!A77</f>
        <v>43959</v>
      </c>
      <c r="B95" s="18">
        <f>Phase_Data!K77</f>
        <v>0.88269518526949053</v>
      </c>
      <c r="C95" s="18">
        <f>Phase_Data!L77</f>
        <v>0.94575340190354995</v>
      </c>
      <c r="D95" s="18">
        <f>Phase_Data!M77</f>
        <v>-0.25927324714833649</v>
      </c>
      <c r="E95" s="56">
        <f t="shared" si="78"/>
        <v>3</v>
      </c>
      <c r="F95" s="38">
        <f t="shared" si="79"/>
        <v>1.1754186610094908</v>
      </c>
      <c r="G95" s="13" t="str">
        <f t="shared" si="80"/>
        <v>Medium activity</v>
      </c>
      <c r="X95" s="18">
        <f t="shared" si="66"/>
        <v>3.5439067907989732</v>
      </c>
      <c r="Y95" s="18">
        <f t="shared" si="66"/>
        <v>2.0028531157990801</v>
      </c>
      <c r="Z95" s="18">
        <f t="shared" si="66"/>
        <v>1.0555463360639881</v>
      </c>
      <c r="AA95" s="56">
        <f t="shared" si="81"/>
        <v>3</v>
      </c>
      <c r="AC95" s="18">
        <f t="shared" si="67"/>
        <v>3.1575618515431563</v>
      </c>
      <c r="AD95" s="18">
        <f t="shared" si="67"/>
        <v>1.3388691386592073</v>
      </c>
      <c r="AE95" s="18">
        <f t="shared" si="67"/>
        <v>0.98698141751650115</v>
      </c>
      <c r="AF95" s="56">
        <f t="shared" si="82"/>
        <v>3</v>
      </c>
      <c r="AH95" s="18">
        <f t="shared" si="68"/>
        <v>3.2398201737011085</v>
      </c>
      <c r="AI95" s="18">
        <f t="shared" si="68"/>
        <v>1.404137480845725</v>
      </c>
      <c r="AJ95" s="18">
        <f t="shared" si="68"/>
        <v>1.0581323778242666</v>
      </c>
      <c r="AK95" s="56">
        <f t="shared" si="83"/>
        <v>3</v>
      </c>
      <c r="AM95" s="18">
        <f t="shared" si="69"/>
        <v>3.2809603175929989</v>
      </c>
      <c r="AN95" s="18">
        <f t="shared" si="69"/>
        <v>1.4156948576795254</v>
      </c>
      <c r="AO95" s="18">
        <f t="shared" si="69"/>
        <v>1.0841672661584516</v>
      </c>
      <c r="AP95" s="56">
        <f t="shared" si="84"/>
        <v>3</v>
      </c>
      <c r="AR95" s="18">
        <f t="shared" si="70"/>
        <v>3.2809603175929989</v>
      </c>
      <c r="AS95" s="18">
        <f t="shared" si="70"/>
        <v>1.4156948576795254</v>
      </c>
      <c r="AT95" s="18">
        <f t="shared" si="70"/>
        <v>1.0841672661584516</v>
      </c>
      <c r="AU95" s="56">
        <f t="shared" si="85"/>
        <v>3</v>
      </c>
      <c r="AW95" s="18">
        <f t="shared" si="71"/>
        <v>3.2809603175929989</v>
      </c>
      <c r="AX95" s="18">
        <f t="shared" si="71"/>
        <v>1.4156948576795254</v>
      </c>
      <c r="AY95" s="18">
        <f t="shared" si="71"/>
        <v>1.0841672661584516</v>
      </c>
      <c r="AZ95" s="56">
        <f t="shared" si="86"/>
        <v>3</v>
      </c>
      <c r="BB95" s="18">
        <f t="shared" si="72"/>
        <v>3.2809603175929989</v>
      </c>
      <c r="BC95" s="18">
        <f t="shared" si="72"/>
        <v>1.4156948576795254</v>
      </c>
      <c r="BD95" s="18">
        <f t="shared" si="72"/>
        <v>1.0841672661584516</v>
      </c>
      <c r="BE95" s="56">
        <f t="shared" si="87"/>
        <v>3</v>
      </c>
      <c r="BG95" s="18">
        <f t="shared" si="73"/>
        <v>3.2809603175929989</v>
      </c>
      <c r="BH95" s="18">
        <f t="shared" si="73"/>
        <v>1.4156948576795254</v>
      </c>
      <c r="BI95" s="18">
        <f t="shared" si="73"/>
        <v>1.0841672661584516</v>
      </c>
      <c r="BJ95" s="56">
        <f t="shared" si="88"/>
        <v>3</v>
      </c>
      <c r="BL95" s="18">
        <f t="shared" si="74"/>
        <v>3.2809603175929989</v>
      </c>
      <c r="BM95" s="18">
        <f t="shared" si="74"/>
        <v>1.4156948576795254</v>
      </c>
      <c r="BN95" s="18">
        <f t="shared" si="74"/>
        <v>1.0841672661584516</v>
      </c>
      <c r="BO95" s="56">
        <f t="shared" si="89"/>
        <v>3</v>
      </c>
      <c r="BQ95" s="18">
        <f t="shared" si="75"/>
        <v>3.2809603175929989</v>
      </c>
      <c r="BR95" s="18">
        <f t="shared" si="75"/>
        <v>1.4156948576795254</v>
      </c>
      <c r="BS95" s="18">
        <f t="shared" si="75"/>
        <v>1.0841672661584516</v>
      </c>
      <c r="BT95" s="56">
        <f t="shared" si="90"/>
        <v>3</v>
      </c>
      <c r="BV95" s="18">
        <f t="shared" si="76"/>
        <v>3.2809603175929989</v>
      </c>
      <c r="BW95" s="18">
        <f t="shared" si="76"/>
        <v>1.4156948576795254</v>
      </c>
      <c r="BX95" s="18">
        <f t="shared" si="76"/>
        <v>1.0841672661584516</v>
      </c>
      <c r="BY95" s="56">
        <f t="shared" si="91"/>
        <v>3</v>
      </c>
      <c r="CA95" s="18">
        <f t="shared" si="77"/>
        <v>3.2809603175929989</v>
      </c>
      <c r="CB95" s="18">
        <f t="shared" si="77"/>
        <v>1.4156948576795254</v>
      </c>
      <c r="CC95" s="18">
        <f t="shared" si="77"/>
        <v>1.0841672661584516</v>
      </c>
      <c r="CD95" s="56">
        <f t="shared" si="92"/>
        <v>3</v>
      </c>
    </row>
    <row r="96" spans="1:82" x14ac:dyDescent="0.25">
      <c r="A96" s="63">
        <f>Phase_Data!A78</f>
        <v>43960</v>
      </c>
      <c r="B96" s="18">
        <f>Phase_Data!K78</f>
        <v>1.0159681679662689</v>
      </c>
      <c r="C96" s="18">
        <f>Phase_Data!L78</f>
        <v>0.62661874063431611</v>
      </c>
      <c r="D96" s="18">
        <f>Phase_Data!M78</f>
        <v>-0.14141459842553039</v>
      </c>
      <c r="E96" s="56">
        <f t="shared" si="78"/>
        <v>3</v>
      </c>
      <c r="F96" s="38">
        <f t="shared" si="79"/>
        <v>0.87168354480092092</v>
      </c>
      <c r="G96" s="13" t="str">
        <f t="shared" si="80"/>
        <v>Medium activity</v>
      </c>
      <c r="X96" s="18">
        <f t="shared" si="66"/>
        <v>3.4760444469047775</v>
      </c>
      <c r="Y96" s="18">
        <f t="shared" si="66"/>
        <v>1.9865551616452959</v>
      </c>
      <c r="Z96" s="18">
        <f t="shared" si="66"/>
        <v>1.1998333389155544</v>
      </c>
      <c r="AA96" s="56">
        <f t="shared" si="81"/>
        <v>3</v>
      </c>
      <c r="AC96" s="18">
        <f t="shared" si="67"/>
        <v>3.0759366656751466</v>
      </c>
      <c r="AD96" s="18">
        <f t="shared" si="67"/>
        <v>1.2787563483290301</v>
      </c>
      <c r="AE96" s="18">
        <f t="shared" si="67"/>
        <v>0.85344515190310499</v>
      </c>
      <c r="AF96" s="56">
        <f t="shared" si="82"/>
        <v>3</v>
      </c>
      <c r="AH96" s="18">
        <f t="shared" si="68"/>
        <v>3.1620200651489663</v>
      </c>
      <c r="AI96" s="18">
        <f t="shared" si="68"/>
        <v>1.3610985075040742</v>
      </c>
      <c r="AJ96" s="18">
        <f t="shared" si="68"/>
        <v>0.91283035394183254</v>
      </c>
      <c r="AK96" s="56">
        <f t="shared" si="83"/>
        <v>3</v>
      </c>
      <c r="AM96" s="18">
        <f t="shared" si="69"/>
        <v>3.20534669284875</v>
      </c>
      <c r="AN96" s="18">
        <f t="shared" si="69"/>
        <v>1.3785176118477489</v>
      </c>
      <c r="AO96" s="18">
        <f t="shared" si="69"/>
        <v>0.93363994387607518</v>
      </c>
      <c r="AP96" s="56">
        <f t="shared" si="84"/>
        <v>3</v>
      </c>
      <c r="AR96" s="18">
        <f t="shared" si="70"/>
        <v>3.20534669284875</v>
      </c>
      <c r="AS96" s="18">
        <f t="shared" si="70"/>
        <v>1.3785176118477489</v>
      </c>
      <c r="AT96" s="18">
        <f t="shared" si="70"/>
        <v>0.93363994387607518</v>
      </c>
      <c r="AU96" s="56">
        <f t="shared" si="85"/>
        <v>3</v>
      </c>
      <c r="AW96" s="18">
        <f t="shared" si="71"/>
        <v>3.20534669284875</v>
      </c>
      <c r="AX96" s="18">
        <f t="shared" si="71"/>
        <v>1.3785176118477489</v>
      </c>
      <c r="AY96" s="18">
        <f t="shared" si="71"/>
        <v>0.93363994387607518</v>
      </c>
      <c r="AZ96" s="56">
        <f t="shared" si="86"/>
        <v>3</v>
      </c>
      <c r="BB96" s="18">
        <f t="shared" si="72"/>
        <v>3.20534669284875</v>
      </c>
      <c r="BC96" s="18">
        <f t="shared" si="72"/>
        <v>1.3785176118477489</v>
      </c>
      <c r="BD96" s="18">
        <f t="shared" si="72"/>
        <v>0.93363994387607518</v>
      </c>
      <c r="BE96" s="56">
        <f t="shared" si="87"/>
        <v>3</v>
      </c>
      <c r="BG96" s="18">
        <f t="shared" si="73"/>
        <v>3.20534669284875</v>
      </c>
      <c r="BH96" s="18">
        <f t="shared" si="73"/>
        <v>1.3785176118477489</v>
      </c>
      <c r="BI96" s="18">
        <f t="shared" si="73"/>
        <v>0.93363994387607518</v>
      </c>
      <c r="BJ96" s="56">
        <f t="shared" si="88"/>
        <v>3</v>
      </c>
      <c r="BL96" s="18">
        <f t="shared" si="74"/>
        <v>3.20534669284875</v>
      </c>
      <c r="BM96" s="18">
        <f t="shared" si="74"/>
        <v>1.3785176118477489</v>
      </c>
      <c r="BN96" s="18">
        <f t="shared" si="74"/>
        <v>0.93363994387607518</v>
      </c>
      <c r="BO96" s="56">
        <f t="shared" si="89"/>
        <v>3</v>
      </c>
      <c r="BQ96" s="18">
        <f t="shared" si="75"/>
        <v>3.20534669284875</v>
      </c>
      <c r="BR96" s="18">
        <f t="shared" si="75"/>
        <v>1.3785176118477489</v>
      </c>
      <c r="BS96" s="18">
        <f t="shared" si="75"/>
        <v>0.93363994387607518</v>
      </c>
      <c r="BT96" s="56">
        <f t="shared" si="90"/>
        <v>3</v>
      </c>
      <c r="BV96" s="18">
        <f t="shared" si="76"/>
        <v>3.20534669284875</v>
      </c>
      <c r="BW96" s="18">
        <f t="shared" si="76"/>
        <v>1.3785176118477489</v>
      </c>
      <c r="BX96" s="18">
        <f t="shared" si="76"/>
        <v>0.93363994387607518</v>
      </c>
      <c r="BY96" s="56">
        <f t="shared" si="91"/>
        <v>3</v>
      </c>
      <c r="CA96" s="18">
        <f t="shared" si="77"/>
        <v>3.20534669284875</v>
      </c>
      <c r="CB96" s="18">
        <f t="shared" si="77"/>
        <v>1.3785176118477489</v>
      </c>
      <c r="CC96" s="18">
        <f t="shared" si="77"/>
        <v>0.93363994387607518</v>
      </c>
      <c r="CD96" s="56">
        <f t="shared" si="92"/>
        <v>3</v>
      </c>
    </row>
    <row r="97" spans="1:82" x14ac:dyDescent="0.25">
      <c r="A97" s="63">
        <f>Phase_Data!A79</f>
        <v>43961</v>
      </c>
      <c r="B97" s="18">
        <f>Phase_Data!K79</f>
        <v>0.79358587800351432</v>
      </c>
      <c r="C97" s="18">
        <f>Phase_Data!L79</f>
        <v>0.75041592995154327</v>
      </c>
      <c r="D97" s="18">
        <f>Phase_Data!M79</f>
        <v>0.62661724281340758</v>
      </c>
      <c r="E97" s="56">
        <f t="shared" si="78"/>
        <v>2</v>
      </c>
      <c r="F97" s="38">
        <f t="shared" si="79"/>
        <v>0.39622626242489956</v>
      </c>
      <c r="G97" s="13" t="str">
        <f t="shared" si="80"/>
        <v>High activity</v>
      </c>
      <c r="X97" s="18">
        <f t="shared" si="66"/>
        <v>3.7201393999551233</v>
      </c>
      <c r="Y97" s="18">
        <f t="shared" si="66"/>
        <v>1.3193030609999368</v>
      </c>
      <c r="Z97" s="18">
        <f t="shared" si="66"/>
        <v>1.9091475926208699</v>
      </c>
      <c r="AA97" s="56">
        <f t="shared" si="81"/>
        <v>2</v>
      </c>
      <c r="AC97" s="18">
        <f t="shared" si="67"/>
        <v>3.3296007847378917</v>
      </c>
      <c r="AD97" s="18">
        <f t="shared" si="67"/>
        <v>0.48703070802817505</v>
      </c>
      <c r="AE97" s="18">
        <f t="shared" si="67"/>
        <v>1.0781406479606823</v>
      </c>
      <c r="AF97" s="56">
        <f t="shared" si="82"/>
        <v>2</v>
      </c>
      <c r="AH97" s="18">
        <f t="shared" si="68"/>
        <v>3.4175718554140664</v>
      </c>
      <c r="AI97" s="18">
        <f t="shared" si="68"/>
        <v>0.60333951841364686</v>
      </c>
      <c r="AJ97" s="18">
        <f t="shared" si="68"/>
        <v>1.0598966082823069</v>
      </c>
      <c r="AK97" s="56">
        <f t="shared" si="83"/>
        <v>2</v>
      </c>
      <c r="AM97" s="18">
        <f t="shared" si="69"/>
        <v>3.4601891993951028</v>
      </c>
      <c r="AN97" s="18">
        <f t="shared" si="69"/>
        <v>0.62946506052750817</v>
      </c>
      <c r="AO97" s="18">
        <f t="shared" si="69"/>
        <v>1.0732836644639114</v>
      </c>
      <c r="AP97" s="56">
        <f t="shared" si="84"/>
        <v>2</v>
      </c>
      <c r="AR97" s="18">
        <f t="shared" si="70"/>
        <v>3.4601891993951028</v>
      </c>
      <c r="AS97" s="18">
        <f t="shared" si="70"/>
        <v>0.62946506052750817</v>
      </c>
      <c r="AT97" s="18">
        <f t="shared" si="70"/>
        <v>1.0732836644639114</v>
      </c>
      <c r="AU97" s="56">
        <f t="shared" si="85"/>
        <v>2</v>
      </c>
      <c r="AW97" s="18">
        <f t="shared" si="71"/>
        <v>3.4601891993951028</v>
      </c>
      <c r="AX97" s="18">
        <f t="shared" si="71"/>
        <v>0.62946506052750817</v>
      </c>
      <c r="AY97" s="18">
        <f t="shared" si="71"/>
        <v>1.0732836644639114</v>
      </c>
      <c r="AZ97" s="56">
        <f t="shared" si="86"/>
        <v>2</v>
      </c>
      <c r="BB97" s="18">
        <f t="shared" si="72"/>
        <v>3.4601891993951028</v>
      </c>
      <c r="BC97" s="18">
        <f t="shared" si="72"/>
        <v>0.62946506052750817</v>
      </c>
      <c r="BD97" s="18">
        <f t="shared" si="72"/>
        <v>1.0732836644639114</v>
      </c>
      <c r="BE97" s="56">
        <f t="shared" si="87"/>
        <v>2</v>
      </c>
      <c r="BG97" s="18">
        <f t="shared" si="73"/>
        <v>3.4601891993951028</v>
      </c>
      <c r="BH97" s="18">
        <f t="shared" si="73"/>
        <v>0.62946506052750817</v>
      </c>
      <c r="BI97" s="18">
        <f t="shared" si="73"/>
        <v>1.0732836644639114</v>
      </c>
      <c r="BJ97" s="56">
        <f t="shared" si="88"/>
        <v>2</v>
      </c>
      <c r="BL97" s="18">
        <f t="shared" si="74"/>
        <v>3.4601891993951028</v>
      </c>
      <c r="BM97" s="18">
        <f t="shared" si="74"/>
        <v>0.62946506052750817</v>
      </c>
      <c r="BN97" s="18">
        <f t="shared" si="74"/>
        <v>1.0732836644639114</v>
      </c>
      <c r="BO97" s="56">
        <f t="shared" si="89"/>
        <v>2</v>
      </c>
      <c r="BQ97" s="18">
        <f t="shared" si="75"/>
        <v>3.4601891993951028</v>
      </c>
      <c r="BR97" s="18">
        <f t="shared" si="75"/>
        <v>0.62946506052750817</v>
      </c>
      <c r="BS97" s="18">
        <f t="shared" si="75"/>
        <v>1.0732836644639114</v>
      </c>
      <c r="BT97" s="56">
        <f t="shared" si="90"/>
        <v>2</v>
      </c>
      <c r="BV97" s="18">
        <f t="shared" si="76"/>
        <v>3.4601891993951028</v>
      </c>
      <c r="BW97" s="18">
        <f t="shared" si="76"/>
        <v>0.62946506052750817</v>
      </c>
      <c r="BX97" s="18">
        <f t="shared" si="76"/>
        <v>1.0732836644639114</v>
      </c>
      <c r="BY97" s="56">
        <f t="shared" si="91"/>
        <v>2</v>
      </c>
      <c r="CA97" s="18">
        <f t="shared" si="77"/>
        <v>3.4601891993951028</v>
      </c>
      <c r="CB97" s="18">
        <f t="shared" si="77"/>
        <v>0.62946506052750817</v>
      </c>
      <c r="CC97" s="18">
        <f t="shared" si="77"/>
        <v>1.0732836644639114</v>
      </c>
      <c r="CD97" s="56">
        <f t="shared" si="92"/>
        <v>2</v>
      </c>
    </row>
    <row r="98" spans="1:82" x14ac:dyDescent="0.25">
      <c r="A98" s="63">
        <f>Phase_Data!A80</f>
        <v>43962</v>
      </c>
      <c r="B98" s="18">
        <f>Phase_Data!K80</f>
        <v>0.67210325089720802</v>
      </c>
      <c r="C98" s="18">
        <f>Phase_Data!L80</f>
        <v>1.0800780063523381</v>
      </c>
      <c r="D98" s="18">
        <f>Phase_Data!M80</f>
        <v>0.69974881713337589</v>
      </c>
      <c r="E98" s="56">
        <f t="shared" si="78"/>
        <v>2</v>
      </c>
      <c r="F98" s="38">
        <f t="shared" si="79"/>
        <v>0.24399166352603563</v>
      </c>
      <c r="G98" s="13" t="str">
        <f t="shared" si="80"/>
        <v>High activity</v>
      </c>
      <c r="X98" s="18">
        <f t="shared" si="66"/>
        <v>3.8854635802367889</v>
      </c>
      <c r="Y98" s="18">
        <f t="shared" si="66"/>
        <v>1.1596570849528827</v>
      </c>
      <c r="Z98" s="18">
        <f t="shared" si="66"/>
        <v>2.0004810198379634</v>
      </c>
      <c r="AA98" s="56">
        <f t="shared" si="81"/>
        <v>2</v>
      </c>
      <c r="AC98" s="18">
        <f t="shared" si="67"/>
        <v>3.5075368598649441</v>
      </c>
      <c r="AD98" s="18">
        <f t="shared" si="67"/>
        <v>0.41482615833207698</v>
      </c>
      <c r="AE98" s="18">
        <f t="shared" si="67"/>
        <v>1.2935328590268078</v>
      </c>
      <c r="AF98" s="56">
        <f t="shared" si="82"/>
        <v>2</v>
      </c>
      <c r="AH98" s="18">
        <f t="shared" si="68"/>
        <v>3.5927337937584389</v>
      </c>
      <c r="AI98" s="18">
        <f t="shared" si="68"/>
        <v>0.48087934545995764</v>
      </c>
      <c r="AJ98" s="18">
        <f t="shared" si="68"/>
        <v>1.2813655972505136</v>
      </c>
      <c r="AK98" s="56">
        <f t="shared" si="83"/>
        <v>2</v>
      </c>
      <c r="AM98" s="18">
        <f t="shared" si="69"/>
        <v>3.633507251933032</v>
      </c>
      <c r="AN98" s="18">
        <f t="shared" si="69"/>
        <v>0.49395512298794475</v>
      </c>
      <c r="AO98" s="18">
        <f t="shared" si="69"/>
        <v>1.2981023011261412</v>
      </c>
      <c r="AP98" s="56">
        <f t="shared" si="84"/>
        <v>2</v>
      </c>
      <c r="AR98" s="18">
        <f t="shared" si="70"/>
        <v>3.633507251933032</v>
      </c>
      <c r="AS98" s="18">
        <f t="shared" si="70"/>
        <v>0.49395512298794475</v>
      </c>
      <c r="AT98" s="18">
        <f t="shared" si="70"/>
        <v>1.2981023011261412</v>
      </c>
      <c r="AU98" s="56">
        <f t="shared" si="85"/>
        <v>2</v>
      </c>
      <c r="AW98" s="18">
        <f t="shared" si="71"/>
        <v>3.633507251933032</v>
      </c>
      <c r="AX98" s="18">
        <f t="shared" si="71"/>
        <v>0.49395512298794475</v>
      </c>
      <c r="AY98" s="18">
        <f t="shared" si="71"/>
        <v>1.2981023011261412</v>
      </c>
      <c r="AZ98" s="56">
        <f t="shared" si="86"/>
        <v>2</v>
      </c>
      <c r="BB98" s="18">
        <f t="shared" si="72"/>
        <v>3.633507251933032</v>
      </c>
      <c r="BC98" s="18">
        <f t="shared" si="72"/>
        <v>0.49395512298794475</v>
      </c>
      <c r="BD98" s="18">
        <f t="shared" si="72"/>
        <v>1.2981023011261412</v>
      </c>
      <c r="BE98" s="56">
        <f t="shared" si="87"/>
        <v>2</v>
      </c>
      <c r="BG98" s="18">
        <f t="shared" si="73"/>
        <v>3.633507251933032</v>
      </c>
      <c r="BH98" s="18">
        <f t="shared" si="73"/>
        <v>0.49395512298794475</v>
      </c>
      <c r="BI98" s="18">
        <f t="shared" si="73"/>
        <v>1.2981023011261412</v>
      </c>
      <c r="BJ98" s="56">
        <f t="shared" si="88"/>
        <v>2</v>
      </c>
      <c r="BL98" s="18">
        <f t="shared" si="74"/>
        <v>3.633507251933032</v>
      </c>
      <c r="BM98" s="18">
        <f t="shared" si="74"/>
        <v>0.49395512298794475</v>
      </c>
      <c r="BN98" s="18">
        <f t="shared" si="74"/>
        <v>1.2981023011261412</v>
      </c>
      <c r="BO98" s="56">
        <f t="shared" si="89"/>
        <v>2</v>
      </c>
      <c r="BQ98" s="18">
        <f t="shared" si="75"/>
        <v>3.633507251933032</v>
      </c>
      <c r="BR98" s="18">
        <f t="shared" si="75"/>
        <v>0.49395512298794475</v>
      </c>
      <c r="BS98" s="18">
        <f t="shared" si="75"/>
        <v>1.2981023011261412</v>
      </c>
      <c r="BT98" s="56">
        <f t="shared" si="90"/>
        <v>2</v>
      </c>
      <c r="BV98" s="18">
        <f t="shared" si="76"/>
        <v>3.633507251933032</v>
      </c>
      <c r="BW98" s="18">
        <f t="shared" si="76"/>
        <v>0.49395512298794475</v>
      </c>
      <c r="BX98" s="18">
        <f t="shared" si="76"/>
        <v>1.2981023011261412</v>
      </c>
      <c r="BY98" s="56">
        <f t="shared" si="91"/>
        <v>2</v>
      </c>
      <c r="CA98" s="18">
        <f t="shared" si="77"/>
        <v>3.633507251933032</v>
      </c>
      <c r="CB98" s="18">
        <f t="shared" si="77"/>
        <v>0.49395512298794475</v>
      </c>
      <c r="CC98" s="18">
        <f t="shared" si="77"/>
        <v>1.2981023011261412</v>
      </c>
      <c r="CD98" s="56">
        <f t="shared" si="92"/>
        <v>2</v>
      </c>
    </row>
    <row r="99" spans="1:82" x14ac:dyDescent="0.25">
      <c r="A99" s="63">
        <f>Phase_Data!A81</f>
        <v>43963</v>
      </c>
      <c r="B99" s="18">
        <f>Phase_Data!K81</f>
        <v>0.96609017252172413</v>
      </c>
      <c r="C99" s="18">
        <f>Phase_Data!L81</f>
        <v>1.0972689163206555</v>
      </c>
      <c r="D99" s="18">
        <f>Phase_Data!M81</f>
        <v>0.85005840909196695</v>
      </c>
      <c r="E99" s="56">
        <f t="shared" si="78"/>
        <v>2</v>
      </c>
      <c r="F99" s="38">
        <f t="shared" si="79"/>
        <v>9.718743065575465E-2</v>
      </c>
      <c r="G99" s="13" t="str">
        <f t="shared" si="80"/>
        <v>High activity</v>
      </c>
      <c r="X99" s="18">
        <f t="shared" si="66"/>
        <v>4.1473681169715979</v>
      </c>
      <c r="Y99" s="18">
        <f t="shared" si="66"/>
        <v>0.91423472868647515</v>
      </c>
      <c r="Z99" s="18">
        <f t="shared" si="66"/>
        <v>2.1730284442178509</v>
      </c>
      <c r="AA99" s="56">
        <f t="shared" si="81"/>
        <v>2</v>
      </c>
      <c r="AC99" s="18">
        <f t="shared" si="67"/>
        <v>3.7613701261721064</v>
      </c>
      <c r="AD99" s="18">
        <f t="shared" si="67"/>
        <v>0.33405615525701066</v>
      </c>
      <c r="AE99" s="18">
        <f t="shared" si="67"/>
        <v>1.5100694503351744</v>
      </c>
      <c r="AF99" s="56">
        <f t="shared" si="82"/>
        <v>2</v>
      </c>
      <c r="AH99" s="18">
        <f t="shared" si="68"/>
        <v>3.8484157414427291</v>
      </c>
      <c r="AI99" s="18">
        <f t="shared" si="68"/>
        <v>0.30985899303399728</v>
      </c>
      <c r="AJ99" s="18">
        <f t="shared" si="68"/>
        <v>1.4978502383885643</v>
      </c>
      <c r="AK99" s="56">
        <f t="shared" si="83"/>
        <v>2</v>
      </c>
      <c r="AM99" s="18">
        <f t="shared" si="69"/>
        <v>3.8903826674842912</v>
      </c>
      <c r="AN99" s="18">
        <f t="shared" si="69"/>
        <v>0.31174898661544137</v>
      </c>
      <c r="AO99" s="18">
        <f t="shared" si="69"/>
        <v>1.5127363034005497</v>
      </c>
      <c r="AP99" s="56">
        <f t="shared" si="84"/>
        <v>2</v>
      </c>
      <c r="AR99" s="18">
        <f t="shared" si="70"/>
        <v>3.8903826674842912</v>
      </c>
      <c r="AS99" s="18">
        <f t="shared" si="70"/>
        <v>0.31174898661544137</v>
      </c>
      <c r="AT99" s="18">
        <f t="shared" si="70"/>
        <v>1.5127363034005497</v>
      </c>
      <c r="AU99" s="56">
        <f t="shared" si="85"/>
        <v>2</v>
      </c>
      <c r="AW99" s="18">
        <f t="shared" si="71"/>
        <v>3.8903826674842912</v>
      </c>
      <c r="AX99" s="18">
        <f t="shared" si="71"/>
        <v>0.31174898661544137</v>
      </c>
      <c r="AY99" s="18">
        <f t="shared" si="71"/>
        <v>1.5127363034005497</v>
      </c>
      <c r="AZ99" s="56">
        <f t="shared" si="86"/>
        <v>2</v>
      </c>
      <c r="BB99" s="18">
        <f t="shared" si="72"/>
        <v>3.8903826674842912</v>
      </c>
      <c r="BC99" s="18">
        <f t="shared" si="72"/>
        <v>0.31174898661544137</v>
      </c>
      <c r="BD99" s="18">
        <f t="shared" si="72"/>
        <v>1.5127363034005497</v>
      </c>
      <c r="BE99" s="56">
        <f t="shared" si="87"/>
        <v>2</v>
      </c>
      <c r="BG99" s="18">
        <f t="shared" si="73"/>
        <v>3.8903826674842912</v>
      </c>
      <c r="BH99" s="18">
        <f t="shared" si="73"/>
        <v>0.31174898661544137</v>
      </c>
      <c r="BI99" s="18">
        <f t="shared" si="73"/>
        <v>1.5127363034005497</v>
      </c>
      <c r="BJ99" s="56">
        <f t="shared" si="88"/>
        <v>2</v>
      </c>
      <c r="BL99" s="18">
        <f t="shared" si="74"/>
        <v>3.8903826674842912</v>
      </c>
      <c r="BM99" s="18">
        <f t="shared" si="74"/>
        <v>0.31174898661544137</v>
      </c>
      <c r="BN99" s="18">
        <f t="shared" si="74"/>
        <v>1.5127363034005497</v>
      </c>
      <c r="BO99" s="56">
        <f t="shared" si="89"/>
        <v>2</v>
      </c>
      <c r="BQ99" s="18">
        <f t="shared" si="75"/>
        <v>3.8903826674842912</v>
      </c>
      <c r="BR99" s="18">
        <f t="shared" si="75"/>
        <v>0.31174898661544137</v>
      </c>
      <c r="BS99" s="18">
        <f t="shared" si="75"/>
        <v>1.5127363034005497</v>
      </c>
      <c r="BT99" s="56">
        <f t="shared" si="90"/>
        <v>2</v>
      </c>
      <c r="BV99" s="18">
        <f t="shared" si="76"/>
        <v>3.8903826674842912</v>
      </c>
      <c r="BW99" s="18">
        <f t="shared" si="76"/>
        <v>0.31174898661544137</v>
      </c>
      <c r="BX99" s="18">
        <f t="shared" si="76"/>
        <v>1.5127363034005497</v>
      </c>
      <c r="BY99" s="56">
        <f t="shared" si="91"/>
        <v>2</v>
      </c>
      <c r="CA99" s="18">
        <f t="shared" si="77"/>
        <v>3.8903826674842912</v>
      </c>
      <c r="CB99" s="18">
        <f t="shared" si="77"/>
        <v>0.31174898661544137</v>
      </c>
      <c r="CC99" s="18">
        <f t="shared" si="77"/>
        <v>1.5127363034005497</v>
      </c>
      <c r="CD99" s="56">
        <f t="shared" si="92"/>
        <v>2</v>
      </c>
    </row>
    <row r="100" spans="1:82" x14ac:dyDescent="0.25">
      <c r="A100" s="63">
        <f>Phase_Data!A82</f>
        <v>43964</v>
      </c>
      <c r="B100" s="18">
        <f>Phase_Data!K82</f>
        <v>0.78476040847966522</v>
      </c>
      <c r="C100" s="18">
        <f>Phase_Data!L82</f>
        <v>1.0443326652349103</v>
      </c>
      <c r="D100" s="18">
        <f>Phase_Data!M82</f>
        <v>1.2807409117360564</v>
      </c>
      <c r="E100" s="56">
        <f t="shared" si="78"/>
        <v>2</v>
      </c>
      <c r="F100" s="38">
        <f t="shared" si="79"/>
        <v>2.8211449918078738E-2</v>
      </c>
      <c r="G100" s="13" t="str">
        <f t="shared" si="80"/>
        <v>High activity</v>
      </c>
      <c r="X100" s="18">
        <f t="shared" si="66"/>
        <v>4.2511293904328653</v>
      </c>
      <c r="Y100" s="18">
        <f t="shared" si="66"/>
        <v>0.71156321847886717</v>
      </c>
      <c r="Z100" s="18">
        <f t="shared" si="66"/>
        <v>2.5752677332334963</v>
      </c>
      <c r="AA100" s="56">
        <f t="shared" si="81"/>
        <v>2</v>
      </c>
      <c r="AC100" s="18">
        <f t="shared" si="67"/>
        <v>3.8759166152812456</v>
      </c>
      <c r="AD100" s="18">
        <f t="shared" si="67"/>
        <v>0.23096198013507738</v>
      </c>
      <c r="AE100" s="18">
        <f t="shared" si="67"/>
        <v>1.7333614447269807</v>
      </c>
      <c r="AF100" s="56">
        <f t="shared" si="82"/>
        <v>2</v>
      </c>
      <c r="AH100" s="18">
        <f t="shared" si="68"/>
        <v>3.9624905024075776</v>
      </c>
      <c r="AI100" s="18">
        <f t="shared" si="68"/>
        <v>0.16209965509134688</v>
      </c>
      <c r="AJ100" s="18">
        <f t="shared" si="68"/>
        <v>1.6947783658365712</v>
      </c>
      <c r="AK100" s="56">
        <f t="shared" si="83"/>
        <v>2</v>
      </c>
      <c r="AM100" s="18">
        <f t="shared" si="69"/>
        <v>4.0035250291185172</v>
      </c>
      <c r="AN100" s="18">
        <f t="shared" si="69"/>
        <v>0.16796264441261557</v>
      </c>
      <c r="AO100" s="18">
        <f t="shared" si="69"/>
        <v>1.7042463992453214</v>
      </c>
      <c r="AP100" s="56">
        <f t="shared" si="84"/>
        <v>2</v>
      </c>
      <c r="AR100" s="18">
        <f t="shared" si="70"/>
        <v>4.0035250291185172</v>
      </c>
      <c r="AS100" s="18">
        <f t="shared" si="70"/>
        <v>0.16796264441261557</v>
      </c>
      <c r="AT100" s="18">
        <f t="shared" si="70"/>
        <v>1.7042463992453214</v>
      </c>
      <c r="AU100" s="56">
        <f t="shared" si="85"/>
        <v>2</v>
      </c>
      <c r="AW100" s="18">
        <f t="shared" si="71"/>
        <v>4.0035250291185172</v>
      </c>
      <c r="AX100" s="18">
        <f t="shared" si="71"/>
        <v>0.16796264441261557</v>
      </c>
      <c r="AY100" s="18">
        <f t="shared" si="71"/>
        <v>1.7042463992453214</v>
      </c>
      <c r="AZ100" s="56">
        <f t="shared" si="86"/>
        <v>2</v>
      </c>
      <c r="BB100" s="18">
        <f t="shared" si="72"/>
        <v>4.0035250291185172</v>
      </c>
      <c r="BC100" s="18">
        <f t="shared" si="72"/>
        <v>0.16796264441261557</v>
      </c>
      <c r="BD100" s="18">
        <f t="shared" si="72"/>
        <v>1.7042463992453214</v>
      </c>
      <c r="BE100" s="56">
        <f t="shared" si="87"/>
        <v>2</v>
      </c>
      <c r="BG100" s="18">
        <f t="shared" si="73"/>
        <v>4.0035250291185172</v>
      </c>
      <c r="BH100" s="18">
        <f t="shared" si="73"/>
        <v>0.16796264441261557</v>
      </c>
      <c r="BI100" s="18">
        <f t="shared" si="73"/>
        <v>1.7042463992453214</v>
      </c>
      <c r="BJ100" s="56">
        <f t="shared" si="88"/>
        <v>2</v>
      </c>
      <c r="BL100" s="18">
        <f t="shared" si="74"/>
        <v>4.0035250291185172</v>
      </c>
      <c r="BM100" s="18">
        <f t="shared" si="74"/>
        <v>0.16796264441261557</v>
      </c>
      <c r="BN100" s="18">
        <f t="shared" si="74"/>
        <v>1.7042463992453214</v>
      </c>
      <c r="BO100" s="56">
        <f t="shared" si="89"/>
        <v>2</v>
      </c>
      <c r="BQ100" s="18">
        <f t="shared" si="75"/>
        <v>4.0035250291185172</v>
      </c>
      <c r="BR100" s="18">
        <f t="shared" si="75"/>
        <v>0.16796264441261557</v>
      </c>
      <c r="BS100" s="18">
        <f t="shared" si="75"/>
        <v>1.7042463992453214</v>
      </c>
      <c r="BT100" s="56">
        <f t="shared" si="90"/>
        <v>2</v>
      </c>
      <c r="BV100" s="18">
        <f t="shared" si="76"/>
        <v>4.0035250291185172</v>
      </c>
      <c r="BW100" s="18">
        <f t="shared" si="76"/>
        <v>0.16796264441261557</v>
      </c>
      <c r="BX100" s="18">
        <f t="shared" si="76"/>
        <v>1.7042463992453214</v>
      </c>
      <c r="BY100" s="56">
        <f t="shared" si="91"/>
        <v>2</v>
      </c>
      <c r="CA100" s="18">
        <f t="shared" si="77"/>
        <v>4.0035250291185172</v>
      </c>
      <c r="CB100" s="18">
        <f t="shared" si="77"/>
        <v>0.16796264441261557</v>
      </c>
      <c r="CC100" s="18">
        <f t="shared" si="77"/>
        <v>1.7042463992453214</v>
      </c>
      <c r="CD100" s="56">
        <f t="shared" si="92"/>
        <v>2</v>
      </c>
    </row>
    <row r="101" spans="1:82" x14ac:dyDescent="0.25">
      <c r="A101" s="63">
        <f>Phase_Data!A83</f>
        <v>43965</v>
      </c>
      <c r="B101" s="18">
        <f>Phase_Data!K83</f>
        <v>0.78974871231548116</v>
      </c>
      <c r="C101" s="18">
        <f>Phase_Data!L83</f>
        <v>0.98691780350404879</v>
      </c>
      <c r="D101" s="18">
        <f>Phase_Data!M83</f>
        <v>1.0096430819760396</v>
      </c>
      <c r="E101" s="56">
        <f t="shared" si="78"/>
        <v>2</v>
      </c>
      <c r="F101" s="38">
        <f t="shared" si="79"/>
        <v>3.8039231989350067E-2</v>
      </c>
      <c r="G101" s="13" t="str">
        <f t="shared" si="80"/>
        <v>High activity</v>
      </c>
      <c r="X101" s="18">
        <f t="shared" si="66"/>
        <v>4.062459645184413</v>
      </c>
      <c r="Y101" s="18">
        <f t="shared" si="66"/>
        <v>0.90806521505576399</v>
      </c>
      <c r="Z101" s="18">
        <f t="shared" si="66"/>
        <v>2.3004897947255163</v>
      </c>
      <c r="AA101" s="56">
        <f t="shared" si="81"/>
        <v>2</v>
      </c>
      <c r="AC101" s="18">
        <f t="shared" si="67"/>
        <v>3.6818666419644783</v>
      </c>
      <c r="AD101" s="18">
        <f t="shared" si="67"/>
        <v>8.2424169595773852E-2</v>
      </c>
      <c r="AE101" s="18">
        <f t="shared" si="67"/>
        <v>1.4900318574913358</v>
      </c>
      <c r="AF101" s="56">
        <f t="shared" si="82"/>
        <v>2</v>
      </c>
      <c r="AH101" s="18">
        <f t="shared" si="68"/>
        <v>3.7687813963373546</v>
      </c>
      <c r="AI101" s="18">
        <f t="shared" si="68"/>
        <v>0.16666729726881269</v>
      </c>
      <c r="AJ101" s="18">
        <f t="shared" si="68"/>
        <v>1.4602768356415607</v>
      </c>
      <c r="AK101" s="56">
        <f t="shared" si="83"/>
        <v>2</v>
      </c>
      <c r="AM101" s="18">
        <f t="shared" si="69"/>
        <v>3.8102892367895342</v>
      </c>
      <c r="AN101" s="18">
        <f t="shared" si="69"/>
        <v>0.19503648886644281</v>
      </c>
      <c r="AO101" s="18">
        <f t="shared" si="69"/>
        <v>1.4719009271638084</v>
      </c>
      <c r="AP101" s="56">
        <f t="shared" si="84"/>
        <v>2</v>
      </c>
      <c r="AR101" s="18">
        <f t="shared" si="70"/>
        <v>3.8102892367895342</v>
      </c>
      <c r="AS101" s="18">
        <f t="shared" si="70"/>
        <v>0.19503648886644281</v>
      </c>
      <c r="AT101" s="18">
        <f t="shared" si="70"/>
        <v>1.4719009271638084</v>
      </c>
      <c r="AU101" s="56">
        <f t="shared" si="85"/>
        <v>2</v>
      </c>
      <c r="AW101" s="18">
        <f t="shared" si="71"/>
        <v>3.8102892367895342</v>
      </c>
      <c r="AX101" s="18">
        <f t="shared" si="71"/>
        <v>0.19503648886644281</v>
      </c>
      <c r="AY101" s="18">
        <f t="shared" si="71"/>
        <v>1.4719009271638084</v>
      </c>
      <c r="AZ101" s="56">
        <f t="shared" si="86"/>
        <v>2</v>
      </c>
      <c r="BB101" s="18">
        <f t="shared" si="72"/>
        <v>3.8102892367895342</v>
      </c>
      <c r="BC101" s="18">
        <f t="shared" si="72"/>
        <v>0.19503648886644281</v>
      </c>
      <c r="BD101" s="18">
        <f t="shared" si="72"/>
        <v>1.4719009271638084</v>
      </c>
      <c r="BE101" s="56">
        <f t="shared" si="87"/>
        <v>2</v>
      </c>
      <c r="BG101" s="18">
        <f t="shared" si="73"/>
        <v>3.8102892367895342</v>
      </c>
      <c r="BH101" s="18">
        <f t="shared" si="73"/>
        <v>0.19503648886644281</v>
      </c>
      <c r="BI101" s="18">
        <f t="shared" si="73"/>
        <v>1.4719009271638084</v>
      </c>
      <c r="BJ101" s="56">
        <f t="shared" si="88"/>
        <v>2</v>
      </c>
      <c r="BL101" s="18">
        <f t="shared" si="74"/>
        <v>3.8102892367895342</v>
      </c>
      <c r="BM101" s="18">
        <f t="shared" si="74"/>
        <v>0.19503648886644281</v>
      </c>
      <c r="BN101" s="18">
        <f t="shared" si="74"/>
        <v>1.4719009271638084</v>
      </c>
      <c r="BO101" s="56">
        <f t="shared" si="89"/>
        <v>2</v>
      </c>
      <c r="BQ101" s="18">
        <f t="shared" si="75"/>
        <v>3.8102892367895342</v>
      </c>
      <c r="BR101" s="18">
        <f t="shared" si="75"/>
        <v>0.19503648886644281</v>
      </c>
      <c r="BS101" s="18">
        <f t="shared" si="75"/>
        <v>1.4719009271638084</v>
      </c>
      <c r="BT101" s="56">
        <f t="shared" si="90"/>
        <v>2</v>
      </c>
      <c r="BV101" s="18">
        <f t="shared" si="76"/>
        <v>3.8102892367895342</v>
      </c>
      <c r="BW101" s="18">
        <f t="shared" si="76"/>
        <v>0.19503648886644281</v>
      </c>
      <c r="BX101" s="18">
        <f t="shared" si="76"/>
        <v>1.4719009271638084</v>
      </c>
      <c r="BY101" s="56">
        <f t="shared" si="91"/>
        <v>2</v>
      </c>
      <c r="CA101" s="18">
        <f t="shared" si="77"/>
        <v>3.8102892367895342</v>
      </c>
      <c r="CB101" s="18">
        <f t="shared" si="77"/>
        <v>0.19503648886644281</v>
      </c>
      <c r="CC101" s="18">
        <f t="shared" si="77"/>
        <v>1.4719009271638084</v>
      </c>
      <c r="CD101" s="56">
        <f t="shared" si="92"/>
        <v>2</v>
      </c>
    </row>
    <row r="102" spans="1:82" x14ac:dyDescent="0.25">
      <c r="A102" s="63">
        <f>Phase_Data!A84</f>
        <v>43966</v>
      </c>
      <c r="B102" s="18">
        <f>Phase_Data!K84</f>
        <v>0.80752385962465068</v>
      </c>
      <c r="C102" s="18">
        <f>Phase_Data!L84</f>
        <v>0.94575340190354995</v>
      </c>
      <c r="D102" s="18">
        <f>Phase_Data!M84</f>
        <v>1.231312337885859</v>
      </c>
      <c r="E102" s="56">
        <f t="shared" si="78"/>
        <v>2</v>
      </c>
      <c r="F102" s="38">
        <f t="shared" si="79"/>
        <v>3.296925015006695E-2</v>
      </c>
      <c r="G102" s="13" t="str">
        <f t="shared" si="80"/>
        <v>High activity</v>
      </c>
      <c r="X102" s="18">
        <f t="shared" si="66"/>
        <v>4.177961645049403</v>
      </c>
      <c r="Y102" s="18">
        <f t="shared" si="66"/>
        <v>0.78762582110545332</v>
      </c>
      <c r="Z102" s="18">
        <f t="shared" si="66"/>
        <v>2.5189005912531135</v>
      </c>
      <c r="AA102" s="56">
        <f t="shared" si="81"/>
        <v>2</v>
      </c>
      <c r="AC102" s="18">
        <f t="shared" si="67"/>
        <v>3.7995474679201906</v>
      </c>
      <c r="AD102" s="18">
        <f t="shared" si="67"/>
        <v>0.15899752152784122</v>
      </c>
      <c r="AE102" s="18">
        <f t="shared" si="67"/>
        <v>1.6507639628017898</v>
      </c>
      <c r="AF102" s="56">
        <f t="shared" si="82"/>
        <v>2</v>
      </c>
      <c r="AH102" s="18">
        <f t="shared" si="68"/>
        <v>3.8867752213285032</v>
      </c>
      <c r="AI102" s="18">
        <f t="shared" si="68"/>
        <v>0.15611727197822189</v>
      </c>
      <c r="AJ102" s="18">
        <f t="shared" si="68"/>
        <v>1.6107531996397317</v>
      </c>
      <c r="AK102" s="56">
        <f t="shared" si="83"/>
        <v>2</v>
      </c>
      <c r="AM102" s="18">
        <f t="shared" si="69"/>
        <v>3.9282590455726898</v>
      </c>
      <c r="AN102" s="18">
        <f t="shared" si="69"/>
        <v>0.181574365343974</v>
      </c>
      <c r="AO102" s="18">
        <f t="shared" si="69"/>
        <v>1.6194670942289715</v>
      </c>
      <c r="AP102" s="56">
        <f t="shared" si="84"/>
        <v>2</v>
      </c>
      <c r="AR102" s="18">
        <f t="shared" si="70"/>
        <v>3.9282590455726898</v>
      </c>
      <c r="AS102" s="18">
        <f t="shared" si="70"/>
        <v>0.181574365343974</v>
      </c>
      <c r="AT102" s="18">
        <f t="shared" si="70"/>
        <v>1.6194670942289715</v>
      </c>
      <c r="AU102" s="56">
        <f t="shared" si="85"/>
        <v>2</v>
      </c>
      <c r="AW102" s="18">
        <f t="shared" si="71"/>
        <v>3.9282590455726898</v>
      </c>
      <c r="AX102" s="18">
        <f t="shared" si="71"/>
        <v>0.181574365343974</v>
      </c>
      <c r="AY102" s="18">
        <f t="shared" si="71"/>
        <v>1.6194670942289715</v>
      </c>
      <c r="AZ102" s="56">
        <f t="shared" si="86"/>
        <v>2</v>
      </c>
      <c r="BB102" s="18">
        <f t="shared" si="72"/>
        <v>3.9282590455726898</v>
      </c>
      <c r="BC102" s="18">
        <f t="shared" si="72"/>
        <v>0.181574365343974</v>
      </c>
      <c r="BD102" s="18">
        <f t="shared" si="72"/>
        <v>1.6194670942289715</v>
      </c>
      <c r="BE102" s="56">
        <f t="shared" si="87"/>
        <v>2</v>
      </c>
      <c r="BG102" s="18">
        <f t="shared" si="73"/>
        <v>3.9282590455726898</v>
      </c>
      <c r="BH102" s="18">
        <f t="shared" si="73"/>
        <v>0.181574365343974</v>
      </c>
      <c r="BI102" s="18">
        <f t="shared" si="73"/>
        <v>1.6194670942289715</v>
      </c>
      <c r="BJ102" s="56">
        <f t="shared" si="88"/>
        <v>2</v>
      </c>
      <c r="BL102" s="18">
        <f t="shared" si="74"/>
        <v>3.9282590455726898</v>
      </c>
      <c r="BM102" s="18">
        <f t="shared" si="74"/>
        <v>0.181574365343974</v>
      </c>
      <c r="BN102" s="18">
        <f t="shared" si="74"/>
        <v>1.6194670942289715</v>
      </c>
      <c r="BO102" s="56">
        <f t="shared" si="89"/>
        <v>2</v>
      </c>
      <c r="BQ102" s="18">
        <f t="shared" si="75"/>
        <v>3.9282590455726898</v>
      </c>
      <c r="BR102" s="18">
        <f t="shared" si="75"/>
        <v>0.181574365343974</v>
      </c>
      <c r="BS102" s="18">
        <f t="shared" si="75"/>
        <v>1.6194670942289715</v>
      </c>
      <c r="BT102" s="56">
        <f t="shared" si="90"/>
        <v>2</v>
      </c>
      <c r="BV102" s="18">
        <f t="shared" si="76"/>
        <v>3.9282590455726898</v>
      </c>
      <c r="BW102" s="18">
        <f t="shared" si="76"/>
        <v>0.181574365343974</v>
      </c>
      <c r="BX102" s="18">
        <f t="shared" si="76"/>
        <v>1.6194670942289715</v>
      </c>
      <c r="BY102" s="56">
        <f t="shared" si="91"/>
        <v>2</v>
      </c>
      <c r="CA102" s="18">
        <f t="shared" si="77"/>
        <v>3.9282590455726898</v>
      </c>
      <c r="CB102" s="18">
        <f t="shared" si="77"/>
        <v>0.181574365343974</v>
      </c>
      <c r="CC102" s="18">
        <f t="shared" si="77"/>
        <v>1.6194670942289715</v>
      </c>
      <c r="CD102" s="56">
        <f t="shared" si="92"/>
        <v>2</v>
      </c>
    </row>
    <row r="103" spans="1:82" x14ac:dyDescent="0.25">
      <c r="A103" s="63">
        <f>Phase_Data!A85</f>
        <v>43967</v>
      </c>
      <c r="B103" s="18">
        <f>Phase_Data!K85</f>
        <v>0.76795875868318164</v>
      </c>
      <c r="C103" s="18">
        <f>Phase_Data!L85</f>
        <v>1.0972689163206555</v>
      </c>
      <c r="D103" s="18">
        <f>Phase_Data!M85</f>
        <v>0.90372723588084813</v>
      </c>
      <c r="E103" s="56">
        <f t="shared" si="78"/>
        <v>2</v>
      </c>
      <c r="F103" s="38">
        <f t="shared" si="79"/>
        <v>7.2104192227502556E-2</v>
      </c>
      <c r="G103" s="13" t="str">
        <f t="shared" si="80"/>
        <v>High activity</v>
      </c>
      <c r="X103" s="18">
        <f t="shared" ref="X103:Z121" si="93">SQRT(($B103-X$16)^2+($C103-X$17)^2+($D103-X$18)^2)</f>
        <v>4.0581762603088096</v>
      </c>
      <c r="Y103" s="18">
        <f t="shared" si="93"/>
        <v>0.94495894117563095</v>
      </c>
      <c r="Z103" s="18">
        <f t="shared" si="93"/>
        <v>2.2072799173356308</v>
      </c>
      <c r="AA103" s="56">
        <f t="shared" si="81"/>
        <v>2</v>
      </c>
      <c r="AC103" s="18">
        <f t="shared" ref="AC103:AE121" si="94">SQRT(($B103-AC$16)^2+($C103-AC$17)^2+($D103-AC$18)^2)</f>
        <v>3.6792279645742902</v>
      </c>
      <c r="AD103" s="18">
        <f t="shared" si="94"/>
        <v>0.23376815452627003</v>
      </c>
      <c r="AE103" s="18">
        <f t="shared" si="94"/>
        <v>1.4713047866724884</v>
      </c>
      <c r="AF103" s="56">
        <f t="shared" si="82"/>
        <v>2</v>
      </c>
      <c r="AH103" s="18">
        <f t="shared" ref="AH103:AJ121" si="95">SQRT(($B103-AH$16)^2+($C103-AH$17)^2+($D103-AH$18)^2)</f>
        <v>3.7652602368962822</v>
      </c>
      <c r="AI103" s="18">
        <f t="shared" si="95"/>
        <v>0.25804284590157667</v>
      </c>
      <c r="AJ103" s="18">
        <f t="shared" si="95"/>
        <v>1.4506955293436701</v>
      </c>
      <c r="AK103" s="56">
        <f t="shared" si="83"/>
        <v>2</v>
      </c>
      <c r="AM103" s="18">
        <f t="shared" ref="AM103:AO121" si="96">SQRT(($B103-AM$16)^2+($C103-AM$17)^2+($D103-AM$18)^2)</f>
        <v>3.8063598539568635</v>
      </c>
      <c r="AN103" s="18">
        <f t="shared" si="96"/>
        <v>0.2685222378640223</v>
      </c>
      <c r="AO103" s="18">
        <f t="shared" si="96"/>
        <v>1.4649416808174787</v>
      </c>
      <c r="AP103" s="56">
        <f t="shared" si="84"/>
        <v>2</v>
      </c>
      <c r="AR103" s="18">
        <f t="shared" ref="AR103:AT121" si="97">SQRT(($B103-AR$16)^2+($C103-AR$17)^2+($D103-AR$18)^2)</f>
        <v>3.8063598539568635</v>
      </c>
      <c r="AS103" s="18">
        <f t="shared" si="97"/>
        <v>0.2685222378640223</v>
      </c>
      <c r="AT103" s="18">
        <f t="shared" si="97"/>
        <v>1.4649416808174787</v>
      </c>
      <c r="AU103" s="56">
        <f t="shared" si="85"/>
        <v>2</v>
      </c>
      <c r="AW103" s="18">
        <f t="shared" ref="AW103:AY121" si="98">SQRT(($B103-AW$16)^2+($C103-AW$17)^2+($D103-AW$18)^2)</f>
        <v>3.8063598539568635</v>
      </c>
      <c r="AX103" s="18">
        <f t="shared" si="98"/>
        <v>0.2685222378640223</v>
      </c>
      <c r="AY103" s="18">
        <f t="shared" si="98"/>
        <v>1.4649416808174787</v>
      </c>
      <c r="AZ103" s="56">
        <f t="shared" si="86"/>
        <v>2</v>
      </c>
      <c r="BB103" s="18">
        <f t="shared" ref="BB103:BD121" si="99">SQRT(($B103-BB$16)^2+($C103-BB$17)^2+($D103-BB$18)^2)</f>
        <v>3.8063598539568635</v>
      </c>
      <c r="BC103" s="18">
        <f t="shared" si="99"/>
        <v>0.2685222378640223</v>
      </c>
      <c r="BD103" s="18">
        <f t="shared" si="99"/>
        <v>1.4649416808174787</v>
      </c>
      <c r="BE103" s="56">
        <f t="shared" si="87"/>
        <v>2</v>
      </c>
      <c r="BG103" s="18">
        <f t="shared" ref="BG103:BI121" si="100">SQRT(($B103-BG$16)^2+($C103-BG$17)^2+($D103-BG$18)^2)</f>
        <v>3.8063598539568635</v>
      </c>
      <c r="BH103" s="18">
        <f t="shared" si="100"/>
        <v>0.2685222378640223</v>
      </c>
      <c r="BI103" s="18">
        <f t="shared" si="100"/>
        <v>1.4649416808174787</v>
      </c>
      <c r="BJ103" s="56">
        <f t="shared" si="88"/>
        <v>2</v>
      </c>
      <c r="BL103" s="18">
        <f t="shared" ref="BL103:BN121" si="101">SQRT(($B103-BL$16)^2+($C103-BL$17)^2+($D103-BL$18)^2)</f>
        <v>3.8063598539568635</v>
      </c>
      <c r="BM103" s="18">
        <f t="shared" si="101"/>
        <v>0.2685222378640223</v>
      </c>
      <c r="BN103" s="18">
        <f t="shared" si="101"/>
        <v>1.4649416808174787</v>
      </c>
      <c r="BO103" s="56">
        <f t="shared" si="89"/>
        <v>2</v>
      </c>
      <c r="BQ103" s="18">
        <f t="shared" ref="BQ103:BS121" si="102">SQRT(($B103-BQ$16)^2+($C103-BQ$17)^2+($D103-BQ$18)^2)</f>
        <v>3.8063598539568635</v>
      </c>
      <c r="BR103" s="18">
        <f t="shared" si="102"/>
        <v>0.2685222378640223</v>
      </c>
      <c r="BS103" s="18">
        <f t="shared" si="102"/>
        <v>1.4649416808174787</v>
      </c>
      <c r="BT103" s="56">
        <f t="shared" si="90"/>
        <v>2</v>
      </c>
      <c r="BV103" s="18">
        <f t="shared" ref="BV103:BX121" si="103">SQRT(($B103-BV$16)^2+($C103-BV$17)^2+($D103-BV$18)^2)</f>
        <v>3.8063598539568635</v>
      </c>
      <c r="BW103" s="18">
        <f t="shared" si="103"/>
        <v>0.2685222378640223</v>
      </c>
      <c r="BX103" s="18">
        <f t="shared" si="103"/>
        <v>1.4649416808174787</v>
      </c>
      <c r="BY103" s="56">
        <f t="shared" si="91"/>
        <v>2</v>
      </c>
      <c r="CA103" s="18">
        <f t="shared" ref="CA103:CC121" si="104">SQRT(($B103-CA$16)^2+($C103-CA$17)^2+($D103-CA$18)^2)</f>
        <v>3.8063598539568635</v>
      </c>
      <c r="CB103" s="18">
        <f t="shared" si="104"/>
        <v>0.2685222378640223</v>
      </c>
      <c r="CC103" s="18">
        <f t="shared" si="104"/>
        <v>1.4649416808174787</v>
      </c>
      <c r="CD103" s="56">
        <f t="shared" si="92"/>
        <v>2</v>
      </c>
    </row>
    <row r="104" spans="1:82" x14ac:dyDescent="0.25">
      <c r="A104" s="63">
        <f>Phase_Data!A86</f>
        <v>43968</v>
      </c>
      <c r="B104" s="18">
        <f>Phase_Data!K86</f>
        <v>0.90948933792535225</v>
      </c>
      <c r="C104" s="18">
        <f>Phase_Data!L86</f>
        <v>0.9241958873400502</v>
      </c>
      <c r="D104" s="18">
        <f>Phase_Data!M86</f>
        <v>1.110503611843171</v>
      </c>
      <c r="E104" s="56">
        <f t="shared" si="78"/>
        <v>2</v>
      </c>
      <c r="F104" s="38">
        <f t="shared" si="79"/>
        <v>3.0548355929651737E-2</v>
      </c>
      <c r="G104" s="13" t="str">
        <f t="shared" si="80"/>
        <v>High activity</v>
      </c>
      <c r="X104" s="18">
        <f t="shared" si="93"/>
        <v>4.1541126951292551</v>
      </c>
      <c r="Y104" s="18">
        <f t="shared" si="93"/>
        <v>0.82717867906043352</v>
      </c>
      <c r="Z104" s="18">
        <f t="shared" si="93"/>
        <v>2.4055198057749791</v>
      </c>
      <c r="AA104" s="56">
        <f t="shared" si="81"/>
        <v>2</v>
      </c>
      <c r="AC104" s="18">
        <f t="shared" si="94"/>
        <v>3.7699522444858422</v>
      </c>
      <c r="AD104" s="18">
        <f t="shared" si="94"/>
        <v>0.13775656746871331</v>
      </c>
      <c r="AE104" s="18">
        <f t="shared" si="94"/>
        <v>1.5782277818825783</v>
      </c>
      <c r="AF104" s="56">
        <f t="shared" si="82"/>
        <v>2</v>
      </c>
      <c r="AH104" s="18">
        <f t="shared" si="95"/>
        <v>3.8578840293944481</v>
      </c>
      <c r="AI104" s="18">
        <f t="shared" si="95"/>
        <v>0.14546748146087626</v>
      </c>
      <c r="AJ104" s="18">
        <f t="shared" si="95"/>
        <v>1.5451190658668588</v>
      </c>
      <c r="AK104" s="56">
        <f t="shared" si="83"/>
        <v>2</v>
      </c>
      <c r="AM104" s="18">
        <f t="shared" si="96"/>
        <v>3.9000064031214889</v>
      </c>
      <c r="AN104" s="18">
        <f t="shared" si="96"/>
        <v>0.17478087975992035</v>
      </c>
      <c r="AO104" s="18">
        <f t="shared" si="96"/>
        <v>1.5549167711040404</v>
      </c>
      <c r="AP104" s="56">
        <f t="shared" si="84"/>
        <v>2</v>
      </c>
      <c r="AR104" s="18">
        <f t="shared" si="97"/>
        <v>3.9000064031214889</v>
      </c>
      <c r="AS104" s="18">
        <f t="shared" si="97"/>
        <v>0.17478087975992035</v>
      </c>
      <c r="AT104" s="18">
        <f t="shared" si="97"/>
        <v>1.5549167711040404</v>
      </c>
      <c r="AU104" s="56">
        <f t="shared" si="85"/>
        <v>2</v>
      </c>
      <c r="AW104" s="18">
        <f t="shared" si="98"/>
        <v>3.9000064031214889</v>
      </c>
      <c r="AX104" s="18">
        <f t="shared" si="98"/>
        <v>0.17478087975992035</v>
      </c>
      <c r="AY104" s="18">
        <f t="shared" si="98"/>
        <v>1.5549167711040404</v>
      </c>
      <c r="AZ104" s="56">
        <f t="shared" si="86"/>
        <v>2</v>
      </c>
      <c r="BB104" s="18">
        <f t="shared" si="99"/>
        <v>3.9000064031214889</v>
      </c>
      <c r="BC104" s="18">
        <f t="shared" si="99"/>
        <v>0.17478087975992035</v>
      </c>
      <c r="BD104" s="18">
        <f t="shared" si="99"/>
        <v>1.5549167711040404</v>
      </c>
      <c r="BE104" s="56">
        <f t="shared" si="87"/>
        <v>2</v>
      </c>
      <c r="BG104" s="18">
        <f t="shared" si="100"/>
        <v>3.9000064031214889</v>
      </c>
      <c r="BH104" s="18">
        <f t="shared" si="100"/>
        <v>0.17478087975992035</v>
      </c>
      <c r="BI104" s="18">
        <f t="shared" si="100"/>
        <v>1.5549167711040404</v>
      </c>
      <c r="BJ104" s="56">
        <f t="shared" si="88"/>
        <v>2</v>
      </c>
      <c r="BL104" s="18">
        <f t="shared" si="101"/>
        <v>3.9000064031214889</v>
      </c>
      <c r="BM104" s="18">
        <f t="shared" si="101"/>
        <v>0.17478087975992035</v>
      </c>
      <c r="BN104" s="18">
        <f t="shared" si="101"/>
        <v>1.5549167711040404</v>
      </c>
      <c r="BO104" s="56">
        <f t="shared" si="89"/>
        <v>2</v>
      </c>
      <c r="BQ104" s="18">
        <f t="shared" si="102"/>
        <v>3.9000064031214889</v>
      </c>
      <c r="BR104" s="18">
        <f t="shared" si="102"/>
        <v>0.17478087975992035</v>
      </c>
      <c r="BS104" s="18">
        <f t="shared" si="102"/>
        <v>1.5549167711040404</v>
      </c>
      <c r="BT104" s="56">
        <f t="shared" si="90"/>
        <v>2</v>
      </c>
      <c r="BV104" s="18">
        <f t="shared" si="103"/>
        <v>3.9000064031214889</v>
      </c>
      <c r="BW104" s="18">
        <f t="shared" si="103"/>
        <v>0.17478087975992035</v>
      </c>
      <c r="BX104" s="18">
        <f t="shared" si="103"/>
        <v>1.5549167711040404</v>
      </c>
      <c r="BY104" s="56">
        <f t="shared" si="91"/>
        <v>2</v>
      </c>
      <c r="CA104" s="18">
        <f t="shared" si="104"/>
        <v>3.9000064031214889</v>
      </c>
      <c r="CB104" s="18">
        <f t="shared" si="104"/>
        <v>0.17478087975992035</v>
      </c>
      <c r="CC104" s="18">
        <f t="shared" si="104"/>
        <v>1.5549167711040404</v>
      </c>
      <c r="CD104" s="56">
        <f t="shared" si="92"/>
        <v>2</v>
      </c>
    </row>
    <row r="105" spans="1:82" x14ac:dyDescent="0.25">
      <c r="A105" s="63">
        <f>Phase_Data!A87</f>
        <v>43969</v>
      </c>
      <c r="B105" s="18">
        <f>Phase_Data!K87</f>
        <v>0.87631622780591523</v>
      </c>
      <c r="C105" s="18">
        <f>Phase_Data!L87</f>
        <v>1.2067707423793153</v>
      </c>
      <c r="D105" s="18">
        <f>Phase_Data!M87</f>
        <v>1.3704130698781605</v>
      </c>
      <c r="E105" s="56">
        <f t="shared" si="78"/>
        <v>2</v>
      </c>
      <c r="F105" s="38">
        <f t="shared" si="79"/>
        <v>6.2330619030596827E-2</v>
      </c>
      <c r="G105" s="13" t="str">
        <f t="shared" si="80"/>
        <v>High activity</v>
      </c>
      <c r="X105" s="18">
        <f t="shared" si="93"/>
        <v>4.4497542004157031</v>
      </c>
      <c r="Y105" s="18">
        <f t="shared" si="93"/>
        <v>0.51401287650084571</v>
      </c>
      <c r="Z105" s="18">
        <f t="shared" si="93"/>
        <v>2.6912140174357471</v>
      </c>
      <c r="AA105" s="56">
        <f t="shared" si="81"/>
        <v>2</v>
      </c>
      <c r="AC105" s="18">
        <f t="shared" si="94"/>
        <v>4.0752901198717222</v>
      </c>
      <c r="AD105" s="18">
        <f t="shared" si="94"/>
        <v>0.41066500561725161</v>
      </c>
      <c r="AE105" s="18">
        <f t="shared" si="94"/>
        <v>1.9173875638285012</v>
      </c>
      <c r="AF105" s="56">
        <f t="shared" si="82"/>
        <v>2</v>
      </c>
      <c r="AH105" s="18">
        <f t="shared" si="95"/>
        <v>4.1615829593647522</v>
      </c>
      <c r="AI105" s="18">
        <f t="shared" si="95"/>
        <v>0.27377841377098722</v>
      </c>
      <c r="AJ105" s="18">
        <f t="shared" si="95"/>
        <v>1.8837798830600665</v>
      </c>
      <c r="AK105" s="56">
        <f t="shared" si="83"/>
        <v>2</v>
      </c>
      <c r="AM105" s="18">
        <f t="shared" si="96"/>
        <v>4.2024659027677265</v>
      </c>
      <c r="AN105" s="18">
        <f t="shared" si="96"/>
        <v>0.24966100823035389</v>
      </c>
      <c r="AO105" s="18">
        <f t="shared" si="96"/>
        <v>1.8944174685646598</v>
      </c>
      <c r="AP105" s="56">
        <f t="shared" si="84"/>
        <v>2</v>
      </c>
      <c r="AR105" s="18">
        <f t="shared" si="97"/>
        <v>4.2024659027677265</v>
      </c>
      <c r="AS105" s="18">
        <f t="shared" si="97"/>
        <v>0.24966100823035389</v>
      </c>
      <c r="AT105" s="18">
        <f t="shared" si="97"/>
        <v>1.8944174685646598</v>
      </c>
      <c r="AU105" s="56">
        <f t="shared" si="85"/>
        <v>2</v>
      </c>
      <c r="AW105" s="18">
        <f t="shared" si="98"/>
        <v>4.2024659027677265</v>
      </c>
      <c r="AX105" s="18">
        <f t="shared" si="98"/>
        <v>0.24966100823035389</v>
      </c>
      <c r="AY105" s="18">
        <f t="shared" si="98"/>
        <v>1.8944174685646598</v>
      </c>
      <c r="AZ105" s="56">
        <f t="shared" si="86"/>
        <v>2</v>
      </c>
      <c r="BB105" s="18">
        <f t="shared" si="99"/>
        <v>4.2024659027677265</v>
      </c>
      <c r="BC105" s="18">
        <f t="shared" si="99"/>
        <v>0.24966100823035389</v>
      </c>
      <c r="BD105" s="18">
        <f t="shared" si="99"/>
        <v>1.8944174685646598</v>
      </c>
      <c r="BE105" s="56">
        <f t="shared" si="87"/>
        <v>2</v>
      </c>
      <c r="BG105" s="18">
        <f t="shared" si="100"/>
        <v>4.2024659027677265</v>
      </c>
      <c r="BH105" s="18">
        <f t="shared" si="100"/>
        <v>0.24966100823035389</v>
      </c>
      <c r="BI105" s="18">
        <f t="shared" si="100"/>
        <v>1.8944174685646598</v>
      </c>
      <c r="BJ105" s="56">
        <f t="shared" si="88"/>
        <v>2</v>
      </c>
      <c r="BL105" s="18">
        <f t="shared" si="101"/>
        <v>4.2024659027677265</v>
      </c>
      <c r="BM105" s="18">
        <f t="shared" si="101"/>
        <v>0.24966100823035389</v>
      </c>
      <c r="BN105" s="18">
        <f t="shared" si="101"/>
        <v>1.8944174685646598</v>
      </c>
      <c r="BO105" s="56">
        <f t="shared" si="89"/>
        <v>2</v>
      </c>
      <c r="BQ105" s="18">
        <f t="shared" si="102"/>
        <v>4.2024659027677265</v>
      </c>
      <c r="BR105" s="18">
        <f t="shared" si="102"/>
        <v>0.24966100823035389</v>
      </c>
      <c r="BS105" s="18">
        <f t="shared" si="102"/>
        <v>1.8944174685646598</v>
      </c>
      <c r="BT105" s="56">
        <f t="shared" si="90"/>
        <v>2</v>
      </c>
      <c r="BV105" s="18">
        <f t="shared" si="103"/>
        <v>4.2024659027677265</v>
      </c>
      <c r="BW105" s="18">
        <f t="shared" si="103"/>
        <v>0.24966100823035389</v>
      </c>
      <c r="BX105" s="18">
        <f t="shared" si="103"/>
        <v>1.8944174685646598</v>
      </c>
      <c r="BY105" s="56">
        <f t="shared" si="91"/>
        <v>2</v>
      </c>
      <c r="CA105" s="18">
        <f t="shared" si="104"/>
        <v>4.2024659027677265</v>
      </c>
      <c r="CB105" s="18">
        <f t="shared" si="104"/>
        <v>0.24966100823035389</v>
      </c>
      <c r="CC105" s="18">
        <f t="shared" si="104"/>
        <v>1.8944174685646598</v>
      </c>
      <c r="CD105" s="56">
        <f t="shared" si="92"/>
        <v>2</v>
      </c>
    </row>
    <row r="106" spans="1:82" x14ac:dyDescent="0.25">
      <c r="A106" s="63">
        <f>Phase_Data!A88</f>
        <v>43970</v>
      </c>
      <c r="B106" s="18">
        <f>Phase_Data!K88</f>
        <v>0.89239613783434768</v>
      </c>
      <c r="C106" s="18">
        <f>Phase_Data!L88</f>
        <v>1.2067707423793153</v>
      </c>
      <c r="D106" s="18">
        <f>Phase_Data!M88</f>
        <v>1.1897471397253465</v>
      </c>
      <c r="E106" s="56">
        <f t="shared" si="78"/>
        <v>2</v>
      </c>
      <c r="F106" s="38">
        <f t="shared" si="79"/>
        <v>1.514478071424509E-2</v>
      </c>
      <c r="G106" s="13" t="str">
        <f t="shared" si="80"/>
        <v>High activity</v>
      </c>
      <c r="X106" s="18">
        <f t="shared" si="93"/>
        <v>4.3537107612435522</v>
      </c>
      <c r="Y106" s="18">
        <f t="shared" si="93"/>
        <v>0.61996826166685004</v>
      </c>
      <c r="Z106" s="18">
        <f t="shared" si="93"/>
        <v>2.5150635758861455</v>
      </c>
      <c r="AA106" s="56">
        <f t="shared" si="81"/>
        <v>2</v>
      </c>
      <c r="AC106" s="18">
        <f t="shared" si="94"/>
        <v>3.9761418341325654</v>
      </c>
      <c r="AD106" s="18">
        <f t="shared" si="94"/>
        <v>0.31327369966079094</v>
      </c>
      <c r="AE106" s="18">
        <f t="shared" si="94"/>
        <v>1.784953118139375</v>
      </c>
      <c r="AF106" s="56">
        <f t="shared" si="82"/>
        <v>2</v>
      </c>
      <c r="AH106" s="18">
        <f t="shared" si="95"/>
        <v>4.0625083202442971</v>
      </c>
      <c r="AI106" s="18">
        <f t="shared" si="95"/>
        <v>0.15826046968868338</v>
      </c>
      <c r="AJ106" s="18">
        <f t="shared" si="95"/>
        <v>1.7584780439324721</v>
      </c>
      <c r="AK106" s="56">
        <f t="shared" si="83"/>
        <v>2</v>
      </c>
      <c r="AM106" s="18">
        <f t="shared" si="96"/>
        <v>4.1036200828977529</v>
      </c>
      <c r="AN106" s="18">
        <f t="shared" si="96"/>
        <v>0.1230641325254645</v>
      </c>
      <c r="AO106" s="18">
        <f t="shared" si="96"/>
        <v>1.7708376212832526</v>
      </c>
      <c r="AP106" s="56">
        <f t="shared" si="84"/>
        <v>2</v>
      </c>
      <c r="AR106" s="18">
        <f t="shared" si="97"/>
        <v>4.1036200828977529</v>
      </c>
      <c r="AS106" s="18">
        <f t="shared" si="97"/>
        <v>0.1230641325254645</v>
      </c>
      <c r="AT106" s="18">
        <f t="shared" si="97"/>
        <v>1.7708376212832526</v>
      </c>
      <c r="AU106" s="56">
        <f t="shared" si="85"/>
        <v>2</v>
      </c>
      <c r="AW106" s="18">
        <f t="shared" si="98"/>
        <v>4.1036200828977529</v>
      </c>
      <c r="AX106" s="18">
        <f t="shared" si="98"/>
        <v>0.1230641325254645</v>
      </c>
      <c r="AY106" s="18">
        <f t="shared" si="98"/>
        <v>1.7708376212832526</v>
      </c>
      <c r="AZ106" s="56">
        <f t="shared" si="86"/>
        <v>2</v>
      </c>
      <c r="BB106" s="18">
        <f t="shared" si="99"/>
        <v>4.1036200828977529</v>
      </c>
      <c r="BC106" s="18">
        <f t="shared" si="99"/>
        <v>0.1230641325254645</v>
      </c>
      <c r="BD106" s="18">
        <f t="shared" si="99"/>
        <v>1.7708376212832526</v>
      </c>
      <c r="BE106" s="56">
        <f t="shared" si="87"/>
        <v>2</v>
      </c>
      <c r="BG106" s="18">
        <f t="shared" si="100"/>
        <v>4.1036200828977529</v>
      </c>
      <c r="BH106" s="18">
        <f t="shared" si="100"/>
        <v>0.1230641325254645</v>
      </c>
      <c r="BI106" s="18">
        <f t="shared" si="100"/>
        <v>1.7708376212832526</v>
      </c>
      <c r="BJ106" s="56">
        <f t="shared" si="88"/>
        <v>2</v>
      </c>
      <c r="BL106" s="18">
        <f t="shared" si="101"/>
        <v>4.1036200828977529</v>
      </c>
      <c r="BM106" s="18">
        <f t="shared" si="101"/>
        <v>0.1230641325254645</v>
      </c>
      <c r="BN106" s="18">
        <f t="shared" si="101"/>
        <v>1.7708376212832526</v>
      </c>
      <c r="BO106" s="56">
        <f t="shared" si="89"/>
        <v>2</v>
      </c>
      <c r="BQ106" s="18">
        <f t="shared" si="102"/>
        <v>4.1036200828977529</v>
      </c>
      <c r="BR106" s="18">
        <f t="shared" si="102"/>
        <v>0.1230641325254645</v>
      </c>
      <c r="BS106" s="18">
        <f t="shared" si="102"/>
        <v>1.7708376212832526</v>
      </c>
      <c r="BT106" s="56">
        <f t="shared" si="90"/>
        <v>2</v>
      </c>
      <c r="BV106" s="18">
        <f t="shared" si="103"/>
        <v>4.1036200828977529</v>
      </c>
      <c r="BW106" s="18">
        <f t="shared" si="103"/>
        <v>0.1230641325254645</v>
      </c>
      <c r="BX106" s="18">
        <f t="shared" si="103"/>
        <v>1.7708376212832526</v>
      </c>
      <c r="BY106" s="56">
        <f t="shared" si="91"/>
        <v>2</v>
      </c>
      <c r="CA106" s="18">
        <f t="shared" si="104"/>
        <v>4.1036200828977529</v>
      </c>
      <c r="CB106" s="18">
        <f t="shared" si="104"/>
        <v>0.1230641325254645</v>
      </c>
      <c r="CC106" s="18">
        <f t="shared" si="104"/>
        <v>1.7708376212832526</v>
      </c>
      <c r="CD106" s="56">
        <f t="shared" si="92"/>
        <v>2</v>
      </c>
    </row>
    <row r="107" spans="1:82" x14ac:dyDescent="0.25">
      <c r="A107" s="63">
        <f>Phase_Data!A89</f>
        <v>43971</v>
      </c>
      <c r="B107" s="18">
        <f>Phase_Data!K89</f>
        <v>0.9406834188379718</v>
      </c>
      <c r="C107" s="18">
        <f>Phase_Data!L89</f>
        <v>0.96664750197904636</v>
      </c>
      <c r="D107" s="18">
        <f>Phase_Data!M89</f>
        <v>1.4029487395893216</v>
      </c>
      <c r="E107" s="56">
        <f t="shared" si="78"/>
        <v>2</v>
      </c>
      <c r="F107" s="38">
        <f t="shared" si="79"/>
        <v>8.4189754665166872E-2</v>
      </c>
      <c r="G107" s="13" t="str">
        <f t="shared" si="80"/>
        <v>High activity</v>
      </c>
      <c r="X107" s="18">
        <f t="shared" si="93"/>
        <v>4.3696792574829439</v>
      </c>
      <c r="Y107" s="18">
        <f t="shared" si="93"/>
        <v>0.62866437063750968</v>
      </c>
      <c r="Z107" s="18">
        <f t="shared" si="93"/>
        <v>2.7017689334334603</v>
      </c>
      <c r="AA107" s="56">
        <f t="shared" si="81"/>
        <v>2</v>
      </c>
      <c r="AC107" s="18">
        <f t="shared" si="94"/>
        <v>3.9900573167492905</v>
      </c>
      <c r="AD107" s="18">
        <f t="shared" si="94"/>
        <v>0.36717627575407724</v>
      </c>
      <c r="AE107" s="18">
        <f t="shared" si="94"/>
        <v>1.8457459096429507</v>
      </c>
      <c r="AF107" s="56">
        <f t="shared" si="82"/>
        <v>2</v>
      </c>
      <c r="AH107" s="18">
        <f t="shared" si="95"/>
        <v>4.0778201276851105</v>
      </c>
      <c r="AI107" s="18">
        <f t="shared" si="95"/>
        <v>0.2889503567169584</v>
      </c>
      <c r="AJ107" s="18">
        <f t="shared" si="95"/>
        <v>1.8044886955378865</v>
      </c>
      <c r="AK107" s="56">
        <f t="shared" si="83"/>
        <v>2</v>
      </c>
      <c r="AM107" s="18">
        <f t="shared" si="96"/>
        <v>4.119598493044184</v>
      </c>
      <c r="AN107" s="18">
        <f t="shared" si="96"/>
        <v>0.29015470815612637</v>
      </c>
      <c r="AO107" s="18">
        <f t="shared" si="96"/>
        <v>1.8121543471244683</v>
      </c>
      <c r="AP107" s="56">
        <f t="shared" si="84"/>
        <v>2</v>
      </c>
      <c r="AR107" s="18">
        <f t="shared" si="97"/>
        <v>4.119598493044184</v>
      </c>
      <c r="AS107" s="18">
        <f t="shared" si="97"/>
        <v>0.29015470815612637</v>
      </c>
      <c r="AT107" s="18">
        <f t="shared" si="97"/>
        <v>1.8121543471244683</v>
      </c>
      <c r="AU107" s="56">
        <f t="shared" si="85"/>
        <v>2</v>
      </c>
      <c r="AW107" s="18">
        <f t="shared" si="98"/>
        <v>4.119598493044184</v>
      </c>
      <c r="AX107" s="18">
        <f t="shared" si="98"/>
        <v>0.29015470815612637</v>
      </c>
      <c r="AY107" s="18">
        <f t="shared" si="98"/>
        <v>1.8121543471244683</v>
      </c>
      <c r="AZ107" s="56">
        <f t="shared" si="86"/>
        <v>2</v>
      </c>
      <c r="BB107" s="18">
        <f t="shared" si="99"/>
        <v>4.119598493044184</v>
      </c>
      <c r="BC107" s="18">
        <f t="shared" si="99"/>
        <v>0.29015470815612637</v>
      </c>
      <c r="BD107" s="18">
        <f t="shared" si="99"/>
        <v>1.8121543471244683</v>
      </c>
      <c r="BE107" s="56">
        <f t="shared" si="87"/>
        <v>2</v>
      </c>
      <c r="BG107" s="18">
        <f t="shared" si="100"/>
        <v>4.119598493044184</v>
      </c>
      <c r="BH107" s="18">
        <f t="shared" si="100"/>
        <v>0.29015470815612637</v>
      </c>
      <c r="BI107" s="18">
        <f t="shared" si="100"/>
        <v>1.8121543471244683</v>
      </c>
      <c r="BJ107" s="56">
        <f t="shared" si="88"/>
        <v>2</v>
      </c>
      <c r="BL107" s="18">
        <f t="shared" si="101"/>
        <v>4.119598493044184</v>
      </c>
      <c r="BM107" s="18">
        <f t="shared" si="101"/>
        <v>0.29015470815612637</v>
      </c>
      <c r="BN107" s="18">
        <f t="shared" si="101"/>
        <v>1.8121543471244683</v>
      </c>
      <c r="BO107" s="56">
        <f t="shared" si="89"/>
        <v>2</v>
      </c>
      <c r="BQ107" s="18">
        <f t="shared" si="102"/>
        <v>4.119598493044184</v>
      </c>
      <c r="BR107" s="18">
        <f t="shared" si="102"/>
        <v>0.29015470815612637</v>
      </c>
      <c r="BS107" s="18">
        <f t="shared" si="102"/>
        <v>1.8121543471244683</v>
      </c>
      <c r="BT107" s="56">
        <f t="shared" si="90"/>
        <v>2</v>
      </c>
      <c r="BV107" s="18">
        <f t="shared" si="103"/>
        <v>4.119598493044184</v>
      </c>
      <c r="BW107" s="18">
        <f t="shared" si="103"/>
        <v>0.29015470815612637</v>
      </c>
      <c r="BX107" s="18">
        <f t="shared" si="103"/>
        <v>1.8121543471244683</v>
      </c>
      <c r="BY107" s="56">
        <f t="shared" si="91"/>
        <v>2</v>
      </c>
      <c r="CA107" s="18">
        <f t="shared" si="104"/>
        <v>4.119598493044184</v>
      </c>
      <c r="CB107" s="18">
        <f t="shared" si="104"/>
        <v>0.29015470815612637</v>
      </c>
      <c r="CC107" s="18">
        <f t="shared" si="104"/>
        <v>1.8121543471244683</v>
      </c>
      <c r="CD107" s="56">
        <f t="shared" si="92"/>
        <v>2</v>
      </c>
    </row>
    <row r="108" spans="1:82" x14ac:dyDescent="0.25">
      <c r="A108" s="63">
        <f>Phase_Data!A90</f>
        <v>43972</v>
      </c>
      <c r="B108" s="18">
        <f>Phase_Data!K90</f>
        <v>1.0136168192164321</v>
      </c>
      <c r="C108" s="18">
        <f>Phase_Data!L90</f>
        <v>1.161984973931053</v>
      </c>
      <c r="D108" s="18">
        <f>Phase_Data!M90</f>
        <v>1.3939293097507173</v>
      </c>
      <c r="E108" s="56">
        <f t="shared" si="78"/>
        <v>2</v>
      </c>
      <c r="F108" s="38">
        <f t="shared" si="79"/>
        <v>8.3553513383449463E-2</v>
      </c>
      <c r="G108" s="13" t="str">
        <f t="shared" si="80"/>
        <v>High activity</v>
      </c>
      <c r="X108" s="18">
        <f t="shared" si="93"/>
        <v>4.5146539339495346</v>
      </c>
      <c r="Y108" s="18">
        <f t="shared" si="93"/>
        <v>0.45065271947186325</v>
      </c>
      <c r="Z108" s="18">
        <f t="shared" si="93"/>
        <v>2.7219578221619685</v>
      </c>
      <c r="AA108" s="56">
        <f t="shared" si="81"/>
        <v>2</v>
      </c>
      <c r="AC108" s="18">
        <f t="shared" si="94"/>
        <v>4.1352561828501546</v>
      </c>
      <c r="AD108" s="18">
        <f t="shared" si="94"/>
        <v>0.45517289549753498</v>
      </c>
      <c r="AE108" s="18">
        <f t="shared" si="94"/>
        <v>1.9574874543871215</v>
      </c>
      <c r="AF108" s="56">
        <f t="shared" si="82"/>
        <v>2</v>
      </c>
      <c r="AH108" s="18">
        <f t="shared" si="95"/>
        <v>4.2225371807686995</v>
      </c>
      <c r="AI108" s="18">
        <f t="shared" si="95"/>
        <v>0.31198673374850938</v>
      </c>
      <c r="AJ108" s="18">
        <f t="shared" si="95"/>
        <v>1.9249027260807274</v>
      </c>
      <c r="AK108" s="56">
        <f t="shared" si="83"/>
        <v>2</v>
      </c>
      <c r="AM108" s="18">
        <f t="shared" si="96"/>
        <v>4.2641048638954482</v>
      </c>
      <c r="AN108" s="18">
        <f t="shared" si="96"/>
        <v>0.28905624605507052</v>
      </c>
      <c r="AO108" s="18">
        <f t="shared" si="96"/>
        <v>1.9350110450358089</v>
      </c>
      <c r="AP108" s="56">
        <f t="shared" si="84"/>
        <v>2</v>
      </c>
      <c r="AR108" s="18">
        <f t="shared" si="97"/>
        <v>4.2641048638954482</v>
      </c>
      <c r="AS108" s="18">
        <f t="shared" si="97"/>
        <v>0.28905624605507052</v>
      </c>
      <c r="AT108" s="18">
        <f t="shared" si="97"/>
        <v>1.9350110450358089</v>
      </c>
      <c r="AU108" s="56">
        <f t="shared" si="85"/>
        <v>2</v>
      </c>
      <c r="AW108" s="18">
        <f t="shared" si="98"/>
        <v>4.2641048638954482</v>
      </c>
      <c r="AX108" s="18">
        <f t="shared" si="98"/>
        <v>0.28905624605507052</v>
      </c>
      <c r="AY108" s="18">
        <f t="shared" si="98"/>
        <v>1.9350110450358089</v>
      </c>
      <c r="AZ108" s="56">
        <f t="shared" si="86"/>
        <v>2</v>
      </c>
      <c r="BB108" s="18">
        <f t="shared" si="99"/>
        <v>4.2641048638954482</v>
      </c>
      <c r="BC108" s="18">
        <f t="shared" si="99"/>
        <v>0.28905624605507052</v>
      </c>
      <c r="BD108" s="18">
        <f t="shared" si="99"/>
        <v>1.9350110450358089</v>
      </c>
      <c r="BE108" s="56">
        <f t="shared" si="87"/>
        <v>2</v>
      </c>
      <c r="BG108" s="18">
        <f t="shared" si="100"/>
        <v>4.2641048638954482</v>
      </c>
      <c r="BH108" s="18">
        <f t="shared" si="100"/>
        <v>0.28905624605507052</v>
      </c>
      <c r="BI108" s="18">
        <f t="shared" si="100"/>
        <v>1.9350110450358089</v>
      </c>
      <c r="BJ108" s="56">
        <f t="shared" si="88"/>
        <v>2</v>
      </c>
      <c r="BL108" s="18">
        <f t="shared" si="101"/>
        <v>4.2641048638954482</v>
      </c>
      <c r="BM108" s="18">
        <f t="shared" si="101"/>
        <v>0.28905624605507052</v>
      </c>
      <c r="BN108" s="18">
        <f t="shared" si="101"/>
        <v>1.9350110450358089</v>
      </c>
      <c r="BO108" s="56">
        <f t="shared" si="89"/>
        <v>2</v>
      </c>
      <c r="BQ108" s="18">
        <f t="shared" si="102"/>
        <v>4.2641048638954482</v>
      </c>
      <c r="BR108" s="18">
        <f t="shared" si="102"/>
        <v>0.28905624605507052</v>
      </c>
      <c r="BS108" s="18">
        <f t="shared" si="102"/>
        <v>1.9350110450358089</v>
      </c>
      <c r="BT108" s="56">
        <f t="shared" si="90"/>
        <v>2</v>
      </c>
      <c r="BV108" s="18">
        <f t="shared" si="103"/>
        <v>4.2641048638954482</v>
      </c>
      <c r="BW108" s="18">
        <f t="shared" si="103"/>
        <v>0.28905624605507052</v>
      </c>
      <c r="BX108" s="18">
        <f t="shared" si="103"/>
        <v>1.9350110450358089</v>
      </c>
      <c r="BY108" s="56">
        <f t="shared" si="91"/>
        <v>2</v>
      </c>
      <c r="CA108" s="18">
        <f t="shared" si="104"/>
        <v>4.2641048638954482</v>
      </c>
      <c r="CB108" s="18">
        <f t="shared" si="104"/>
        <v>0.28905624605507052</v>
      </c>
      <c r="CC108" s="18">
        <f t="shared" si="104"/>
        <v>1.9350110450358089</v>
      </c>
      <c r="CD108" s="56">
        <f t="shared" si="92"/>
        <v>2</v>
      </c>
    </row>
    <row r="109" spans="1:82" x14ac:dyDescent="0.25">
      <c r="A109" s="63">
        <f>Phase_Data!A91</f>
        <v>43973</v>
      </c>
      <c r="B109" s="18">
        <f>Phase_Data!K91</f>
        <v>0.86002376456769225</v>
      </c>
      <c r="C109" s="18">
        <f>Phase_Data!L91</f>
        <v>1.0066004765419583</v>
      </c>
      <c r="D109" s="18">
        <f>Phase_Data!M91</f>
        <v>1.5286450604459279</v>
      </c>
      <c r="E109" s="56">
        <f t="shared" si="78"/>
        <v>2</v>
      </c>
      <c r="F109" s="38">
        <f t="shared" si="79"/>
        <v>0.15176552880460875</v>
      </c>
      <c r="G109" s="13" t="str">
        <f t="shared" si="80"/>
        <v>High activity</v>
      </c>
      <c r="X109" s="18">
        <f t="shared" si="93"/>
        <v>4.4246630697517402</v>
      </c>
      <c r="Y109" s="18">
        <f t="shared" si="93"/>
        <v>0.60246002928751607</v>
      </c>
      <c r="Z109" s="18">
        <f t="shared" si="93"/>
        <v>2.8226724626762825</v>
      </c>
      <c r="AA109" s="56">
        <f t="shared" si="81"/>
        <v>2</v>
      </c>
      <c r="AC109" s="18">
        <f t="shared" si="94"/>
        <v>4.0505935900282095</v>
      </c>
      <c r="AD109" s="18">
        <f t="shared" si="94"/>
        <v>0.46571514131984321</v>
      </c>
      <c r="AE109" s="18">
        <f t="shared" si="94"/>
        <v>1.9435732010749291</v>
      </c>
      <c r="AF109" s="56">
        <f t="shared" si="82"/>
        <v>2</v>
      </c>
      <c r="AH109" s="18">
        <f t="shared" si="95"/>
        <v>4.1375977932199097</v>
      </c>
      <c r="AI109" s="18">
        <f t="shared" si="95"/>
        <v>0.39205527023175757</v>
      </c>
      <c r="AJ109" s="18">
        <f t="shared" si="95"/>
        <v>1.8978984272233264</v>
      </c>
      <c r="AK109" s="56">
        <f t="shared" si="83"/>
        <v>2</v>
      </c>
      <c r="AM109" s="18">
        <f t="shared" si="96"/>
        <v>4.1787518638116454</v>
      </c>
      <c r="AN109" s="18">
        <f t="shared" si="96"/>
        <v>0.38957095477538972</v>
      </c>
      <c r="AO109" s="18">
        <f t="shared" si="96"/>
        <v>1.9049005938239343</v>
      </c>
      <c r="AP109" s="56">
        <f t="shared" si="84"/>
        <v>2</v>
      </c>
      <c r="AR109" s="18">
        <f t="shared" si="97"/>
        <v>4.1787518638116454</v>
      </c>
      <c r="AS109" s="18">
        <f t="shared" si="97"/>
        <v>0.38957095477538972</v>
      </c>
      <c r="AT109" s="18">
        <f t="shared" si="97"/>
        <v>1.9049005938239343</v>
      </c>
      <c r="AU109" s="56">
        <f t="shared" si="85"/>
        <v>2</v>
      </c>
      <c r="AW109" s="18">
        <f t="shared" si="98"/>
        <v>4.1787518638116454</v>
      </c>
      <c r="AX109" s="18">
        <f t="shared" si="98"/>
        <v>0.38957095477538972</v>
      </c>
      <c r="AY109" s="18">
        <f t="shared" si="98"/>
        <v>1.9049005938239343</v>
      </c>
      <c r="AZ109" s="56">
        <f t="shared" si="86"/>
        <v>2</v>
      </c>
      <c r="BB109" s="18">
        <f t="shared" si="99"/>
        <v>4.1787518638116454</v>
      </c>
      <c r="BC109" s="18">
        <f t="shared" si="99"/>
        <v>0.38957095477538972</v>
      </c>
      <c r="BD109" s="18">
        <f t="shared" si="99"/>
        <v>1.9049005938239343</v>
      </c>
      <c r="BE109" s="56">
        <f t="shared" si="87"/>
        <v>2</v>
      </c>
      <c r="BG109" s="18">
        <f t="shared" si="100"/>
        <v>4.1787518638116454</v>
      </c>
      <c r="BH109" s="18">
        <f t="shared" si="100"/>
        <v>0.38957095477538972</v>
      </c>
      <c r="BI109" s="18">
        <f t="shared" si="100"/>
        <v>1.9049005938239343</v>
      </c>
      <c r="BJ109" s="56">
        <f t="shared" si="88"/>
        <v>2</v>
      </c>
      <c r="BL109" s="18">
        <f t="shared" si="101"/>
        <v>4.1787518638116454</v>
      </c>
      <c r="BM109" s="18">
        <f t="shared" si="101"/>
        <v>0.38957095477538972</v>
      </c>
      <c r="BN109" s="18">
        <f t="shared" si="101"/>
        <v>1.9049005938239343</v>
      </c>
      <c r="BO109" s="56">
        <f t="shared" si="89"/>
        <v>2</v>
      </c>
      <c r="BQ109" s="18">
        <f t="shared" si="102"/>
        <v>4.1787518638116454</v>
      </c>
      <c r="BR109" s="18">
        <f t="shared" si="102"/>
        <v>0.38957095477538972</v>
      </c>
      <c r="BS109" s="18">
        <f t="shared" si="102"/>
        <v>1.9049005938239343</v>
      </c>
      <c r="BT109" s="56">
        <f t="shared" si="90"/>
        <v>2</v>
      </c>
      <c r="BV109" s="18">
        <f t="shared" si="103"/>
        <v>4.1787518638116454</v>
      </c>
      <c r="BW109" s="18">
        <f t="shared" si="103"/>
        <v>0.38957095477538972</v>
      </c>
      <c r="BX109" s="18">
        <f t="shared" si="103"/>
        <v>1.9049005938239343</v>
      </c>
      <c r="BY109" s="56">
        <f t="shared" si="91"/>
        <v>2</v>
      </c>
      <c r="CA109" s="18">
        <f t="shared" si="104"/>
        <v>4.1787518638116454</v>
      </c>
      <c r="CB109" s="18">
        <f t="shared" si="104"/>
        <v>0.38957095477538972</v>
      </c>
      <c r="CC109" s="18">
        <f t="shared" si="104"/>
        <v>1.9049005938239343</v>
      </c>
      <c r="CD109" s="56">
        <f t="shared" si="92"/>
        <v>2</v>
      </c>
    </row>
    <row r="110" spans="1:82" x14ac:dyDescent="0.25">
      <c r="A110" s="63">
        <f>Phase_Data!A92</f>
        <v>43974</v>
      </c>
      <c r="B110" s="18">
        <f>Phase_Data!K92</f>
        <v>0.93016641486754115</v>
      </c>
      <c r="C110" s="18">
        <f>Phase_Data!L92</f>
        <v>0.96664750197904636</v>
      </c>
      <c r="D110" s="18">
        <f>Phase_Data!M92</f>
        <v>1.1503730331591244</v>
      </c>
      <c r="E110" s="56">
        <f t="shared" si="78"/>
        <v>2</v>
      </c>
      <c r="F110" s="38">
        <f t="shared" si="79"/>
        <v>1.8416513799681612E-2</v>
      </c>
      <c r="G110" s="13" t="str">
        <f t="shared" si="80"/>
        <v>High activity</v>
      </c>
      <c r="X110" s="18">
        <f t="shared" si="93"/>
        <v>4.2132113494557126</v>
      </c>
      <c r="Y110" s="18">
        <f t="shared" si="93"/>
        <v>0.76544077215665807</v>
      </c>
      <c r="Z110" s="18">
        <f t="shared" si="93"/>
        <v>2.4501878518892322</v>
      </c>
      <c r="AA110" s="56">
        <f t="shared" si="81"/>
        <v>2</v>
      </c>
      <c r="AC110" s="18">
        <f t="shared" si="94"/>
        <v>3.8297033290264979</v>
      </c>
      <c r="AD110" s="18">
        <f t="shared" si="94"/>
        <v>0.17269671095603176</v>
      </c>
      <c r="AE110" s="18">
        <f t="shared" si="94"/>
        <v>1.6381660516057579</v>
      </c>
      <c r="AF110" s="56">
        <f t="shared" si="82"/>
        <v>2</v>
      </c>
      <c r="AH110" s="18">
        <f t="shared" si="95"/>
        <v>3.9175274463477341</v>
      </c>
      <c r="AI110" s="18">
        <f t="shared" si="95"/>
        <v>0.11416593036566093</v>
      </c>
      <c r="AJ110" s="18">
        <f t="shared" si="95"/>
        <v>1.6056613790889418</v>
      </c>
      <c r="AK110" s="56">
        <f t="shared" si="83"/>
        <v>2</v>
      </c>
      <c r="AM110" s="18">
        <f t="shared" si="96"/>
        <v>3.95956596632641</v>
      </c>
      <c r="AN110" s="18">
        <f t="shared" si="96"/>
        <v>0.13570745668415429</v>
      </c>
      <c r="AO110" s="18">
        <f t="shared" si="96"/>
        <v>1.6156366622499154</v>
      </c>
      <c r="AP110" s="56">
        <f t="shared" si="84"/>
        <v>2</v>
      </c>
      <c r="AR110" s="18">
        <f t="shared" si="97"/>
        <v>3.95956596632641</v>
      </c>
      <c r="AS110" s="18">
        <f t="shared" si="97"/>
        <v>0.13570745668415429</v>
      </c>
      <c r="AT110" s="18">
        <f t="shared" si="97"/>
        <v>1.6156366622499154</v>
      </c>
      <c r="AU110" s="56">
        <f t="shared" si="85"/>
        <v>2</v>
      </c>
      <c r="AW110" s="18">
        <f t="shared" si="98"/>
        <v>3.95956596632641</v>
      </c>
      <c r="AX110" s="18">
        <f t="shared" si="98"/>
        <v>0.13570745668415429</v>
      </c>
      <c r="AY110" s="18">
        <f t="shared" si="98"/>
        <v>1.6156366622499154</v>
      </c>
      <c r="AZ110" s="56">
        <f t="shared" si="86"/>
        <v>2</v>
      </c>
      <c r="BB110" s="18">
        <f t="shared" si="99"/>
        <v>3.95956596632641</v>
      </c>
      <c r="BC110" s="18">
        <f t="shared" si="99"/>
        <v>0.13570745668415429</v>
      </c>
      <c r="BD110" s="18">
        <f t="shared" si="99"/>
        <v>1.6156366622499154</v>
      </c>
      <c r="BE110" s="56">
        <f t="shared" si="87"/>
        <v>2</v>
      </c>
      <c r="BG110" s="18">
        <f t="shared" si="100"/>
        <v>3.95956596632641</v>
      </c>
      <c r="BH110" s="18">
        <f t="shared" si="100"/>
        <v>0.13570745668415429</v>
      </c>
      <c r="BI110" s="18">
        <f t="shared" si="100"/>
        <v>1.6156366622499154</v>
      </c>
      <c r="BJ110" s="56">
        <f t="shared" si="88"/>
        <v>2</v>
      </c>
      <c r="BL110" s="18">
        <f t="shared" si="101"/>
        <v>3.95956596632641</v>
      </c>
      <c r="BM110" s="18">
        <f t="shared" si="101"/>
        <v>0.13570745668415429</v>
      </c>
      <c r="BN110" s="18">
        <f t="shared" si="101"/>
        <v>1.6156366622499154</v>
      </c>
      <c r="BO110" s="56">
        <f t="shared" si="89"/>
        <v>2</v>
      </c>
      <c r="BQ110" s="18">
        <f t="shared" si="102"/>
        <v>3.95956596632641</v>
      </c>
      <c r="BR110" s="18">
        <f t="shared" si="102"/>
        <v>0.13570745668415429</v>
      </c>
      <c r="BS110" s="18">
        <f t="shared" si="102"/>
        <v>1.6156366622499154</v>
      </c>
      <c r="BT110" s="56">
        <f t="shared" si="90"/>
        <v>2</v>
      </c>
      <c r="BV110" s="18">
        <f t="shared" si="103"/>
        <v>3.95956596632641</v>
      </c>
      <c r="BW110" s="18">
        <f t="shared" si="103"/>
        <v>0.13570745668415429</v>
      </c>
      <c r="BX110" s="18">
        <f t="shared" si="103"/>
        <v>1.6156366622499154</v>
      </c>
      <c r="BY110" s="56">
        <f t="shared" si="91"/>
        <v>2</v>
      </c>
      <c r="CA110" s="18">
        <f t="shared" si="104"/>
        <v>3.95956596632641</v>
      </c>
      <c r="CB110" s="18">
        <f t="shared" si="104"/>
        <v>0.13570745668415429</v>
      </c>
      <c r="CC110" s="18">
        <f t="shared" si="104"/>
        <v>1.6156366622499154</v>
      </c>
      <c r="CD110" s="56">
        <f t="shared" si="92"/>
        <v>2</v>
      </c>
    </row>
    <row r="111" spans="1:82" x14ac:dyDescent="0.25">
      <c r="A111" s="63">
        <f>Phase_Data!A93</f>
        <v>43975</v>
      </c>
      <c r="B111" s="18">
        <f>Phase_Data!K93</f>
        <v>0.86370219004480708</v>
      </c>
      <c r="C111" s="18">
        <f>Phase_Data!L93</f>
        <v>1.0066004765419583</v>
      </c>
      <c r="D111" s="18">
        <f>Phase_Data!M93</f>
        <v>0.90100934528272236</v>
      </c>
      <c r="E111" s="56">
        <f t="shared" si="78"/>
        <v>2</v>
      </c>
      <c r="F111" s="38">
        <f t="shared" si="79"/>
        <v>6.8859683511083139E-2</v>
      </c>
      <c r="G111" s="13" t="str">
        <f t="shared" si="80"/>
        <v>High activity</v>
      </c>
      <c r="X111" s="18">
        <f t="shared" si="93"/>
        <v>4.0579031487608921</v>
      </c>
      <c r="Y111" s="18">
        <f t="shared" si="93"/>
        <v>0.9470932857926786</v>
      </c>
      <c r="Z111" s="18">
        <f t="shared" si="93"/>
        <v>2.200009438891144</v>
      </c>
      <c r="AA111" s="56">
        <f t="shared" si="81"/>
        <v>2</v>
      </c>
      <c r="AC111" s="18">
        <f t="shared" si="94"/>
        <v>3.6737821001244044</v>
      </c>
      <c r="AD111" s="18">
        <f t="shared" si="94"/>
        <v>0.20616425086703793</v>
      </c>
      <c r="AE111" s="18">
        <f t="shared" si="94"/>
        <v>1.4474729409864342</v>
      </c>
      <c r="AF111" s="56">
        <f t="shared" si="82"/>
        <v>2</v>
      </c>
      <c r="AH111" s="18">
        <f t="shared" si="95"/>
        <v>3.7609136993877801</v>
      </c>
      <c r="AI111" s="18">
        <f t="shared" si="95"/>
        <v>0.24485380257978936</v>
      </c>
      <c r="AJ111" s="18">
        <f t="shared" si="95"/>
        <v>1.426183955112438</v>
      </c>
      <c r="AK111" s="56">
        <f t="shared" si="83"/>
        <v>2</v>
      </c>
      <c r="AM111" s="18">
        <f t="shared" si="96"/>
        <v>3.8027542626494562</v>
      </c>
      <c r="AN111" s="18">
        <f t="shared" si="96"/>
        <v>0.26241128693538152</v>
      </c>
      <c r="AO111" s="18">
        <f t="shared" si="96"/>
        <v>1.4394214784958852</v>
      </c>
      <c r="AP111" s="56">
        <f t="shared" si="84"/>
        <v>2</v>
      </c>
      <c r="AR111" s="18">
        <f t="shared" si="97"/>
        <v>3.8027542626494562</v>
      </c>
      <c r="AS111" s="18">
        <f t="shared" si="97"/>
        <v>0.26241128693538152</v>
      </c>
      <c r="AT111" s="18">
        <f t="shared" si="97"/>
        <v>1.4394214784958852</v>
      </c>
      <c r="AU111" s="56">
        <f t="shared" si="85"/>
        <v>2</v>
      </c>
      <c r="AW111" s="18">
        <f t="shared" si="98"/>
        <v>3.8027542626494562</v>
      </c>
      <c r="AX111" s="18">
        <f t="shared" si="98"/>
        <v>0.26241128693538152</v>
      </c>
      <c r="AY111" s="18">
        <f t="shared" si="98"/>
        <v>1.4394214784958852</v>
      </c>
      <c r="AZ111" s="56">
        <f t="shared" si="86"/>
        <v>2</v>
      </c>
      <c r="BB111" s="18">
        <f t="shared" si="99"/>
        <v>3.8027542626494562</v>
      </c>
      <c r="BC111" s="18">
        <f t="shared" si="99"/>
        <v>0.26241128693538152</v>
      </c>
      <c r="BD111" s="18">
        <f t="shared" si="99"/>
        <v>1.4394214784958852</v>
      </c>
      <c r="BE111" s="56">
        <f t="shared" si="87"/>
        <v>2</v>
      </c>
      <c r="BG111" s="18">
        <f t="shared" si="100"/>
        <v>3.8027542626494562</v>
      </c>
      <c r="BH111" s="18">
        <f t="shared" si="100"/>
        <v>0.26241128693538152</v>
      </c>
      <c r="BI111" s="18">
        <f t="shared" si="100"/>
        <v>1.4394214784958852</v>
      </c>
      <c r="BJ111" s="56">
        <f t="shared" si="88"/>
        <v>2</v>
      </c>
      <c r="BL111" s="18">
        <f t="shared" si="101"/>
        <v>3.8027542626494562</v>
      </c>
      <c r="BM111" s="18">
        <f t="shared" si="101"/>
        <v>0.26241128693538152</v>
      </c>
      <c r="BN111" s="18">
        <f t="shared" si="101"/>
        <v>1.4394214784958852</v>
      </c>
      <c r="BO111" s="56">
        <f t="shared" si="89"/>
        <v>2</v>
      </c>
      <c r="BQ111" s="18">
        <f t="shared" si="102"/>
        <v>3.8027542626494562</v>
      </c>
      <c r="BR111" s="18">
        <f t="shared" si="102"/>
        <v>0.26241128693538152</v>
      </c>
      <c r="BS111" s="18">
        <f t="shared" si="102"/>
        <v>1.4394214784958852</v>
      </c>
      <c r="BT111" s="56">
        <f t="shared" si="90"/>
        <v>2</v>
      </c>
      <c r="BV111" s="18">
        <f t="shared" si="103"/>
        <v>3.8027542626494562</v>
      </c>
      <c r="BW111" s="18">
        <f t="shared" si="103"/>
        <v>0.26241128693538152</v>
      </c>
      <c r="BX111" s="18">
        <f t="shared" si="103"/>
        <v>1.4394214784958852</v>
      </c>
      <c r="BY111" s="56">
        <f t="shared" si="91"/>
        <v>2</v>
      </c>
      <c r="CA111" s="18">
        <f t="shared" si="104"/>
        <v>3.8027542626494562</v>
      </c>
      <c r="CB111" s="18">
        <f t="shared" si="104"/>
        <v>0.26241128693538152</v>
      </c>
      <c r="CC111" s="18">
        <f t="shared" si="104"/>
        <v>1.4394214784958852</v>
      </c>
      <c r="CD111" s="56">
        <f t="shared" si="92"/>
        <v>2</v>
      </c>
    </row>
    <row r="112" spans="1:82" x14ac:dyDescent="0.25">
      <c r="A112" s="63">
        <f>Phase_Data!A94</f>
        <v>43976</v>
      </c>
      <c r="B112" s="18">
        <f>Phase_Data!K94</f>
        <v>0.76327784070955096</v>
      </c>
      <c r="C112" s="18">
        <f>Phase_Data!L94</f>
        <v>0.9241958873400502</v>
      </c>
      <c r="D112" s="18">
        <f>Phase_Data!M94</f>
        <v>1.3167360953324854</v>
      </c>
      <c r="E112" s="56">
        <f t="shared" si="78"/>
        <v>2</v>
      </c>
      <c r="F112" s="38">
        <f t="shared" si="79"/>
        <v>6.9247897060069952E-2</v>
      </c>
      <c r="G112" s="13" t="str">
        <f t="shared" si="80"/>
        <v>High activity</v>
      </c>
      <c r="X112" s="18">
        <f t="shared" si="93"/>
        <v>4.1931462091840732</v>
      </c>
      <c r="Y112" s="18">
        <f t="shared" si="93"/>
        <v>0.78685157550289619</v>
      </c>
      <c r="Z112" s="18">
        <f t="shared" si="93"/>
        <v>2.6006053481578393</v>
      </c>
      <c r="AA112" s="56">
        <f t="shared" si="81"/>
        <v>2</v>
      </c>
      <c r="AC112" s="18">
        <f t="shared" si="94"/>
        <v>3.8175289962038939</v>
      </c>
      <c r="AD112" s="18">
        <f t="shared" si="94"/>
        <v>0.24216925415879118</v>
      </c>
      <c r="AE112" s="18">
        <f t="shared" si="94"/>
        <v>1.6995475323462395</v>
      </c>
      <c r="AF112" s="56">
        <f t="shared" si="82"/>
        <v>2</v>
      </c>
      <c r="AH112" s="18">
        <f t="shared" si="95"/>
        <v>3.9045307613369258</v>
      </c>
      <c r="AI112" s="18">
        <f t="shared" si="95"/>
        <v>0.24405172380667514</v>
      </c>
      <c r="AJ112" s="18">
        <f t="shared" si="95"/>
        <v>1.6545279977011074</v>
      </c>
      <c r="AK112" s="56">
        <f t="shared" si="83"/>
        <v>2</v>
      </c>
      <c r="AM112" s="18">
        <f t="shared" si="96"/>
        <v>3.9457623799260566</v>
      </c>
      <c r="AN112" s="18">
        <f t="shared" si="96"/>
        <v>0.26314995166267835</v>
      </c>
      <c r="AO112" s="18">
        <f t="shared" si="96"/>
        <v>1.6620548093828071</v>
      </c>
      <c r="AP112" s="56">
        <f t="shared" si="84"/>
        <v>2</v>
      </c>
      <c r="AR112" s="18">
        <f t="shared" si="97"/>
        <v>3.9457623799260566</v>
      </c>
      <c r="AS112" s="18">
        <f t="shared" si="97"/>
        <v>0.26314995166267835</v>
      </c>
      <c r="AT112" s="18">
        <f t="shared" si="97"/>
        <v>1.6620548093828071</v>
      </c>
      <c r="AU112" s="56">
        <f t="shared" si="85"/>
        <v>2</v>
      </c>
      <c r="AW112" s="18">
        <f t="shared" si="98"/>
        <v>3.9457623799260566</v>
      </c>
      <c r="AX112" s="18">
        <f t="shared" si="98"/>
        <v>0.26314995166267835</v>
      </c>
      <c r="AY112" s="18">
        <f t="shared" si="98"/>
        <v>1.6620548093828071</v>
      </c>
      <c r="AZ112" s="56">
        <f t="shared" si="86"/>
        <v>2</v>
      </c>
      <c r="BB112" s="18">
        <f t="shared" si="99"/>
        <v>3.9457623799260566</v>
      </c>
      <c r="BC112" s="18">
        <f t="shared" si="99"/>
        <v>0.26314995166267835</v>
      </c>
      <c r="BD112" s="18">
        <f t="shared" si="99"/>
        <v>1.6620548093828071</v>
      </c>
      <c r="BE112" s="56">
        <f t="shared" si="87"/>
        <v>2</v>
      </c>
      <c r="BG112" s="18">
        <f t="shared" si="100"/>
        <v>3.9457623799260566</v>
      </c>
      <c r="BH112" s="18">
        <f t="shared" si="100"/>
        <v>0.26314995166267835</v>
      </c>
      <c r="BI112" s="18">
        <f t="shared" si="100"/>
        <v>1.6620548093828071</v>
      </c>
      <c r="BJ112" s="56">
        <f t="shared" si="88"/>
        <v>2</v>
      </c>
      <c r="BL112" s="18">
        <f t="shared" si="101"/>
        <v>3.9457623799260566</v>
      </c>
      <c r="BM112" s="18">
        <f t="shared" si="101"/>
        <v>0.26314995166267835</v>
      </c>
      <c r="BN112" s="18">
        <f t="shared" si="101"/>
        <v>1.6620548093828071</v>
      </c>
      <c r="BO112" s="56">
        <f t="shared" si="89"/>
        <v>2</v>
      </c>
      <c r="BQ112" s="18">
        <f t="shared" si="102"/>
        <v>3.9457623799260566</v>
      </c>
      <c r="BR112" s="18">
        <f t="shared" si="102"/>
        <v>0.26314995166267835</v>
      </c>
      <c r="BS112" s="18">
        <f t="shared" si="102"/>
        <v>1.6620548093828071</v>
      </c>
      <c r="BT112" s="56">
        <f t="shared" si="90"/>
        <v>2</v>
      </c>
      <c r="BV112" s="18">
        <f t="shared" si="103"/>
        <v>3.9457623799260566</v>
      </c>
      <c r="BW112" s="18">
        <f t="shared" si="103"/>
        <v>0.26314995166267835</v>
      </c>
      <c r="BX112" s="18">
        <f t="shared" si="103"/>
        <v>1.6620548093828071</v>
      </c>
      <c r="BY112" s="56">
        <f t="shared" si="91"/>
        <v>2</v>
      </c>
      <c r="CA112" s="18">
        <f t="shared" si="104"/>
        <v>3.9457623799260566</v>
      </c>
      <c r="CB112" s="18">
        <f t="shared" si="104"/>
        <v>0.26314995166267835</v>
      </c>
      <c r="CC112" s="18">
        <f t="shared" si="104"/>
        <v>1.6620548093828071</v>
      </c>
      <c r="CD112" s="56">
        <f t="shared" si="92"/>
        <v>2</v>
      </c>
    </row>
    <row r="113" spans="1:82" x14ac:dyDescent="0.25">
      <c r="A113" s="63">
        <f>Phase_Data!A95</f>
        <v>43977</v>
      </c>
      <c r="B113" s="18">
        <f>Phase_Data!K95</f>
        <v>0.78726234926405558</v>
      </c>
      <c r="C113" s="18">
        <f>Phase_Data!L95</f>
        <v>0.85508496212485274</v>
      </c>
      <c r="D113" s="18">
        <f>Phase_Data!M95</f>
        <v>1.3139394246169847</v>
      </c>
      <c r="E113" s="56">
        <f t="shared" si="78"/>
        <v>2</v>
      </c>
      <c r="F113" s="38">
        <f t="shared" si="79"/>
        <v>9.134223654692375E-2</v>
      </c>
      <c r="G113" s="13" t="str">
        <f t="shared" si="80"/>
        <v>High activity</v>
      </c>
      <c r="X113" s="18">
        <f t="shared" si="93"/>
        <v>4.1668509837871577</v>
      </c>
      <c r="Y113" s="18">
        <f t="shared" si="93"/>
        <v>0.82518048585942594</v>
      </c>
      <c r="Z113" s="18">
        <f t="shared" si="93"/>
        <v>2.5958939007340427</v>
      </c>
      <c r="AA113" s="56">
        <f t="shared" si="81"/>
        <v>2</v>
      </c>
      <c r="AC113" s="18">
        <f t="shared" si="94"/>
        <v>3.789358236774734</v>
      </c>
      <c r="AD113" s="18">
        <f t="shared" si="94"/>
        <v>0.25302413545200997</v>
      </c>
      <c r="AE113" s="18">
        <f t="shared" si="94"/>
        <v>1.6738788831982987</v>
      </c>
      <c r="AF113" s="56">
        <f t="shared" si="82"/>
        <v>2</v>
      </c>
      <c r="AH113" s="18">
        <f t="shared" si="95"/>
        <v>3.8768261120777936</v>
      </c>
      <c r="AI113" s="18">
        <f t="shared" si="95"/>
        <v>0.27884554541173467</v>
      </c>
      <c r="AJ113" s="18">
        <f t="shared" si="95"/>
        <v>1.6269241633779723</v>
      </c>
      <c r="AK113" s="56">
        <f t="shared" si="83"/>
        <v>2</v>
      </c>
      <c r="AM113" s="18">
        <f t="shared" si="96"/>
        <v>3.9183597717735115</v>
      </c>
      <c r="AN113" s="18">
        <f t="shared" si="96"/>
        <v>0.30222878179770329</v>
      </c>
      <c r="AO113" s="18">
        <f t="shared" si="96"/>
        <v>1.6335664625235444</v>
      </c>
      <c r="AP113" s="56">
        <f t="shared" si="84"/>
        <v>2</v>
      </c>
      <c r="AR113" s="18">
        <f t="shared" si="97"/>
        <v>3.9183597717735115</v>
      </c>
      <c r="AS113" s="18">
        <f t="shared" si="97"/>
        <v>0.30222878179770329</v>
      </c>
      <c r="AT113" s="18">
        <f t="shared" si="97"/>
        <v>1.6335664625235444</v>
      </c>
      <c r="AU113" s="56">
        <f t="shared" si="85"/>
        <v>2</v>
      </c>
      <c r="AW113" s="18">
        <f t="shared" si="98"/>
        <v>3.9183597717735115</v>
      </c>
      <c r="AX113" s="18">
        <f t="shared" si="98"/>
        <v>0.30222878179770329</v>
      </c>
      <c r="AY113" s="18">
        <f t="shared" si="98"/>
        <v>1.6335664625235444</v>
      </c>
      <c r="AZ113" s="56">
        <f t="shared" si="86"/>
        <v>2</v>
      </c>
      <c r="BB113" s="18">
        <f t="shared" si="99"/>
        <v>3.9183597717735115</v>
      </c>
      <c r="BC113" s="18">
        <f t="shared" si="99"/>
        <v>0.30222878179770329</v>
      </c>
      <c r="BD113" s="18">
        <f t="shared" si="99"/>
        <v>1.6335664625235444</v>
      </c>
      <c r="BE113" s="56">
        <f t="shared" si="87"/>
        <v>2</v>
      </c>
      <c r="BG113" s="18">
        <f t="shared" si="100"/>
        <v>3.9183597717735115</v>
      </c>
      <c r="BH113" s="18">
        <f t="shared" si="100"/>
        <v>0.30222878179770329</v>
      </c>
      <c r="BI113" s="18">
        <f t="shared" si="100"/>
        <v>1.6335664625235444</v>
      </c>
      <c r="BJ113" s="56">
        <f t="shared" si="88"/>
        <v>2</v>
      </c>
      <c r="BL113" s="18">
        <f t="shared" si="101"/>
        <v>3.9183597717735115</v>
      </c>
      <c r="BM113" s="18">
        <f t="shared" si="101"/>
        <v>0.30222878179770329</v>
      </c>
      <c r="BN113" s="18">
        <f t="shared" si="101"/>
        <v>1.6335664625235444</v>
      </c>
      <c r="BO113" s="56">
        <f t="shared" si="89"/>
        <v>2</v>
      </c>
      <c r="BQ113" s="18">
        <f t="shared" si="102"/>
        <v>3.9183597717735115</v>
      </c>
      <c r="BR113" s="18">
        <f t="shared" si="102"/>
        <v>0.30222878179770329</v>
      </c>
      <c r="BS113" s="18">
        <f t="shared" si="102"/>
        <v>1.6335664625235444</v>
      </c>
      <c r="BT113" s="56">
        <f t="shared" si="90"/>
        <v>2</v>
      </c>
      <c r="BV113" s="18">
        <f t="shared" si="103"/>
        <v>3.9183597717735115</v>
      </c>
      <c r="BW113" s="18">
        <f t="shared" si="103"/>
        <v>0.30222878179770329</v>
      </c>
      <c r="BX113" s="18">
        <f t="shared" si="103"/>
        <v>1.6335664625235444</v>
      </c>
      <c r="BY113" s="56">
        <f t="shared" si="91"/>
        <v>2</v>
      </c>
      <c r="CA113" s="18">
        <f t="shared" si="104"/>
        <v>3.9183597717735115</v>
      </c>
      <c r="CB113" s="18">
        <f t="shared" si="104"/>
        <v>0.30222878179770329</v>
      </c>
      <c r="CC113" s="18">
        <f t="shared" si="104"/>
        <v>1.6335664625235444</v>
      </c>
      <c r="CD113" s="56">
        <f t="shared" si="92"/>
        <v>2</v>
      </c>
    </row>
    <row r="114" spans="1:82" x14ac:dyDescent="0.25">
      <c r="A114" s="63">
        <f>Phase_Data!A96</f>
        <v>43978</v>
      </c>
      <c r="B114" s="18">
        <f>Phase_Data!K96</f>
        <v>0.95148197986372673</v>
      </c>
      <c r="C114" s="18">
        <f>Phase_Data!L96</f>
        <v>1.0443326652349103</v>
      </c>
      <c r="D114" s="18">
        <f>Phase_Data!M96</f>
        <v>1.4128498521806516</v>
      </c>
      <c r="E114" s="56">
        <f t="shared" si="78"/>
        <v>2</v>
      </c>
      <c r="F114" s="38">
        <f t="shared" si="79"/>
        <v>7.7413258905706092E-2</v>
      </c>
      <c r="G114" s="13" t="str">
        <f t="shared" si="80"/>
        <v>High activity</v>
      </c>
      <c r="X114" s="18">
        <f t="shared" si="93"/>
        <v>4.4245210924660743</v>
      </c>
      <c r="Y114" s="18">
        <f t="shared" si="93"/>
        <v>0.55802769186252321</v>
      </c>
      <c r="Z114" s="18">
        <f t="shared" si="93"/>
        <v>2.7192274318185934</v>
      </c>
      <c r="AA114" s="56">
        <f t="shared" si="81"/>
        <v>2</v>
      </c>
      <c r="AC114" s="18">
        <f t="shared" si="94"/>
        <v>4.0457548396286409</v>
      </c>
      <c r="AD114" s="18">
        <f t="shared" si="94"/>
        <v>0.3942120317005734</v>
      </c>
      <c r="AE114" s="18">
        <f t="shared" si="94"/>
        <v>1.892832224077867</v>
      </c>
      <c r="AF114" s="56">
        <f t="shared" si="82"/>
        <v>2</v>
      </c>
      <c r="AH114" s="18">
        <f t="shared" si="95"/>
        <v>4.1332289598265755</v>
      </c>
      <c r="AI114" s="18">
        <f t="shared" si="95"/>
        <v>0.28674804680715044</v>
      </c>
      <c r="AJ114" s="18">
        <f t="shared" si="95"/>
        <v>1.854207584533341</v>
      </c>
      <c r="AK114" s="56">
        <f t="shared" si="83"/>
        <v>2</v>
      </c>
      <c r="AM114" s="18">
        <f t="shared" si="96"/>
        <v>4.1748362991837302</v>
      </c>
      <c r="AN114" s="18">
        <f t="shared" si="96"/>
        <v>0.27823238292065516</v>
      </c>
      <c r="AO114" s="18">
        <f t="shared" si="96"/>
        <v>1.8627523019066203</v>
      </c>
      <c r="AP114" s="56">
        <f t="shared" si="84"/>
        <v>2</v>
      </c>
      <c r="AR114" s="18">
        <f t="shared" si="97"/>
        <v>4.1748362991837302</v>
      </c>
      <c r="AS114" s="18">
        <f t="shared" si="97"/>
        <v>0.27823238292065516</v>
      </c>
      <c r="AT114" s="18">
        <f t="shared" si="97"/>
        <v>1.8627523019066203</v>
      </c>
      <c r="AU114" s="56">
        <f t="shared" si="85"/>
        <v>2</v>
      </c>
      <c r="AW114" s="18">
        <f t="shared" si="98"/>
        <v>4.1748362991837302</v>
      </c>
      <c r="AX114" s="18">
        <f t="shared" si="98"/>
        <v>0.27823238292065516</v>
      </c>
      <c r="AY114" s="18">
        <f t="shared" si="98"/>
        <v>1.8627523019066203</v>
      </c>
      <c r="AZ114" s="56">
        <f t="shared" si="86"/>
        <v>2</v>
      </c>
      <c r="BB114" s="18">
        <f t="shared" si="99"/>
        <v>4.1748362991837302</v>
      </c>
      <c r="BC114" s="18">
        <f t="shared" si="99"/>
        <v>0.27823238292065516</v>
      </c>
      <c r="BD114" s="18">
        <f t="shared" si="99"/>
        <v>1.8627523019066203</v>
      </c>
      <c r="BE114" s="56">
        <f t="shared" si="87"/>
        <v>2</v>
      </c>
      <c r="BG114" s="18">
        <f t="shared" si="100"/>
        <v>4.1748362991837302</v>
      </c>
      <c r="BH114" s="18">
        <f t="shared" si="100"/>
        <v>0.27823238292065516</v>
      </c>
      <c r="BI114" s="18">
        <f t="shared" si="100"/>
        <v>1.8627523019066203</v>
      </c>
      <c r="BJ114" s="56">
        <f t="shared" si="88"/>
        <v>2</v>
      </c>
      <c r="BL114" s="18">
        <f t="shared" si="101"/>
        <v>4.1748362991837302</v>
      </c>
      <c r="BM114" s="18">
        <f t="shared" si="101"/>
        <v>0.27823238292065516</v>
      </c>
      <c r="BN114" s="18">
        <f t="shared" si="101"/>
        <v>1.8627523019066203</v>
      </c>
      <c r="BO114" s="56">
        <f t="shared" si="89"/>
        <v>2</v>
      </c>
      <c r="BQ114" s="18">
        <f t="shared" si="102"/>
        <v>4.1748362991837302</v>
      </c>
      <c r="BR114" s="18">
        <f t="shared" si="102"/>
        <v>0.27823238292065516</v>
      </c>
      <c r="BS114" s="18">
        <f t="shared" si="102"/>
        <v>1.8627523019066203</v>
      </c>
      <c r="BT114" s="56">
        <f t="shared" si="90"/>
        <v>2</v>
      </c>
      <c r="BV114" s="18">
        <f t="shared" si="103"/>
        <v>4.1748362991837302</v>
      </c>
      <c r="BW114" s="18">
        <f t="shared" si="103"/>
        <v>0.27823238292065516</v>
      </c>
      <c r="BX114" s="18">
        <f t="shared" si="103"/>
        <v>1.8627523019066203</v>
      </c>
      <c r="BY114" s="56">
        <f t="shared" si="91"/>
        <v>2</v>
      </c>
      <c r="CA114" s="18">
        <f t="shared" si="104"/>
        <v>4.1748362991837302</v>
      </c>
      <c r="CB114" s="18">
        <f t="shared" si="104"/>
        <v>0.27823238292065516</v>
      </c>
      <c r="CC114" s="18">
        <f t="shared" si="104"/>
        <v>1.8627523019066203</v>
      </c>
      <c r="CD114" s="56">
        <f t="shared" si="92"/>
        <v>2</v>
      </c>
    </row>
    <row r="115" spans="1:82" x14ac:dyDescent="0.25">
      <c r="A115" s="63">
        <f>Phase_Data!A97</f>
        <v>43979</v>
      </c>
      <c r="B115" s="18">
        <f>Phase_Data!K97</f>
        <v>1.0172165824015746</v>
      </c>
      <c r="C115" s="18">
        <f>Phase_Data!L97</f>
        <v>1.3725816200549881</v>
      </c>
      <c r="D115" s="18">
        <f>Phase_Data!M97</f>
        <v>1.6695314295502373</v>
      </c>
      <c r="E115" s="56">
        <f t="shared" si="78"/>
        <v>2</v>
      </c>
      <c r="F115" s="38">
        <f t="shared" si="79"/>
        <v>0.36954901876602553</v>
      </c>
      <c r="G115" s="13" t="str">
        <f t="shared" si="80"/>
        <v>High activity</v>
      </c>
      <c r="X115" s="18">
        <f t="shared" si="93"/>
        <v>4.8037366355032596</v>
      </c>
      <c r="Y115" s="18">
        <f t="shared" si="93"/>
        <v>0.22851100508586933</v>
      </c>
      <c r="Z115" s="18">
        <f t="shared" si="93"/>
        <v>3.0275804909559372</v>
      </c>
      <c r="AA115" s="56">
        <f t="shared" si="81"/>
        <v>2</v>
      </c>
      <c r="AC115" s="18">
        <f t="shared" si="94"/>
        <v>4.4314163296568898</v>
      </c>
      <c r="AD115" s="18">
        <f t="shared" si="94"/>
        <v>0.77379027372590892</v>
      </c>
      <c r="AE115" s="18">
        <f t="shared" si="94"/>
        <v>2.2846078061746677</v>
      </c>
      <c r="AF115" s="56">
        <f t="shared" si="82"/>
        <v>2</v>
      </c>
      <c r="AH115" s="18">
        <f t="shared" si="95"/>
        <v>4.5176550392510286</v>
      </c>
      <c r="AI115" s="18">
        <f t="shared" si="95"/>
        <v>0.63397076613604952</v>
      </c>
      <c r="AJ115" s="18">
        <f t="shared" si="95"/>
        <v>2.2498598038947173</v>
      </c>
      <c r="AK115" s="56">
        <f t="shared" si="83"/>
        <v>2</v>
      </c>
      <c r="AM115" s="18">
        <f t="shared" si="96"/>
        <v>4.5583926146601419</v>
      </c>
      <c r="AN115" s="18">
        <f t="shared" si="96"/>
        <v>0.60790543571021438</v>
      </c>
      <c r="AO115" s="18">
        <f t="shared" si="96"/>
        <v>2.2598815733793884</v>
      </c>
      <c r="AP115" s="56">
        <f t="shared" si="84"/>
        <v>2</v>
      </c>
      <c r="AR115" s="18">
        <f t="shared" si="97"/>
        <v>4.5583926146601419</v>
      </c>
      <c r="AS115" s="18">
        <f t="shared" si="97"/>
        <v>0.60790543571021438</v>
      </c>
      <c r="AT115" s="18">
        <f t="shared" si="97"/>
        <v>2.2598815733793884</v>
      </c>
      <c r="AU115" s="56">
        <f t="shared" si="85"/>
        <v>2</v>
      </c>
      <c r="AW115" s="18">
        <f t="shared" si="98"/>
        <v>4.5583926146601419</v>
      </c>
      <c r="AX115" s="18">
        <f t="shared" si="98"/>
        <v>0.60790543571021438</v>
      </c>
      <c r="AY115" s="18">
        <f t="shared" si="98"/>
        <v>2.2598815733793884</v>
      </c>
      <c r="AZ115" s="56">
        <f t="shared" si="86"/>
        <v>2</v>
      </c>
      <c r="BB115" s="18">
        <f t="shared" si="99"/>
        <v>4.5583926146601419</v>
      </c>
      <c r="BC115" s="18">
        <f t="shared" si="99"/>
        <v>0.60790543571021438</v>
      </c>
      <c r="BD115" s="18">
        <f t="shared" si="99"/>
        <v>2.2598815733793884</v>
      </c>
      <c r="BE115" s="56">
        <f t="shared" si="87"/>
        <v>2</v>
      </c>
      <c r="BG115" s="18">
        <f t="shared" si="100"/>
        <v>4.5583926146601419</v>
      </c>
      <c r="BH115" s="18">
        <f t="shared" si="100"/>
        <v>0.60790543571021438</v>
      </c>
      <c r="BI115" s="18">
        <f t="shared" si="100"/>
        <v>2.2598815733793884</v>
      </c>
      <c r="BJ115" s="56">
        <f t="shared" si="88"/>
        <v>2</v>
      </c>
      <c r="BL115" s="18">
        <f t="shared" si="101"/>
        <v>4.5583926146601419</v>
      </c>
      <c r="BM115" s="18">
        <f t="shared" si="101"/>
        <v>0.60790543571021438</v>
      </c>
      <c r="BN115" s="18">
        <f t="shared" si="101"/>
        <v>2.2598815733793884</v>
      </c>
      <c r="BO115" s="56">
        <f t="shared" si="89"/>
        <v>2</v>
      </c>
      <c r="BQ115" s="18">
        <f t="shared" si="102"/>
        <v>4.5583926146601419</v>
      </c>
      <c r="BR115" s="18">
        <f t="shared" si="102"/>
        <v>0.60790543571021438</v>
      </c>
      <c r="BS115" s="18">
        <f t="shared" si="102"/>
        <v>2.2598815733793884</v>
      </c>
      <c r="BT115" s="56">
        <f t="shared" si="90"/>
        <v>2</v>
      </c>
      <c r="BV115" s="18">
        <f t="shared" si="103"/>
        <v>4.5583926146601419</v>
      </c>
      <c r="BW115" s="18">
        <f t="shared" si="103"/>
        <v>0.60790543571021438</v>
      </c>
      <c r="BX115" s="18">
        <f t="shared" si="103"/>
        <v>2.2598815733793884</v>
      </c>
      <c r="BY115" s="56">
        <f t="shared" si="91"/>
        <v>2</v>
      </c>
      <c r="CA115" s="18">
        <f t="shared" si="104"/>
        <v>4.5583926146601419</v>
      </c>
      <c r="CB115" s="18">
        <f t="shared" si="104"/>
        <v>0.60790543571021438</v>
      </c>
      <c r="CC115" s="18">
        <f t="shared" si="104"/>
        <v>2.2598815733793884</v>
      </c>
      <c r="CD115" s="56">
        <f t="shared" si="92"/>
        <v>2</v>
      </c>
    </row>
    <row r="116" spans="1:82" x14ac:dyDescent="0.25">
      <c r="A116" s="63">
        <f>Phase_Data!A98</f>
        <v>43980</v>
      </c>
      <c r="B116" s="18">
        <f>Phase_Data!K98</f>
        <v>0.99544376389175993</v>
      </c>
      <c r="C116" s="18">
        <f>Phase_Data!L98</f>
        <v>1.5593780400895705</v>
      </c>
      <c r="D116" s="18">
        <f>Phase_Data!M98</f>
        <v>1.6203563158341465</v>
      </c>
      <c r="E116" s="56">
        <f t="shared" si="78"/>
        <v>2</v>
      </c>
      <c r="F116" s="38">
        <f t="shared" si="79"/>
        <v>0.4549866619506211</v>
      </c>
      <c r="G116" s="13" t="str">
        <f t="shared" si="80"/>
        <v>High activity</v>
      </c>
      <c r="X116" s="18">
        <f t="shared" si="93"/>
        <v>4.8734010519052706</v>
      </c>
      <c r="Y116" s="18">
        <f t="shared" si="93"/>
        <v>0.23872770707112378</v>
      </c>
      <c r="Z116" s="18">
        <f t="shared" si="93"/>
        <v>3.0200616015653559</v>
      </c>
      <c r="AA116" s="56">
        <f t="shared" si="81"/>
        <v>2</v>
      </c>
      <c r="AC116" s="18">
        <f t="shared" si="94"/>
        <v>4.5038864279719357</v>
      </c>
      <c r="AD116" s="18">
        <f t="shared" si="94"/>
        <v>0.85421276313428329</v>
      </c>
      <c r="AE116" s="18">
        <f t="shared" si="94"/>
        <v>2.3458761689230565</v>
      </c>
      <c r="AF116" s="56">
        <f t="shared" si="82"/>
        <v>2</v>
      </c>
      <c r="AH116" s="18">
        <f t="shared" si="95"/>
        <v>4.5891524169791298</v>
      </c>
      <c r="AI116" s="18">
        <f t="shared" si="95"/>
        <v>0.70573183200989054</v>
      </c>
      <c r="AJ116" s="18">
        <f t="shared" si="95"/>
        <v>2.3172487026500312</v>
      </c>
      <c r="AK116" s="56">
        <f t="shared" si="83"/>
        <v>2</v>
      </c>
      <c r="AM116" s="18">
        <f t="shared" si="96"/>
        <v>4.629353358146072</v>
      </c>
      <c r="AN116" s="18">
        <f t="shared" si="96"/>
        <v>0.67452699126915672</v>
      </c>
      <c r="AO116" s="18">
        <f t="shared" si="96"/>
        <v>2.3292261583882303</v>
      </c>
      <c r="AP116" s="56">
        <f t="shared" si="84"/>
        <v>2</v>
      </c>
      <c r="AR116" s="18">
        <f t="shared" si="97"/>
        <v>4.629353358146072</v>
      </c>
      <c r="AS116" s="18">
        <f t="shared" si="97"/>
        <v>0.67452699126915672</v>
      </c>
      <c r="AT116" s="18">
        <f t="shared" si="97"/>
        <v>2.3292261583882303</v>
      </c>
      <c r="AU116" s="56">
        <f t="shared" si="85"/>
        <v>2</v>
      </c>
      <c r="AW116" s="18">
        <f t="shared" si="98"/>
        <v>4.629353358146072</v>
      </c>
      <c r="AX116" s="18">
        <f t="shared" si="98"/>
        <v>0.67452699126915672</v>
      </c>
      <c r="AY116" s="18">
        <f t="shared" si="98"/>
        <v>2.3292261583882303</v>
      </c>
      <c r="AZ116" s="56">
        <f t="shared" si="86"/>
        <v>2</v>
      </c>
      <c r="BB116" s="18">
        <f t="shared" si="99"/>
        <v>4.629353358146072</v>
      </c>
      <c r="BC116" s="18">
        <f t="shared" si="99"/>
        <v>0.67452699126915672</v>
      </c>
      <c r="BD116" s="18">
        <f t="shared" si="99"/>
        <v>2.3292261583882303</v>
      </c>
      <c r="BE116" s="56">
        <f t="shared" si="87"/>
        <v>2</v>
      </c>
      <c r="BG116" s="18">
        <f t="shared" si="100"/>
        <v>4.629353358146072</v>
      </c>
      <c r="BH116" s="18">
        <f t="shared" si="100"/>
        <v>0.67452699126915672</v>
      </c>
      <c r="BI116" s="18">
        <f t="shared" si="100"/>
        <v>2.3292261583882303</v>
      </c>
      <c r="BJ116" s="56">
        <f t="shared" si="88"/>
        <v>2</v>
      </c>
      <c r="BL116" s="18">
        <f t="shared" si="101"/>
        <v>4.629353358146072</v>
      </c>
      <c r="BM116" s="18">
        <f t="shared" si="101"/>
        <v>0.67452699126915672</v>
      </c>
      <c r="BN116" s="18">
        <f t="shared" si="101"/>
        <v>2.3292261583882303</v>
      </c>
      <c r="BO116" s="56">
        <f t="shared" si="89"/>
        <v>2</v>
      </c>
      <c r="BQ116" s="18">
        <f t="shared" si="102"/>
        <v>4.629353358146072</v>
      </c>
      <c r="BR116" s="18">
        <f t="shared" si="102"/>
        <v>0.67452699126915672</v>
      </c>
      <c r="BS116" s="18">
        <f t="shared" si="102"/>
        <v>2.3292261583882303</v>
      </c>
      <c r="BT116" s="56">
        <f t="shared" si="90"/>
        <v>2</v>
      </c>
      <c r="BV116" s="18">
        <f t="shared" si="103"/>
        <v>4.629353358146072</v>
      </c>
      <c r="BW116" s="18">
        <f t="shared" si="103"/>
        <v>0.67452699126915672</v>
      </c>
      <c r="BX116" s="18">
        <f t="shared" si="103"/>
        <v>2.3292261583882303</v>
      </c>
      <c r="BY116" s="56">
        <f t="shared" si="91"/>
        <v>2</v>
      </c>
      <c r="CA116" s="18">
        <f t="shared" si="104"/>
        <v>4.629353358146072</v>
      </c>
      <c r="CB116" s="18">
        <f t="shared" si="104"/>
        <v>0.67452699126915672</v>
      </c>
      <c r="CC116" s="18">
        <f t="shared" si="104"/>
        <v>2.3292261583882303</v>
      </c>
      <c r="CD116" s="56">
        <f t="shared" si="92"/>
        <v>2</v>
      </c>
    </row>
    <row r="117" spans="1:82" x14ac:dyDescent="0.25">
      <c r="A117" s="63">
        <f>Phase_Data!A99</f>
        <v>43981</v>
      </c>
      <c r="B117" s="18">
        <f>Phase_Data!K99</f>
        <v>1.0743203845682132</v>
      </c>
      <c r="C117" s="18">
        <f>Phase_Data!L99</f>
        <v>1.6403076004540895</v>
      </c>
      <c r="D117" s="18">
        <f>Phase_Data!M99</f>
        <v>1.438413423552227</v>
      </c>
      <c r="E117" s="56">
        <f t="shared" si="78"/>
        <v>2</v>
      </c>
      <c r="F117" s="38">
        <f t="shared" si="79"/>
        <v>0.42362021730477684</v>
      </c>
      <c r="G117" s="13" t="str">
        <f t="shared" si="80"/>
        <v>High activity</v>
      </c>
      <c r="X117" s="18">
        <f t="shared" si="93"/>
        <v>4.8605785620076736</v>
      </c>
      <c r="Y117" s="18">
        <f t="shared" si="93"/>
        <v>0.29827678721670231</v>
      </c>
      <c r="Z117" s="18">
        <f t="shared" si="93"/>
        <v>2.8794282858516405</v>
      </c>
      <c r="AA117" s="56">
        <f t="shared" si="81"/>
        <v>2</v>
      </c>
      <c r="AC117" s="18">
        <f t="shared" si="94"/>
        <v>4.487658557425771</v>
      </c>
      <c r="AD117" s="18">
        <f t="shared" si="94"/>
        <v>0.84388117014965591</v>
      </c>
      <c r="AE117" s="18">
        <f t="shared" si="94"/>
        <v>2.2910008548426846</v>
      </c>
      <c r="AF117" s="56">
        <f t="shared" si="82"/>
        <v>2</v>
      </c>
      <c r="AH117" s="18">
        <f t="shared" si="95"/>
        <v>4.572914123573427</v>
      </c>
      <c r="AI117" s="18">
        <f t="shared" si="95"/>
        <v>0.68620593129624019</v>
      </c>
      <c r="AJ117" s="18">
        <f t="shared" si="95"/>
        <v>2.2717652019543073</v>
      </c>
      <c r="AK117" s="56">
        <f t="shared" si="83"/>
        <v>2</v>
      </c>
      <c r="AM117" s="18">
        <f t="shared" si="96"/>
        <v>4.6133372929172767</v>
      </c>
      <c r="AN117" s="18">
        <f t="shared" si="96"/>
        <v>0.65086113519304323</v>
      </c>
      <c r="AO117" s="18">
        <f t="shared" si="96"/>
        <v>2.285829310208864</v>
      </c>
      <c r="AP117" s="56">
        <f t="shared" si="84"/>
        <v>2</v>
      </c>
      <c r="AR117" s="18">
        <f t="shared" si="97"/>
        <v>4.6133372929172767</v>
      </c>
      <c r="AS117" s="18">
        <f t="shared" si="97"/>
        <v>0.65086113519304323</v>
      </c>
      <c r="AT117" s="18">
        <f t="shared" si="97"/>
        <v>2.285829310208864</v>
      </c>
      <c r="AU117" s="56">
        <f t="shared" si="85"/>
        <v>2</v>
      </c>
      <c r="AW117" s="18">
        <f t="shared" si="98"/>
        <v>4.6133372929172767</v>
      </c>
      <c r="AX117" s="18">
        <f t="shared" si="98"/>
        <v>0.65086113519304323</v>
      </c>
      <c r="AY117" s="18">
        <f t="shared" si="98"/>
        <v>2.285829310208864</v>
      </c>
      <c r="AZ117" s="56">
        <f t="shared" si="86"/>
        <v>2</v>
      </c>
      <c r="BB117" s="18">
        <f t="shared" si="99"/>
        <v>4.6133372929172767</v>
      </c>
      <c r="BC117" s="18">
        <f t="shared" si="99"/>
        <v>0.65086113519304323</v>
      </c>
      <c r="BD117" s="18">
        <f t="shared" si="99"/>
        <v>2.285829310208864</v>
      </c>
      <c r="BE117" s="56">
        <f t="shared" si="87"/>
        <v>2</v>
      </c>
      <c r="BG117" s="18">
        <f t="shared" si="100"/>
        <v>4.6133372929172767</v>
      </c>
      <c r="BH117" s="18">
        <f t="shared" si="100"/>
        <v>0.65086113519304323</v>
      </c>
      <c r="BI117" s="18">
        <f t="shared" si="100"/>
        <v>2.285829310208864</v>
      </c>
      <c r="BJ117" s="56">
        <f t="shared" si="88"/>
        <v>2</v>
      </c>
      <c r="BL117" s="18">
        <f t="shared" si="101"/>
        <v>4.6133372929172767</v>
      </c>
      <c r="BM117" s="18">
        <f t="shared" si="101"/>
        <v>0.65086113519304323</v>
      </c>
      <c r="BN117" s="18">
        <f t="shared" si="101"/>
        <v>2.285829310208864</v>
      </c>
      <c r="BO117" s="56">
        <f t="shared" si="89"/>
        <v>2</v>
      </c>
      <c r="BQ117" s="18">
        <f t="shared" si="102"/>
        <v>4.6133372929172767</v>
      </c>
      <c r="BR117" s="18">
        <f t="shared" si="102"/>
        <v>0.65086113519304323</v>
      </c>
      <c r="BS117" s="18">
        <f t="shared" si="102"/>
        <v>2.285829310208864</v>
      </c>
      <c r="BT117" s="56">
        <f t="shared" si="90"/>
        <v>2</v>
      </c>
      <c r="BV117" s="18">
        <f t="shared" si="103"/>
        <v>4.6133372929172767</v>
      </c>
      <c r="BW117" s="18">
        <f t="shared" si="103"/>
        <v>0.65086113519304323</v>
      </c>
      <c r="BX117" s="18">
        <f t="shared" si="103"/>
        <v>2.285829310208864</v>
      </c>
      <c r="BY117" s="56">
        <f t="shared" si="91"/>
        <v>2</v>
      </c>
      <c r="CA117" s="18">
        <f t="shared" si="104"/>
        <v>4.6133372929172767</v>
      </c>
      <c r="CB117" s="18">
        <f t="shared" si="104"/>
        <v>0.65086113519304323</v>
      </c>
      <c r="CC117" s="18">
        <f t="shared" si="104"/>
        <v>2.285829310208864</v>
      </c>
      <c r="CD117" s="56">
        <f t="shared" si="92"/>
        <v>2</v>
      </c>
    </row>
    <row r="118" spans="1:82" x14ac:dyDescent="0.25">
      <c r="A118" s="63">
        <f>Phase_Data!A100</f>
        <v>43982</v>
      </c>
      <c r="B118" s="18">
        <f>Phase_Data!K100</f>
        <v>1.0643381679556649</v>
      </c>
      <c r="C118" s="18">
        <f>Phase_Data!L100</f>
        <v>1.3838050933453583</v>
      </c>
      <c r="D118" s="18">
        <f>Phase_Data!M100</f>
        <v>1.3068577787753324</v>
      </c>
      <c r="E118" s="56">
        <f t="shared" si="78"/>
        <v>2</v>
      </c>
      <c r="F118" s="38">
        <f t="shared" si="79"/>
        <v>0.14525146603659581</v>
      </c>
      <c r="G118" s="13" t="str">
        <f t="shared" si="80"/>
        <v>High activity</v>
      </c>
      <c r="X118" s="18">
        <f t="shared" si="93"/>
        <v>4.6235871235026975</v>
      </c>
      <c r="Y118" s="18">
        <f t="shared" si="93"/>
        <v>0.38086184212158525</v>
      </c>
      <c r="Z118" s="18">
        <f t="shared" si="93"/>
        <v>2.6849791276817303</v>
      </c>
      <c r="AA118" s="56">
        <f t="shared" si="81"/>
        <v>2</v>
      </c>
      <c r="AC118" s="18">
        <f t="shared" si="94"/>
        <v>4.2450118789999038</v>
      </c>
      <c r="AD118" s="18">
        <f t="shared" si="94"/>
        <v>0.57796978857465275</v>
      </c>
      <c r="AE118" s="18">
        <f t="shared" si="94"/>
        <v>2.03558256678861</v>
      </c>
      <c r="AF118" s="56">
        <f t="shared" si="82"/>
        <v>2</v>
      </c>
      <c r="AH118" s="18">
        <f t="shared" si="95"/>
        <v>4.3314542560938651</v>
      </c>
      <c r="AI118" s="18">
        <f t="shared" si="95"/>
        <v>0.41627054018126175</v>
      </c>
      <c r="AJ118" s="18">
        <f t="shared" si="95"/>
        <v>2.0139969786342529</v>
      </c>
      <c r="AK118" s="56">
        <f t="shared" si="83"/>
        <v>2</v>
      </c>
      <c r="AM118" s="18">
        <f t="shared" si="96"/>
        <v>4.3726654462202976</v>
      </c>
      <c r="AN118" s="18">
        <f t="shared" si="96"/>
        <v>0.38111870334135506</v>
      </c>
      <c r="AO118" s="18">
        <f t="shared" si="96"/>
        <v>2.0270739733929322</v>
      </c>
      <c r="AP118" s="56">
        <f t="shared" si="84"/>
        <v>2</v>
      </c>
      <c r="AR118" s="18">
        <f t="shared" si="97"/>
        <v>4.3726654462202976</v>
      </c>
      <c r="AS118" s="18">
        <f t="shared" si="97"/>
        <v>0.38111870334135506</v>
      </c>
      <c r="AT118" s="18">
        <f t="shared" si="97"/>
        <v>2.0270739733929322</v>
      </c>
      <c r="AU118" s="56">
        <f t="shared" si="85"/>
        <v>2</v>
      </c>
      <c r="AW118" s="18">
        <f t="shared" si="98"/>
        <v>4.3726654462202976</v>
      </c>
      <c r="AX118" s="18">
        <f t="shared" si="98"/>
        <v>0.38111870334135506</v>
      </c>
      <c r="AY118" s="18">
        <f t="shared" si="98"/>
        <v>2.0270739733929322</v>
      </c>
      <c r="AZ118" s="56">
        <f t="shared" si="86"/>
        <v>2</v>
      </c>
      <c r="BB118" s="18">
        <f t="shared" si="99"/>
        <v>4.3726654462202976</v>
      </c>
      <c r="BC118" s="18">
        <f t="shared" si="99"/>
        <v>0.38111870334135506</v>
      </c>
      <c r="BD118" s="18">
        <f t="shared" si="99"/>
        <v>2.0270739733929322</v>
      </c>
      <c r="BE118" s="56">
        <f t="shared" si="87"/>
        <v>2</v>
      </c>
      <c r="BG118" s="18">
        <f t="shared" si="100"/>
        <v>4.3726654462202976</v>
      </c>
      <c r="BH118" s="18">
        <f t="shared" si="100"/>
        <v>0.38111870334135506</v>
      </c>
      <c r="BI118" s="18">
        <f t="shared" si="100"/>
        <v>2.0270739733929322</v>
      </c>
      <c r="BJ118" s="56">
        <f t="shared" si="88"/>
        <v>2</v>
      </c>
      <c r="BL118" s="18">
        <f t="shared" si="101"/>
        <v>4.3726654462202976</v>
      </c>
      <c r="BM118" s="18">
        <f t="shared" si="101"/>
        <v>0.38111870334135506</v>
      </c>
      <c r="BN118" s="18">
        <f t="shared" si="101"/>
        <v>2.0270739733929322</v>
      </c>
      <c r="BO118" s="56">
        <f t="shared" si="89"/>
        <v>2</v>
      </c>
      <c r="BQ118" s="18">
        <f t="shared" si="102"/>
        <v>4.3726654462202976</v>
      </c>
      <c r="BR118" s="18">
        <f t="shared" si="102"/>
        <v>0.38111870334135506</v>
      </c>
      <c r="BS118" s="18">
        <f t="shared" si="102"/>
        <v>2.0270739733929322</v>
      </c>
      <c r="BT118" s="56">
        <f t="shared" si="90"/>
        <v>2</v>
      </c>
      <c r="BV118" s="18">
        <f t="shared" si="103"/>
        <v>4.3726654462202976</v>
      </c>
      <c r="BW118" s="18">
        <f t="shared" si="103"/>
        <v>0.38111870334135506</v>
      </c>
      <c r="BX118" s="18">
        <f t="shared" si="103"/>
        <v>2.0270739733929322</v>
      </c>
      <c r="BY118" s="56">
        <f t="shared" si="91"/>
        <v>2</v>
      </c>
      <c r="CA118" s="18">
        <f t="shared" si="104"/>
        <v>4.3726654462202976</v>
      </c>
      <c r="CB118" s="18">
        <f t="shared" si="104"/>
        <v>0.38111870334135506</v>
      </c>
      <c r="CC118" s="18">
        <f t="shared" si="104"/>
        <v>2.0270739733929322</v>
      </c>
      <c r="CD118" s="56">
        <f t="shared" si="92"/>
        <v>2</v>
      </c>
    </row>
    <row r="119" spans="1:82" x14ac:dyDescent="0.25">
      <c r="A119" s="63">
        <f>Phase_Data!A101</f>
        <v>43983</v>
      </c>
      <c r="B119" s="18">
        <f>Phase_Data!K101</f>
        <v>1.1820829306455023</v>
      </c>
      <c r="C119" s="18">
        <f>Phase_Data!L101</f>
        <v>1.5593780400895705</v>
      </c>
      <c r="D119" s="18">
        <f>Phase_Data!M101</f>
        <v>1.39884098182759</v>
      </c>
      <c r="E119" s="56">
        <f t="shared" si="78"/>
        <v>2</v>
      </c>
      <c r="F119" s="38">
        <f t="shared" ref="F119:F150" si="105">($B119-INDEX($L$16:$N$16,E119))^2+($C119-INDEX($L$17:$N$17,E119))^2+($D119-INDEX($L$18:$N$18,E119))^2</f>
        <v>0.37407209279460341</v>
      </c>
      <c r="G119" s="13" t="str">
        <f t="shared" si="80"/>
        <v>High activity</v>
      </c>
      <c r="X119" s="18">
        <f t="shared" si="93"/>
        <v>4.8482152339341935</v>
      </c>
      <c r="Y119" s="18">
        <f t="shared" si="93"/>
        <v>0.25955138152432294</v>
      </c>
      <c r="Z119" s="18">
        <f t="shared" si="93"/>
        <v>2.8364023753638103</v>
      </c>
      <c r="AA119" s="56">
        <f t="shared" ref="AA119:AA150" si="106">MATCH(MIN(X119:Z119),X119:Z119,0)</f>
        <v>2</v>
      </c>
      <c r="AC119" s="18">
        <f t="shared" si="94"/>
        <v>4.4700959742082276</v>
      </c>
      <c r="AD119" s="18">
        <f t="shared" si="94"/>
        <v>0.80849258287940728</v>
      </c>
      <c r="AE119" s="18">
        <f t="shared" si="94"/>
        <v>2.251811823035653</v>
      </c>
      <c r="AF119" s="56">
        <f t="shared" ref="AF119:AF150" si="107">MATCH(MIN(AC119:AE119),AC119:AE119,0)</f>
        <v>2</v>
      </c>
      <c r="AH119" s="18">
        <f t="shared" si="95"/>
        <v>4.5563150779062651</v>
      </c>
      <c r="AI119" s="18">
        <f t="shared" si="95"/>
        <v>0.64672451651832219</v>
      </c>
      <c r="AJ119" s="18">
        <f t="shared" si="95"/>
        <v>2.2339039947250652</v>
      </c>
      <c r="AK119" s="56">
        <f t="shared" ref="AK119:AK150" si="108">MATCH(MIN(AH119:AJ119),AH119:AJ119,0)</f>
        <v>2</v>
      </c>
      <c r="AM119" s="18">
        <f t="shared" si="96"/>
        <v>4.5974222881974924</v>
      </c>
      <c r="AN119" s="18">
        <f t="shared" si="96"/>
        <v>0.61161433337897131</v>
      </c>
      <c r="AO119" s="18">
        <f t="shared" si="96"/>
        <v>2.2476958831107066</v>
      </c>
      <c r="AP119" s="56">
        <f t="shared" ref="AP119:AP150" si="109">MATCH(MIN(AM119:AO119),AM119:AO119,0)</f>
        <v>2</v>
      </c>
      <c r="AR119" s="18">
        <f t="shared" si="97"/>
        <v>4.5974222881974924</v>
      </c>
      <c r="AS119" s="18">
        <f t="shared" si="97"/>
        <v>0.61161433337897131</v>
      </c>
      <c r="AT119" s="18">
        <f t="shared" si="97"/>
        <v>2.2476958831107066</v>
      </c>
      <c r="AU119" s="56">
        <f t="shared" ref="AU119:AU150" si="110">MATCH(MIN(AR119:AT119),AR119:AT119,0)</f>
        <v>2</v>
      </c>
      <c r="AW119" s="18">
        <f t="shared" si="98"/>
        <v>4.5974222881974924</v>
      </c>
      <c r="AX119" s="18">
        <f t="shared" si="98"/>
        <v>0.61161433337897131</v>
      </c>
      <c r="AY119" s="18">
        <f t="shared" si="98"/>
        <v>2.2476958831107066</v>
      </c>
      <c r="AZ119" s="56">
        <f t="shared" ref="AZ119:AZ150" si="111">MATCH(MIN(AW119:AY119),AW119:AY119,0)</f>
        <v>2</v>
      </c>
      <c r="BB119" s="18">
        <f t="shared" si="99"/>
        <v>4.5974222881974924</v>
      </c>
      <c r="BC119" s="18">
        <f t="shared" si="99"/>
        <v>0.61161433337897131</v>
      </c>
      <c r="BD119" s="18">
        <f t="shared" si="99"/>
        <v>2.2476958831107066</v>
      </c>
      <c r="BE119" s="56">
        <f t="shared" ref="BE119:BE150" si="112">MATCH(MIN(BB119:BD119),BB119:BD119,0)</f>
        <v>2</v>
      </c>
      <c r="BG119" s="18">
        <f t="shared" si="100"/>
        <v>4.5974222881974924</v>
      </c>
      <c r="BH119" s="18">
        <f t="shared" si="100"/>
        <v>0.61161433337897131</v>
      </c>
      <c r="BI119" s="18">
        <f t="shared" si="100"/>
        <v>2.2476958831107066</v>
      </c>
      <c r="BJ119" s="56">
        <f t="shared" ref="BJ119:BJ150" si="113">MATCH(MIN(BG119:BI119),BG119:BI119,0)</f>
        <v>2</v>
      </c>
      <c r="BL119" s="18">
        <f t="shared" si="101"/>
        <v>4.5974222881974924</v>
      </c>
      <c r="BM119" s="18">
        <f t="shared" si="101"/>
        <v>0.61161433337897131</v>
      </c>
      <c r="BN119" s="18">
        <f t="shared" si="101"/>
        <v>2.2476958831107066</v>
      </c>
      <c r="BO119" s="56">
        <f t="shared" ref="BO119:BO150" si="114">MATCH(MIN(BL119:BN119),BL119:BN119,0)</f>
        <v>2</v>
      </c>
      <c r="BQ119" s="18">
        <f t="shared" si="102"/>
        <v>4.5974222881974924</v>
      </c>
      <c r="BR119" s="18">
        <f t="shared" si="102"/>
        <v>0.61161433337897131</v>
      </c>
      <c r="BS119" s="18">
        <f t="shared" si="102"/>
        <v>2.2476958831107066</v>
      </c>
      <c r="BT119" s="56">
        <f t="shared" ref="BT119:BT150" si="115">MATCH(MIN(BQ119:BS119),BQ119:BS119,0)</f>
        <v>2</v>
      </c>
      <c r="BV119" s="18">
        <f t="shared" si="103"/>
        <v>4.5974222881974924</v>
      </c>
      <c r="BW119" s="18">
        <f t="shared" si="103"/>
        <v>0.61161433337897131</v>
      </c>
      <c r="BX119" s="18">
        <f t="shared" si="103"/>
        <v>2.2476958831107066</v>
      </c>
      <c r="BY119" s="56">
        <f t="shared" ref="BY119:BY150" si="116">MATCH(MIN(BV119:BX119),BV119:BX119,0)</f>
        <v>2</v>
      </c>
      <c r="CA119" s="18">
        <f t="shared" si="104"/>
        <v>4.5974222881974924</v>
      </c>
      <c r="CB119" s="18">
        <f t="shared" si="104"/>
        <v>0.61161433337897131</v>
      </c>
      <c r="CC119" s="18">
        <f t="shared" si="104"/>
        <v>2.2476958831107066</v>
      </c>
      <c r="CD119" s="56">
        <f t="shared" ref="CD119:CD150" si="117">MATCH(MIN(CA119:CC119),CA119:CC119,0)</f>
        <v>2</v>
      </c>
    </row>
    <row r="120" spans="1:82" x14ac:dyDescent="0.25">
      <c r="A120" s="63">
        <f>Phase_Data!A102</f>
        <v>43984</v>
      </c>
      <c r="B120" s="18">
        <f>Phase_Data!K102</f>
        <v>1.2185188348904394</v>
      </c>
      <c r="C120" s="18">
        <f>Phase_Data!L102</f>
        <v>1.4772506522282982</v>
      </c>
      <c r="D120" s="18">
        <f>Phase_Data!M102</f>
        <v>1.642345471921967</v>
      </c>
      <c r="E120" s="56">
        <f t="shared" si="78"/>
        <v>2</v>
      </c>
      <c r="F120" s="38">
        <f t="shared" si="105"/>
        <v>0.50855519845148467</v>
      </c>
      <c r="G120" s="13" t="str">
        <f t="shared" si="80"/>
        <v>High activity</v>
      </c>
      <c r="X120" s="18">
        <f t="shared" si="93"/>
        <v>4.9587151541907053</v>
      </c>
      <c r="Y120" s="18">
        <f t="shared" si="93"/>
        <v>0</v>
      </c>
      <c r="Z120" s="18">
        <f t="shared" si="93"/>
        <v>3.0537951152764635</v>
      </c>
      <c r="AA120" s="56">
        <f t="shared" si="106"/>
        <v>2</v>
      </c>
      <c r="AC120" s="18">
        <f t="shared" si="94"/>
        <v>4.581118132016611</v>
      </c>
      <c r="AD120" s="18">
        <f t="shared" si="94"/>
        <v>0.89784949388712354</v>
      </c>
      <c r="AE120" s="18">
        <f t="shared" si="94"/>
        <v>2.3907629857343831</v>
      </c>
      <c r="AF120" s="56">
        <f t="shared" si="107"/>
        <v>2</v>
      </c>
      <c r="AH120" s="18">
        <f t="shared" si="95"/>
        <v>4.6679838135000429</v>
      </c>
      <c r="AI120" s="18">
        <f t="shared" si="95"/>
        <v>0.74338175351286795</v>
      </c>
      <c r="AJ120" s="18">
        <f t="shared" si="95"/>
        <v>2.3635532530623493</v>
      </c>
      <c r="AK120" s="56">
        <f t="shared" si="108"/>
        <v>2</v>
      </c>
      <c r="AM120" s="18">
        <f t="shared" si="96"/>
        <v>4.7092827212150663</v>
      </c>
      <c r="AN120" s="18">
        <f t="shared" si="96"/>
        <v>0.71313056199512626</v>
      </c>
      <c r="AO120" s="18">
        <f t="shared" si="96"/>
        <v>2.3748533419762952</v>
      </c>
      <c r="AP120" s="56">
        <f t="shared" si="109"/>
        <v>2</v>
      </c>
      <c r="AR120" s="18">
        <f t="shared" si="97"/>
        <v>4.7092827212150663</v>
      </c>
      <c r="AS120" s="18">
        <f t="shared" si="97"/>
        <v>0.71313056199512626</v>
      </c>
      <c r="AT120" s="18">
        <f t="shared" si="97"/>
        <v>2.3748533419762952</v>
      </c>
      <c r="AU120" s="56">
        <f t="shared" si="110"/>
        <v>2</v>
      </c>
      <c r="AW120" s="18">
        <f t="shared" si="98"/>
        <v>4.7092827212150663</v>
      </c>
      <c r="AX120" s="18">
        <f t="shared" si="98"/>
        <v>0.71313056199512626</v>
      </c>
      <c r="AY120" s="18">
        <f t="shared" si="98"/>
        <v>2.3748533419762952</v>
      </c>
      <c r="AZ120" s="56">
        <f t="shared" si="111"/>
        <v>2</v>
      </c>
      <c r="BB120" s="18">
        <f t="shared" si="99"/>
        <v>4.7092827212150663</v>
      </c>
      <c r="BC120" s="18">
        <f t="shared" si="99"/>
        <v>0.71313056199512626</v>
      </c>
      <c r="BD120" s="18">
        <f t="shared" si="99"/>
        <v>2.3748533419762952</v>
      </c>
      <c r="BE120" s="56">
        <f t="shared" si="112"/>
        <v>2</v>
      </c>
      <c r="BG120" s="18">
        <f t="shared" si="100"/>
        <v>4.7092827212150663</v>
      </c>
      <c r="BH120" s="18">
        <f t="shared" si="100"/>
        <v>0.71313056199512626</v>
      </c>
      <c r="BI120" s="18">
        <f t="shared" si="100"/>
        <v>2.3748533419762952</v>
      </c>
      <c r="BJ120" s="56">
        <f t="shared" si="113"/>
        <v>2</v>
      </c>
      <c r="BL120" s="18">
        <f t="shared" si="101"/>
        <v>4.7092827212150663</v>
      </c>
      <c r="BM120" s="18">
        <f t="shared" si="101"/>
        <v>0.71313056199512626</v>
      </c>
      <c r="BN120" s="18">
        <f t="shared" si="101"/>
        <v>2.3748533419762952</v>
      </c>
      <c r="BO120" s="56">
        <f t="shared" si="114"/>
        <v>2</v>
      </c>
      <c r="BQ120" s="18">
        <f t="shared" si="102"/>
        <v>4.7092827212150663</v>
      </c>
      <c r="BR120" s="18">
        <f t="shared" si="102"/>
        <v>0.71313056199512626</v>
      </c>
      <c r="BS120" s="18">
        <f t="shared" si="102"/>
        <v>2.3748533419762952</v>
      </c>
      <c r="BT120" s="56">
        <f t="shared" si="115"/>
        <v>2</v>
      </c>
      <c r="BV120" s="18">
        <f t="shared" si="103"/>
        <v>4.7092827212150663</v>
      </c>
      <c r="BW120" s="18">
        <f t="shared" si="103"/>
        <v>0.71313056199512626</v>
      </c>
      <c r="BX120" s="18">
        <f t="shared" si="103"/>
        <v>2.3748533419762952</v>
      </c>
      <c r="BY120" s="56">
        <f t="shared" si="116"/>
        <v>2</v>
      </c>
      <c r="CA120" s="18">
        <f t="shared" si="104"/>
        <v>4.7092827212150663</v>
      </c>
      <c r="CB120" s="18">
        <f t="shared" si="104"/>
        <v>0.71313056199512626</v>
      </c>
      <c r="CC120" s="18">
        <f t="shared" si="104"/>
        <v>2.3748533419762952</v>
      </c>
      <c r="CD120" s="56">
        <f t="shared" si="117"/>
        <v>2</v>
      </c>
    </row>
    <row r="121" spans="1:82" x14ac:dyDescent="0.25">
      <c r="A121" s="63">
        <f>Phase_Data!A103</f>
        <v>43985</v>
      </c>
      <c r="B121" s="18">
        <f>Phase_Data!K103</f>
        <v>1.2574940928438989</v>
      </c>
      <c r="C121" s="18">
        <f>Phase_Data!L103</f>
        <v>1.5929159518426246</v>
      </c>
      <c r="D121" s="18">
        <f>Phase_Data!M103</f>
        <v>1.4604730771961711</v>
      </c>
      <c r="E121" s="56">
        <f t="shared" si="78"/>
        <v>2</v>
      </c>
      <c r="F121" s="38">
        <f t="shared" si="105"/>
        <v>0.49282000090768041</v>
      </c>
      <c r="G121" s="13" t="str">
        <f t="shared" si="80"/>
        <v>High activity</v>
      </c>
      <c r="X121" s="18">
        <f t="shared" si="93"/>
        <v>4.9455881253315317</v>
      </c>
      <c r="Y121" s="18">
        <f t="shared" si="93"/>
        <v>0.21903218994181264</v>
      </c>
      <c r="Z121" s="18">
        <f t="shared" si="93"/>
        <v>2.9183154129198772</v>
      </c>
      <c r="AA121" s="56">
        <f t="shared" si="106"/>
        <v>2</v>
      </c>
      <c r="AC121" s="18">
        <f t="shared" si="94"/>
        <v>4.5664624766211634</v>
      </c>
      <c r="AD121" s="18">
        <f t="shared" si="94"/>
        <v>0.89824354173223098</v>
      </c>
      <c r="AE121" s="18">
        <f t="shared" si="94"/>
        <v>2.3443877122027184</v>
      </c>
      <c r="AF121" s="56">
        <f t="shared" si="107"/>
        <v>2</v>
      </c>
      <c r="AH121" s="18">
        <f t="shared" si="95"/>
        <v>4.6529334948678063</v>
      </c>
      <c r="AI121" s="18">
        <f t="shared" si="95"/>
        <v>0.73638585465600681</v>
      </c>
      <c r="AJ121" s="18">
        <f t="shared" si="95"/>
        <v>2.3265501779079258</v>
      </c>
      <c r="AK121" s="56">
        <f t="shared" si="108"/>
        <v>2</v>
      </c>
      <c r="AM121" s="18">
        <f t="shared" si="96"/>
        <v>4.6941971100427704</v>
      </c>
      <c r="AN121" s="18">
        <f t="shared" si="96"/>
        <v>0.70201139656538369</v>
      </c>
      <c r="AO121" s="18">
        <f t="shared" si="96"/>
        <v>2.3401251750018686</v>
      </c>
      <c r="AP121" s="56">
        <f t="shared" si="109"/>
        <v>2</v>
      </c>
      <c r="AR121" s="18">
        <f t="shared" si="97"/>
        <v>4.6941971100427704</v>
      </c>
      <c r="AS121" s="18">
        <f t="shared" si="97"/>
        <v>0.70201139656538369</v>
      </c>
      <c r="AT121" s="18">
        <f t="shared" si="97"/>
        <v>2.3401251750018686</v>
      </c>
      <c r="AU121" s="56">
        <f t="shared" si="110"/>
        <v>2</v>
      </c>
      <c r="AW121" s="18">
        <f t="shared" si="98"/>
        <v>4.6941971100427704</v>
      </c>
      <c r="AX121" s="18">
        <f t="shared" si="98"/>
        <v>0.70201139656538369</v>
      </c>
      <c r="AY121" s="18">
        <f t="shared" si="98"/>
        <v>2.3401251750018686</v>
      </c>
      <c r="AZ121" s="56">
        <f t="shared" si="111"/>
        <v>2</v>
      </c>
      <c r="BB121" s="18">
        <f t="shared" si="99"/>
        <v>4.6941971100427704</v>
      </c>
      <c r="BC121" s="18">
        <f t="shared" si="99"/>
        <v>0.70201139656538369</v>
      </c>
      <c r="BD121" s="18">
        <f t="shared" si="99"/>
        <v>2.3401251750018686</v>
      </c>
      <c r="BE121" s="56">
        <f t="shared" si="112"/>
        <v>2</v>
      </c>
      <c r="BG121" s="18">
        <f t="shared" si="100"/>
        <v>4.6941971100427704</v>
      </c>
      <c r="BH121" s="18">
        <f t="shared" si="100"/>
        <v>0.70201139656538369</v>
      </c>
      <c r="BI121" s="18">
        <f t="shared" si="100"/>
        <v>2.3401251750018686</v>
      </c>
      <c r="BJ121" s="56">
        <f t="shared" si="113"/>
        <v>2</v>
      </c>
      <c r="BL121" s="18">
        <f t="shared" si="101"/>
        <v>4.6941971100427704</v>
      </c>
      <c r="BM121" s="18">
        <f t="shared" si="101"/>
        <v>0.70201139656538369</v>
      </c>
      <c r="BN121" s="18">
        <f t="shared" si="101"/>
        <v>2.3401251750018686</v>
      </c>
      <c r="BO121" s="56">
        <f t="shared" si="114"/>
        <v>2</v>
      </c>
      <c r="BQ121" s="18">
        <f t="shared" si="102"/>
        <v>4.6941971100427704</v>
      </c>
      <c r="BR121" s="18">
        <f t="shared" si="102"/>
        <v>0.70201139656538369</v>
      </c>
      <c r="BS121" s="18">
        <f t="shared" si="102"/>
        <v>2.3401251750018686</v>
      </c>
      <c r="BT121" s="56">
        <f t="shared" si="115"/>
        <v>2</v>
      </c>
      <c r="BV121" s="18">
        <f t="shared" si="103"/>
        <v>4.6941971100427704</v>
      </c>
      <c r="BW121" s="18">
        <f t="shared" si="103"/>
        <v>0.70201139656538369</v>
      </c>
      <c r="BX121" s="18">
        <f t="shared" si="103"/>
        <v>2.3401251750018686</v>
      </c>
      <c r="BY121" s="56">
        <f t="shared" si="116"/>
        <v>2</v>
      </c>
      <c r="CA121" s="18">
        <f t="shared" si="104"/>
        <v>4.6941971100427704</v>
      </c>
      <c r="CB121" s="18">
        <f t="shared" si="104"/>
        <v>0.70201139656538369</v>
      </c>
      <c r="CC121" s="18">
        <f t="shared" si="104"/>
        <v>2.3401251750018686</v>
      </c>
      <c r="CD121" s="56">
        <f t="shared" si="117"/>
        <v>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48235"/>
    <pageSetUpPr fitToPage="1"/>
  </sheetPr>
  <dimension ref="A1:M2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30" customWidth="1"/>
    <col min="2" max="2" width="26" customWidth="1"/>
    <col min="3" max="6" width="13" customWidth="1"/>
    <col min="7" max="7" width="11" customWidth="1"/>
    <col min="8" max="8" width="7.5703125" bestFit="1" customWidth="1"/>
    <col min="9" max="10" width="12" customWidth="1"/>
    <col min="11" max="11" width="13" customWidth="1"/>
    <col min="12" max="13" width="12" customWidth="1"/>
    <col min="14" max="14" width="13" customWidth="1"/>
  </cols>
  <sheetData>
    <row r="1" spans="1:13" ht="20.25" x14ac:dyDescent="0.3">
      <c r="A1" s="8" t="s">
        <v>529</v>
      </c>
    </row>
    <row r="2" spans="1:13" x14ac:dyDescent="0.25">
      <c r="A2" s="9" t="s">
        <v>530</v>
      </c>
    </row>
    <row r="4" spans="1:13" ht="31.5" customHeight="1" x14ac:dyDescent="0.25">
      <c r="A4" s="11" t="s">
        <v>292</v>
      </c>
      <c r="B4" s="11" t="s">
        <v>39</v>
      </c>
      <c r="C4" s="11" t="s">
        <v>330</v>
      </c>
      <c r="D4" s="11" t="s">
        <v>331</v>
      </c>
      <c r="E4" s="11" t="s">
        <v>332</v>
      </c>
      <c r="F4" s="11" t="s">
        <v>333</v>
      </c>
      <c r="G4" s="11" t="s">
        <v>334</v>
      </c>
      <c r="H4" s="11" t="s">
        <v>442</v>
      </c>
      <c r="I4" s="11" t="s">
        <v>443</v>
      </c>
      <c r="J4" s="11" t="s">
        <v>444</v>
      </c>
      <c r="K4" s="11" t="s">
        <v>445</v>
      </c>
      <c r="L4" s="11" t="s">
        <v>446</v>
      </c>
      <c r="M4" s="11" t="s">
        <v>447</v>
      </c>
    </row>
    <row r="5" spans="1:13" x14ac:dyDescent="0.25">
      <c r="A5" s="36" t="s">
        <v>112</v>
      </c>
      <c r="B5" s="13">
        <f>COUNTIF(Data!$E$2:$E$2797,$A5)</f>
        <v>2533</v>
      </c>
      <c r="C5" s="14">
        <f>SUMIF(Data!$E$2:$E$2797,$A5,Data!$B$2:$B$2797)</f>
        <v>78118</v>
      </c>
      <c r="D5" s="14">
        <f>SUMIF(Data!$E$2:$E$2797,$A5,Data!$C$2:$C$2797)</f>
        <v>1627</v>
      </c>
      <c r="E5" s="14">
        <f>SUMIF(Data!$E$2:$E$2797,$A5,Data!$D$2:$D$2797)</f>
        <v>23588</v>
      </c>
      <c r="F5" s="14">
        <f t="shared" ref="F5:F19" si="0">C5-D5-E5</f>
        <v>52903</v>
      </c>
      <c r="G5" s="26">
        <f t="shared" ref="G5:G20" si="1">IF(C5=0,0,D5/C5*100)</f>
        <v>2.0827466140966231</v>
      </c>
      <c r="H5" s="38">
        <f>IF(Clustering_Guide!$C$7=1,LN(1+MAX(C5,0)),C5)</f>
        <v>11.265988584089431</v>
      </c>
      <c r="I5" s="38">
        <f>IF(Clustering_Guide!$C$7=1,LN(1+MAX(D5,0)),D5)</f>
        <v>7.3951075465624854</v>
      </c>
      <c r="J5" s="38">
        <f>IF(Clustering_Guide!$C$7=1,LN(1+MAX(E5,0)),E5)</f>
        <v>10.068535780659627</v>
      </c>
      <c r="K5" s="38">
        <f t="shared" ref="K5:K19" si="2">(H5-AVERAGE(H$5:H$19))/STDEV(H$5:H$19)</f>
        <v>2.2998275218923658</v>
      </c>
      <c r="L5" s="38">
        <f t="shared" ref="L5:L19" si="3">(I5-AVERAGE(I$5:I$19))/STDEV(I$5:I$19)</f>
        <v>2.9018223562127909</v>
      </c>
      <c r="M5" s="38">
        <f t="shared" ref="M5:M19" si="4">(J5-AVERAGE(J$5:J$19))/STDEV(J$5:J$19)</f>
        <v>2.3887014089163308</v>
      </c>
    </row>
    <row r="6" spans="1:13" x14ac:dyDescent="0.25">
      <c r="A6" s="36" t="s">
        <v>114</v>
      </c>
      <c r="B6" s="13">
        <f>COUNTIF(Data!$E$2:$E$2797,$A6)</f>
        <v>123</v>
      </c>
      <c r="C6" s="14">
        <f>SUMIF(Data!$E$2:$E$2797,$A6,Data!$B$2:$B$2797)</f>
        <v>3459</v>
      </c>
      <c r="D6" s="14">
        <f>SUMIF(Data!$E$2:$E$2797,$A6,Data!$C$2:$C$2797)</f>
        <v>84</v>
      </c>
      <c r="E6" s="14">
        <f>SUMIF(Data!$E$2:$E$2797,$A6,Data!$D$2:$D$2797)</f>
        <v>440</v>
      </c>
      <c r="F6" s="14">
        <f t="shared" si="0"/>
        <v>2935</v>
      </c>
      <c r="G6" s="26">
        <f t="shared" si="1"/>
        <v>2.4284475281873377</v>
      </c>
      <c r="H6" s="38">
        <f>IF(Clustering_Guide!$C$7=1,LN(1+MAX(C6,0)),C6)</f>
        <v>8.1490238680517706</v>
      </c>
      <c r="I6" s="38">
        <f>IF(Clustering_Guide!$C$7=1,LN(1+MAX(D6,0)),D6)</f>
        <v>4.4426512564903167</v>
      </c>
      <c r="J6" s="38">
        <f>IF(Clustering_Guide!$C$7=1,LN(1+MAX(E6,0)),E6)</f>
        <v>6.089044875446846</v>
      </c>
      <c r="K6" s="38">
        <f t="shared" si="2"/>
        <v>1.347372610216069</v>
      </c>
      <c r="L6" s="38">
        <f t="shared" si="3"/>
        <v>1.5363966832794247</v>
      </c>
      <c r="M6" s="38">
        <f t="shared" si="4"/>
        <v>1.1562576334411423</v>
      </c>
    </row>
    <row r="7" spans="1:13" x14ac:dyDescent="0.25">
      <c r="A7" s="36" t="s">
        <v>116</v>
      </c>
      <c r="B7" s="13">
        <f>COUNTIF(Data!$E$2:$E$2797,$A7)</f>
        <v>23</v>
      </c>
      <c r="C7" s="14">
        <f>SUMIF(Data!$E$2:$E$2797,$A7,Data!$B$2:$B$2797)</f>
        <v>1115</v>
      </c>
      <c r="D7" s="14">
        <f>SUMIF(Data!$E$2:$E$2797,$A7,Data!$C$2:$C$2797)</f>
        <v>5</v>
      </c>
      <c r="E7" s="14">
        <f>SUMIF(Data!$E$2:$E$2797,$A7,Data!$D$2:$D$2797)</f>
        <v>142</v>
      </c>
      <c r="F7" s="14">
        <f t="shared" si="0"/>
        <v>968</v>
      </c>
      <c r="G7" s="26">
        <f t="shared" si="1"/>
        <v>0.44843049327354262</v>
      </c>
      <c r="H7" s="38">
        <f>IF(Clustering_Guide!$C$7=1,LN(1+MAX(C7,0)),C7)</f>
        <v>7.0175061429412562</v>
      </c>
      <c r="I7" s="38">
        <f>IF(Clustering_Guide!$C$7=1,LN(1+MAX(D7,0)),D7)</f>
        <v>1.791759469228055</v>
      </c>
      <c r="J7" s="38">
        <f>IF(Clustering_Guide!$C$7=1,LN(1+MAX(E7,0)),E7)</f>
        <v>4.962844630259907</v>
      </c>
      <c r="K7" s="38">
        <f t="shared" si="2"/>
        <v>1.001613285644595</v>
      </c>
      <c r="L7" s="38">
        <f t="shared" si="3"/>
        <v>0.31043587408226925</v>
      </c>
      <c r="M7" s="38">
        <f t="shared" si="4"/>
        <v>0.80747470738868021</v>
      </c>
    </row>
    <row r="8" spans="1:13" x14ac:dyDescent="0.25">
      <c r="A8" s="36" t="s">
        <v>118</v>
      </c>
      <c r="B8" s="13">
        <f>COUNTIF(Data!$E$2:$E$2797,$A8)</f>
        <v>88</v>
      </c>
      <c r="C8" s="14">
        <f>SUMIF(Data!$E$2:$E$2797,$A8,Data!$B$2:$B$2797)</f>
        <v>1053</v>
      </c>
      <c r="D8" s="14">
        <f>SUMIF(Data!$E$2:$E$2797,$A8,Data!$C$2:$C$2797)</f>
        <v>11</v>
      </c>
      <c r="E8" s="14">
        <f>SUMIF(Data!$E$2:$E$2797,$A8,Data!$D$2:$D$2797)</f>
        <v>501</v>
      </c>
      <c r="F8" s="14">
        <f t="shared" si="0"/>
        <v>541</v>
      </c>
      <c r="G8" s="26">
        <f t="shared" si="1"/>
        <v>1.0446343779677114</v>
      </c>
      <c r="H8" s="38">
        <f>IF(Clustering_Guide!$C$7=1,LN(1+MAX(C8,0)),C8)</f>
        <v>6.9603477291013078</v>
      </c>
      <c r="I8" s="38">
        <f>IF(Clustering_Guide!$C$7=1,LN(1+MAX(D8,0)),D8)</f>
        <v>2.4849066497880004</v>
      </c>
      <c r="J8" s="38">
        <f>IF(Clustering_Guide!$C$7=1,LN(1+MAX(E8,0)),E8)</f>
        <v>6.2186001196917289</v>
      </c>
      <c r="K8" s="38">
        <f t="shared" si="2"/>
        <v>0.98414731571385683</v>
      </c>
      <c r="L8" s="38">
        <f t="shared" si="3"/>
        <v>0.63099640486485853</v>
      </c>
      <c r="M8" s="38">
        <f t="shared" si="4"/>
        <v>1.1963807441990084</v>
      </c>
    </row>
    <row r="9" spans="1:13" x14ac:dyDescent="0.25">
      <c r="A9" s="36" t="s">
        <v>120</v>
      </c>
      <c r="B9" s="13">
        <f>COUNTIF(Data!$E$2:$E$2797,$A9)</f>
        <v>5</v>
      </c>
      <c r="C9" s="14">
        <f>SUMIF(Data!$E$2:$E$2797,$A9,Data!$B$2:$B$2797)</f>
        <v>107</v>
      </c>
      <c r="D9" s="14">
        <f>SUMIF(Data!$E$2:$E$2797,$A9,Data!$C$2:$C$2797)</f>
        <v>0</v>
      </c>
      <c r="E9" s="14">
        <f>SUMIF(Data!$E$2:$E$2797,$A9,Data!$D$2:$D$2797)</f>
        <v>0</v>
      </c>
      <c r="F9" s="14">
        <f t="shared" si="0"/>
        <v>107</v>
      </c>
      <c r="G9" s="26">
        <f t="shared" si="1"/>
        <v>0</v>
      </c>
      <c r="H9" s="38">
        <f>IF(Clustering_Guide!$C$7=1,LN(1+MAX(C9,0)),C9)</f>
        <v>4.6821312271242199</v>
      </c>
      <c r="I9" s="38">
        <f>IF(Clustering_Guide!$C$7=1,LN(1+MAX(D9,0)),D9)</f>
        <v>0</v>
      </c>
      <c r="J9" s="38">
        <f>IF(Clustering_Guide!$C$7=1,LN(1+MAX(E9,0)),E9)</f>
        <v>0</v>
      </c>
      <c r="K9" s="38">
        <f t="shared" si="2"/>
        <v>0.28798977308742602</v>
      </c>
      <c r="L9" s="38">
        <f t="shared" si="3"/>
        <v>-0.51820107720199382</v>
      </c>
      <c r="M9" s="38">
        <f t="shared" si="4"/>
        <v>-0.72951259045947137</v>
      </c>
    </row>
    <row r="10" spans="1:13" x14ac:dyDescent="0.25">
      <c r="A10" s="36" t="s">
        <v>121</v>
      </c>
      <c r="B10" s="13">
        <f>COUNTIF(Data!$E$2:$E$2797,$A10)</f>
        <v>5</v>
      </c>
      <c r="C10" s="14">
        <f>SUMIF(Data!$E$2:$E$2797,$A10,Data!$B$2:$B$2797)</f>
        <v>70</v>
      </c>
      <c r="D10" s="14">
        <f>SUMIF(Data!$E$2:$E$2797,$A10,Data!$C$2:$C$2797)</f>
        <v>0</v>
      </c>
      <c r="E10" s="14">
        <f>SUMIF(Data!$E$2:$E$2797,$A10,Data!$D$2:$D$2797)</f>
        <v>0</v>
      </c>
      <c r="F10" s="14">
        <f t="shared" si="0"/>
        <v>70</v>
      </c>
      <c r="G10" s="26">
        <f t="shared" si="1"/>
        <v>0</v>
      </c>
      <c r="H10" s="38">
        <f>IF(Clustering_Guide!$C$7=1,LN(1+MAX(C10,0)),C10)</f>
        <v>4.2626798770413155</v>
      </c>
      <c r="I10" s="38">
        <f>IF(Clustering_Guide!$C$7=1,LN(1+MAX(D10,0)),D10)</f>
        <v>0</v>
      </c>
      <c r="J10" s="38">
        <f>IF(Clustering_Guide!$C$7=1,LN(1+MAX(E10,0)),E10)</f>
        <v>0</v>
      </c>
      <c r="K10" s="38">
        <f t="shared" si="2"/>
        <v>0.1598174853036945</v>
      </c>
      <c r="L10" s="38">
        <f t="shared" si="3"/>
        <v>-0.51820107720199382</v>
      </c>
      <c r="M10" s="38">
        <f t="shared" si="4"/>
        <v>-0.72951259045947137</v>
      </c>
    </row>
    <row r="11" spans="1:13" x14ac:dyDescent="0.25">
      <c r="A11" s="36" t="s">
        <v>122</v>
      </c>
      <c r="B11" s="13">
        <f>COUNTIF(Data!$E$2:$E$2797,$A11)</f>
        <v>5</v>
      </c>
      <c r="C11" s="14">
        <f>SUMIF(Data!$E$2:$E$2797,$A11,Data!$B$2:$B$2797)</f>
        <v>38</v>
      </c>
      <c r="D11" s="14">
        <f>SUMIF(Data!$E$2:$E$2797,$A11,Data!$C$2:$C$2797)</f>
        <v>0</v>
      </c>
      <c r="E11" s="14">
        <f>SUMIF(Data!$E$2:$E$2797,$A11,Data!$D$2:$D$2797)</f>
        <v>56</v>
      </c>
      <c r="F11" s="14">
        <f t="shared" si="0"/>
        <v>-18</v>
      </c>
      <c r="G11" s="26">
        <f t="shared" si="1"/>
        <v>0</v>
      </c>
      <c r="H11" s="38">
        <f>IF(Clustering_Guide!$C$7=1,LN(1+MAX(C11,0)),C11)</f>
        <v>3.6635616461296463</v>
      </c>
      <c r="I11" s="38">
        <f>IF(Clustering_Guide!$C$7=1,LN(1+MAX(D11,0)),D11)</f>
        <v>0</v>
      </c>
      <c r="J11" s="38">
        <f>IF(Clustering_Guide!$C$7=1,LN(1+MAX(E11,0)),E11)</f>
        <v>4.0430512678345503</v>
      </c>
      <c r="K11" s="38">
        <f t="shared" si="2"/>
        <v>-2.3255842017133044E-2</v>
      </c>
      <c r="L11" s="38">
        <f t="shared" si="3"/>
        <v>-0.51820107720199382</v>
      </c>
      <c r="M11" s="38">
        <f t="shared" si="4"/>
        <v>0.52261575652146808</v>
      </c>
    </row>
    <row r="12" spans="1:13" x14ac:dyDescent="0.25">
      <c r="A12" s="36" t="s">
        <v>123</v>
      </c>
      <c r="B12" s="13">
        <f>COUNTIF(Data!$E$2:$E$2797,$A12)</f>
        <v>2</v>
      </c>
      <c r="C12" s="14">
        <f>SUMIF(Data!$E$2:$E$2797,$A12,Data!$B$2:$B$2797)</f>
        <v>7</v>
      </c>
      <c r="D12" s="14">
        <f>SUMIF(Data!$E$2:$E$2797,$A12,Data!$C$2:$C$2797)</f>
        <v>0</v>
      </c>
      <c r="E12" s="14">
        <f>SUMIF(Data!$E$2:$E$2797,$A12,Data!$D$2:$D$2797)</f>
        <v>0</v>
      </c>
      <c r="F12" s="14">
        <f t="shared" si="0"/>
        <v>7</v>
      </c>
      <c r="G12" s="26">
        <f t="shared" si="1"/>
        <v>0</v>
      </c>
      <c r="H12" s="38">
        <f>IF(Clustering_Guide!$C$7=1,LN(1+MAX(C12,0)),C12)</f>
        <v>2.0794415416798357</v>
      </c>
      <c r="I12" s="38">
        <f>IF(Clustering_Guide!$C$7=1,LN(1+MAX(D12,0)),D12)</f>
        <v>0</v>
      </c>
      <c r="J12" s="38">
        <f>IF(Clustering_Guide!$C$7=1,LN(1+MAX(E12,0)),E12)</f>
        <v>0</v>
      </c>
      <c r="K12" s="38">
        <f t="shared" si="2"/>
        <v>-0.50731745696104757</v>
      </c>
      <c r="L12" s="38">
        <f t="shared" si="3"/>
        <v>-0.51820107720199382</v>
      </c>
      <c r="M12" s="38">
        <f t="shared" si="4"/>
        <v>-0.72951259045947137</v>
      </c>
    </row>
    <row r="13" spans="1:13" x14ac:dyDescent="0.25">
      <c r="A13" s="36" t="s">
        <v>124</v>
      </c>
      <c r="B13" s="13">
        <f>COUNTIF(Data!$E$2:$E$2797,$A13)</f>
        <v>2</v>
      </c>
      <c r="C13" s="14">
        <f>SUMIF(Data!$E$2:$E$2797,$A13,Data!$B$2:$B$2797)</f>
        <v>6</v>
      </c>
      <c r="D13" s="14">
        <f>SUMIF(Data!$E$2:$E$2797,$A13,Data!$C$2:$C$2797)</f>
        <v>1</v>
      </c>
      <c r="E13" s="14">
        <f>SUMIF(Data!$E$2:$E$2797,$A13,Data!$D$2:$D$2797)</f>
        <v>0</v>
      </c>
      <c r="F13" s="14">
        <f t="shared" si="0"/>
        <v>5</v>
      </c>
      <c r="G13" s="26">
        <f t="shared" si="1"/>
        <v>16.666666666666664</v>
      </c>
      <c r="H13" s="38">
        <f>IF(Clustering_Guide!$C$7=1,LN(1+MAX(C13,0)),C13)</f>
        <v>1.9459101490553132</v>
      </c>
      <c r="I13" s="38">
        <f>IF(Clustering_Guide!$C$7=1,LN(1+MAX(D13,0)),D13)</f>
        <v>0.69314718055994529</v>
      </c>
      <c r="J13" s="38">
        <f>IF(Clustering_Guide!$C$7=1,LN(1+MAX(E13,0)),E13)</f>
        <v>0</v>
      </c>
      <c r="K13" s="38">
        <f t="shared" si="2"/>
        <v>-0.54812081611163788</v>
      </c>
      <c r="L13" s="38">
        <f t="shared" si="3"/>
        <v>-0.19764054641940457</v>
      </c>
      <c r="M13" s="38">
        <f t="shared" si="4"/>
        <v>-0.72951259045947137</v>
      </c>
    </row>
    <row r="14" spans="1:13" x14ac:dyDescent="0.25">
      <c r="A14" s="36" t="s">
        <v>125</v>
      </c>
      <c r="B14" s="13">
        <f>COUNTIF(Data!$E$2:$E$2797,$A14)</f>
        <v>3</v>
      </c>
      <c r="C14" s="14">
        <f>SUMIF(Data!$E$2:$E$2797,$A14,Data!$B$2:$B$2797)</f>
        <v>5</v>
      </c>
      <c r="D14" s="14">
        <f>SUMIF(Data!$E$2:$E$2797,$A14,Data!$C$2:$C$2797)</f>
        <v>0</v>
      </c>
      <c r="E14" s="14">
        <f>SUMIF(Data!$E$2:$E$2797,$A14,Data!$D$2:$D$2797)</f>
        <v>0</v>
      </c>
      <c r="F14" s="14">
        <f t="shared" si="0"/>
        <v>5</v>
      </c>
      <c r="G14" s="26">
        <f t="shared" si="1"/>
        <v>0</v>
      </c>
      <c r="H14" s="38">
        <f>IF(Clustering_Guide!$C$7=1,LN(1+MAX(C14,0)),C14)</f>
        <v>1.791759469228055</v>
      </c>
      <c r="I14" s="38">
        <f>IF(Clustering_Guide!$C$7=1,LN(1+MAX(D14,0)),D14)</f>
        <v>0</v>
      </c>
      <c r="J14" s="38">
        <f>IF(Clustering_Guide!$C$7=1,LN(1+MAX(E14,0)),E14)</f>
        <v>0</v>
      </c>
      <c r="K14" s="38">
        <f t="shared" si="2"/>
        <v>-0.59522483733596365</v>
      </c>
      <c r="L14" s="38">
        <f t="shared" si="3"/>
        <v>-0.51820107720199382</v>
      </c>
      <c r="M14" s="38">
        <f t="shared" si="4"/>
        <v>-0.72951259045947137</v>
      </c>
    </row>
    <row r="15" spans="1:13" x14ac:dyDescent="0.25">
      <c r="A15" s="36" t="s">
        <v>126</v>
      </c>
      <c r="B15" s="13">
        <f>COUNTIF(Data!$E$2:$E$2797,$A15)</f>
        <v>2</v>
      </c>
      <c r="C15" s="14">
        <f>SUMIF(Data!$E$2:$E$2797,$A15,Data!$B$2:$B$2797)</f>
        <v>2</v>
      </c>
      <c r="D15" s="14">
        <f>SUMIF(Data!$E$2:$E$2797,$A15,Data!$C$2:$C$2797)</f>
        <v>0</v>
      </c>
      <c r="E15" s="14">
        <f>SUMIF(Data!$E$2:$E$2797,$A15,Data!$D$2:$D$2797)</f>
        <v>0</v>
      </c>
      <c r="F15" s="14">
        <f t="shared" si="0"/>
        <v>2</v>
      </c>
      <c r="G15" s="26">
        <f t="shared" si="1"/>
        <v>0</v>
      </c>
      <c r="H15" s="38">
        <f>IF(Clustering_Guide!$C$7=1,LN(1+MAX(C15,0)),C15)</f>
        <v>1.0986122886681098</v>
      </c>
      <c r="I15" s="38">
        <f>IF(Clustering_Guide!$C$7=1,LN(1+MAX(D15,0)),D15)</f>
        <v>0</v>
      </c>
      <c r="J15" s="38">
        <f>IF(Clustering_Guide!$C$7=1,LN(1+MAX(E15,0)),E15)</f>
        <v>0</v>
      </c>
      <c r="K15" s="38">
        <f t="shared" si="2"/>
        <v>-0.80703071157060802</v>
      </c>
      <c r="L15" s="38">
        <f t="shared" si="3"/>
        <v>-0.51820107720199382</v>
      </c>
      <c r="M15" s="38">
        <f t="shared" si="4"/>
        <v>-0.72951259045947137</v>
      </c>
    </row>
    <row r="16" spans="1:13" x14ac:dyDescent="0.25">
      <c r="A16" s="36" t="s">
        <v>127</v>
      </c>
      <c r="B16" s="13">
        <f>COUNTIF(Data!$E$2:$E$2797,$A16)</f>
        <v>1</v>
      </c>
      <c r="C16" s="14">
        <f>SUMIF(Data!$E$2:$E$2797,$A16,Data!$B$2:$B$2797)</f>
        <v>2</v>
      </c>
      <c r="D16" s="14">
        <f>SUMIF(Data!$E$2:$E$2797,$A16,Data!$C$2:$C$2797)</f>
        <v>0</v>
      </c>
      <c r="E16" s="14">
        <f>SUMIF(Data!$E$2:$E$2797,$A16,Data!$D$2:$D$2797)</f>
        <v>25</v>
      </c>
      <c r="F16" s="14">
        <f t="shared" si="0"/>
        <v>-23</v>
      </c>
      <c r="G16" s="26">
        <f t="shared" si="1"/>
        <v>0</v>
      </c>
      <c r="H16" s="38">
        <f>IF(Clustering_Guide!$C$7=1,LN(1+MAX(C16,0)),C16)</f>
        <v>1.0986122886681098</v>
      </c>
      <c r="I16" s="38">
        <f>IF(Clustering_Guide!$C$7=1,LN(1+MAX(D16,0)),D16)</f>
        <v>0</v>
      </c>
      <c r="J16" s="38">
        <f>IF(Clustering_Guide!$C$7=1,LN(1+MAX(E16,0)),E16)</f>
        <v>3.2580965380214821</v>
      </c>
      <c r="K16" s="38">
        <f t="shared" si="2"/>
        <v>-0.80703071157060802</v>
      </c>
      <c r="L16" s="38">
        <f t="shared" si="3"/>
        <v>-0.51820107720199382</v>
      </c>
      <c r="M16" s="38">
        <f t="shared" si="4"/>
        <v>0.27951617573823279</v>
      </c>
    </row>
    <row r="17" spans="1:13" x14ac:dyDescent="0.25">
      <c r="A17" s="36" t="s">
        <v>128</v>
      </c>
      <c r="B17" s="13">
        <f>COUNTIF(Data!$E$2:$E$2797,$A17)</f>
        <v>2</v>
      </c>
      <c r="C17" s="14">
        <f>SUMIF(Data!$E$2:$E$2797,$A17,Data!$B$2:$B$2797)</f>
        <v>1</v>
      </c>
      <c r="D17" s="14">
        <f>SUMIF(Data!$E$2:$E$2797,$A17,Data!$C$2:$C$2797)</f>
        <v>0</v>
      </c>
      <c r="E17" s="14">
        <f>SUMIF(Data!$E$2:$E$2797,$A17,Data!$D$2:$D$2797)</f>
        <v>1</v>
      </c>
      <c r="F17" s="14">
        <f t="shared" si="0"/>
        <v>0</v>
      </c>
      <c r="G17" s="26">
        <f t="shared" si="1"/>
        <v>0</v>
      </c>
      <c r="H17" s="38">
        <f>IF(Clustering_Guide!$C$7=1,LN(1+MAX(C17,0)),C17)</f>
        <v>0.69314718055994529</v>
      </c>
      <c r="I17" s="38">
        <f>IF(Clustering_Guide!$C$7=1,LN(1+MAX(D17,0)),D17)</f>
        <v>0</v>
      </c>
      <c r="J17" s="38">
        <f>IF(Clustering_Guide!$C$7=1,LN(1+MAX(E17,0)),E17)</f>
        <v>0.69314718055994529</v>
      </c>
      <c r="K17" s="38">
        <f t="shared" si="2"/>
        <v>-0.93092920543033619</v>
      </c>
      <c r="L17" s="38">
        <f t="shared" si="3"/>
        <v>-0.51820107720199382</v>
      </c>
      <c r="M17" s="38">
        <f t="shared" si="4"/>
        <v>-0.51484570252909068</v>
      </c>
    </row>
    <row r="18" spans="1:13" x14ac:dyDescent="0.25">
      <c r="A18" s="36" t="s">
        <v>129</v>
      </c>
      <c r="B18" s="13">
        <f>COUNTIF(Data!$E$2:$E$2797,$A18)</f>
        <v>1</v>
      </c>
      <c r="C18" s="14">
        <f>SUMIF(Data!$E$2:$E$2797,$A18,Data!$B$2:$B$2797)</f>
        <v>1</v>
      </c>
      <c r="D18" s="14">
        <f>SUMIF(Data!$E$2:$E$2797,$A18,Data!$C$2:$C$2797)</f>
        <v>0</v>
      </c>
      <c r="E18" s="14">
        <f>SUMIF(Data!$E$2:$E$2797,$A18,Data!$D$2:$D$2797)</f>
        <v>0</v>
      </c>
      <c r="F18" s="14">
        <f t="shared" si="0"/>
        <v>1</v>
      </c>
      <c r="G18" s="26">
        <f t="shared" si="1"/>
        <v>0</v>
      </c>
      <c r="H18" s="38">
        <f>IF(Clustering_Guide!$C$7=1,LN(1+MAX(C18,0)),C18)</f>
        <v>0.69314718055994529</v>
      </c>
      <c r="I18" s="38">
        <f>IF(Clustering_Guide!$C$7=1,LN(1+MAX(D18,0)),D18)</f>
        <v>0</v>
      </c>
      <c r="J18" s="38">
        <f>IF(Clustering_Guide!$C$7=1,LN(1+MAX(E18,0)),E18)</f>
        <v>0</v>
      </c>
      <c r="K18" s="38">
        <f t="shared" si="2"/>
        <v>-0.93092920543033619</v>
      </c>
      <c r="L18" s="38">
        <f t="shared" si="3"/>
        <v>-0.51820107720199382</v>
      </c>
      <c r="M18" s="38">
        <f t="shared" si="4"/>
        <v>-0.72951259045947137</v>
      </c>
    </row>
    <row r="19" spans="1:13" x14ac:dyDescent="0.25">
      <c r="A19" s="36" t="s">
        <v>130</v>
      </c>
      <c r="B19" s="13">
        <f>COUNTIF(Data!$E$2:$E$2797,$A19)</f>
        <v>1</v>
      </c>
      <c r="C19" s="14">
        <f>SUMIF(Data!$E$2:$E$2797,$A19,Data!$B$2:$B$2797)</f>
        <v>1</v>
      </c>
      <c r="D19" s="14">
        <f>SUMIF(Data!$E$2:$E$2797,$A19,Data!$C$2:$C$2797)</f>
        <v>0</v>
      </c>
      <c r="E19" s="14">
        <f>SUMIF(Data!$E$2:$E$2797,$A19,Data!$D$2:$D$2797)</f>
        <v>0</v>
      </c>
      <c r="F19" s="14">
        <f t="shared" si="0"/>
        <v>1</v>
      </c>
      <c r="G19" s="26">
        <f t="shared" si="1"/>
        <v>0</v>
      </c>
      <c r="H19" s="38">
        <f>IF(Clustering_Guide!$C$7=1,LN(1+MAX(C19,0)),C19)</f>
        <v>0.69314718055994529</v>
      </c>
      <c r="I19" s="38">
        <f>IF(Clustering_Guide!$C$7=1,LN(1+MAX(D19,0)),D19)</f>
        <v>0</v>
      </c>
      <c r="J19" s="38">
        <f>IF(Clustering_Guide!$C$7=1,LN(1+MAX(E19,0)),E19)</f>
        <v>0</v>
      </c>
      <c r="K19" s="38">
        <f t="shared" si="2"/>
        <v>-0.93092920543033619</v>
      </c>
      <c r="L19" s="38">
        <f t="shared" si="3"/>
        <v>-0.51820107720199382</v>
      </c>
      <c r="M19" s="38">
        <f t="shared" si="4"/>
        <v>-0.72951259045947137</v>
      </c>
    </row>
    <row r="20" spans="1:13" x14ac:dyDescent="0.25">
      <c r="A20" s="20" t="s">
        <v>53</v>
      </c>
      <c r="B20" s="20"/>
      <c r="C20" s="22">
        <f>SUM(C5:C19)</f>
        <v>83985</v>
      </c>
      <c r="D20" s="22">
        <f>SUM(D5:D19)</f>
        <v>1728</v>
      </c>
      <c r="E20" s="22">
        <f>SUM(E5:E19)</f>
        <v>24753</v>
      </c>
      <c r="F20" s="22">
        <f>SUM(F5:F19)</f>
        <v>57504</v>
      </c>
      <c r="G20" s="27">
        <f t="shared" si="1"/>
        <v>2.0575102696910164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48235"/>
    <pageSetUpPr fitToPage="1"/>
  </sheetPr>
  <dimension ref="A1:BJ37"/>
  <sheetViews>
    <sheetView showGridLines="0" zoomScaleNormal="100" workbookViewId="0">
      <pane xSplit="1" ySplit="22" topLeftCell="B197" activePane="bottomRight" state="frozen"/>
      <selection pane="topRight" activeCell="B1" sqref="B1"/>
      <selection pane="bottomLeft" activeCell="A23" sqref="A23"/>
      <selection pane="bottomRight"/>
    </sheetView>
  </sheetViews>
  <sheetFormatPr defaultColWidth="8.7109375" defaultRowHeight="15" x14ac:dyDescent="0.25"/>
  <cols>
    <col min="1" max="1" width="28" customWidth="1"/>
    <col min="2" max="4" width="11" customWidth="1"/>
    <col min="5" max="5" width="10" customWidth="1"/>
    <col min="6" max="6" width="14" customWidth="1"/>
    <col min="7" max="7" width="16" customWidth="1"/>
    <col min="8" max="10" width="11" customWidth="1"/>
    <col min="11" max="11" width="3" customWidth="1"/>
    <col min="12" max="14" width="10" customWidth="1"/>
    <col min="15" max="21" width="11" customWidth="1"/>
    <col min="23" max="23" width="13" customWidth="1"/>
    <col min="24" max="26" width="10" customWidth="1"/>
    <col min="27" max="27" width="9" customWidth="1"/>
    <col min="28" max="28" width="2" customWidth="1"/>
    <col min="29" max="31" width="10" customWidth="1"/>
    <col min="32" max="32" width="9" customWidth="1"/>
    <col min="33" max="33" width="2" customWidth="1"/>
    <col min="34" max="36" width="10" customWidth="1"/>
    <col min="37" max="37" width="9" customWidth="1"/>
    <col min="38" max="38" width="2" customWidth="1"/>
    <col min="39" max="41" width="10" customWidth="1"/>
    <col min="42" max="42" width="9" customWidth="1"/>
    <col min="43" max="43" width="2" customWidth="1"/>
    <col min="44" max="46" width="10" customWidth="1"/>
    <col min="47" max="47" width="9" customWidth="1"/>
    <col min="48" max="48" width="2" customWidth="1"/>
    <col min="49" max="51" width="10" customWidth="1"/>
    <col min="52" max="52" width="9" customWidth="1"/>
    <col min="53" max="53" width="2" customWidth="1"/>
    <col min="54" max="56" width="10" customWidth="1"/>
    <col min="57" max="57" width="9" customWidth="1"/>
    <col min="58" max="58" width="2" customWidth="1"/>
    <col min="59" max="61" width="10" customWidth="1"/>
    <col min="62" max="62" width="9" customWidth="1"/>
    <col min="63" max="63" width="2" customWidth="1"/>
  </cols>
  <sheetData>
    <row r="1" spans="1:61" ht="20.25" x14ac:dyDescent="0.3">
      <c r="A1" s="8" t="s">
        <v>531</v>
      </c>
    </row>
    <row r="2" spans="1:61" x14ac:dyDescent="0.25">
      <c r="A2" s="9" t="s">
        <v>532</v>
      </c>
    </row>
    <row r="4" spans="1:61" ht="31.5" customHeight="1" x14ac:dyDescent="0.25">
      <c r="A4" s="54" t="s">
        <v>450</v>
      </c>
      <c r="B4" s="55"/>
      <c r="L4" s="11" t="s">
        <v>451</v>
      </c>
      <c r="M4" s="11" t="s">
        <v>452</v>
      </c>
      <c r="N4" s="11" t="s">
        <v>453</v>
      </c>
      <c r="O4" s="11" t="s">
        <v>156</v>
      </c>
      <c r="P4" s="11" t="s">
        <v>158</v>
      </c>
      <c r="Q4" s="11" t="s">
        <v>454</v>
      </c>
      <c r="R4" s="11" t="s">
        <v>334</v>
      </c>
      <c r="S4" s="11" t="s">
        <v>66</v>
      </c>
    </row>
    <row r="5" spans="1:61" x14ac:dyDescent="0.25">
      <c r="A5" s="40" t="s">
        <v>455</v>
      </c>
      <c r="B5" s="16">
        <v>3</v>
      </c>
      <c r="L5" s="56">
        <v>1</v>
      </c>
      <c r="M5" s="36" t="str">
        <f>CHOOSE(RANK(O5,$O$5:$O$7,0),"High impact","Medium impact","Low impact")</f>
        <v>High impact</v>
      </c>
      <c r="N5" s="16">
        <f>COUNTIF($E$23:$E$37,L5)</f>
        <v>1</v>
      </c>
      <c r="O5" s="17">
        <f>IFERROR(AVERAGEIF($E$23:$E$37,L5,Travel_Data!$C$5:$C$19),0)</f>
        <v>78118</v>
      </c>
      <c r="P5" s="17">
        <f>IFERROR(AVERAGEIF($E$23:$E$37,L5,Travel_Data!$D$5:$D$19),0)</f>
        <v>1627</v>
      </c>
      <c r="Q5" s="17">
        <f>IFERROR(AVERAGEIF($E$23:$E$37,L5,Travel_Data!$E$5:$E$19),0)</f>
        <v>23588</v>
      </c>
      <c r="R5" s="26">
        <f>IFERROR(SUMIF($E$23:$E$37,L5,Travel_Data!$D$5:$D$19)/SUMIF($E$23:$E$37,L5,Travel_Data!$C$5:$C$19)*100,0)</f>
        <v>2.0827466140966231</v>
      </c>
      <c r="S5" s="15">
        <f>SUMIF($E$23:$E$37,L5,Travel_Data!$C$5:$C$19)/SUM(Travel_Data!$C$5:$C$19)</f>
        <v>0.93014228731321069</v>
      </c>
    </row>
    <row r="6" spans="1:61" x14ac:dyDescent="0.25">
      <c r="A6" s="40" t="s">
        <v>456</v>
      </c>
      <c r="B6" s="16">
        <f>Clustering_Guide!$C$7</f>
        <v>1</v>
      </c>
      <c r="L6" s="56">
        <v>2</v>
      </c>
      <c r="M6" s="36" t="str">
        <f>CHOOSE(RANK(O6,$O$5:$O$7,0),"High impact","Medium impact","Low impact")</f>
        <v>Low impact</v>
      </c>
      <c r="N6" s="16">
        <f>COUNTIF($E$23:$E$37,L6)</f>
        <v>11</v>
      </c>
      <c r="O6" s="17">
        <f>IFERROR(AVERAGEIF($E$23:$E$37,L6,Travel_Data!$C$5:$C$19),0)</f>
        <v>21.818181818181817</v>
      </c>
      <c r="P6" s="17">
        <f>IFERROR(AVERAGEIF($E$23:$E$37,L6,Travel_Data!$D$5:$D$19),0)</f>
        <v>9.0909090909090912E-2</v>
      </c>
      <c r="Q6" s="17">
        <f>IFERROR(AVERAGEIF($E$23:$E$37,L6,Travel_Data!$E$5:$E$19),0)</f>
        <v>7.4545454545454541</v>
      </c>
      <c r="R6" s="26">
        <f>IFERROR(SUMIF($E$23:$E$37,L6,Travel_Data!$D$5:$D$19)/SUMIF($E$23:$E$37,L6,Travel_Data!$C$5:$C$19)*100,0)</f>
        <v>0.41666666666666669</v>
      </c>
      <c r="S6" s="15">
        <f>SUMIF($E$23:$E$37,L6,Travel_Data!$C$5:$C$19)/SUM(Travel_Data!$C$5:$C$19)</f>
        <v>2.8576531523486336E-3</v>
      </c>
    </row>
    <row r="7" spans="1:61" x14ac:dyDescent="0.25">
      <c r="A7" s="54" t="s">
        <v>457</v>
      </c>
      <c r="B7" s="55"/>
      <c r="L7" s="56">
        <v>3</v>
      </c>
      <c r="M7" s="36" t="str">
        <f>CHOOSE(RANK(O7,$O$5:$O$7,0),"High impact","Medium impact","Low impact")</f>
        <v>Medium impact</v>
      </c>
      <c r="N7" s="16">
        <f>COUNTIF($E$23:$E$37,L7)</f>
        <v>3</v>
      </c>
      <c r="O7" s="17">
        <f>IFERROR(AVERAGEIF($E$23:$E$37,L7,Travel_Data!$C$5:$C$19),0)</f>
        <v>1875.6666666666667</v>
      </c>
      <c r="P7" s="17">
        <f>IFERROR(AVERAGEIF($E$23:$E$37,L7,Travel_Data!$D$5:$D$19),0)</f>
        <v>33.333333333333336</v>
      </c>
      <c r="Q7" s="17">
        <f>IFERROR(AVERAGEIF($E$23:$E$37,L7,Travel_Data!$E$5:$E$19),0)</f>
        <v>361</v>
      </c>
      <c r="R7" s="26">
        <f>IFERROR(SUMIF($E$23:$E$37,L7,Travel_Data!$D$5:$D$19)/SUMIF($E$23:$E$37,L7,Travel_Data!$C$5:$C$19)*100,0)</f>
        <v>1.7771459036786921</v>
      </c>
      <c r="S7" s="15">
        <f>SUMIF($E$23:$E$37,L7,Travel_Data!$C$5:$C$19)/SUM(Travel_Data!$C$5:$C$19)</f>
        <v>6.7000059534440673E-2</v>
      </c>
    </row>
    <row r="8" spans="1:61" x14ac:dyDescent="0.25">
      <c r="A8" s="40" t="s">
        <v>458</v>
      </c>
      <c r="B8" s="32" t="s">
        <v>112</v>
      </c>
      <c r="L8" s="20" t="s">
        <v>53</v>
      </c>
      <c r="M8" s="20"/>
      <c r="N8" s="21">
        <f>SUM(N5:N7)</f>
        <v>15</v>
      </c>
      <c r="O8" s="20"/>
      <c r="P8" s="20"/>
      <c r="Q8" s="20"/>
      <c r="R8" s="20"/>
      <c r="S8" s="25">
        <f>SUM(S5:S7)</f>
        <v>1</v>
      </c>
    </row>
    <row r="9" spans="1:61" x14ac:dyDescent="0.25">
      <c r="A9" s="40" t="s">
        <v>459</v>
      </c>
      <c r="B9" s="32" t="s">
        <v>129</v>
      </c>
    </row>
    <row r="10" spans="1:61" x14ac:dyDescent="0.25">
      <c r="A10" s="40" t="s">
        <v>460</v>
      </c>
      <c r="B10" s="32" t="s">
        <v>118</v>
      </c>
    </row>
    <row r="11" spans="1:61" x14ac:dyDescent="0.25">
      <c r="A11" s="46" t="s">
        <v>461</v>
      </c>
    </row>
    <row r="15" spans="1:61" x14ac:dyDescent="0.25">
      <c r="L15" s="54" t="s">
        <v>462</v>
      </c>
      <c r="M15" s="55"/>
      <c r="N15" s="55"/>
      <c r="X15" s="54" t="s">
        <v>463</v>
      </c>
      <c r="Y15" s="55"/>
      <c r="Z15" s="55"/>
      <c r="AC15" s="54" t="s">
        <v>464</v>
      </c>
      <c r="AD15" s="55"/>
      <c r="AE15" s="55"/>
      <c r="AH15" s="54" t="s">
        <v>465</v>
      </c>
      <c r="AI15" s="55"/>
      <c r="AJ15" s="55"/>
      <c r="AM15" s="54" t="s">
        <v>466</v>
      </c>
      <c r="AN15" s="55"/>
      <c r="AO15" s="55"/>
      <c r="AR15" s="54" t="s">
        <v>467</v>
      </c>
      <c r="AS15" s="55"/>
      <c r="AT15" s="55"/>
      <c r="AW15" s="54" t="s">
        <v>468</v>
      </c>
      <c r="AX15" s="55"/>
      <c r="AY15" s="55"/>
      <c r="BB15" s="54" t="s">
        <v>469</v>
      </c>
      <c r="BC15" s="55"/>
      <c r="BD15" s="55"/>
      <c r="BG15" s="54" t="s">
        <v>470</v>
      </c>
      <c r="BH15" s="55"/>
      <c r="BI15" s="55"/>
    </row>
    <row r="16" spans="1:61" x14ac:dyDescent="0.25">
      <c r="K16" s="40" t="s">
        <v>445</v>
      </c>
      <c r="L16" s="18">
        <f>IFERROR(AVERAGEIF($E$23:$E$37,1,$B$23:$B$37),0)</f>
        <v>2.2998275218923658</v>
      </c>
      <c r="M16" s="18">
        <f>IFERROR(AVERAGEIF($E$23:$E$37,2,$B$23:$B$37),0)</f>
        <v>-0.51208733940608053</v>
      </c>
      <c r="N16" s="18">
        <f>IFERROR(AVERAGEIF($E$23:$E$37,3,$B$23:$B$37),0)</f>
        <v>1.1110444038581735</v>
      </c>
      <c r="W16" s="40" t="s">
        <v>445</v>
      </c>
      <c r="X16" s="18">
        <f>INDEX($B$23:$B$37,MATCH($B$8,$A$23:$A$37,0))</f>
        <v>2.2998275218923658</v>
      </c>
      <c r="Y16" s="18">
        <f>INDEX($B$23:$B$37,MATCH($B$9,$A$23:$A$37,0))</f>
        <v>-0.93092920543033619</v>
      </c>
      <c r="Z16" s="18">
        <f>INDEX($B$23:$B$37,MATCH($B$10,$A$23:$A$37,0))</f>
        <v>0.98414731571385683</v>
      </c>
      <c r="AC16" s="18">
        <f>IFERROR(AVERAGEIF($AA$23:$AA$37,1,$B$23:$B$37),X16)</f>
        <v>2.2998275218923658</v>
      </c>
      <c r="AD16" s="18">
        <f>IFERROR(AVERAGEIF($AA$23:$AA$37,2,$B$23:$B$37),Y16)</f>
        <v>-0.51208733940608053</v>
      </c>
      <c r="AE16" s="18">
        <f>IFERROR(AVERAGEIF($AA$23:$AA$37,3,$B$23:$B$37),Z16)</f>
        <v>1.1110444038581735</v>
      </c>
      <c r="AH16" s="18">
        <f>IFERROR(AVERAGEIF($AF$23:$AF$37,1,$B$23:$B$37),AC16)</f>
        <v>2.2998275218923658</v>
      </c>
      <c r="AI16" s="18">
        <f>IFERROR(AVERAGEIF($AF$23:$AF$37,2,$B$23:$B$37),AD16)</f>
        <v>-0.51208733940608053</v>
      </c>
      <c r="AJ16" s="18">
        <f>IFERROR(AVERAGEIF($AF$23:$AF$37,3,$B$23:$B$37),AE16)</f>
        <v>1.1110444038581735</v>
      </c>
      <c r="AM16" s="18">
        <f>IFERROR(AVERAGEIF($AK$23:$AK$37,1,$B$23:$B$37),AH16)</f>
        <v>2.2998275218923658</v>
      </c>
      <c r="AN16" s="18">
        <f>IFERROR(AVERAGEIF($AK$23:$AK$37,2,$B$23:$B$37),AI16)</f>
        <v>-0.51208733940608053</v>
      </c>
      <c r="AO16" s="18">
        <f>IFERROR(AVERAGEIF($AK$23:$AK$37,3,$B$23:$B$37),AJ16)</f>
        <v>1.1110444038581735</v>
      </c>
      <c r="AR16" s="18">
        <f>IFERROR(AVERAGEIF($AP$23:$AP$37,1,$B$23:$B$37),AM16)</f>
        <v>2.2998275218923658</v>
      </c>
      <c r="AS16" s="18">
        <f>IFERROR(AVERAGEIF($AP$23:$AP$37,2,$B$23:$B$37),AN16)</f>
        <v>-0.51208733940608053</v>
      </c>
      <c r="AT16" s="18">
        <f>IFERROR(AVERAGEIF($AP$23:$AP$37,3,$B$23:$B$37),AO16)</f>
        <v>1.1110444038581735</v>
      </c>
      <c r="AW16" s="18">
        <f>IFERROR(AVERAGEIF($AU$23:$AU$37,1,$B$23:$B$37),AR16)</f>
        <v>2.2998275218923658</v>
      </c>
      <c r="AX16" s="18">
        <f>IFERROR(AVERAGEIF($AU$23:$AU$37,2,$B$23:$B$37),AS16)</f>
        <v>-0.51208733940608053</v>
      </c>
      <c r="AY16" s="18">
        <f>IFERROR(AVERAGEIF($AU$23:$AU$37,3,$B$23:$B$37),AT16)</f>
        <v>1.1110444038581735</v>
      </c>
      <c r="BB16" s="18">
        <f>IFERROR(AVERAGEIF($AZ$23:$AZ$37,1,$B$23:$B$37),AW16)</f>
        <v>2.2998275218923658</v>
      </c>
      <c r="BC16" s="18">
        <f>IFERROR(AVERAGEIF($AZ$23:$AZ$37,2,$B$23:$B$37),AX16)</f>
        <v>-0.51208733940608053</v>
      </c>
      <c r="BD16" s="18">
        <f>IFERROR(AVERAGEIF($AZ$23:$AZ$37,3,$B$23:$B$37),AY16)</f>
        <v>1.1110444038581735</v>
      </c>
      <c r="BG16" s="18">
        <f>IFERROR(AVERAGEIF($BE$23:$BE$37,1,$B$23:$B$37),BB16)</f>
        <v>2.2998275218923658</v>
      </c>
      <c r="BH16" s="18">
        <f>IFERROR(AVERAGEIF($BE$23:$BE$37,2,$B$23:$B$37),BC16)</f>
        <v>-0.51208733940608053</v>
      </c>
      <c r="BI16" s="18">
        <f>IFERROR(AVERAGEIF($BE$23:$BE$37,3,$B$23:$B$37),BD16)</f>
        <v>1.1110444038581735</v>
      </c>
    </row>
    <row r="17" spans="1:62" x14ac:dyDescent="0.25">
      <c r="K17" s="40" t="s">
        <v>446</v>
      </c>
      <c r="L17" s="18">
        <f>IFERROR(AVERAGEIF($E$23:$E$37,1,$C$23:$C$37),0)</f>
        <v>2.9018223562127909</v>
      </c>
      <c r="M17" s="18">
        <f>IFERROR(AVERAGEIF($E$23:$E$37,2,$C$23:$C$37),0)</f>
        <v>-0.48905921076721287</v>
      </c>
      <c r="N17" s="18">
        <f>IFERROR(AVERAGEIF($E$23:$E$37,3,$C$23:$C$37),0)</f>
        <v>0.82594298740885075</v>
      </c>
      <c r="W17" s="40" t="s">
        <v>446</v>
      </c>
      <c r="X17" s="18">
        <f>INDEX($C$23:$C$37,MATCH($B$8,$A$23:$A$37,0))</f>
        <v>2.9018223562127909</v>
      </c>
      <c r="Y17" s="18">
        <f>INDEX($C$23:$C$37,MATCH($B$9,$A$23:$A$37,0))</f>
        <v>-0.51820107720199382</v>
      </c>
      <c r="Z17" s="18">
        <f>INDEX($C$23:$C$37,MATCH($B$10,$A$23:$A$37,0))</f>
        <v>0.63099640486485853</v>
      </c>
      <c r="AC17" s="18">
        <f>IFERROR(AVERAGEIF($AA$23:$AA$37,1,$C$23:$C$37),X17)</f>
        <v>2.9018223562127909</v>
      </c>
      <c r="AD17" s="18">
        <f>IFERROR(AVERAGEIF($AA$23:$AA$37,2,$C$23:$C$37),Y17)</f>
        <v>-0.48905921076721287</v>
      </c>
      <c r="AE17" s="18">
        <f>IFERROR(AVERAGEIF($AA$23:$AA$37,3,$C$23:$C$37),Z17)</f>
        <v>0.82594298740885075</v>
      </c>
      <c r="AH17" s="18">
        <f>IFERROR(AVERAGEIF($AF$23:$AF$37,1,$C$23:$C$37),AC17)</f>
        <v>2.9018223562127909</v>
      </c>
      <c r="AI17" s="18">
        <f>IFERROR(AVERAGEIF($AF$23:$AF$37,2,$C$23:$C$37),AD17)</f>
        <v>-0.48905921076721287</v>
      </c>
      <c r="AJ17" s="18">
        <f>IFERROR(AVERAGEIF($AF$23:$AF$37,3,$C$23:$C$37),AE17)</f>
        <v>0.82594298740885075</v>
      </c>
      <c r="AM17" s="18">
        <f>IFERROR(AVERAGEIF($AK$23:$AK$37,1,$C$23:$C$37),AH17)</f>
        <v>2.9018223562127909</v>
      </c>
      <c r="AN17" s="18">
        <f>IFERROR(AVERAGEIF($AK$23:$AK$37,2,$C$23:$C$37),AI17)</f>
        <v>-0.48905921076721287</v>
      </c>
      <c r="AO17" s="18">
        <f>IFERROR(AVERAGEIF($AK$23:$AK$37,3,$C$23:$C$37),AJ17)</f>
        <v>0.82594298740885075</v>
      </c>
      <c r="AR17" s="18">
        <f>IFERROR(AVERAGEIF($AP$23:$AP$37,1,$C$23:$C$37),AM17)</f>
        <v>2.9018223562127909</v>
      </c>
      <c r="AS17" s="18">
        <f>IFERROR(AVERAGEIF($AP$23:$AP$37,2,$C$23:$C$37),AN17)</f>
        <v>-0.48905921076721287</v>
      </c>
      <c r="AT17" s="18">
        <f>IFERROR(AVERAGEIF($AP$23:$AP$37,3,$C$23:$C$37),AO17)</f>
        <v>0.82594298740885075</v>
      </c>
      <c r="AW17" s="18">
        <f>IFERROR(AVERAGEIF($AU$23:$AU$37,1,$C$23:$C$37),AR17)</f>
        <v>2.9018223562127909</v>
      </c>
      <c r="AX17" s="18">
        <f>IFERROR(AVERAGEIF($AU$23:$AU$37,2,$C$23:$C$37),AS17)</f>
        <v>-0.48905921076721287</v>
      </c>
      <c r="AY17" s="18">
        <f>IFERROR(AVERAGEIF($AU$23:$AU$37,3,$C$23:$C$37),AT17)</f>
        <v>0.82594298740885075</v>
      </c>
      <c r="BB17" s="18">
        <f>IFERROR(AVERAGEIF($AZ$23:$AZ$37,1,$C$23:$C$37),AW17)</f>
        <v>2.9018223562127909</v>
      </c>
      <c r="BC17" s="18">
        <f>IFERROR(AVERAGEIF($AZ$23:$AZ$37,2,$C$23:$C$37),AX17)</f>
        <v>-0.48905921076721287</v>
      </c>
      <c r="BD17" s="18">
        <f>IFERROR(AVERAGEIF($AZ$23:$AZ$37,3,$C$23:$C$37),AY17)</f>
        <v>0.82594298740885075</v>
      </c>
      <c r="BG17" s="18">
        <f>IFERROR(AVERAGEIF($BE$23:$BE$37,1,$C$23:$C$37),BB17)</f>
        <v>2.9018223562127909</v>
      </c>
      <c r="BH17" s="18">
        <f>IFERROR(AVERAGEIF($BE$23:$BE$37,2,$C$23:$C$37),BC17)</f>
        <v>-0.48905921076721287</v>
      </c>
      <c r="BI17" s="18">
        <f>IFERROR(AVERAGEIF($BE$23:$BE$37,3,$C$23:$C$37),BD17)</f>
        <v>0.82594298740885075</v>
      </c>
    </row>
    <row r="18" spans="1:62" x14ac:dyDescent="0.25">
      <c r="K18" s="40" t="s">
        <v>447</v>
      </c>
      <c r="L18" s="18">
        <f>IFERROR(AVERAGEIF($E$23:$E$37,1,$D$23:$D$37),0)</f>
        <v>2.3887014089163308</v>
      </c>
      <c r="M18" s="18">
        <f>IFERROR(AVERAGEIF($E$23:$E$37,2,$D$23:$D$37),0)</f>
        <v>-0.50443768126774191</v>
      </c>
      <c r="N18" s="18">
        <f>IFERROR(AVERAGEIF($E$23:$E$37,3,$D$23:$D$37),0)</f>
        <v>1.0533710283429436</v>
      </c>
      <c r="W18" s="40" t="s">
        <v>447</v>
      </c>
      <c r="X18" s="18">
        <f>INDEX($D$23:$D$37,MATCH($B$8,$A$23:$A$37,0))</f>
        <v>2.3887014089163308</v>
      </c>
      <c r="Y18" s="18">
        <f>INDEX($D$23:$D$37,MATCH($B$9,$A$23:$A$37,0))</f>
        <v>-0.72951259045947137</v>
      </c>
      <c r="Z18" s="18">
        <f>INDEX($D$23:$D$37,MATCH($B$10,$A$23:$A$37,0))</f>
        <v>1.1963807441990084</v>
      </c>
      <c r="AC18" s="18">
        <f>IFERROR(AVERAGEIF($AA$23:$AA$37,1,$D$23:$D$37),X18)</f>
        <v>2.3887014089163308</v>
      </c>
      <c r="AD18" s="18">
        <f>IFERROR(AVERAGEIF($AA$23:$AA$37,2,$D$23:$D$37),Y18)</f>
        <v>-0.50443768126774191</v>
      </c>
      <c r="AE18" s="18">
        <f>IFERROR(AVERAGEIF($AA$23:$AA$37,3,$D$23:$D$37),Z18)</f>
        <v>1.0533710283429436</v>
      </c>
      <c r="AH18" s="18">
        <f>IFERROR(AVERAGEIF($AF$23:$AF$37,1,$D$23:$D$37),AC18)</f>
        <v>2.3887014089163308</v>
      </c>
      <c r="AI18" s="18">
        <f>IFERROR(AVERAGEIF($AF$23:$AF$37,2,$D$23:$D$37),AD18)</f>
        <v>-0.50443768126774191</v>
      </c>
      <c r="AJ18" s="18">
        <f>IFERROR(AVERAGEIF($AF$23:$AF$37,3,$D$23:$D$37),AE18)</f>
        <v>1.0533710283429436</v>
      </c>
      <c r="AM18" s="18">
        <f>IFERROR(AVERAGEIF($AK$23:$AK$37,1,$D$23:$D$37),AH18)</f>
        <v>2.3887014089163308</v>
      </c>
      <c r="AN18" s="18">
        <f>IFERROR(AVERAGEIF($AK$23:$AK$37,2,$D$23:$D$37),AI18)</f>
        <v>-0.50443768126774191</v>
      </c>
      <c r="AO18" s="18">
        <f>IFERROR(AVERAGEIF($AK$23:$AK$37,3,$D$23:$D$37),AJ18)</f>
        <v>1.0533710283429436</v>
      </c>
      <c r="AR18" s="18">
        <f>IFERROR(AVERAGEIF($AP$23:$AP$37,1,$D$23:$D$37),AM18)</f>
        <v>2.3887014089163308</v>
      </c>
      <c r="AS18" s="18">
        <f>IFERROR(AVERAGEIF($AP$23:$AP$37,2,$D$23:$D$37),AN18)</f>
        <v>-0.50443768126774191</v>
      </c>
      <c r="AT18" s="18">
        <f>IFERROR(AVERAGEIF($AP$23:$AP$37,3,$D$23:$D$37),AO18)</f>
        <v>1.0533710283429436</v>
      </c>
      <c r="AW18" s="18">
        <f>IFERROR(AVERAGEIF($AU$23:$AU$37,1,$D$23:$D$37),AR18)</f>
        <v>2.3887014089163308</v>
      </c>
      <c r="AX18" s="18">
        <f>IFERROR(AVERAGEIF($AU$23:$AU$37,2,$D$23:$D$37),AS18)</f>
        <v>-0.50443768126774191</v>
      </c>
      <c r="AY18" s="18">
        <f>IFERROR(AVERAGEIF($AU$23:$AU$37,3,$D$23:$D$37),AT18)</f>
        <v>1.0533710283429436</v>
      </c>
      <c r="BB18" s="18">
        <f>IFERROR(AVERAGEIF($AZ$23:$AZ$37,1,$D$23:$D$37),AW18)</f>
        <v>2.3887014089163308</v>
      </c>
      <c r="BC18" s="18">
        <f>IFERROR(AVERAGEIF($AZ$23:$AZ$37,2,$D$23:$D$37),AX18)</f>
        <v>-0.50443768126774191</v>
      </c>
      <c r="BD18" s="18">
        <f>IFERROR(AVERAGEIF($AZ$23:$AZ$37,3,$D$23:$D$37),AY18)</f>
        <v>1.0533710283429436</v>
      </c>
      <c r="BG18" s="18">
        <f>IFERROR(AVERAGEIF($BE$23:$BE$37,1,$D$23:$D$37),BB18)</f>
        <v>2.3887014089163308</v>
      </c>
      <c r="BH18" s="18">
        <f>IFERROR(AVERAGEIF($BE$23:$BE$37,2,$D$23:$D$37),BC18)</f>
        <v>-0.50443768126774191</v>
      </c>
      <c r="BI18" s="18">
        <f>IFERROR(AVERAGEIF($BE$23:$BE$37,3,$D$23:$D$37),BD18)</f>
        <v>1.0533710283429436</v>
      </c>
    </row>
    <row r="19" spans="1:62" x14ac:dyDescent="0.25">
      <c r="K19" s="40" t="s">
        <v>475</v>
      </c>
      <c r="L19" s="16">
        <f>COUNTIF($E$23:$E$37,1)</f>
        <v>1</v>
      </c>
      <c r="M19" s="16">
        <f>COUNTIF($E$23:$E$37,2)</f>
        <v>11</v>
      </c>
      <c r="N19" s="16">
        <f>COUNTIF($E$23:$E$37,3)</f>
        <v>3</v>
      </c>
      <c r="W19" s="40" t="s">
        <v>475</v>
      </c>
      <c r="X19" s="16">
        <f>COUNTIF($AA$23:$AA$37,1)</f>
        <v>1</v>
      </c>
      <c r="Y19" s="16">
        <f>COUNTIF($AA$23:$AA$37,2)</f>
        <v>11</v>
      </c>
      <c r="Z19" s="16">
        <f>COUNTIF($AA$23:$AA$37,3)</f>
        <v>3</v>
      </c>
      <c r="AC19" s="16">
        <f>COUNTIF($AF$23:$AF$37,1)</f>
        <v>1</v>
      </c>
      <c r="AD19" s="16">
        <f>COUNTIF($AF$23:$AF$37,2)</f>
        <v>11</v>
      </c>
      <c r="AE19" s="16">
        <f>COUNTIF($AF$23:$AF$37,3)</f>
        <v>3</v>
      </c>
      <c r="AH19" s="16">
        <f>COUNTIF($AK$23:$AK$37,1)</f>
        <v>1</v>
      </c>
      <c r="AI19" s="16">
        <f>COUNTIF($AK$23:$AK$37,2)</f>
        <v>11</v>
      </c>
      <c r="AJ19" s="16">
        <f>COUNTIF($AK$23:$AK$37,3)</f>
        <v>3</v>
      </c>
      <c r="AM19" s="16">
        <f>COUNTIF($AP$23:$AP$37,1)</f>
        <v>1</v>
      </c>
      <c r="AN19" s="16">
        <f>COUNTIF($AP$23:$AP$37,2)</f>
        <v>11</v>
      </c>
      <c r="AO19" s="16">
        <f>COUNTIF($AP$23:$AP$37,3)</f>
        <v>3</v>
      </c>
      <c r="AR19" s="16">
        <f>COUNTIF($AU$23:$AU$37,1)</f>
        <v>1</v>
      </c>
      <c r="AS19" s="16">
        <f>COUNTIF($AU$23:$AU$37,2)</f>
        <v>11</v>
      </c>
      <c r="AT19" s="16">
        <f>COUNTIF($AU$23:$AU$37,3)</f>
        <v>3</v>
      </c>
      <c r="AW19" s="16">
        <f>COUNTIF($AZ$23:$AZ$37,1)</f>
        <v>1</v>
      </c>
      <c r="AX19" s="16">
        <f>COUNTIF($AZ$23:$AZ$37,2)</f>
        <v>11</v>
      </c>
      <c r="AY19" s="16">
        <f>COUNTIF($AZ$23:$AZ$37,3)</f>
        <v>3</v>
      </c>
      <c r="BB19" s="16">
        <f>COUNTIF($BE$23:$BE$37,1)</f>
        <v>1</v>
      </c>
      <c r="BC19" s="16">
        <f>COUNTIF($BE$23:$BE$37,2)</f>
        <v>11</v>
      </c>
      <c r="BD19" s="16">
        <f>COUNTIF($BE$23:$BE$37,3)</f>
        <v>3</v>
      </c>
      <c r="BG19" s="16">
        <f>COUNTIF($BJ$23:$BJ$37,1)</f>
        <v>1</v>
      </c>
      <c r="BH19" s="16">
        <f>COUNTIF($BJ$23:$BJ$37,2)</f>
        <v>11</v>
      </c>
      <c r="BI19" s="16">
        <f>COUNTIF($BJ$23:$BJ$37,3)</f>
        <v>3</v>
      </c>
    </row>
    <row r="20" spans="1:62" x14ac:dyDescent="0.25">
      <c r="K20" s="40" t="s">
        <v>476</v>
      </c>
      <c r="L20" s="18">
        <f>SUMIF($E$23:$E$37,1,$F$23:$F$37)</f>
        <v>0</v>
      </c>
      <c r="M20" s="18">
        <f>SUMIF($E$23:$E$37,2,$F$23:$F$37)</f>
        <v>4.207255211399783</v>
      </c>
      <c r="N20" s="18">
        <f>SUMIF($E$23:$E$37,3,$F$23:$F$37)</f>
        <v>0.98392770264207241</v>
      </c>
      <c r="W20" s="40" t="s">
        <v>477</v>
      </c>
      <c r="AA20" s="13" t="s">
        <v>478</v>
      </c>
      <c r="AF20" s="16">
        <f>SUMPRODUCT(--($AF$23:$AF$37&lt;&gt;$AA$23:$AA$37))</f>
        <v>0</v>
      </c>
      <c r="AK20" s="16">
        <f>SUMPRODUCT(--($AK$23:$AK$37&lt;&gt;$AF$23:$AF$37))</f>
        <v>0</v>
      </c>
      <c r="AP20" s="16">
        <f>SUMPRODUCT(--($AP$23:$AP$37&lt;&gt;$AK$23:$AK$37))</f>
        <v>0</v>
      </c>
      <c r="AU20" s="16">
        <f>SUMPRODUCT(--($AU$23:$AU$37&lt;&gt;$AP$23:$AP$37))</f>
        <v>0</v>
      </c>
      <c r="AZ20" s="16">
        <f>SUMPRODUCT(--($AZ$23:$AZ$37&lt;&gt;$AU$23:$AU$37))</f>
        <v>0</v>
      </c>
      <c r="BE20" s="16">
        <f>SUMPRODUCT(--($BE$23:$BE$37&lt;&gt;$AZ$23:$AZ$37))</f>
        <v>0</v>
      </c>
      <c r="BJ20" s="16">
        <f>SUMPRODUCT(--($BJ$23:$BJ$37&lt;&gt;$BE$23:$BE$37))</f>
        <v>0</v>
      </c>
    </row>
    <row r="21" spans="1:62" x14ac:dyDescent="0.25">
      <c r="K21" s="40" t="s">
        <v>270</v>
      </c>
      <c r="L21" s="57">
        <f>SUM($F$23:$F$37)</f>
        <v>5.1911829140418568</v>
      </c>
      <c r="M21" s="40" t="s">
        <v>52</v>
      </c>
      <c r="N21" s="36" t="str">
        <f>IF(BJ20=0,"Converged","Not converged: more iterations needed")</f>
        <v>Converged</v>
      </c>
    </row>
    <row r="22" spans="1:62" ht="31.5" customHeight="1" x14ac:dyDescent="0.25">
      <c r="A22" s="11" t="s">
        <v>479</v>
      </c>
      <c r="B22" s="11" t="s">
        <v>445</v>
      </c>
      <c r="C22" s="11" t="s">
        <v>446</v>
      </c>
      <c r="D22" s="11" t="s">
        <v>447</v>
      </c>
      <c r="E22" s="11" t="s">
        <v>451</v>
      </c>
      <c r="F22" s="11" t="s">
        <v>480</v>
      </c>
      <c r="G22" s="11" t="s">
        <v>452</v>
      </c>
      <c r="X22" s="11" t="s">
        <v>484</v>
      </c>
      <c r="Y22" s="11" t="s">
        <v>485</v>
      </c>
      <c r="Z22" s="11" t="s">
        <v>486</v>
      </c>
      <c r="AA22" s="11" t="s">
        <v>451</v>
      </c>
      <c r="AC22" s="11" t="s">
        <v>484</v>
      </c>
      <c r="AD22" s="11" t="s">
        <v>485</v>
      </c>
      <c r="AE22" s="11" t="s">
        <v>486</v>
      </c>
      <c r="AF22" s="11" t="s">
        <v>451</v>
      </c>
      <c r="AH22" s="11" t="s">
        <v>484</v>
      </c>
      <c r="AI22" s="11" t="s">
        <v>485</v>
      </c>
      <c r="AJ22" s="11" t="s">
        <v>486</v>
      </c>
      <c r="AK22" s="11" t="s">
        <v>451</v>
      </c>
      <c r="AM22" s="11" t="s">
        <v>484</v>
      </c>
      <c r="AN22" s="11" t="s">
        <v>485</v>
      </c>
      <c r="AO22" s="11" t="s">
        <v>486</v>
      </c>
      <c r="AP22" s="11" t="s">
        <v>451</v>
      </c>
      <c r="AR22" s="11" t="s">
        <v>484</v>
      </c>
      <c r="AS22" s="11" t="s">
        <v>485</v>
      </c>
      <c r="AT22" s="11" t="s">
        <v>486</v>
      </c>
      <c r="AU22" s="11" t="s">
        <v>451</v>
      </c>
      <c r="AW22" s="11" t="s">
        <v>484</v>
      </c>
      <c r="AX22" s="11" t="s">
        <v>485</v>
      </c>
      <c r="AY22" s="11" t="s">
        <v>486</v>
      </c>
      <c r="AZ22" s="11" t="s">
        <v>451</v>
      </c>
      <c r="BB22" s="11" t="s">
        <v>484</v>
      </c>
      <c r="BC22" s="11" t="s">
        <v>485</v>
      </c>
      <c r="BD22" s="11" t="s">
        <v>486</v>
      </c>
      <c r="BE22" s="11" t="s">
        <v>451</v>
      </c>
      <c r="BG22" s="11" t="s">
        <v>484</v>
      </c>
      <c r="BH22" s="11" t="s">
        <v>485</v>
      </c>
      <c r="BI22" s="11" t="s">
        <v>486</v>
      </c>
      <c r="BJ22" s="11" t="s">
        <v>451</v>
      </c>
    </row>
    <row r="23" spans="1:62" x14ac:dyDescent="0.25">
      <c r="A23" s="36" t="str">
        <f>Travel_Data!A5</f>
        <v>Local - Social Contact</v>
      </c>
      <c r="B23" s="18">
        <f>Travel_Data!K5</f>
        <v>2.2998275218923658</v>
      </c>
      <c r="C23" s="18">
        <f>Travel_Data!L5</f>
        <v>2.9018223562127909</v>
      </c>
      <c r="D23" s="18">
        <f>Travel_Data!M5</f>
        <v>2.3887014089163308</v>
      </c>
      <c r="E23" s="56">
        <f t="shared" ref="E23:E37" si="0">BJ23</f>
        <v>1</v>
      </c>
      <c r="F23" s="38">
        <f t="shared" ref="F23:F37" si="1">($B23-INDEX($L$16:$N$16,E23))^2+($C23-INDEX($L$17:$N$17,E23))^2+($D23-INDEX($L$18:$N$18,E23))^2</f>
        <v>0</v>
      </c>
      <c r="G23" s="13" t="str">
        <f t="shared" ref="G23:G37" si="2">INDEX($M$5:$M$7,E23)</f>
        <v>High impact</v>
      </c>
      <c r="X23" s="18">
        <f t="shared" ref="X23:Z37" si="3">SQRT(($B23-X$16)^2+($C23-X$17)^2+($D23-X$18)^2)</f>
        <v>0</v>
      </c>
      <c r="Y23" s="18">
        <f t="shared" si="3"/>
        <v>5.6442544115366013</v>
      </c>
      <c r="Z23" s="18">
        <f t="shared" si="3"/>
        <v>2.8825845128559755</v>
      </c>
      <c r="AA23" s="56">
        <f t="shared" ref="AA23:AA37" si="4">MATCH(MIN(X23:Z23),X23:Z23,0)</f>
        <v>1</v>
      </c>
      <c r="AC23" s="18">
        <f t="shared" ref="AC23:AE37" si="5">SQRT(($B23-AC$16)^2+($C23-AC$17)^2+($D23-AC$18)^2)</f>
        <v>0</v>
      </c>
      <c r="AD23" s="18">
        <f t="shared" si="5"/>
        <v>5.2702179066549943</v>
      </c>
      <c r="AE23" s="18">
        <f t="shared" si="5"/>
        <v>2.7396327638629252</v>
      </c>
      <c r="AF23" s="56">
        <f t="shared" ref="AF23:AF37" si="6">MATCH(MIN(AC23:AE23),AC23:AE23,0)</f>
        <v>1</v>
      </c>
      <c r="AH23" s="18">
        <f t="shared" ref="AH23:AJ37" si="7">SQRT(($B23-AH$16)^2+($C23-AH$17)^2+($D23-AH$18)^2)</f>
        <v>0</v>
      </c>
      <c r="AI23" s="18">
        <f t="shared" si="7"/>
        <v>5.2702179066549943</v>
      </c>
      <c r="AJ23" s="18">
        <f t="shared" si="7"/>
        <v>2.7396327638629252</v>
      </c>
      <c r="AK23" s="56">
        <f t="shared" ref="AK23:AK37" si="8">MATCH(MIN(AH23:AJ23),AH23:AJ23,0)</f>
        <v>1</v>
      </c>
      <c r="AM23" s="18">
        <f t="shared" ref="AM23:AO37" si="9">SQRT(($B23-AM$16)^2+($C23-AM$17)^2+($D23-AM$18)^2)</f>
        <v>0</v>
      </c>
      <c r="AN23" s="18">
        <f t="shared" si="9"/>
        <v>5.2702179066549943</v>
      </c>
      <c r="AO23" s="18">
        <f t="shared" si="9"/>
        <v>2.7396327638629252</v>
      </c>
      <c r="AP23" s="56">
        <f t="shared" ref="AP23:AP37" si="10">MATCH(MIN(AM23:AO23),AM23:AO23,0)</f>
        <v>1</v>
      </c>
      <c r="AR23" s="18">
        <f t="shared" ref="AR23:AT37" si="11">SQRT(($B23-AR$16)^2+($C23-AR$17)^2+($D23-AR$18)^2)</f>
        <v>0</v>
      </c>
      <c r="AS23" s="18">
        <f t="shared" si="11"/>
        <v>5.2702179066549943</v>
      </c>
      <c r="AT23" s="18">
        <f t="shared" si="11"/>
        <v>2.7396327638629252</v>
      </c>
      <c r="AU23" s="56">
        <f t="shared" ref="AU23:AU37" si="12">MATCH(MIN(AR23:AT23),AR23:AT23,0)</f>
        <v>1</v>
      </c>
      <c r="AW23" s="18">
        <f t="shared" ref="AW23:AY37" si="13">SQRT(($B23-AW$16)^2+($C23-AW$17)^2+($D23-AW$18)^2)</f>
        <v>0</v>
      </c>
      <c r="AX23" s="18">
        <f t="shared" si="13"/>
        <v>5.2702179066549943</v>
      </c>
      <c r="AY23" s="18">
        <f t="shared" si="13"/>
        <v>2.7396327638629252</v>
      </c>
      <c r="AZ23" s="56">
        <f t="shared" ref="AZ23:AZ37" si="14">MATCH(MIN(AW23:AY23),AW23:AY23,0)</f>
        <v>1</v>
      </c>
      <c r="BB23" s="18">
        <f t="shared" ref="BB23:BD37" si="15">SQRT(($B23-BB$16)^2+($C23-BB$17)^2+($D23-BB$18)^2)</f>
        <v>0</v>
      </c>
      <c r="BC23" s="18">
        <f t="shared" si="15"/>
        <v>5.2702179066549943</v>
      </c>
      <c r="BD23" s="18">
        <f t="shared" si="15"/>
        <v>2.7396327638629252</v>
      </c>
      <c r="BE23" s="56">
        <f t="shared" ref="BE23:BE37" si="16">MATCH(MIN(BB23:BD23),BB23:BD23,0)</f>
        <v>1</v>
      </c>
      <c r="BG23" s="18">
        <f t="shared" ref="BG23:BI37" si="17">SQRT(($B23-BG$16)^2+($C23-BG$17)^2+($D23-BG$18)^2)</f>
        <v>0</v>
      </c>
      <c r="BH23" s="18">
        <f t="shared" si="17"/>
        <v>5.2702179066549943</v>
      </c>
      <c r="BI23" s="18">
        <f t="shared" si="17"/>
        <v>2.7396327638629252</v>
      </c>
      <c r="BJ23" s="56">
        <f t="shared" ref="BJ23:BJ37" si="18">MATCH(MIN(BG23:BI23),BG23:BI23,0)</f>
        <v>1</v>
      </c>
    </row>
    <row r="24" spans="1:62" x14ac:dyDescent="0.25">
      <c r="A24" s="36" t="str">
        <f>Travel_Data!A6</f>
        <v>Unknown</v>
      </c>
      <c r="B24" s="18">
        <f>Travel_Data!K6</f>
        <v>1.347372610216069</v>
      </c>
      <c r="C24" s="18">
        <f>Travel_Data!L6</f>
        <v>1.5363966832794247</v>
      </c>
      <c r="D24" s="18">
        <f>Travel_Data!M6</f>
        <v>1.1562576334411423</v>
      </c>
      <c r="E24" s="56">
        <f t="shared" si="0"/>
        <v>3</v>
      </c>
      <c r="F24" s="38">
        <f t="shared" si="1"/>
        <v>0.57118112860513071</v>
      </c>
      <c r="G24" s="13" t="str">
        <f t="shared" si="2"/>
        <v>Medium impact</v>
      </c>
      <c r="X24" s="18">
        <f t="shared" si="3"/>
        <v>2.071346249855242</v>
      </c>
      <c r="Y24" s="18">
        <f t="shared" si="3"/>
        <v>3.6011332185720564</v>
      </c>
      <c r="Z24" s="18">
        <f t="shared" si="3"/>
        <v>0.97636680747364646</v>
      </c>
      <c r="AA24" s="56">
        <f t="shared" si="4"/>
        <v>3</v>
      </c>
      <c r="AC24" s="18">
        <f t="shared" si="5"/>
        <v>2.071346249855242</v>
      </c>
      <c r="AD24" s="18">
        <f t="shared" si="5"/>
        <v>3.2121599915435581</v>
      </c>
      <c r="AE24" s="18">
        <f t="shared" si="5"/>
        <v>0.75576526025289803</v>
      </c>
      <c r="AF24" s="56">
        <f t="shared" si="6"/>
        <v>3</v>
      </c>
      <c r="AH24" s="18">
        <f t="shared" si="7"/>
        <v>2.071346249855242</v>
      </c>
      <c r="AI24" s="18">
        <f t="shared" si="7"/>
        <v>3.2121599915435581</v>
      </c>
      <c r="AJ24" s="18">
        <f t="shared" si="7"/>
        <v>0.75576526025289803</v>
      </c>
      <c r="AK24" s="56">
        <f t="shared" si="8"/>
        <v>3</v>
      </c>
      <c r="AM24" s="18">
        <f t="shared" si="9"/>
        <v>2.071346249855242</v>
      </c>
      <c r="AN24" s="18">
        <f t="shared" si="9"/>
        <v>3.2121599915435581</v>
      </c>
      <c r="AO24" s="18">
        <f t="shared" si="9"/>
        <v>0.75576526025289803</v>
      </c>
      <c r="AP24" s="56">
        <f t="shared" si="10"/>
        <v>3</v>
      </c>
      <c r="AR24" s="18">
        <f t="shared" si="11"/>
        <v>2.071346249855242</v>
      </c>
      <c r="AS24" s="18">
        <f t="shared" si="11"/>
        <v>3.2121599915435581</v>
      </c>
      <c r="AT24" s="18">
        <f t="shared" si="11"/>
        <v>0.75576526025289803</v>
      </c>
      <c r="AU24" s="56">
        <f t="shared" si="12"/>
        <v>3</v>
      </c>
      <c r="AW24" s="18">
        <f t="shared" si="13"/>
        <v>2.071346249855242</v>
      </c>
      <c r="AX24" s="18">
        <f t="shared" si="13"/>
        <v>3.2121599915435581</v>
      </c>
      <c r="AY24" s="18">
        <f t="shared" si="13"/>
        <v>0.75576526025289803</v>
      </c>
      <c r="AZ24" s="56">
        <f t="shared" si="14"/>
        <v>3</v>
      </c>
      <c r="BB24" s="18">
        <f t="shared" si="15"/>
        <v>2.071346249855242</v>
      </c>
      <c r="BC24" s="18">
        <f t="shared" si="15"/>
        <v>3.2121599915435581</v>
      </c>
      <c r="BD24" s="18">
        <f t="shared" si="15"/>
        <v>0.75576526025289803</v>
      </c>
      <c r="BE24" s="56">
        <f t="shared" si="16"/>
        <v>3</v>
      </c>
      <c r="BG24" s="18">
        <f t="shared" si="17"/>
        <v>2.071346249855242</v>
      </c>
      <c r="BH24" s="18">
        <f t="shared" si="17"/>
        <v>3.2121599915435581</v>
      </c>
      <c r="BI24" s="18">
        <f t="shared" si="17"/>
        <v>0.75576526025289803</v>
      </c>
      <c r="BJ24" s="56">
        <f t="shared" si="18"/>
        <v>3</v>
      </c>
    </row>
    <row r="25" spans="1:62" x14ac:dyDescent="0.25">
      <c r="A25" s="36" t="str">
        <f>Travel_Data!A7</f>
        <v>Tableeghi Jamaat</v>
      </c>
      <c r="B25" s="18">
        <f>Travel_Data!K7</f>
        <v>1.001613285644595</v>
      </c>
      <c r="C25" s="18">
        <f>Travel_Data!L7</f>
        <v>0.31043587408226925</v>
      </c>
      <c r="D25" s="18">
        <f>Travel_Data!M7</f>
        <v>0.80747470738868021</v>
      </c>
      <c r="E25" s="56">
        <f t="shared" si="0"/>
        <v>3</v>
      </c>
      <c r="F25" s="38">
        <f t="shared" si="1"/>
        <v>0.33818775418262126</v>
      </c>
      <c r="G25" s="13" t="str">
        <f t="shared" si="2"/>
        <v>Medium impact</v>
      </c>
      <c r="X25" s="18">
        <f t="shared" si="3"/>
        <v>3.3016544314311873</v>
      </c>
      <c r="Y25" s="18">
        <f t="shared" si="3"/>
        <v>2.6045517139404892</v>
      </c>
      <c r="Z25" s="18">
        <f t="shared" si="3"/>
        <v>0.50429358460003548</v>
      </c>
      <c r="AA25" s="56">
        <f t="shared" si="4"/>
        <v>3</v>
      </c>
      <c r="AC25" s="18">
        <f t="shared" si="5"/>
        <v>3.3016544314311873</v>
      </c>
      <c r="AD25" s="18">
        <f t="shared" si="5"/>
        <v>2.1567559176892237</v>
      </c>
      <c r="AE25" s="18">
        <f t="shared" si="5"/>
        <v>0.58153912523803697</v>
      </c>
      <c r="AF25" s="56">
        <f t="shared" si="6"/>
        <v>3</v>
      </c>
      <c r="AH25" s="18">
        <f t="shared" si="7"/>
        <v>3.3016544314311873</v>
      </c>
      <c r="AI25" s="18">
        <f t="shared" si="7"/>
        <v>2.1567559176892237</v>
      </c>
      <c r="AJ25" s="18">
        <f t="shared" si="7"/>
        <v>0.58153912523803697</v>
      </c>
      <c r="AK25" s="56">
        <f t="shared" si="8"/>
        <v>3</v>
      </c>
      <c r="AM25" s="18">
        <f t="shared" si="9"/>
        <v>3.3016544314311873</v>
      </c>
      <c r="AN25" s="18">
        <f t="shared" si="9"/>
        <v>2.1567559176892237</v>
      </c>
      <c r="AO25" s="18">
        <f t="shared" si="9"/>
        <v>0.58153912523803697</v>
      </c>
      <c r="AP25" s="56">
        <f t="shared" si="10"/>
        <v>3</v>
      </c>
      <c r="AR25" s="18">
        <f t="shared" si="11"/>
        <v>3.3016544314311873</v>
      </c>
      <c r="AS25" s="18">
        <f t="shared" si="11"/>
        <v>2.1567559176892237</v>
      </c>
      <c r="AT25" s="18">
        <f t="shared" si="11"/>
        <v>0.58153912523803697</v>
      </c>
      <c r="AU25" s="56">
        <f t="shared" si="12"/>
        <v>3</v>
      </c>
      <c r="AW25" s="18">
        <f t="shared" si="13"/>
        <v>3.3016544314311873</v>
      </c>
      <c r="AX25" s="18">
        <f t="shared" si="13"/>
        <v>2.1567559176892237</v>
      </c>
      <c r="AY25" s="18">
        <f t="shared" si="13"/>
        <v>0.58153912523803697</v>
      </c>
      <c r="AZ25" s="56">
        <f t="shared" si="14"/>
        <v>3</v>
      </c>
      <c r="BB25" s="18">
        <f t="shared" si="15"/>
        <v>3.3016544314311873</v>
      </c>
      <c r="BC25" s="18">
        <f t="shared" si="15"/>
        <v>2.1567559176892237</v>
      </c>
      <c r="BD25" s="18">
        <f t="shared" si="15"/>
        <v>0.58153912523803697</v>
      </c>
      <c r="BE25" s="56">
        <f t="shared" si="16"/>
        <v>3</v>
      </c>
      <c r="BG25" s="18">
        <f t="shared" si="17"/>
        <v>3.3016544314311873</v>
      </c>
      <c r="BH25" s="18">
        <f t="shared" si="17"/>
        <v>2.1567559176892237</v>
      </c>
      <c r="BI25" s="18">
        <f t="shared" si="17"/>
        <v>0.58153912523803697</v>
      </c>
      <c r="BJ25" s="56">
        <f t="shared" si="18"/>
        <v>3</v>
      </c>
    </row>
    <row r="26" spans="1:62" x14ac:dyDescent="0.25">
      <c r="A26" s="36" t="str">
        <f>Travel_Data!A8</f>
        <v>Iran/Taftan</v>
      </c>
      <c r="B26" s="18">
        <f>Travel_Data!K8</f>
        <v>0.98414731571385683</v>
      </c>
      <c r="C26" s="18">
        <f>Travel_Data!L8</f>
        <v>0.63099640486485853</v>
      </c>
      <c r="D26" s="18">
        <f>Travel_Data!M8</f>
        <v>1.1963807441990084</v>
      </c>
      <c r="E26" s="56">
        <f t="shared" si="0"/>
        <v>3</v>
      </c>
      <c r="F26" s="38">
        <f t="shared" si="1"/>
        <v>7.4558819854320432E-2</v>
      </c>
      <c r="G26" s="13" t="str">
        <f t="shared" si="2"/>
        <v>Medium impact</v>
      </c>
      <c r="X26" s="18">
        <f t="shared" si="3"/>
        <v>2.8825845128559755</v>
      </c>
      <c r="Y26" s="18">
        <f t="shared" si="3"/>
        <v>2.9491080127910707</v>
      </c>
      <c r="Z26" s="18">
        <f t="shared" si="3"/>
        <v>0</v>
      </c>
      <c r="AA26" s="56">
        <f t="shared" si="4"/>
        <v>3</v>
      </c>
      <c r="AC26" s="18">
        <f t="shared" si="5"/>
        <v>2.8825845128559755</v>
      </c>
      <c r="AD26" s="18">
        <f t="shared" si="5"/>
        <v>2.527058772901416</v>
      </c>
      <c r="AE26" s="18">
        <f t="shared" si="5"/>
        <v>0.27305460965587164</v>
      </c>
      <c r="AF26" s="56">
        <f t="shared" si="6"/>
        <v>3</v>
      </c>
      <c r="AH26" s="18">
        <f t="shared" si="7"/>
        <v>2.8825845128559755</v>
      </c>
      <c r="AI26" s="18">
        <f t="shared" si="7"/>
        <v>2.527058772901416</v>
      </c>
      <c r="AJ26" s="18">
        <f t="shared" si="7"/>
        <v>0.27305460965587164</v>
      </c>
      <c r="AK26" s="56">
        <f t="shared" si="8"/>
        <v>3</v>
      </c>
      <c r="AM26" s="18">
        <f t="shared" si="9"/>
        <v>2.8825845128559755</v>
      </c>
      <c r="AN26" s="18">
        <f t="shared" si="9"/>
        <v>2.527058772901416</v>
      </c>
      <c r="AO26" s="18">
        <f t="shared" si="9"/>
        <v>0.27305460965587164</v>
      </c>
      <c r="AP26" s="56">
        <f t="shared" si="10"/>
        <v>3</v>
      </c>
      <c r="AR26" s="18">
        <f t="shared" si="11"/>
        <v>2.8825845128559755</v>
      </c>
      <c r="AS26" s="18">
        <f t="shared" si="11"/>
        <v>2.527058772901416</v>
      </c>
      <c r="AT26" s="18">
        <f t="shared" si="11"/>
        <v>0.27305460965587164</v>
      </c>
      <c r="AU26" s="56">
        <f t="shared" si="12"/>
        <v>3</v>
      </c>
      <c r="AW26" s="18">
        <f t="shared" si="13"/>
        <v>2.8825845128559755</v>
      </c>
      <c r="AX26" s="18">
        <f t="shared" si="13"/>
        <v>2.527058772901416</v>
      </c>
      <c r="AY26" s="18">
        <f t="shared" si="13"/>
        <v>0.27305460965587164</v>
      </c>
      <c r="AZ26" s="56">
        <f t="shared" si="14"/>
        <v>3</v>
      </c>
      <c r="BB26" s="18">
        <f t="shared" si="15"/>
        <v>2.8825845128559755</v>
      </c>
      <c r="BC26" s="18">
        <f t="shared" si="15"/>
        <v>2.527058772901416</v>
      </c>
      <c r="BD26" s="18">
        <f t="shared" si="15"/>
        <v>0.27305460965587164</v>
      </c>
      <c r="BE26" s="56">
        <f t="shared" si="16"/>
        <v>3</v>
      </c>
      <c r="BG26" s="18">
        <f t="shared" si="17"/>
        <v>2.8825845128559755</v>
      </c>
      <c r="BH26" s="18">
        <f t="shared" si="17"/>
        <v>2.527058772901416</v>
      </c>
      <c r="BI26" s="18">
        <f t="shared" si="17"/>
        <v>0.27305460965587164</v>
      </c>
      <c r="BJ26" s="56">
        <f t="shared" si="18"/>
        <v>3</v>
      </c>
    </row>
    <row r="27" spans="1:62" x14ac:dyDescent="0.25">
      <c r="A27" s="36" t="str">
        <f>Travel_Data!A9</f>
        <v>Jail</v>
      </c>
      <c r="B27" s="18">
        <f>Travel_Data!K9</f>
        <v>0.28798977308742602</v>
      </c>
      <c r="C27" s="18">
        <f>Travel_Data!L9</f>
        <v>-0.51820107720199382</v>
      </c>
      <c r="D27" s="18">
        <f>Travel_Data!M9</f>
        <v>-0.72951259045947137</v>
      </c>
      <c r="E27" s="56">
        <f t="shared" si="0"/>
        <v>2</v>
      </c>
      <c r="F27" s="38">
        <f t="shared" si="1"/>
        <v>0.6916313490629149</v>
      </c>
      <c r="G27" s="13" t="str">
        <f t="shared" si="2"/>
        <v>Low impact</v>
      </c>
      <c r="X27" s="18">
        <f t="shared" si="3"/>
        <v>5.0465146347282115</v>
      </c>
      <c r="Y27" s="18">
        <f t="shared" si="3"/>
        <v>1.2189189785177623</v>
      </c>
      <c r="Z27" s="18">
        <f t="shared" si="3"/>
        <v>2.3482664485586859</v>
      </c>
      <c r="AA27" s="56">
        <f t="shared" si="4"/>
        <v>2</v>
      </c>
      <c r="AC27" s="18">
        <f t="shared" si="5"/>
        <v>5.0465146347282115</v>
      </c>
      <c r="AD27" s="18">
        <f t="shared" si="5"/>
        <v>0.83164376331631018</v>
      </c>
      <c r="AE27" s="18">
        <f t="shared" si="5"/>
        <v>2.3796672435144641</v>
      </c>
      <c r="AF27" s="56">
        <f t="shared" si="6"/>
        <v>2</v>
      </c>
      <c r="AH27" s="18">
        <f t="shared" si="7"/>
        <v>5.0465146347282115</v>
      </c>
      <c r="AI27" s="18">
        <f t="shared" si="7"/>
        <v>0.83164376331631018</v>
      </c>
      <c r="AJ27" s="18">
        <f t="shared" si="7"/>
        <v>2.3796672435144641</v>
      </c>
      <c r="AK27" s="56">
        <f t="shared" si="8"/>
        <v>2</v>
      </c>
      <c r="AM27" s="18">
        <f t="shared" si="9"/>
        <v>5.0465146347282115</v>
      </c>
      <c r="AN27" s="18">
        <f t="shared" si="9"/>
        <v>0.83164376331631018</v>
      </c>
      <c r="AO27" s="18">
        <f t="shared" si="9"/>
        <v>2.3796672435144641</v>
      </c>
      <c r="AP27" s="56">
        <f t="shared" si="10"/>
        <v>2</v>
      </c>
      <c r="AR27" s="18">
        <f t="shared" si="11"/>
        <v>5.0465146347282115</v>
      </c>
      <c r="AS27" s="18">
        <f t="shared" si="11"/>
        <v>0.83164376331631018</v>
      </c>
      <c r="AT27" s="18">
        <f t="shared" si="11"/>
        <v>2.3796672435144641</v>
      </c>
      <c r="AU27" s="56">
        <f t="shared" si="12"/>
        <v>2</v>
      </c>
      <c r="AW27" s="18">
        <f t="shared" si="13"/>
        <v>5.0465146347282115</v>
      </c>
      <c r="AX27" s="18">
        <f t="shared" si="13"/>
        <v>0.83164376331631018</v>
      </c>
      <c r="AY27" s="18">
        <f t="shared" si="13"/>
        <v>2.3796672435144641</v>
      </c>
      <c r="AZ27" s="56">
        <f t="shared" si="14"/>
        <v>2</v>
      </c>
      <c r="BB27" s="18">
        <f t="shared" si="15"/>
        <v>5.0465146347282115</v>
      </c>
      <c r="BC27" s="18">
        <f t="shared" si="15"/>
        <v>0.83164376331631018</v>
      </c>
      <c r="BD27" s="18">
        <f t="shared" si="15"/>
        <v>2.3796672435144641</v>
      </c>
      <c r="BE27" s="56">
        <f t="shared" si="16"/>
        <v>2</v>
      </c>
      <c r="BG27" s="18">
        <f t="shared" si="17"/>
        <v>5.0465146347282115</v>
      </c>
      <c r="BH27" s="18">
        <f t="shared" si="17"/>
        <v>0.83164376331631018</v>
      </c>
      <c r="BI27" s="18">
        <f t="shared" si="17"/>
        <v>2.3796672435144641</v>
      </c>
      <c r="BJ27" s="56">
        <f t="shared" si="18"/>
        <v>2</v>
      </c>
    </row>
    <row r="28" spans="1:62" x14ac:dyDescent="0.25">
      <c r="A28" s="36" t="str">
        <f>Travel_Data!A10</f>
        <v>Afghanistan</v>
      </c>
      <c r="B28" s="18">
        <f>Travel_Data!K10</f>
        <v>0.1598174853036945</v>
      </c>
      <c r="C28" s="18">
        <f>Travel_Data!L10</f>
        <v>-0.51820107720199382</v>
      </c>
      <c r="D28" s="18">
        <f>Travel_Data!M10</f>
        <v>-0.72951259045947137</v>
      </c>
      <c r="E28" s="56">
        <f t="shared" si="0"/>
        <v>2</v>
      </c>
      <c r="F28" s="38">
        <f t="shared" si="1"/>
        <v>0.50296405659524135</v>
      </c>
      <c r="G28" s="13" t="str">
        <f t="shared" si="2"/>
        <v>Low impact</v>
      </c>
      <c r="X28" s="18">
        <f t="shared" si="3"/>
        <v>5.0989667372625345</v>
      </c>
      <c r="Y28" s="18">
        <f t="shared" si="3"/>
        <v>1.0907466907340306</v>
      </c>
      <c r="Z28" s="18">
        <f t="shared" si="3"/>
        <v>2.3894015272814237</v>
      </c>
      <c r="AA28" s="56">
        <f t="shared" si="4"/>
        <v>2</v>
      </c>
      <c r="AC28" s="18">
        <f t="shared" si="5"/>
        <v>5.0989667372625345</v>
      </c>
      <c r="AD28" s="18">
        <f t="shared" si="5"/>
        <v>0.70919958868800914</v>
      </c>
      <c r="AE28" s="18">
        <f t="shared" si="5"/>
        <v>2.4269795868950377</v>
      </c>
      <c r="AF28" s="56">
        <f t="shared" si="6"/>
        <v>2</v>
      </c>
      <c r="AH28" s="18">
        <f t="shared" si="7"/>
        <v>5.0989667372625345</v>
      </c>
      <c r="AI28" s="18">
        <f t="shared" si="7"/>
        <v>0.70919958868800914</v>
      </c>
      <c r="AJ28" s="18">
        <f t="shared" si="7"/>
        <v>2.4269795868950377</v>
      </c>
      <c r="AK28" s="56">
        <f t="shared" si="8"/>
        <v>2</v>
      </c>
      <c r="AM28" s="18">
        <f t="shared" si="9"/>
        <v>5.0989667372625345</v>
      </c>
      <c r="AN28" s="18">
        <f t="shared" si="9"/>
        <v>0.70919958868800914</v>
      </c>
      <c r="AO28" s="18">
        <f t="shared" si="9"/>
        <v>2.4269795868950377</v>
      </c>
      <c r="AP28" s="56">
        <f t="shared" si="10"/>
        <v>2</v>
      </c>
      <c r="AR28" s="18">
        <f t="shared" si="11"/>
        <v>5.0989667372625345</v>
      </c>
      <c r="AS28" s="18">
        <f t="shared" si="11"/>
        <v>0.70919958868800914</v>
      </c>
      <c r="AT28" s="18">
        <f t="shared" si="11"/>
        <v>2.4269795868950377</v>
      </c>
      <c r="AU28" s="56">
        <f t="shared" si="12"/>
        <v>2</v>
      </c>
      <c r="AW28" s="18">
        <f t="shared" si="13"/>
        <v>5.0989667372625345</v>
      </c>
      <c r="AX28" s="18">
        <f t="shared" si="13"/>
        <v>0.70919958868800914</v>
      </c>
      <c r="AY28" s="18">
        <f t="shared" si="13"/>
        <v>2.4269795868950377</v>
      </c>
      <c r="AZ28" s="56">
        <f t="shared" si="14"/>
        <v>2</v>
      </c>
      <c r="BB28" s="18">
        <f t="shared" si="15"/>
        <v>5.0989667372625345</v>
      </c>
      <c r="BC28" s="18">
        <f t="shared" si="15"/>
        <v>0.70919958868800914</v>
      </c>
      <c r="BD28" s="18">
        <f t="shared" si="15"/>
        <v>2.4269795868950377</v>
      </c>
      <c r="BE28" s="56">
        <f t="shared" si="16"/>
        <v>2</v>
      </c>
      <c r="BG28" s="18">
        <f t="shared" si="17"/>
        <v>5.0989667372625345</v>
      </c>
      <c r="BH28" s="18">
        <f t="shared" si="17"/>
        <v>0.70919958868800914</v>
      </c>
      <c r="BI28" s="18">
        <f t="shared" si="17"/>
        <v>2.4269795868950377</v>
      </c>
      <c r="BJ28" s="56">
        <f t="shared" si="18"/>
        <v>2</v>
      </c>
    </row>
    <row r="29" spans="1:62" x14ac:dyDescent="0.25">
      <c r="A29" s="36" t="str">
        <f>Travel_Data!A11</f>
        <v>International Passenger</v>
      </c>
      <c r="B29" s="18">
        <f>Travel_Data!K11</f>
        <v>-2.3255842017133044E-2</v>
      </c>
      <c r="C29" s="18">
        <f>Travel_Data!L11</f>
        <v>-0.51820107720199382</v>
      </c>
      <c r="D29" s="18">
        <f>Travel_Data!M11</f>
        <v>0.52261575652146808</v>
      </c>
      <c r="E29" s="56">
        <f t="shared" si="0"/>
        <v>2</v>
      </c>
      <c r="F29" s="38">
        <f t="shared" si="1"/>
        <v>1.2946442452934579</v>
      </c>
      <c r="G29" s="13" t="str">
        <f t="shared" si="2"/>
        <v>Low impact</v>
      </c>
      <c r="X29" s="18">
        <f t="shared" si="3"/>
        <v>4.5360282475810578</v>
      </c>
      <c r="Y29" s="18">
        <f t="shared" si="3"/>
        <v>1.5465110190241311</v>
      </c>
      <c r="Z29" s="18">
        <f t="shared" si="3"/>
        <v>1.6701722167534936</v>
      </c>
      <c r="AA29" s="56">
        <f t="shared" si="4"/>
        <v>2</v>
      </c>
      <c r="AC29" s="18">
        <f t="shared" si="5"/>
        <v>4.5360282475810578</v>
      </c>
      <c r="AD29" s="18">
        <f t="shared" si="5"/>
        <v>1.1378243472933147</v>
      </c>
      <c r="AE29" s="18">
        <f t="shared" si="5"/>
        <v>1.8371340377848404</v>
      </c>
      <c r="AF29" s="56">
        <f t="shared" si="6"/>
        <v>2</v>
      </c>
      <c r="AH29" s="18">
        <f t="shared" si="7"/>
        <v>4.5360282475810578</v>
      </c>
      <c r="AI29" s="18">
        <f t="shared" si="7"/>
        <v>1.1378243472933147</v>
      </c>
      <c r="AJ29" s="18">
        <f t="shared" si="7"/>
        <v>1.8371340377848404</v>
      </c>
      <c r="AK29" s="56">
        <f t="shared" si="8"/>
        <v>2</v>
      </c>
      <c r="AM29" s="18">
        <f t="shared" si="9"/>
        <v>4.5360282475810578</v>
      </c>
      <c r="AN29" s="18">
        <f t="shared" si="9"/>
        <v>1.1378243472933147</v>
      </c>
      <c r="AO29" s="18">
        <f t="shared" si="9"/>
        <v>1.8371340377848404</v>
      </c>
      <c r="AP29" s="56">
        <f t="shared" si="10"/>
        <v>2</v>
      </c>
      <c r="AR29" s="18">
        <f t="shared" si="11"/>
        <v>4.5360282475810578</v>
      </c>
      <c r="AS29" s="18">
        <f t="shared" si="11"/>
        <v>1.1378243472933147</v>
      </c>
      <c r="AT29" s="18">
        <f t="shared" si="11"/>
        <v>1.8371340377848404</v>
      </c>
      <c r="AU29" s="56">
        <f t="shared" si="12"/>
        <v>2</v>
      </c>
      <c r="AW29" s="18">
        <f t="shared" si="13"/>
        <v>4.5360282475810578</v>
      </c>
      <c r="AX29" s="18">
        <f t="shared" si="13"/>
        <v>1.1378243472933147</v>
      </c>
      <c r="AY29" s="18">
        <f t="shared" si="13"/>
        <v>1.8371340377848404</v>
      </c>
      <c r="AZ29" s="56">
        <f t="shared" si="14"/>
        <v>2</v>
      </c>
      <c r="BB29" s="18">
        <f t="shared" si="15"/>
        <v>4.5360282475810578</v>
      </c>
      <c r="BC29" s="18">
        <f t="shared" si="15"/>
        <v>1.1378243472933147</v>
      </c>
      <c r="BD29" s="18">
        <f t="shared" si="15"/>
        <v>1.8371340377848404</v>
      </c>
      <c r="BE29" s="56">
        <f t="shared" si="16"/>
        <v>2</v>
      </c>
      <c r="BG29" s="18">
        <f t="shared" si="17"/>
        <v>4.5360282475810578</v>
      </c>
      <c r="BH29" s="18">
        <f t="shared" si="17"/>
        <v>1.1378243472933147</v>
      </c>
      <c r="BI29" s="18">
        <f t="shared" si="17"/>
        <v>1.8371340377848404</v>
      </c>
      <c r="BJ29" s="56">
        <f t="shared" si="18"/>
        <v>2</v>
      </c>
    </row>
    <row r="30" spans="1:62" x14ac:dyDescent="0.25">
      <c r="A30" s="36" t="str">
        <f>Travel_Data!A12</f>
        <v>Syria</v>
      </c>
      <c r="B30" s="18">
        <f>Travel_Data!K12</f>
        <v>-0.50731745696104757</v>
      </c>
      <c r="C30" s="18">
        <f>Travel_Data!L12</f>
        <v>-0.51820107720199382</v>
      </c>
      <c r="D30" s="18">
        <f>Travel_Data!M12</f>
        <v>-0.72951259045947137</v>
      </c>
      <c r="E30" s="56">
        <f t="shared" si="0"/>
        <v>2</v>
      </c>
      <c r="F30" s="38">
        <f t="shared" si="1"/>
        <v>5.1530714905507306E-2</v>
      </c>
      <c r="G30" s="13" t="str">
        <f t="shared" si="2"/>
        <v>Low impact</v>
      </c>
      <c r="X30" s="18">
        <f t="shared" si="3"/>
        <v>5.4129365194237611</v>
      </c>
      <c r="Y30" s="18">
        <f t="shared" si="3"/>
        <v>0.42361174846928862</v>
      </c>
      <c r="Z30" s="18">
        <f t="shared" si="3"/>
        <v>2.6933598269449548</v>
      </c>
      <c r="AA30" s="56">
        <f t="shared" si="4"/>
        <v>2</v>
      </c>
      <c r="AC30" s="18">
        <f t="shared" si="5"/>
        <v>5.4129365194237611</v>
      </c>
      <c r="AD30" s="18">
        <f t="shared" si="5"/>
        <v>0.22700377729347876</v>
      </c>
      <c r="AE30" s="18">
        <f t="shared" si="5"/>
        <v>2.7576244082863806</v>
      </c>
      <c r="AF30" s="56">
        <f t="shared" si="6"/>
        <v>2</v>
      </c>
      <c r="AH30" s="18">
        <f t="shared" si="7"/>
        <v>5.4129365194237611</v>
      </c>
      <c r="AI30" s="18">
        <f t="shared" si="7"/>
        <v>0.22700377729347876</v>
      </c>
      <c r="AJ30" s="18">
        <f t="shared" si="7"/>
        <v>2.7576244082863806</v>
      </c>
      <c r="AK30" s="56">
        <f t="shared" si="8"/>
        <v>2</v>
      </c>
      <c r="AM30" s="18">
        <f t="shared" si="9"/>
        <v>5.4129365194237611</v>
      </c>
      <c r="AN30" s="18">
        <f t="shared" si="9"/>
        <v>0.22700377729347876</v>
      </c>
      <c r="AO30" s="18">
        <f t="shared" si="9"/>
        <v>2.7576244082863806</v>
      </c>
      <c r="AP30" s="56">
        <f t="shared" si="10"/>
        <v>2</v>
      </c>
      <c r="AR30" s="18">
        <f t="shared" si="11"/>
        <v>5.4129365194237611</v>
      </c>
      <c r="AS30" s="18">
        <f t="shared" si="11"/>
        <v>0.22700377729347876</v>
      </c>
      <c r="AT30" s="18">
        <f t="shared" si="11"/>
        <v>2.7576244082863806</v>
      </c>
      <c r="AU30" s="56">
        <f t="shared" si="12"/>
        <v>2</v>
      </c>
      <c r="AW30" s="18">
        <f t="shared" si="13"/>
        <v>5.4129365194237611</v>
      </c>
      <c r="AX30" s="18">
        <f t="shared" si="13"/>
        <v>0.22700377729347876</v>
      </c>
      <c r="AY30" s="18">
        <f t="shared" si="13"/>
        <v>2.7576244082863806</v>
      </c>
      <c r="AZ30" s="56">
        <f t="shared" si="14"/>
        <v>2</v>
      </c>
      <c r="BB30" s="18">
        <f t="shared" si="15"/>
        <v>5.4129365194237611</v>
      </c>
      <c r="BC30" s="18">
        <f t="shared" si="15"/>
        <v>0.22700377729347876</v>
      </c>
      <c r="BD30" s="18">
        <f t="shared" si="15"/>
        <v>2.7576244082863806</v>
      </c>
      <c r="BE30" s="56">
        <f t="shared" si="16"/>
        <v>2</v>
      </c>
      <c r="BG30" s="18">
        <f t="shared" si="17"/>
        <v>5.4129365194237611</v>
      </c>
      <c r="BH30" s="18">
        <f t="shared" si="17"/>
        <v>0.22700377729347876</v>
      </c>
      <c r="BI30" s="18">
        <f t="shared" si="17"/>
        <v>2.7576244082863806</v>
      </c>
      <c r="BJ30" s="56">
        <f t="shared" si="18"/>
        <v>2</v>
      </c>
    </row>
    <row r="31" spans="1:62" x14ac:dyDescent="0.25">
      <c r="A31" s="36" t="str">
        <f>Travel_Data!A13</f>
        <v>KSA</v>
      </c>
      <c r="B31" s="18">
        <f>Travel_Data!K13</f>
        <v>-0.54812081611163788</v>
      </c>
      <c r="C31" s="18">
        <f>Travel_Data!L13</f>
        <v>-0.19764054641940457</v>
      </c>
      <c r="D31" s="18">
        <f>Travel_Data!M13</f>
        <v>-0.72951259045947137</v>
      </c>
      <c r="E31" s="56">
        <f t="shared" si="0"/>
        <v>2</v>
      </c>
      <c r="F31" s="38">
        <f t="shared" si="1"/>
        <v>0.13688196412141573</v>
      </c>
      <c r="G31" s="13" t="str">
        <f t="shared" si="2"/>
        <v>Low impact</v>
      </c>
      <c r="X31" s="18">
        <f t="shared" si="3"/>
        <v>5.2383908375221671</v>
      </c>
      <c r="Y31" s="18">
        <f t="shared" si="3"/>
        <v>0.49930082798688757</v>
      </c>
      <c r="Z31" s="18">
        <f t="shared" si="3"/>
        <v>2.5968346041524537</v>
      </c>
      <c r="AA31" s="56">
        <f t="shared" si="4"/>
        <v>2</v>
      </c>
      <c r="AC31" s="18">
        <f t="shared" si="5"/>
        <v>5.2383908375221671</v>
      </c>
      <c r="AD31" s="18">
        <f t="shared" si="5"/>
        <v>0.36997562638830106</v>
      </c>
      <c r="AE31" s="18">
        <f t="shared" si="5"/>
        <v>2.6418225671069977</v>
      </c>
      <c r="AF31" s="56">
        <f t="shared" si="6"/>
        <v>2</v>
      </c>
      <c r="AH31" s="18">
        <f t="shared" si="7"/>
        <v>5.2383908375221671</v>
      </c>
      <c r="AI31" s="18">
        <f t="shared" si="7"/>
        <v>0.36997562638830106</v>
      </c>
      <c r="AJ31" s="18">
        <f t="shared" si="7"/>
        <v>2.6418225671069977</v>
      </c>
      <c r="AK31" s="56">
        <f t="shared" si="8"/>
        <v>2</v>
      </c>
      <c r="AM31" s="18">
        <f t="shared" si="9"/>
        <v>5.2383908375221671</v>
      </c>
      <c r="AN31" s="18">
        <f t="shared" si="9"/>
        <v>0.36997562638830106</v>
      </c>
      <c r="AO31" s="18">
        <f t="shared" si="9"/>
        <v>2.6418225671069977</v>
      </c>
      <c r="AP31" s="56">
        <f t="shared" si="10"/>
        <v>2</v>
      </c>
      <c r="AR31" s="18">
        <f t="shared" si="11"/>
        <v>5.2383908375221671</v>
      </c>
      <c r="AS31" s="18">
        <f t="shared" si="11"/>
        <v>0.36997562638830106</v>
      </c>
      <c r="AT31" s="18">
        <f t="shared" si="11"/>
        <v>2.6418225671069977</v>
      </c>
      <c r="AU31" s="56">
        <f t="shared" si="12"/>
        <v>2</v>
      </c>
      <c r="AW31" s="18">
        <f t="shared" si="13"/>
        <v>5.2383908375221671</v>
      </c>
      <c r="AX31" s="18">
        <f t="shared" si="13"/>
        <v>0.36997562638830106</v>
      </c>
      <c r="AY31" s="18">
        <f t="shared" si="13"/>
        <v>2.6418225671069977</v>
      </c>
      <c r="AZ31" s="56">
        <f t="shared" si="14"/>
        <v>2</v>
      </c>
      <c r="BB31" s="18">
        <f t="shared" si="15"/>
        <v>5.2383908375221671</v>
      </c>
      <c r="BC31" s="18">
        <f t="shared" si="15"/>
        <v>0.36997562638830106</v>
      </c>
      <c r="BD31" s="18">
        <f t="shared" si="15"/>
        <v>2.6418225671069977</v>
      </c>
      <c r="BE31" s="56">
        <f t="shared" si="16"/>
        <v>2</v>
      </c>
      <c r="BG31" s="18">
        <f t="shared" si="17"/>
        <v>5.2383908375221671</v>
      </c>
      <c r="BH31" s="18">
        <f t="shared" si="17"/>
        <v>0.36997562638830106</v>
      </c>
      <c r="BI31" s="18">
        <f t="shared" si="17"/>
        <v>2.6418225671069977</v>
      </c>
      <c r="BJ31" s="56">
        <f t="shared" si="18"/>
        <v>2</v>
      </c>
    </row>
    <row r="32" spans="1:62" x14ac:dyDescent="0.25">
      <c r="A32" s="36" t="str">
        <f>Travel_Data!A14</f>
        <v>UK</v>
      </c>
      <c r="B32" s="18">
        <f>Travel_Data!K14</f>
        <v>-0.59522483733596365</v>
      </c>
      <c r="C32" s="18">
        <f>Travel_Data!L14</f>
        <v>-0.51820107720199382</v>
      </c>
      <c r="D32" s="18">
        <f>Travel_Data!M14</f>
        <v>-0.72951259045947137</v>
      </c>
      <c r="E32" s="56">
        <f t="shared" si="0"/>
        <v>2</v>
      </c>
      <c r="F32" s="38">
        <f t="shared" si="1"/>
        <v>5.8419806689009195E-2</v>
      </c>
      <c r="G32" s="13" t="str">
        <f t="shared" si="2"/>
        <v>Low impact</v>
      </c>
      <c r="X32" s="18">
        <f t="shared" si="3"/>
        <v>5.4590426810644193</v>
      </c>
      <c r="Y32" s="18">
        <f t="shared" si="3"/>
        <v>0.33570436809437254</v>
      </c>
      <c r="Z32" s="18">
        <f t="shared" si="3"/>
        <v>2.743015929064208</v>
      </c>
      <c r="AA32" s="56">
        <f t="shared" si="4"/>
        <v>2</v>
      </c>
      <c r="AC32" s="18">
        <f t="shared" si="5"/>
        <v>5.4590426810644193</v>
      </c>
      <c r="AD32" s="18">
        <f t="shared" si="5"/>
        <v>0.24170189632894731</v>
      </c>
      <c r="AE32" s="18">
        <f t="shared" si="5"/>
        <v>2.8101160097169964</v>
      </c>
      <c r="AF32" s="56">
        <f t="shared" si="6"/>
        <v>2</v>
      </c>
      <c r="AH32" s="18">
        <f t="shared" si="7"/>
        <v>5.4590426810644193</v>
      </c>
      <c r="AI32" s="18">
        <f t="shared" si="7"/>
        <v>0.24170189632894731</v>
      </c>
      <c r="AJ32" s="18">
        <f t="shared" si="7"/>
        <v>2.8101160097169964</v>
      </c>
      <c r="AK32" s="56">
        <f t="shared" si="8"/>
        <v>2</v>
      </c>
      <c r="AM32" s="18">
        <f t="shared" si="9"/>
        <v>5.4590426810644193</v>
      </c>
      <c r="AN32" s="18">
        <f t="shared" si="9"/>
        <v>0.24170189632894731</v>
      </c>
      <c r="AO32" s="18">
        <f t="shared" si="9"/>
        <v>2.8101160097169964</v>
      </c>
      <c r="AP32" s="56">
        <f t="shared" si="10"/>
        <v>2</v>
      </c>
      <c r="AR32" s="18">
        <f t="shared" si="11"/>
        <v>5.4590426810644193</v>
      </c>
      <c r="AS32" s="18">
        <f t="shared" si="11"/>
        <v>0.24170189632894731</v>
      </c>
      <c r="AT32" s="18">
        <f t="shared" si="11"/>
        <v>2.8101160097169964</v>
      </c>
      <c r="AU32" s="56">
        <f t="shared" si="12"/>
        <v>2</v>
      </c>
      <c r="AW32" s="18">
        <f t="shared" si="13"/>
        <v>5.4590426810644193</v>
      </c>
      <c r="AX32" s="18">
        <f t="shared" si="13"/>
        <v>0.24170189632894731</v>
      </c>
      <c r="AY32" s="18">
        <f t="shared" si="13"/>
        <v>2.8101160097169964</v>
      </c>
      <c r="AZ32" s="56">
        <f t="shared" si="14"/>
        <v>2</v>
      </c>
      <c r="BB32" s="18">
        <f t="shared" si="15"/>
        <v>5.4590426810644193</v>
      </c>
      <c r="BC32" s="18">
        <f t="shared" si="15"/>
        <v>0.24170189632894731</v>
      </c>
      <c r="BD32" s="18">
        <f t="shared" si="15"/>
        <v>2.8101160097169964</v>
      </c>
      <c r="BE32" s="56">
        <f t="shared" si="16"/>
        <v>2</v>
      </c>
      <c r="BG32" s="18">
        <f t="shared" si="17"/>
        <v>5.4590426810644193</v>
      </c>
      <c r="BH32" s="18">
        <f t="shared" si="17"/>
        <v>0.24170189632894731</v>
      </c>
      <c r="BI32" s="18">
        <f t="shared" si="17"/>
        <v>2.8101160097169964</v>
      </c>
      <c r="BJ32" s="56">
        <f t="shared" si="18"/>
        <v>2</v>
      </c>
    </row>
    <row r="33" spans="1:62" x14ac:dyDescent="0.25">
      <c r="A33" s="36" t="str">
        <f>Travel_Data!A15</f>
        <v>China</v>
      </c>
      <c r="B33" s="18">
        <f>Travel_Data!K15</f>
        <v>-0.80703071157060802</v>
      </c>
      <c r="C33" s="18">
        <f>Travel_Data!L15</f>
        <v>-0.51820107720199382</v>
      </c>
      <c r="D33" s="18">
        <f>Travel_Data!M15</f>
        <v>-0.72951259045947137</v>
      </c>
      <c r="E33" s="56">
        <f t="shared" si="0"/>
        <v>2</v>
      </c>
      <c r="F33" s="38">
        <f t="shared" si="1"/>
        <v>0.13849955591075083</v>
      </c>
      <c r="G33" s="13" t="str">
        <f t="shared" si="2"/>
        <v>Low impact</v>
      </c>
      <c r="X33" s="18">
        <f t="shared" si="3"/>
        <v>5.5742611092274963</v>
      </c>
      <c r="Y33" s="18">
        <f t="shared" si="3"/>
        <v>0.12389849385972818</v>
      </c>
      <c r="Z33" s="18">
        <f t="shared" si="3"/>
        <v>2.8701983754955722</v>
      </c>
      <c r="AA33" s="56">
        <f t="shared" si="4"/>
        <v>2</v>
      </c>
      <c r="AC33" s="18">
        <f t="shared" si="5"/>
        <v>5.5742611092274963</v>
      </c>
      <c r="AD33" s="18">
        <f t="shared" si="5"/>
        <v>0.37215528467395276</v>
      </c>
      <c r="AE33" s="18">
        <f t="shared" si="5"/>
        <v>2.943536888345327</v>
      </c>
      <c r="AF33" s="56">
        <f t="shared" si="6"/>
        <v>2</v>
      </c>
      <c r="AH33" s="18">
        <f t="shared" si="7"/>
        <v>5.5742611092274963</v>
      </c>
      <c r="AI33" s="18">
        <f t="shared" si="7"/>
        <v>0.37215528467395276</v>
      </c>
      <c r="AJ33" s="18">
        <f t="shared" si="7"/>
        <v>2.943536888345327</v>
      </c>
      <c r="AK33" s="56">
        <f t="shared" si="8"/>
        <v>2</v>
      </c>
      <c r="AM33" s="18">
        <f t="shared" si="9"/>
        <v>5.5742611092274963</v>
      </c>
      <c r="AN33" s="18">
        <f t="shared" si="9"/>
        <v>0.37215528467395276</v>
      </c>
      <c r="AO33" s="18">
        <f t="shared" si="9"/>
        <v>2.943536888345327</v>
      </c>
      <c r="AP33" s="56">
        <f t="shared" si="10"/>
        <v>2</v>
      </c>
      <c r="AR33" s="18">
        <f t="shared" si="11"/>
        <v>5.5742611092274963</v>
      </c>
      <c r="AS33" s="18">
        <f t="shared" si="11"/>
        <v>0.37215528467395276</v>
      </c>
      <c r="AT33" s="18">
        <f t="shared" si="11"/>
        <v>2.943536888345327</v>
      </c>
      <c r="AU33" s="56">
        <f t="shared" si="12"/>
        <v>2</v>
      </c>
      <c r="AW33" s="18">
        <f t="shared" si="13"/>
        <v>5.5742611092274963</v>
      </c>
      <c r="AX33" s="18">
        <f t="shared" si="13"/>
        <v>0.37215528467395276</v>
      </c>
      <c r="AY33" s="18">
        <f t="shared" si="13"/>
        <v>2.943536888345327</v>
      </c>
      <c r="AZ33" s="56">
        <f t="shared" si="14"/>
        <v>2</v>
      </c>
      <c r="BB33" s="18">
        <f t="shared" si="15"/>
        <v>5.5742611092274963</v>
      </c>
      <c r="BC33" s="18">
        <f t="shared" si="15"/>
        <v>0.37215528467395276</v>
      </c>
      <c r="BD33" s="18">
        <f t="shared" si="15"/>
        <v>2.943536888345327</v>
      </c>
      <c r="BE33" s="56">
        <f t="shared" si="16"/>
        <v>2</v>
      </c>
      <c r="BG33" s="18">
        <f t="shared" si="17"/>
        <v>5.5742611092274963</v>
      </c>
      <c r="BH33" s="18">
        <f t="shared" si="17"/>
        <v>0.37215528467395276</v>
      </c>
      <c r="BI33" s="18">
        <f t="shared" si="17"/>
        <v>2.943536888345327</v>
      </c>
      <c r="BJ33" s="56">
        <f t="shared" si="18"/>
        <v>2</v>
      </c>
    </row>
    <row r="34" spans="1:62" x14ac:dyDescent="0.25">
      <c r="A34" s="36" t="str">
        <f>Travel_Data!A16</f>
        <v>India</v>
      </c>
      <c r="B34" s="18">
        <f>Travel_Data!K16</f>
        <v>-0.80703071157060802</v>
      </c>
      <c r="C34" s="18">
        <f>Travel_Data!L16</f>
        <v>-0.51820107720199382</v>
      </c>
      <c r="D34" s="18">
        <f>Travel_Data!M16</f>
        <v>0.27951617573823279</v>
      </c>
      <c r="E34" s="56">
        <f t="shared" si="0"/>
        <v>2</v>
      </c>
      <c r="F34" s="38">
        <f t="shared" si="1"/>
        <v>0.70242449107762983</v>
      </c>
      <c r="G34" s="13" t="str">
        <f t="shared" si="2"/>
        <v>Low impact</v>
      </c>
      <c r="X34" s="18">
        <f t="shared" si="3"/>
        <v>5.0791525588231217</v>
      </c>
      <c r="Y34" s="18">
        <f t="shared" si="3"/>
        <v>1.0166070468943103</v>
      </c>
      <c r="Z34" s="18">
        <f t="shared" si="3"/>
        <v>2.3172428045231306</v>
      </c>
      <c r="AA34" s="56">
        <f t="shared" si="4"/>
        <v>2</v>
      </c>
      <c r="AC34" s="18">
        <f t="shared" si="5"/>
        <v>5.0791525588231217</v>
      </c>
      <c r="AD34" s="18">
        <f t="shared" si="5"/>
        <v>0.83810768465491936</v>
      </c>
      <c r="AE34" s="18">
        <f t="shared" si="5"/>
        <v>2.4666955117637754</v>
      </c>
      <c r="AF34" s="56">
        <f t="shared" si="6"/>
        <v>2</v>
      </c>
      <c r="AH34" s="18">
        <f t="shared" si="7"/>
        <v>5.0791525588231217</v>
      </c>
      <c r="AI34" s="18">
        <f t="shared" si="7"/>
        <v>0.83810768465491936</v>
      </c>
      <c r="AJ34" s="18">
        <f t="shared" si="7"/>
        <v>2.4666955117637754</v>
      </c>
      <c r="AK34" s="56">
        <f t="shared" si="8"/>
        <v>2</v>
      </c>
      <c r="AM34" s="18">
        <f t="shared" si="9"/>
        <v>5.0791525588231217</v>
      </c>
      <c r="AN34" s="18">
        <f t="shared" si="9"/>
        <v>0.83810768465491936</v>
      </c>
      <c r="AO34" s="18">
        <f t="shared" si="9"/>
        <v>2.4666955117637754</v>
      </c>
      <c r="AP34" s="56">
        <f t="shared" si="10"/>
        <v>2</v>
      </c>
      <c r="AR34" s="18">
        <f t="shared" si="11"/>
        <v>5.0791525588231217</v>
      </c>
      <c r="AS34" s="18">
        <f t="shared" si="11"/>
        <v>0.83810768465491936</v>
      </c>
      <c r="AT34" s="18">
        <f t="shared" si="11"/>
        <v>2.4666955117637754</v>
      </c>
      <c r="AU34" s="56">
        <f t="shared" si="12"/>
        <v>2</v>
      </c>
      <c r="AW34" s="18">
        <f t="shared" si="13"/>
        <v>5.0791525588231217</v>
      </c>
      <c r="AX34" s="18">
        <f t="shared" si="13"/>
        <v>0.83810768465491936</v>
      </c>
      <c r="AY34" s="18">
        <f t="shared" si="13"/>
        <v>2.4666955117637754</v>
      </c>
      <c r="AZ34" s="56">
        <f t="shared" si="14"/>
        <v>2</v>
      </c>
      <c r="BB34" s="18">
        <f t="shared" si="15"/>
        <v>5.0791525588231217</v>
      </c>
      <c r="BC34" s="18">
        <f t="shared" si="15"/>
        <v>0.83810768465491936</v>
      </c>
      <c r="BD34" s="18">
        <f t="shared" si="15"/>
        <v>2.4666955117637754</v>
      </c>
      <c r="BE34" s="56">
        <f t="shared" si="16"/>
        <v>2</v>
      </c>
      <c r="BG34" s="18">
        <f t="shared" si="17"/>
        <v>5.0791525588231217</v>
      </c>
      <c r="BH34" s="18">
        <f t="shared" si="17"/>
        <v>0.83810768465491936</v>
      </c>
      <c r="BI34" s="18">
        <f t="shared" si="17"/>
        <v>2.4666955117637754</v>
      </c>
      <c r="BJ34" s="56">
        <f t="shared" si="18"/>
        <v>2</v>
      </c>
    </row>
    <row r="35" spans="1:62" x14ac:dyDescent="0.25">
      <c r="A35" s="36" t="str">
        <f>Travel_Data!A17</f>
        <v>Dubai</v>
      </c>
      <c r="B35" s="18">
        <f>Travel_Data!K17</f>
        <v>-0.93092920543033619</v>
      </c>
      <c r="C35" s="18">
        <f>Travel_Data!L17</f>
        <v>-0.51820107720199382</v>
      </c>
      <c r="D35" s="18">
        <f>Travel_Data!M17</f>
        <v>-0.51484570252909068</v>
      </c>
      <c r="E35" s="56">
        <f t="shared" si="0"/>
        <v>2</v>
      </c>
      <c r="F35" s="38">
        <f t="shared" si="1"/>
        <v>0.17638608402055983</v>
      </c>
      <c r="G35" s="13" t="str">
        <f t="shared" si="2"/>
        <v>Low impact</v>
      </c>
      <c r="X35" s="18">
        <f t="shared" si="3"/>
        <v>5.528556334580502</v>
      </c>
      <c r="Y35" s="18">
        <f t="shared" si="3"/>
        <v>0.21466688793038069</v>
      </c>
      <c r="Z35" s="18">
        <f t="shared" si="3"/>
        <v>2.813622022697472</v>
      </c>
      <c r="AA35" s="56">
        <f t="shared" si="4"/>
        <v>2</v>
      </c>
      <c r="AC35" s="18">
        <f t="shared" si="5"/>
        <v>5.528556334580502</v>
      </c>
      <c r="AD35" s="18">
        <f t="shared" si="5"/>
        <v>0.41998343303106594</v>
      </c>
      <c r="AE35" s="18">
        <f t="shared" si="5"/>
        <v>2.9044247627449877</v>
      </c>
      <c r="AF35" s="56">
        <f t="shared" si="6"/>
        <v>2</v>
      </c>
      <c r="AH35" s="18">
        <f t="shared" si="7"/>
        <v>5.528556334580502</v>
      </c>
      <c r="AI35" s="18">
        <f t="shared" si="7"/>
        <v>0.41998343303106594</v>
      </c>
      <c r="AJ35" s="18">
        <f t="shared" si="7"/>
        <v>2.9044247627449877</v>
      </c>
      <c r="AK35" s="56">
        <f t="shared" si="8"/>
        <v>2</v>
      </c>
      <c r="AM35" s="18">
        <f t="shared" si="9"/>
        <v>5.528556334580502</v>
      </c>
      <c r="AN35" s="18">
        <f t="shared" si="9"/>
        <v>0.41998343303106594</v>
      </c>
      <c r="AO35" s="18">
        <f t="shared" si="9"/>
        <v>2.9044247627449877</v>
      </c>
      <c r="AP35" s="56">
        <f t="shared" si="10"/>
        <v>2</v>
      </c>
      <c r="AR35" s="18">
        <f t="shared" si="11"/>
        <v>5.528556334580502</v>
      </c>
      <c r="AS35" s="18">
        <f t="shared" si="11"/>
        <v>0.41998343303106594</v>
      </c>
      <c r="AT35" s="18">
        <f t="shared" si="11"/>
        <v>2.9044247627449877</v>
      </c>
      <c r="AU35" s="56">
        <f t="shared" si="12"/>
        <v>2</v>
      </c>
      <c r="AW35" s="18">
        <f t="shared" si="13"/>
        <v>5.528556334580502</v>
      </c>
      <c r="AX35" s="18">
        <f t="shared" si="13"/>
        <v>0.41998343303106594</v>
      </c>
      <c r="AY35" s="18">
        <f t="shared" si="13"/>
        <v>2.9044247627449877</v>
      </c>
      <c r="AZ35" s="56">
        <f t="shared" si="14"/>
        <v>2</v>
      </c>
      <c r="BB35" s="18">
        <f t="shared" si="15"/>
        <v>5.528556334580502</v>
      </c>
      <c r="BC35" s="18">
        <f t="shared" si="15"/>
        <v>0.41998343303106594</v>
      </c>
      <c r="BD35" s="18">
        <f t="shared" si="15"/>
        <v>2.9044247627449877</v>
      </c>
      <c r="BE35" s="56">
        <f t="shared" si="16"/>
        <v>2</v>
      </c>
      <c r="BG35" s="18">
        <f t="shared" si="17"/>
        <v>5.528556334580502</v>
      </c>
      <c r="BH35" s="18">
        <f t="shared" si="17"/>
        <v>0.41998343303106594</v>
      </c>
      <c r="BI35" s="18">
        <f t="shared" si="17"/>
        <v>2.9044247627449877</v>
      </c>
      <c r="BJ35" s="56">
        <f t="shared" si="18"/>
        <v>2</v>
      </c>
    </row>
    <row r="36" spans="1:62" x14ac:dyDescent="0.25">
      <c r="A36" s="36" t="str">
        <f>Travel_Data!A18</f>
        <v>Local - Covid Relative</v>
      </c>
      <c r="B36" s="18">
        <f>Travel_Data!K18</f>
        <v>-0.93092920543033619</v>
      </c>
      <c r="C36" s="18">
        <f>Travel_Data!L18</f>
        <v>-0.51820107720199382</v>
      </c>
      <c r="D36" s="18">
        <f>Travel_Data!M18</f>
        <v>-0.72951259045947137</v>
      </c>
      <c r="E36" s="56">
        <f t="shared" si="0"/>
        <v>2</v>
      </c>
      <c r="F36" s="38">
        <f t="shared" si="1"/>
        <v>0.22693647186164839</v>
      </c>
      <c r="G36" s="13" t="str">
        <f t="shared" si="2"/>
        <v>Low impact</v>
      </c>
      <c r="X36" s="18">
        <f t="shared" si="3"/>
        <v>5.6442544115366013</v>
      </c>
      <c r="Y36" s="18">
        <f t="shared" si="3"/>
        <v>0</v>
      </c>
      <c r="Z36" s="18">
        <f t="shared" si="3"/>
        <v>2.9491080127910707</v>
      </c>
      <c r="AA36" s="56">
        <f t="shared" si="4"/>
        <v>2</v>
      </c>
      <c r="AC36" s="18">
        <f t="shared" si="5"/>
        <v>5.6442544115366013</v>
      </c>
      <c r="AD36" s="18">
        <f t="shared" si="5"/>
        <v>0.47637849643077762</v>
      </c>
      <c r="AE36" s="18">
        <f t="shared" si="5"/>
        <v>3.0257318925597656</v>
      </c>
      <c r="AF36" s="56">
        <f t="shared" si="6"/>
        <v>2</v>
      </c>
      <c r="AH36" s="18">
        <f t="shared" si="7"/>
        <v>5.6442544115366013</v>
      </c>
      <c r="AI36" s="18">
        <f t="shared" si="7"/>
        <v>0.47637849643077762</v>
      </c>
      <c r="AJ36" s="18">
        <f t="shared" si="7"/>
        <v>3.0257318925597656</v>
      </c>
      <c r="AK36" s="56">
        <f t="shared" si="8"/>
        <v>2</v>
      </c>
      <c r="AM36" s="18">
        <f t="shared" si="9"/>
        <v>5.6442544115366013</v>
      </c>
      <c r="AN36" s="18">
        <f t="shared" si="9"/>
        <v>0.47637849643077762</v>
      </c>
      <c r="AO36" s="18">
        <f t="shared" si="9"/>
        <v>3.0257318925597656</v>
      </c>
      <c r="AP36" s="56">
        <f t="shared" si="10"/>
        <v>2</v>
      </c>
      <c r="AR36" s="18">
        <f t="shared" si="11"/>
        <v>5.6442544115366013</v>
      </c>
      <c r="AS36" s="18">
        <f t="shared" si="11"/>
        <v>0.47637849643077762</v>
      </c>
      <c r="AT36" s="18">
        <f t="shared" si="11"/>
        <v>3.0257318925597656</v>
      </c>
      <c r="AU36" s="56">
        <f t="shared" si="12"/>
        <v>2</v>
      </c>
      <c r="AW36" s="18">
        <f t="shared" si="13"/>
        <v>5.6442544115366013</v>
      </c>
      <c r="AX36" s="18">
        <f t="shared" si="13"/>
        <v>0.47637849643077762</v>
      </c>
      <c r="AY36" s="18">
        <f t="shared" si="13"/>
        <v>3.0257318925597656</v>
      </c>
      <c r="AZ36" s="56">
        <f t="shared" si="14"/>
        <v>2</v>
      </c>
      <c r="BB36" s="18">
        <f t="shared" si="15"/>
        <v>5.6442544115366013</v>
      </c>
      <c r="BC36" s="18">
        <f t="shared" si="15"/>
        <v>0.47637849643077762</v>
      </c>
      <c r="BD36" s="18">
        <f t="shared" si="15"/>
        <v>3.0257318925597656</v>
      </c>
      <c r="BE36" s="56">
        <f t="shared" si="16"/>
        <v>2</v>
      </c>
      <c r="BG36" s="18">
        <f t="shared" si="17"/>
        <v>5.6442544115366013</v>
      </c>
      <c r="BH36" s="18">
        <f t="shared" si="17"/>
        <v>0.47637849643077762</v>
      </c>
      <c r="BI36" s="18">
        <f t="shared" si="17"/>
        <v>3.0257318925597656</v>
      </c>
      <c r="BJ36" s="56">
        <f t="shared" si="18"/>
        <v>2</v>
      </c>
    </row>
    <row r="37" spans="1:62" x14ac:dyDescent="0.25">
      <c r="A37" s="36" t="str">
        <f>Travel_Data!A19</f>
        <v>USA</v>
      </c>
      <c r="B37" s="18">
        <f>Travel_Data!K19</f>
        <v>-0.93092920543033619</v>
      </c>
      <c r="C37" s="18">
        <f>Travel_Data!L19</f>
        <v>-0.51820107720199382</v>
      </c>
      <c r="D37" s="18">
        <f>Travel_Data!M19</f>
        <v>-0.72951259045947137</v>
      </c>
      <c r="E37" s="56">
        <f t="shared" si="0"/>
        <v>2</v>
      </c>
      <c r="F37" s="38">
        <f t="shared" si="1"/>
        <v>0.22693647186164839</v>
      </c>
      <c r="G37" s="13" t="str">
        <f t="shared" si="2"/>
        <v>Low impact</v>
      </c>
      <c r="X37" s="18">
        <f t="shared" si="3"/>
        <v>5.6442544115366013</v>
      </c>
      <c r="Y37" s="18">
        <f t="shared" si="3"/>
        <v>0</v>
      </c>
      <c r="Z37" s="18">
        <f t="shared" si="3"/>
        <v>2.9491080127910707</v>
      </c>
      <c r="AA37" s="56">
        <f t="shared" si="4"/>
        <v>2</v>
      </c>
      <c r="AC37" s="18">
        <f t="shared" si="5"/>
        <v>5.6442544115366013</v>
      </c>
      <c r="AD37" s="18">
        <f t="shared" si="5"/>
        <v>0.47637849643077762</v>
      </c>
      <c r="AE37" s="18">
        <f t="shared" si="5"/>
        <v>3.0257318925597656</v>
      </c>
      <c r="AF37" s="56">
        <f t="shared" si="6"/>
        <v>2</v>
      </c>
      <c r="AH37" s="18">
        <f t="shared" si="7"/>
        <v>5.6442544115366013</v>
      </c>
      <c r="AI37" s="18">
        <f t="shared" si="7"/>
        <v>0.47637849643077762</v>
      </c>
      <c r="AJ37" s="18">
        <f t="shared" si="7"/>
        <v>3.0257318925597656</v>
      </c>
      <c r="AK37" s="56">
        <f t="shared" si="8"/>
        <v>2</v>
      </c>
      <c r="AM37" s="18">
        <f t="shared" si="9"/>
        <v>5.6442544115366013</v>
      </c>
      <c r="AN37" s="18">
        <f t="shared" si="9"/>
        <v>0.47637849643077762</v>
      </c>
      <c r="AO37" s="18">
        <f t="shared" si="9"/>
        <v>3.0257318925597656</v>
      </c>
      <c r="AP37" s="56">
        <f t="shared" si="10"/>
        <v>2</v>
      </c>
      <c r="AR37" s="18">
        <f t="shared" si="11"/>
        <v>5.6442544115366013</v>
      </c>
      <c r="AS37" s="18">
        <f t="shared" si="11"/>
        <v>0.47637849643077762</v>
      </c>
      <c r="AT37" s="18">
        <f t="shared" si="11"/>
        <v>3.0257318925597656</v>
      </c>
      <c r="AU37" s="56">
        <f t="shared" si="12"/>
        <v>2</v>
      </c>
      <c r="AW37" s="18">
        <f t="shared" si="13"/>
        <v>5.6442544115366013</v>
      </c>
      <c r="AX37" s="18">
        <f t="shared" si="13"/>
        <v>0.47637849643077762</v>
      </c>
      <c r="AY37" s="18">
        <f t="shared" si="13"/>
        <v>3.0257318925597656</v>
      </c>
      <c r="AZ37" s="56">
        <f t="shared" si="14"/>
        <v>2</v>
      </c>
      <c r="BB37" s="18">
        <f t="shared" si="15"/>
        <v>5.6442544115366013</v>
      </c>
      <c r="BC37" s="18">
        <f t="shared" si="15"/>
        <v>0.47637849643077762</v>
      </c>
      <c r="BD37" s="18">
        <f t="shared" si="15"/>
        <v>3.0257318925597656</v>
      </c>
      <c r="BE37" s="56">
        <f t="shared" si="16"/>
        <v>2</v>
      </c>
      <c r="BG37" s="18">
        <f t="shared" si="17"/>
        <v>5.6442544115366013</v>
      </c>
      <c r="BH37" s="18">
        <f t="shared" si="17"/>
        <v>0.47637849643077762</v>
      </c>
      <c r="BI37" s="18">
        <f t="shared" si="17"/>
        <v>3.0257318925597656</v>
      </c>
      <c r="BJ37" s="56">
        <f t="shared" si="18"/>
        <v>2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548235"/>
    <pageSetUpPr fitToPage="1"/>
  </sheetPr>
  <dimension ref="A1:A2"/>
  <sheetViews>
    <sheetView showGridLines="0" topLeftCell="A18" zoomScaleNormal="100" workbookViewId="0"/>
  </sheetViews>
  <sheetFormatPr defaultColWidth="8.7109375" defaultRowHeight="15" x14ac:dyDescent="0.25"/>
  <cols>
    <col min="1" max="22" width="12" customWidth="1"/>
  </cols>
  <sheetData>
    <row r="1" spans="1:1" ht="20.25" x14ac:dyDescent="0.3">
      <c r="A1" s="8" t="s">
        <v>533</v>
      </c>
    </row>
    <row r="2" spans="1:1" x14ac:dyDescent="0.25">
      <c r="A2" s="9" t="s">
        <v>534</v>
      </c>
    </row>
  </sheetData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48235"/>
    <pageSetUpPr fitToPage="1"/>
  </sheetPr>
  <dimension ref="A1:AA121"/>
  <sheetViews>
    <sheetView showGridLines="0" topLeftCell="M1" zoomScaleNormal="100" workbookViewId="0"/>
  </sheetViews>
  <sheetFormatPr defaultColWidth="8.7109375" defaultRowHeight="15" x14ac:dyDescent="0.25"/>
  <cols>
    <col min="1" max="40" width="12" customWidth="1"/>
  </cols>
  <sheetData>
    <row r="1" spans="1:27" ht="20.25" x14ac:dyDescent="0.3">
      <c r="A1" s="8" t="s">
        <v>535</v>
      </c>
    </row>
    <row r="2" spans="1:27" x14ac:dyDescent="0.25">
      <c r="A2" s="9" t="s">
        <v>536</v>
      </c>
    </row>
    <row r="3" spans="1:27" x14ac:dyDescent="0.25">
      <c r="A3" s="40" t="s">
        <v>448</v>
      </c>
      <c r="H3" s="40" t="s">
        <v>519</v>
      </c>
      <c r="O3" s="40" t="s">
        <v>525</v>
      </c>
      <c r="V3" s="40" t="s">
        <v>531</v>
      </c>
    </row>
    <row r="4" spans="1:27" ht="19.5" customHeight="1" x14ac:dyDescent="0.25">
      <c r="A4" s="11" t="s">
        <v>537</v>
      </c>
      <c r="B4" s="11" t="s">
        <v>538</v>
      </c>
      <c r="C4" s="11" t="s">
        <v>539</v>
      </c>
      <c r="D4" s="11" t="s">
        <v>540</v>
      </c>
      <c r="E4" s="11" t="s">
        <v>541</v>
      </c>
      <c r="F4" s="11" t="s">
        <v>542</v>
      </c>
      <c r="H4" s="11" t="s">
        <v>537</v>
      </c>
      <c r="I4" s="11" t="s">
        <v>538</v>
      </c>
      <c r="J4" s="11" t="s">
        <v>539</v>
      </c>
      <c r="K4" s="11" t="s">
        <v>540</v>
      </c>
      <c r="L4" s="11" t="s">
        <v>541</v>
      </c>
      <c r="M4" s="11" t="s">
        <v>542</v>
      </c>
      <c r="O4" s="11" t="s">
        <v>537</v>
      </c>
      <c r="P4" s="11" t="s">
        <v>538</v>
      </c>
      <c r="Q4" s="11" t="s">
        <v>539</v>
      </c>
      <c r="R4" s="11" t="s">
        <v>540</v>
      </c>
      <c r="S4" s="11" t="s">
        <v>541</v>
      </c>
      <c r="T4" s="11" t="s">
        <v>542</v>
      </c>
      <c r="V4" s="11" t="s">
        <v>537</v>
      </c>
      <c r="W4" s="11" t="s">
        <v>538</v>
      </c>
      <c r="X4" s="11" t="s">
        <v>539</v>
      </c>
      <c r="Y4" s="11" t="s">
        <v>540</v>
      </c>
      <c r="Z4" s="11" t="s">
        <v>541</v>
      </c>
      <c r="AA4" s="11" t="s">
        <v>542</v>
      </c>
    </row>
    <row r="5" spans="1:27" x14ac:dyDescent="0.25">
      <c r="A5" s="64">
        <f>IF(KMeans_City!$E23=1,KMeans_City!$B23,NA())</f>
        <v>3.2743087782752069</v>
      </c>
      <c r="B5" s="64">
        <f>IF(KMeans_City!$E23=1,KMeans_City!$C23,NA())</f>
        <v>4.0388517969113016</v>
      </c>
      <c r="C5" s="64" t="e">
        <f>IF(KMeans_City!$E23=2,KMeans_City!$B23,NA())</f>
        <v>#N/A</v>
      </c>
      <c r="D5" s="64" t="e">
        <f>IF(KMeans_City!$E23=2,KMeans_City!$C23,NA())</f>
        <v>#N/A</v>
      </c>
      <c r="E5" s="64" t="e">
        <f>IF(KMeans_City!$E23=3,KMeans_City!$B23,NA())</f>
        <v>#N/A</v>
      </c>
      <c r="F5" s="64" t="e">
        <f>IF(KMeans_City!$E23=3,KMeans_City!$C23,NA())</f>
        <v>#N/A</v>
      </c>
      <c r="H5" s="64">
        <f>IF(KMeans_Province!$E23=1,KMeans_Province!$B23,NA())</f>
        <v>1.1079996031362669</v>
      </c>
      <c r="I5" s="64">
        <f>IF(KMeans_Province!$E23=1,KMeans_Province!$C23,NA())</f>
        <v>1.070951178441117</v>
      </c>
      <c r="J5" s="64" t="e">
        <f>IF(KMeans_Province!$E23=2,KMeans_Province!$B23,NA())</f>
        <v>#N/A</v>
      </c>
      <c r="K5" s="64" t="e">
        <f>IF(KMeans_Province!$E23=2,KMeans_Province!$C23,NA())</f>
        <v>#N/A</v>
      </c>
      <c r="L5" s="64" t="e">
        <f>IF(KMeans_Province!$E23=3,KMeans_Province!$B23,NA())</f>
        <v>#N/A</v>
      </c>
      <c r="M5" s="64" t="e">
        <f>IF(KMeans_Province!$E23=3,KMeans_Province!$C23,NA())</f>
        <v>#N/A</v>
      </c>
      <c r="O5" s="64">
        <f>IF(KMeans_Phase!$E23=1,KMeans_Phase!$A23,NA())</f>
        <v>43887</v>
      </c>
      <c r="P5" s="64">
        <f>IF(KMeans_Phase!$E23=1,Phase_Data!$C5,NA())</f>
        <v>3</v>
      </c>
      <c r="Q5" s="64" t="e">
        <f>IF(KMeans_Phase!$E23=2,KMeans_Phase!$A23,NA())</f>
        <v>#N/A</v>
      </c>
      <c r="R5" s="64" t="e">
        <f>IF(KMeans_Phase!$E23=2,Phase_Data!$C5,NA())</f>
        <v>#N/A</v>
      </c>
      <c r="S5" s="64" t="e">
        <f>IF(KMeans_Phase!$E23=3,KMeans_Phase!$A23,NA())</f>
        <v>#N/A</v>
      </c>
      <c r="T5" s="64" t="e">
        <f>IF(KMeans_Phase!$E23=3,Phase_Data!$C5,NA())</f>
        <v>#N/A</v>
      </c>
      <c r="V5" s="64">
        <f>IF(KMeans_Travel!$E23=1,KMeans_Travel!$B23,NA())</f>
        <v>2.2998275218923658</v>
      </c>
      <c r="W5" s="64">
        <f>IF(KMeans_Travel!$E23=1,KMeans_Travel!$C23,NA())</f>
        <v>2.9018223562127909</v>
      </c>
      <c r="X5" s="64" t="e">
        <f>IF(KMeans_Travel!$E23=2,KMeans_Travel!$B23,NA())</f>
        <v>#N/A</v>
      </c>
      <c r="Y5" s="64" t="e">
        <f>IF(KMeans_Travel!$E23=2,KMeans_Travel!$C23,NA())</f>
        <v>#N/A</v>
      </c>
      <c r="Z5" s="64" t="e">
        <f>IF(KMeans_Travel!$E23=3,KMeans_Travel!$B23,NA())</f>
        <v>#N/A</v>
      </c>
      <c r="AA5" s="64" t="e">
        <f>IF(KMeans_Travel!$E23=3,KMeans_Travel!$C23,NA())</f>
        <v>#N/A</v>
      </c>
    </row>
    <row r="6" spans="1:27" x14ac:dyDescent="0.25">
      <c r="A6" s="64">
        <f>IF(KMeans_City!$E24=1,KMeans_City!$B24,NA())</f>
        <v>3.2501513961754349</v>
      </c>
      <c r="B6" s="64">
        <f>IF(KMeans_City!$E24=1,KMeans_City!$C24,NA())</f>
        <v>4.1568410370911772</v>
      </c>
      <c r="C6" s="64" t="e">
        <f>IF(KMeans_City!$E24=2,KMeans_City!$B24,NA())</f>
        <v>#N/A</v>
      </c>
      <c r="D6" s="64" t="e">
        <f>IF(KMeans_City!$E24=2,KMeans_City!$C24,NA())</f>
        <v>#N/A</v>
      </c>
      <c r="E6" s="64" t="e">
        <f>IF(KMeans_City!$E24=3,KMeans_City!$B24,NA())</f>
        <v>#N/A</v>
      </c>
      <c r="F6" s="64" t="e">
        <f>IF(KMeans_City!$E24=3,KMeans_City!$C24,NA())</f>
        <v>#N/A</v>
      </c>
      <c r="H6" s="64">
        <f>IF(KMeans_Province!$E24=1,KMeans_Province!$B24,NA())</f>
        <v>1.0838104247566931</v>
      </c>
      <c r="I6" s="64">
        <f>IF(KMeans_Province!$E24=1,KMeans_Province!$C24,NA())</f>
        <v>1.1097505112137804</v>
      </c>
      <c r="J6" s="64" t="e">
        <f>IF(KMeans_Province!$E24=2,KMeans_Province!$B24,NA())</f>
        <v>#N/A</v>
      </c>
      <c r="K6" s="64" t="e">
        <f>IF(KMeans_Province!$E24=2,KMeans_Province!$C24,NA())</f>
        <v>#N/A</v>
      </c>
      <c r="L6" s="64" t="e">
        <f>IF(KMeans_Province!$E24=3,KMeans_Province!$B24,NA())</f>
        <v>#N/A</v>
      </c>
      <c r="M6" s="64" t="e">
        <f>IF(KMeans_Province!$E24=3,KMeans_Province!$C24,NA())</f>
        <v>#N/A</v>
      </c>
      <c r="O6" s="64">
        <f>IF(KMeans_Phase!$E24=1,KMeans_Phase!$A24,NA())</f>
        <v>43888</v>
      </c>
      <c r="P6" s="64">
        <f>IF(KMeans_Phase!$E24=1,Phase_Data!$C6,NA())</f>
        <v>0</v>
      </c>
      <c r="Q6" s="64" t="e">
        <f>IF(KMeans_Phase!$E24=2,KMeans_Phase!$A24,NA())</f>
        <v>#N/A</v>
      </c>
      <c r="R6" s="64" t="e">
        <f>IF(KMeans_Phase!$E24=2,Phase_Data!$C6,NA())</f>
        <v>#N/A</v>
      </c>
      <c r="S6" s="64" t="e">
        <f>IF(KMeans_Phase!$E24=3,KMeans_Phase!$A24,NA())</f>
        <v>#N/A</v>
      </c>
      <c r="T6" s="64" t="e">
        <f>IF(KMeans_Phase!$E24=3,Phase_Data!$C6,NA())</f>
        <v>#N/A</v>
      </c>
      <c r="V6" s="64" t="e">
        <f>IF(KMeans_Travel!$E24=1,KMeans_Travel!$B24,NA())</f>
        <v>#N/A</v>
      </c>
      <c r="W6" s="64" t="e">
        <f>IF(KMeans_Travel!$E24=1,KMeans_Travel!$C24,NA())</f>
        <v>#N/A</v>
      </c>
      <c r="X6" s="64" t="e">
        <f>IF(KMeans_Travel!$E24=2,KMeans_Travel!$B24,NA())</f>
        <v>#N/A</v>
      </c>
      <c r="Y6" s="64" t="e">
        <f>IF(KMeans_Travel!$E24=2,KMeans_Travel!$C24,NA())</f>
        <v>#N/A</v>
      </c>
      <c r="Z6" s="64">
        <f>IF(KMeans_Travel!$E24=3,KMeans_Travel!$B24,NA())</f>
        <v>1.347372610216069</v>
      </c>
      <c r="AA6" s="64">
        <f>IF(KMeans_Travel!$E24=3,KMeans_Travel!$C24,NA())</f>
        <v>1.5363966832794247</v>
      </c>
    </row>
    <row r="7" spans="1:27" x14ac:dyDescent="0.25">
      <c r="A7" s="64">
        <f>IF(KMeans_City!$E25=1,KMeans_City!$B25,NA())</f>
        <v>2.3645319122764876</v>
      </c>
      <c r="B7" s="64">
        <f>IF(KMeans_City!$E25=1,KMeans_City!$C25,NA())</f>
        <v>2.2941407285360271</v>
      </c>
      <c r="C7" s="64" t="e">
        <f>IF(KMeans_City!$E25=2,KMeans_City!$B25,NA())</f>
        <v>#N/A</v>
      </c>
      <c r="D7" s="64" t="e">
        <f>IF(KMeans_City!$E25=2,KMeans_City!$C25,NA())</f>
        <v>#N/A</v>
      </c>
      <c r="E7" s="64" t="e">
        <f>IF(KMeans_City!$E25=3,KMeans_City!$B25,NA())</f>
        <v>#N/A</v>
      </c>
      <c r="F7" s="64" t="e">
        <f>IF(KMeans_City!$E25=3,KMeans_City!$C25,NA())</f>
        <v>#N/A</v>
      </c>
      <c r="H7" s="64">
        <f>IF(KMeans_Province!$E25=1,KMeans_Province!$B25,NA())</f>
        <v>0.5971424915912471</v>
      </c>
      <c r="I7" s="64">
        <f>IF(KMeans_Province!$E25=1,KMeans_Province!$C25,NA())</f>
        <v>1.0035286499426876</v>
      </c>
      <c r="J7" s="64" t="e">
        <f>IF(KMeans_Province!$E25=2,KMeans_Province!$B25,NA())</f>
        <v>#N/A</v>
      </c>
      <c r="K7" s="64" t="e">
        <f>IF(KMeans_Province!$E25=2,KMeans_Province!$C25,NA())</f>
        <v>#N/A</v>
      </c>
      <c r="L7" s="64" t="e">
        <f>IF(KMeans_Province!$E25=3,KMeans_Province!$B25,NA())</f>
        <v>#N/A</v>
      </c>
      <c r="M7" s="64" t="e">
        <f>IF(KMeans_Province!$E25=3,KMeans_Province!$C25,NA())</f>
        <v>#N/A</v>
      </c>
      <c r="O7" s="64">
        <f>IF(KMeans_Phase!$E25=1,KMeans_Phase!$A25,NA())</f>
        <v>43889</v>
      </c>
      <c r="P7" s="64">
        <f>IF(KMeans_Phase!$E25=1,Phase_Data!$C7,NA())</f>
        <v>0</v>
      </c>
      <c r="Q7" s="64" t="e">
        <f>IF(KMeans_Phase!$E25=2,KMeans_Phase!$A25,NA())</f>
        <v>#N/A</v>
      </c>
      <c r="R7" s="64" t="e">
        <f>IF(KMeans_Phase!$E25=2,Phase_Data!$C7,NA())</f>
        <v>#N/A</v>
      </c>
      <c r="S7" s="64" t="e">
        <f>IF(KMeans_Phase!$E25=3,KMeans_Phase!$A25,NA())</f>
        <v>#N/A</v>
      </c>
      <c r="T7" s="64" t="e">
        <f>IF(KMeans_Phase!$E25=3,Phase_Data!$C7,NA())</f>
        <v>#N/A</v>
      </c>
      <c r="V7" s="64" t="e">
        <f>IF(KMeans_Travel!$E25=1,KMeans_Travel!$B25,NA())</f>
        <v>#N/A</v>
      </c>
      <c r="W7" s="64" t="e">
        <f>IF(KMeans_Travel!$E25=1,KMeans_Travel!$C25,NA())</f>
        <v>#N/A</v>
      </c>
      <c r="X7" s="64" t="e">
        <f>IF(KMeans_Travel!$E25=2,KMeans_Travel!$B25,NA())</f>
        <v>#N/A</v>
      </c>
      <c r="Y7" s="64" t="e">
        <f>IF(KMeans_Travel!$E25=2,KMeans_Travel!$C25,NA())</f>
        <v>#N/A</v>
      </c>
      <c r="Z7" s="64">
        <f>IF(KMeans_Travel!$E25=3,KMeans_Travel!$B25,NA())</f>
        <v>1.001613285644595</v>
      </c>
      <c r="AA7" s="64">
        <f>IF(KMeans_Travel!$E25=3,KMeans_Travel!$C25,NA())</f>
        <v>0.31043587408226925</v>
      </c>
    </row>
    <row r="8" spans="1:27" x14ac:dyDescent="0.25">
      <c r="A8" s="64">
        <f>IF(KMeans_City!$E26=1,KMeans_City!$B26,NA())</f>
        <v>2.3452338230080074</v>
      </c>
      <c r="B8" s="64">
        <f>IF(KMeans_City!$E26=1,KMeans_City!$C26,NA())</f>
        <v>3.5617489210507416</v>
      </c>
      <c r="C8" s="64" t="e">
        <f>IF(KMeans_City!$E26=2,KMeans_City!$B26,NA())</f>
        <v>#N/A</v>
      </c>
      <c r="D8" s="64" t="e">
        <f>IF(KMeans_City!$E26=2,KMeans_City!$C26,NA())</f>
        <v>#N/A</v>
      </c>
      <c r="E8" s="64" t="e">
        <f>IF(KMeans_City!$E26=3,KMeans_City!$B26,NA())</f>
        <v>#N/A</v>
      </c>
      <c r="F8" s="64" t="e">
        <f>IF(KMeans_City!$E26=3,KMeans_City!$C26,NA())</f>
        <v>#N/A</v>
      </c>
      <c r="H8" s="64" t="e">
        <f>IF(KMeans_Province!$E26=1,KMeans_Province!$B26,NA())</f>
        <v>#N/A</v>
      </c>
      <c r="I8" s="64" t="e">
        <f>IF(KMeans_Province!$E26=1,KMeans_Province!$C26,NA())</f>
        <v>#N/A</v>
      </c>
      <c r="J8" s="64" t="e">
        <f>IF(KMeans_Province!$E26=2,KMeans_Province!$B26,NA())</f>
        <v>#N/A</v>
      </c>
      <c r="K8" s="64" t="e">
        <f>IF(KMeans_Province!$E26=2,KMeans_Province!$C26,NA())</f>
        <v>#N/A</v>
      </c>
      <c r="L8" s="64">
        <f>IF(KMeans_Province!$E26=3,KMeans_Province!$B26,NA())</f>
        <v>0.29258413869903505</v>
      </c>
      <c r="M8" s="64">
        <f>IF(KMeans_Province!$E26=3,KMeans_Province!$C26,NA())</f>
        <v>-5.5142992462672652E-2</v>
      </c>
      <c r="O8" s="64">
        <f>IF(KMeans_Phase!$E26=1,KMeans_Phase!$A26,NA())</f>
        <v>43890</v>
      </c>
      <c r="P8" s="64">
        <f>IF(KMeans_Phase!$E26=1,Phase_Data!$C8,NA())</f>
        <v>2</v>
      </c>
      <c r="Q8" s="64" t="e">
        <f>IF(KMeans_Phase!$E26=2,KMeans_Phase!$A26,NA())</f>
        <v>#N/A</v>
      </c>
      <c r="R8" s="64" t="e">
        <f>IF(KMeans_Phase!$E26=2,Phase_Data!$C8,NA())</f>
        <v>#N/A</v>
      </c>
      <c r="S8" s="64" t="e">
        <f>IF(KMeans_Phase!$E26=3,KMeans_Phase!$A26,NA())</f>
        <v>#N/A</v>
      </c>
      <c r="T8" s="64" t="e">
        <f>IF(KMeans_Phase!$E26=3,Phase_Data!$C8,NA())</f>
        <v>#N/A</v>
      </c>
      <c r="V8" s="64" t="e">
        <f>IF(KMeans_Travel!$E26=1,KMeans_Travel!$B26,NA())</f>
        <v>#N/A</v>
      </c>
      <c r="W8" s="64" t="e">
        <f>IF(KMeans_Travel!$E26=1,KMeans_Travel!$C26,NA())</f>
        <v>#N/A</v>
      </c>
      <c r="X8" s="64" t="e">
        <f>IF(KMeans_Travel!$E26=2,KMeans_Travel!$B26,NA())</f>
        <v>#N/A</v>
      </c>
      <c r="Y8" s="64" t="e">
        <f>IF(KMeans_Travel!$E26=2,KMeans_Travel!$C26,NA())</f>
        <v>#N/A</v>
      </c>
      <c r="Z8" s="64">
        <f>IF(KMeans_Travel!$E26=3,KMeans_Travel!$B26,NA())</f>
        <v>0.98414731571385683</v>
      </c>
      <c r="AA8" s="64">
        <f>IF(KMeans_Travel!$E26=3,KMeans_Travel!$C26,NA())</f>
        <v>0.63099640486485853</v>
      </c>
    </row>
    <row r="9" spans="1:27" x14ac:dyDescent="0.25">
      <c r="A9" s="64">
        <f>IF(KMeans_City!$E27=1,KMeans_City!$B27,NA())</f>
        <v>2.1711238504828065</v>
      </c>
      <c r="B9" s="64">
        <f>IF(KMeans_City!$E27=1,KMeans_City!$C27,NA())</f>
        <v>2.0657893204369486</v>
      </c>
      <c r="C9" s="64" t="e">
        <f>IF(KMeans_City!$E27=2,KMeans_City!$B27,NA())</f>
        <v>#N/A</v>
      </c>
      <c r="D9" s="64" t="e">
        <f>IF(KMeans_City!$E27=2,KMeans_City!$C27,NA())</f>
        <v>#N/A</v>
      </c>
      <c r="E9" s="64" t="e">
        <f>IF(KMeans_City!$E27=3,KMeans_City!$B27,NA())</f>
        <v>#N/A</v>
      </c>
      <c r="F9" s="64" t="e">
        <f>IF(KMeans_City!$E27=3,KMeans_City!$C27,NA())</f>
        <v>#N/A</v>
      </c>
      <c r="H9" s="64" t="e">
        <f>IF(KMeans_Province!$E27=1,KMeans_Province!$B27,NA())</f>
        <v>#N/A</v>
      </c>
      <c r="I9" s="64" t="e">
        <f>IF(KMeans_Province!$E27=1,KMeans_Province!$C27,NA())</f>
        <v>#N/A</v>
      </c>
      <c r="J9" s="64" t="e">
        <f>IF(KMeans_Province!$E27=2,KMeans_Province!$B27,NA())</f>
        <v>#N/A</v>
      </c>
      <c r="K9" s="64" t="e">
        <f>IF(KMeans_Province!$E27=2,KMeans_Province!$C27,NA())</f>
        <v>#N/A</v>
      </c>
      <c r="L9" s="64">
        <f>IF(KMeans_Province!$E27=3,KMeans_Province!$B27,NA())</f>
        <v>0.12811901804192732</v>
      </c>
      <c r="M9" s="64">
        <f>IF(KMeans_Province!$E27=3,KMeans_Province!$C27,NA())</f>
        <v>-0.1968705604564116</v>
      </c>
      <c r="O9" s="64">
        <f>IF(KMeans_Phase!$E27=1,KMeans_Phase!$A27,NA())</f>
        <v>43891</v>
      </c>
      <c r="P9" s="64">
        <f>IF(KMeans_Phase!$E27=1,Phase_Data!$C9,NA())</f>
        <v>0</v>
      </c>
      <c r="Q9" s="64" t="e">
        <f>IF(KMeans_Phase!$E27=2,KMeans_Phase!$A27,NA())</f>
        <v>#N/A</v>
      </c>
      <c r="R9" s="64" t="e">
        <f>IF(KMeans_Phase!$E27=2,Phase_Data!$C9,NA())</f>
        <v>#N/A</v>
      </c>
      <c r="S9" s="64" t="e">
        <f>IF(KMeans_Phase!$E27=3,KMeans_Phase!$A27,NA())</f>
        <v>#N/A</v>
      </c>
      <c r="T9" s="64" t="e">
        <f>IF(KMeans_Phase!$E27=3,Phase_Data!$C9,NA())</f>
        <v>#N/A</v>
      </c>
      <c r="V9" s="64" t="e">
        <f>IF(KMeans_Travel!$E27=1,KMeans_Travel!$B27,NA())</f>
        <v>#N/A</v>
      </c>
      <c r="W9" s="64" t="e">
        <f>IF(KMeans_Travel!$E27=1,KMeans_Travel!$C27,NA())</f>
        <v>#N/A</v>
      </c>
      <c r="X9" s="64">
        <f>IF(KMeans_Travel!$E27=2,KMeans_Travel!$B27,NA())</f>
        <v>0.28798977308742602</v>
      </c>
      <c r="Y9" s="64">
        <f>IF(KMeans_Travel!$E27=2,KMeans_Travel!$C27,NA())</f>
        <v>-0.51820107720199382</v>
      </c>
      <c r="Z9" s="64" t="e">
        <f>IF(KMeans_Travel!$E27=3,KMeans_Travel!$B27,NA())</f>
        <v>#N/A</v>
      </c>
      <c r="AA9" s="64" t="e">
        <f>IF(KMeans_Travel!$E27=3,KMeans_Travel!$C27,NA())</f>
        <v>#N/A</v>
      </c>
    </row>
    <row r="10" spans="1:27" x14ac:dyDescent="0.25">
      <c r="A10" s="64">
        <f>IF(KMeans_City!$E28=1,KMeans_City!$B28,NA())</f>
        <v>1.4937524666444724</v>
      </c>
      <c r="B10" s="64">
        <f>IF(KMeans_City!$E28=1,KMeans_City!$C28,NA())</f>
        <v>2.2309059700842244</v>
      </c>
      <c r="C10" s="64" t="e">
        <f>IF(KMeans_City!$E28=2,KMeans_City!$B28,NA())</f>
        <v>#N/A</v>
      </c>
      <c r="D10" s="64" t="e">
        <f>IF(KMeans_City!$E28=2,KMeans_City!$C28,NA())</f>
        <v>#N/A</v>
      </c>
      <c r="E10" s="64" t="e">
        <f>IF(KMeans_City!$E28=3,KMeans_City!$B28,NA())</f>
        <v>#N/A</v>
      </c>
      <c r="F10" s="64" t="e">
        <f>IF(KMeans_City!$E28=3,KMeans_City!$C28,NA())</f>
        <v>#N/A</v>
      </c>
      <c r="H10" s="64" t="e">
        <f>IF(KMeans_Province!$E28=1,KMeans_Province!$B28,NA())</f>
        <v>#N/A</v>
      </c>
      <c r="I10" s="64" t="e">
        <f>IF(KMeans_Province!$E28=1,KMeans_Province!$C28,NA())</f>
        <v>#N/A</v>
      </c>
      <c r="J10" s="64" t="e">
        <f>IF(KMeans_Province!$E28=2,KMeans_Province!$B28,NA())</f>
        <v>#N/A</v>
      </c>
      <c r="K10" s="64" t="e">
        <f>IF(KMeans_Province!$E28=2,KMeans_Province!$C28,NA())</f>
        <v>#N/A</v>
      </c>
      <c r="L10" s="64">
        <f>IF(KMeans_Province!$E28=3,KMeans_Province!$B28,NA())</f>
        <v>-0.52983277986581823</v>
      </c>
      <c r="M10" s="64">
        <f>IF(KMeans_Province!$E28=3,KMeans_Province!$C28,NA())</f>
        <v>-0.38140138701256326</v>
      </c>
      <c r="O10" s="64">
        <f>IF(KMeans_Phase!$E28=1,KMeans_Phase!$A28,NA())</f>
        <v>43892</v>
      </c>
      <c r="P10" s="64">
        <f>IF(KMeans_Phase!$E28=1,Phase_Data!$C10,NA())</f>
        <v>1</v>
      </c>
      <c r="Q10" s="64" t="e">
        <f>IF(KMeans_Phase!$E28=2,KMeans_Phase!$A28,NA())</f>
        <v>#N/A</v>
      </c>
      <c r="R10" s="64" t="e">
        <f>IF(KMeans_Phase!$E28=2,Phase_Data!$C10,NA())</f>
        <v>#N/A</v>
      </c>
      <c r="S10" s="64" t="e">
        <f>IF(KMeans_Phase!$E28=3,KMeans_Phase!$A28,NA())</f>
        <v>#N/A</v>
      </c>
      <c r="T10" s="64" t="e">
        <f>IF(KMeans_Phase!$E28=3,Phase_Data!$C10,NA())</f>
        <v>#N/A</v>
      </c>
      <c r="V10" s="64" t="e">
        <f>IF(KMeans_Travel!$E28=1,KMeans_Travel!$B28,NA())</f>
        <v>#N/A</v>
      </c>
      <c r="W10" s="64" t="e">
        <f>IF(KMeans_Travel!$E28=1,KMeans_Travel!$C28,NA())</f>
        <v>#N/A</v>
      </c>
      <c r="X10" s="64">
        <f>IF(KMeans_Travel!$E28=2,KMeans_Travel!$B28,NA())</f>
        <v>0.1598174853036945</v>
      </c>
      <c r="Y10" s="64">
        <f>IF(KMeans_Travel!$E28=2,KMeans_Travel!$C28,NA())</f>
        <v>-0.51820107720199382</v>
      </c>
      <c r="Z10" s="64" t="e">
        <f>IF(KMeans_Travel!$E28=3,KMeans_Travel!$B28,NA())</f>
        <v>#N/A</v>
      </c>
      <c r="AA10" s="64" t="e">
        <f>IF(KMeans_Travel!$E28=3,KMeans_Travel!$C28,NA())</f>
        <v>#N/A</v>
      </c>
    </row>
    <row r="11" spans="1:27" x14ac:dyDescent="0.25">
      <c r="A11" s="64" t="e">
        <f>IF(KMeans_City!$E29=1,KMeans_City!$B29,NA())</f>
        <v>#N/A</v>
      </c>
      <c r="B11" s="64" t="e">
        <f>IF(KMeans_City!$E29=1,KMeans_City!$C29,NA())</f>
        <v>#N/A</v>
      </c>
      <c r="C11" s="64" t="e">
        <f>IF(KMeans_City!$E29=2,KMeans_City!$B29,NA())</f>
        <v>#N/A</v>
      </c>
      <c r="D11" s="64" t="e">
        <f>IF(KMeans_City!$E29=2,KMeans_City!$C29,NA())</f>
        <v>#N/A</v>
      </c>
      <c r="E11" s="64">
        <f>IF(KMeans_City!$E29=3,KMeans_City!$B29,NA())</f>
        <v>1.3394801285719993</v>
      </c>
      <c r="F11" s="64">
        <f>IF(KMeans_City!$E29=3,KMeans_City!$C29,NA())</f>
        <v>0.16051258962499582</v>
      </c>
      <c r="H11" s="64" t="e">
        <f>IF(KMeans_Province!$E29=1,KMeans_Province!$B29,NA())</f>
        <v>#N/A</v>
      </c>
      <c r="I11" s="64" t="e">
        <f>IF(KMeans_Province!$E29=1,KMeans_Province!$C29,NA())</f>
        <v>#N/A</v>
      </c>
      <c r="J11" s="64">
        <f>IF(KMeans_Province!$E29=2,KMeans_Province!$B29,NA())</f>
        <v>-0.97409416193813958</v>
      </c>
      <c r="K11" s="64">
        <f>IF(KMeans_Province!$E29=2,KMeans_Province!$C29,NA())</f>
        <v>-0.98057534220678966</v>
      </c>
      <c r="L11" s="64" t="e">
        <f>IF(KMeans_Province!$E29=3,KMeans_Province!$B29,NA())</f>
        <v>#N/A</v>
      </c>
      <c r="M11" s="64" t="e">
        <f>IF(KMeans_Province!$E29=3,KMeans_Province!$C29,NA())</f>
        <v>#N/A</v>
      </c>
      <c r="O11" s="64">
        <f>IF(KMeans_Phase!$E29=1,KMeans_Phase!$A29,NA())</f>
        <v>43893</v>
      </c>
      <c r="P11" s="64">
        <f>IF(KMeans_Phase!$E29=1,Phase_Data!$C11,NA())</f>
        <v>0</v>
      </c>
      <c r="Q11" s="64" t="e">
        <f>IF(KMeans_Phase!$E29=2,KMeans_Phase!$A29,NA())</f>
        <v>#N/A</v>
      </c>
      <c r="R11" s="64" t="e">
        <f>IF(KMeans_Phase!$E29=2,Phase_Data!$C11,NA())</f>
        <v>#N/A</v>
      </c>
      <c r="S11" s="64" t="e">
        <f>IF(KMeans_Phase!$E29=3,KMeans_Phase!$A29,NA())</f>
        <v>#N/A</v>
      </c>
      <c r="T11" s="64" t="e">
        <f>IF(KMeans_Phase!$E29=3,Phase_Data!$C11,NA())</f>
        <v>#N/A</v>
      </c>
      <c r="V11" s="64" t="e">
        <f>IF(KMeans_Travel!$E29=1,KMeans_Travel!$B29,NA())</f>
        <v>#N/A</v>
      </c>
      <c r="W11" s="64" t="e">
        <f>IF(KMeans_Travel!$E29=1,KMeans_Travel!$C29,NA())</f>
        <v>#N/A</v>
      </c>
      <c r="X11" s="64">
        <f>IF(KMeans_Travel!$E29=2,KMeans_Travel!$B29,NA())</f>
        <v>-2.3255842017133044E-2</v>
      </c>
      <c r="Y11" s="64">
        <f>IF(KMeans_Travel!$E29=2,KMeans_Travel!$C29,NA())</f>
        <v>-0.51820107720199382</v>
      </c>
      <c r="Z11" s="64" t="e">
        <f>IF(KMeans_Travel!$E29=3,KMeans_Travel!$B29,NA())</f>
        <v>#N/A</v>
      </c>
      <c r="AA11" s="64" t="e">
        <f>IF(KMeans_Travel!$E29=3,KMeans_Travel!$C29,NA())</f>
        <v>#N/A</v>
      </c>
    </row>
    <row r="12" spans="1:27" x14ac:dyDescent="0.25">
      <c r="A12" s="64" t="e">
        <f>IF(KMeans_City!$E30=1,KMeans_City!$B30,NA())</f>
        <v>#N/A</v>
      </c>
      <c r="B12" s="64" t="e">
        <f>IF(KMeans_City!$E30=1,KMeans_City!$C30,NA())</f>
        <v>#N/A</v>
      </c>
      <c r="C12" s="64" t="e">
        <f>IF(KMeans_City!$E30=2,KMeans_City!$B30,NA())</f>
        <v>#N/A</v>
      </c>
      <c r="D12" s="64" t="e">
        <f>IF(KMeans_City!$E30=2,KMeans_City!$C30,NA())</f>
        <v>#N/A</v>
      </c>
      <c r="E12" s="64">
        <f>IF(KMeans_City!$E30=3,KMeans_City!$B30,NA())</f>
        <v>1.3163443189252899</v>
      </c>
      <c r="F12" s="64">
        <f>IF(KMeans_City!$E30=3,KMeans_City!$C30,NA())</f>
        <v>0.68618000108374222</v>
      </c>
      <c r="H12" s="64" t="e">
        <f>IF(KMeans_Province!$E30=1,KMeans_Province!$B30,NA())</f>
        <v>#N/A</v>
      </c>
      <c r="I12" s="64" t="e">
        <f>IF(KMeans_Province!$E30=1,KMeans_Province!$C30,NA())</f>
        <v>#N/A</v>
      </c>
      <c r="J12" s="64">
        <f>IF(KMeans_Province!$E30=2,KMeans_Province!$B30,NA())</f>
        <v>-1.7057287344212133</v>
      </c>
      <c r="K12" s="64">
        <f>IF(KMeans_Province!$E30=2,KMeans_Province!$C30,NA())</f>
        <v>-1.5702400574591462</v>
      </c>
      <c r="L12" s="64" t="e">
        <f>IF(KMeans_Province!$E30=3,KMeans_Province!$B30,NA())</f>
        <v>#N/A</v>
      </c>
      <c r="M12" s="64" t="e">
        <f>IF(KMeans_Province!$E30=3,KMeans_Province!$C30,NA())</f>
        <v>#N/A</v>
      </c>
      <c r="O12" s="64">
        <f>IF(KMeans_Phase!$E30=1,KMeans_Phase!$A30,NA())</f>
        <v>43894</v>
      </c>
      <c r="P12" s="64">
        <f>IF(KMeans_Phase!$E30=1,Phase_Data!$C12,NA())</f>
        <v>0</v>
      </c>
      <c r="Q12" s="64" t="e">
        <f>IF(KMeans_Phase!$E30=2,KMeans_Phase!$A30,NA())</f>
        <v>#N/A</v>
      </c>
      <c r="R12" s="64" t="e">
        <f>IF(KMeans_Phase!$E30=2,Phase_Data!$C12,NA())</f>
        <v>#N/A</v>
      </c>
      <c r="S12" s="64" t="e">
        <f>IF(KMeans_Phase!$E30=3,KMeans_Phase!$A30,NA())</f>
        <v>#N/A</v>
      </c>
      <c r="T12" s="64" t="e">
        <f>IF(KMeans_Phase!$E30=3,Phase_Data!$C12,NA())</f>
        <v>#N/A</v>
      </c>
      <c r="V12" s="64" t="e">
        <f>IF(KMeans_Travel!$E30=1,KMeans_Travel!$B30,NA())</f>
        <v>#N/A</v>
      </c>
      <c r="W12" s="64" t="e">
        <f>IF(KMeans_Travel!$E30=1,KMeans_Travel!$C30,NA())</f>
        <v>#N/A</v>
      </c>
      <c r="X12" s="64">
        <f>IF(KMeans_Travel!$E30=2,KMeans_Travel!$B30,NA())</f>
        <v>-0.50731745696104757</v>
      </c>
      <c r="Y12" s="64">
        <f>IF(KMeans_Travel!$E30=2,KMeans_Travel!$C30,NA())</f>
        <v>-0.51820107720199382</v>
      </c>
      <c r="Z12" s="64" t="e">
        <f>IF(KMeans_Travel!$E30=3,KMeans_Travel!$B30,NA())</f>
        <v>#N/A</v>
      </c>
      <c r="AA12" s="64" t="e">
        <f>IF(KMeans_Travel!$E30=3,KMeans_Travel!$C30,NA())</f>
        <v>#N/A</v>
      </c>
    </row>
    <row r="13" spans="1:27" x14ac:dyDescent="0.25">
      <c r="A13" s="64" t="e">
        <f>IF(KMeans_City!$E31=1,KMeans_City!$B31,NA())</f>
        <v>#N/A</v>
      </c>
      <c r="B13" s="64" t="e">
        <f>IF(KMeans_City!$E31=1,KMeans_City!$C31,NA())</f>
        <v>#N/A</v>
      </c>
      <c r="C13" s="64" t="e">
        <f>IF(KMeans_City!$E31=2,KMeans_City!$B31,NA())</f>
        <v>#N/A</v>
      </c>
      <c r="D13" s="64" t="e">
        <f>IF(KMeans_City!$E31=2,KMeans_City!$C31,NA())</f>
        <v>#N/A</v>
      </c>
      <c r="E13" s="64">
        <f>IF(KMeans_City!$E31=3,KMeans_City!$B31,NA())</f>
        <v>1.2591276453149129</v>
      </c>
      <c r="F13" s="64">
        <f>IF(KMeans_City!$E31=3,KMeans_City!$C31,NA())</f>
        <v>1.2118474125424887</v>
      </c>
      <c r="O13" s="64">
        <f>IF(KMeans_Phase!$E31=1,KMeans_Phase!$A31,NA())</f>
        <v>43895</v>
      </c>
      <c r="P13" s="64">
        <f>IF(KMeans_Phase!$E31=1,Phase_Data!$C13,NA())</f>
        <v>0</v>
      </c>
      <c r="Q13" s="64" t="e">
        <f>IF(KMeans_Phase!$E31=2,KMeans_Phase!$A31,NA())</f>
        <v>#N/A</v>
      </c>
      <c r="R13" s="64" t="e">
        <f>IF(KMeans_Phase!$E31=2,Phase_Data!$C13,NA())</f>
        <v>#N/A</v>
      </c>
      <c r="S13" s="64" t="e">
        <f>IF(KMeans_Phase!$E31=3,KMeans_Phase!$A31,NA())</f>
        <v>#N/A</v>
      </c>
      <c r="T13" s="64" t="e">
        <f>IF(KMeans_Phase!$E31=3,Phase_Data!$C13,NA())</f>
        <v>#N/A</v>
      </c>
      <c r="V13" s="64" t="e">
        <f>IF(KMeans_Travel!$E31=1,KMeans_Travel!$B31,NA())</f>
        <v>#N/A</v>
      </c>
      <c r="W13" s="64" t="e">
        <f>IF(KMeans_Travel!$E31=1,KMeans_Travel!$C31,NA())</f>
        <v>#N/A</v>
      </c>
      <c r="X13" s="64">
        <f>IF(KMeans_Travel!$E31=2,KMeans_Travel!$B31,NA())</f>
        <v>-0.54812081611163788</v>
      </c>
      <c r="Y13" s="64">
        <f>IF(KMeans_Travel!$E31=2,KMeans_Travel!$C31,NA())</f>
        <v>-0.19764054641940457</v>
      </c>
      <c r="Z13" s="64" t="e">
        <f>IF(KMeans_Travel!$E31=3,KMeans_Travel!$B31,NA())</f>
        <v>#N/A</v>
      </c>
      <c r="AA13" s="64" t="e">
        <f>IF(KMeans_Travel!$E31=3,KMeans_Travel!$C31,NA())</f>
        <v>#N/A</v>
      </c>
    </row>
    <row r="14" spans="1:27" x14ac:dyDescent="0.25">
      <c r="A14" s="64" t="e">
        <f>IF(KMeans_City!$E32=1,KMeans_City!$B32,NA())</f>
        <v>#N/A</v>
      </c>
      <c r="B14" s="64" t="e">
        <f>IF(KMeans_City!$E32=1,KMeans_City!$C32,NA())</f>
        <v>#N/A</v>
      </c>
      <c r="C14" s="64" t="e">
        <f>IF(KMeans_City!$E32=2,KMeans_City!$B32,NA())</f>
        <v>#N/A</v>
      </c>
      <c r="D14" s="64" t="e">
        <f>IF(KMeans_City!$E32=2,KMeans_City!$C32,NA())</f>
        <v>#N/A</v>
      </c>
      <c r="E14" s="64">
        <f>IF(KMeans_City!$E32=3,KMeans_City!$B32,NA())</f>
        <v>1.2015385972262329</v>
      </c>
      <c r="F14" s="64">
        <f>IF(KMeans_City!$E32=3,KMeans_City!$C32,NA())</f>
        <v>-0.14698313392952958</v>
      </c>
      <c r="O14" s="64">
        <f>IF(KMeans_Phase!$E32=1,KMeans_Phase!$A32,NA())</f>
        <v>43896</v>
      </c>
      <c r="P14" s="64">
        <f>IF(KMeans_Phase!$E32=1,Phase_Data!$C14,NA())</f>
        <v>0</v>
      </c>
      <c r="Q14" s="64" t="e">
        <f>IF(KMeans_Phase!$E32=2,KMeans_Phase!$A32,NA())</f>
        <v>#N/A</v>
      </c>
      <c r="R14" s="64" t="e">
        <f>IF(KMeans_Phase!$E32=2,Phase_Data!$C14,NA())</f>
        <v>#N/A</v>
      </c>
      <c r="S14" s="64" t="e">
        <f>IF(KMeans_Phase!$E32=3,KMeans_Phase!$A32,NA())</f>
        <v>#N/A</v>
      </c>
      <c r="T14" s="64" t="e">
        <f>IF(KMeans_Phase!$E32=3,Phase_Data!$C14,NA())</f>
        <v>#N/A</v>
      </c>
      <c r="V14" s="64" t="e">
        <f>IF(KMeans_Travel!$E32=1,KMeans_Travel!$B32,NA())</f>
        <v>#N/A</v>
      </c>
      <c r="W14" s="64" t="e">
        <f>IF(KMeans_Travel!$E32=1,KMeans_Travel!$C32,NA())</f>
        <v>#N/A</v>
      </c>
      <c r="X14" s="64">
        <f>IF(KMeans_Travel!$E32=2,KMeans_Travel!$B32,NA())</f>
        <v>-0.59522483733596365</v>
      </c>
      <c r="Y14" s="64">
        <f>IF(KMeans_Travel!$E32=2,KMeans_Travel!$C32,NA())</f>
        <v>-0.51820107720199382</v>
      </c>
      <c r="Z14" s="64" t="e">
        <f>IF(KMeans_Travel!$E32=3,KMeans_Travel!$B32,NA())</f>
        <v>#N/A</v>
      </c>
      <c r="AA14" s="64" t="e">
        <f>IF(KMeans_Travel!$E32=3,KMeans_Travel!$C32,NA())</f>
        <v>#N/A</v>
      </c>
    </row>
    <row r="15" spans="1:27" x14ac:dyDescent="0.25">
      <c r="A15" s="64" t="e">
        <f>IF(KMeans_City!$E33=1,KMeans_City!$B33,NA())</f>
        <v>#N/A</v>
      </c>
      <c r="B15" s="64" t="e">
        <f>IF(KMeans_City!$E33=1,KMeans_City!$C33,NA())</f>
        <v>#N/A</v>
      </c>
      <c r="C15" s="64" t="e">
        <f>IF(KMeans_City!$E33=2,KMeans_City!$B33,NA())</f>
        <v>#N/A</v>
      </c>
      <c r="D15" s="64" t="e">
        <f>IF(KMeans_City!$E33=2,KMeans_City!$C33,NA())</f>
        <v>#N/A</v>
      </c>
      <c r="E15" s="64">
        <f>IF(KMeans_City!$E33=3,KMeans_City!$B33,NA())</f>
        <v>1.1410679551279186</v>
      </c>
      <c r="F15" s="64">
        <f>IF(KMeans_City!$E33=3,KMeans_City!$C33,NA())</f>
        <v>1.4759954658056031</v>
      </c>
      <c r="O15" s="64">
        <f>IF(KMeans_Phase!$E33=1,KMeans_Phase!$A33,NA())</f>
        <v>43897</v>
      </c>
      <c r="P15" s="64">
        <f>IF(KMeans_Phase!$E33=1,Phase_Data!$C15,NA())</f>
        <v>1</v>
      </c>
      <c r="Q15" s="64" t="e">
        <f>IF(KMeans_Phase!$E33=2,KMeans_Phase!$A33,NA())</f>
        <v>#N/A</v>
      </c>
      <c r="R15" s="64" t="e">
        <f>IF(KMeans_Phase!$E33=2,Phase_Data!$C15,NA())</f>
        <v>#N/A</v>
      </c>
      <c r="S15" s="64" t="e">
        <f>IF(KMeans_Phase!$E33=3,KMeans_Phase!$A33,NA())</f>
        <v>#N/A</v>
      </c>
      <c r="T15" s="64" t="e">
        <f>IF(KMeans_Phase!$E33=3,Phase_Data!$C15,NA())</f>
        <v>#N/A</v>
      </c>
      <c r="V15" s="64" t="e">
        <f>IF(KMeans_Travel!$E33=1,KMeans_Travel!$B33,NA())</f>
        <v>#N/A</v>
      </c>
      <c r="W15" s="64" t="e">
        <f>IF(KMeans_Travel!$E33=1,KMeans_Travel!$C33,NA())</f>
        <v>#N/A</v>
      </c>
      <c r="X15" s="64">
        <f>IF(KMeans_Travel!$E33=2,KMeans_Travel!$B33,NA())</f>
        <v>-0.80703071157060802</v>
      </c>
      <c r="Y15" s="64">
        <f>IF(KMeans_Travel!$E33=2,KMeans_Travel!$C33,NA())</f>
        <v>-0.51820107720199382</v>
      </c>
      <c r="Z15" s="64" t="e">
        <f>IF(KMeans_Travel!$E33=3,KMeans_Travel!$B33,NA())</f>
        <v>#N/A</v>
      </c>
      <c r="AA15" s="64" t="e">
        <f>IF(KMeans_Travel!$E33=3,KMeans_Travel!$C33,NA())</f>
        <v>#N/A</v>
      </c>
    </row>
    <row r="16" spans="1:27" x14ac:dyDescent="0.25">
      <c r="A16" s="64" t="e">
        <f>IF(KMeans_City!$E34=1,KMeans_City!$B34,NA())</f>
        <v>#N/A</v>
      </c>
      <c r="B16" s="64" t="e">
        <f>IF(KMeans_City!$E34=1,KMeans_City!$C34,NA())</f>
        <v>#N/A</v>
      </c>
      <c r="C16" s="64" t="e">
        <f>IF(KMeans_City!$E34=2,KMeans_City!$B34,NA())</f>
        <v>#N/A</v>
      </c>
      <c r="D16" s="64" t="e">
        <f>IF(KMeans_City!$E34=2,KMeans_City!$C34,NA())</f>
        <v>#N/A</v>
      </c>
      <c r="E16" s="64">
        <f>IF(KMeans_City!$E34=3,KMeans_City!$B34,NA())</f>
        <v>1.126985701234098</v>
      </c>
      <c r="F16" s="64">
        <f>IF(KMeans_City!$E34=3,KMeans_City!$C34,NA())</f>
        <v>1.7684733170772808</v>
      </c>
      <c r="O16" s="64">
        <f>IF(KMeans_Phase!$E34=1,KMeans_Phase!$A34,NA())</f>
        <v>43898</v>
      </c>
      <c r="P16" s="64">
        <f>IF(KMeans_Phase!$E34=1,Phase_Data!$C16,NA())</f>
        <v>0</v>
      </c>
      <c r="Q16" s="64" t="e">
        <f>IF(KMeans_Phase!$E34=2,KMeans_Phase!$A34,NA())</f>
        <v>#N/A</v>
      </c>
      <c r="R16" s="64" t="e">
        <f>IF(KMeans_Phase!$E34=2,Phase_Data!$C16,NA())</f>
        <v>#N/A</v>
      </c>
      <c r="S16" s="64" t="e">
        <f>IF(KMeans_Phase!$E34=3,KMeans_Phase!$A34,NA())</f>
        <v>#N/A</v>
      </c>
      <c r="T16" s="64" t="e">
        <f>IF(KMeans_Phase!$E34=3,Phase_Data!$C16,NA())</f>
        <v>#N/A</v>
      </c>
      <c r="V16" s="64" t="e">
        <f>IF(KMeans_Travel!$E34=1,KMeans_Travel!$B34,NA())</f>
        <v>#N/A</v>
      </c>
      <c r="W16" s="64" t="e">
        <f>IF(KMeans_Travel!$E34=1,KMeans_Travel!$C34,NA())</f>
        <v>#N/A</v>
      </c>
      <c r="X16" s="64">
        <f>IF(KMeans_Travel!$E34=2,KMeans_Travel!$B34,NA())</f>
        <v>-0.80703071157060802</v>
      </c>
      <c r="Y16" s="64">
        <f>IF(KMeans_Travel!$E34=2,KMeans_Travel!$C34,NA())</f>
        <v>-0.51820107720199382</v>
      </c>
      <c r="Z16" s="64" t="e">
        <f>IF(KMeans_Travel!$E34=3,KMeans_Travel!$B34,NA())</f>
        <v>#N/A</v>
      </c>
      <c r="AA16" s="64" t="e">
        <f>IF(KMeans_Travel!$E34=3,KMeans_Travel!$C34,NA())</f>
        <v>#N/A</v>
      </c>
    </row>
    <row r="17" spans="1:27" x14ac:dyDescent="0.25">
      <c r="A17" s="64" t="e">
        <f>IF(KMeans_City!$E35=1,KMeans_City!$B35,NA())</f>
        <v>#N/A</v>
      </c>
      <c r="B17" s="64" t="e">
        <f>IF(KMeans_City!$E35=1,KMeans_City!$C35,NA())</f>
        <v>#N/A</v>
      </c>
      <c r="C17" s="64" t="e">
        <f>IF(KMeans_City!$E35=2,KMeans_City!$B35,NA())</f>
        <v>#N/A</v>
      </c>
      <c r="D17" s="64" t="e">
        <f>IF(KMeans_City!$E35=2,KMeans_City!$C35,NA())</f>
        <v>#N/A</v>
      </c>
      <c r="E17" s="64">
        <f>IF(KMeans_City!$E35=3,KMeans_City!$B35,NA())</f>
        <v>1.0425286360551109</v>
      </c>
      <c r="F17" s="64">
        <f>IF(KMeans_City!$E35=3,KMeans_City!$C35,NA())</f>
        <v>0.99367572463826759</v>
      </c>
      <c r="O17" s="64">
        <f>IF(KMeans_Phase!$E35=1,KMeans_Phase!$A35,NA())</f>
        <v>43899</v>
      </c>
      <c r="P17" s="64">
        <f>IF(KMeans_Phase!$E35=1,Phase_Data!$C17,NA())</f>
        <v>9</v>
      </c>
      <c r="Q17" s="64" t="e">
        <f>IF(KMeans_Phase!$E35=2,KMeans_Phase!$A35,NA())</f>
        <v>#N/A</v>
      </c>
      <c r="R17" s="64" t="e">
        <f>IF(KMeans_Phase!$E35=2,Phase_Data!$C17,NA())</f>
        <v>#N/A</v>
      </c>
      <c r="S17" s="64" t="e">
        <f>IF(KMeans_Phase!$E35=3,KMeans_Phase!$A35,NA())</f>
        <v>#N/A</v>
      </c>
      <c r="T17" s="64" t="e">
        <f>IF(KMeans_Phase!$E35=3,Phase_Data!$C17,NA())</f>
        <v>#N/A</v>
      </c>
      <c r="V17" s="64" t="e">
        <f>IF(KMeans_Travel!$E35=1,KMeans_Travel!$B35,NA())</f>
        <v>#N/A</v>
      </c>
      <c r="W17" s="64" t="e">
        <f>IF(KMeans_Travel!$E35=1,KMeans_Travel!$C35,NA())</f>
        <v>#N/A</v>
      </c>
      <c r="X17" s="64">
        <f>IF(KMeans_Travel!$E35=2,KMeans_Travel!$B35,NA())</f>
        <v>-0.93092920543033619</v>
      </c>
      <c r="Y17" s="64">
        <f>IF(KMeans_Travel!$E35=2,KMeans_Travel!$C35,NA())</f>
        <v>-0.51820107720199382</v>
      </c>
      <c r="Z17" s="64" t="e">
        <f>IF(KMeans_Travel!$E35=3,KMeans_Travel!$B35,NA())</f>
        <v>#N/A</v>
      </c>
      <c r="AA17" s="64" t="e">
        <f>IF(KMeans_Travel!$E35=3,KMeans_Travel!$C35,NA())</f>
        <v>#N/A</v>
      </c>
    </row>
    <row r="18" spans="1:27" x14ac:dyDescent="0.25">
      <c r="A18" s="64" t="e">
        <f>IF(KMeans_City!$E36=1,KMeans_City!$B36,NA())</f>
        <v>#N/A</v>
      </c>
      <c r="B18" s="64" t="e">
        <f>IF(KMeans_City!$E36=1,KMeans_City!$C36,NA())</f>
        <v>#N/A</v>
      </c>
      <c r="C18" s="64" t="e">
        <f>IF(KMeans_City!$E36=2,KMeans_City!$B36,NA())</f>
        <v>#N/A</v>
      </c>
      <c r="D18" s="64" t="e">
        <f>IF(KMeans_City!$E36=2,KMeans_City!$C36,NA())</f>
        <v>#N/A</v>
      </c>
      <c r="E18" s="64">
        <f>IF(KMeans_City!$E36=3,KMeans_City!$B36,NA())</f>
        <v>1.0373368721320242</v>
      </c>
      <c r="F18" s="64">
        <f>IF(KMeans_City!$E36=3,KMeans_City!$C36,NA())</f>
        <v>0.37868427752921691</v>
      </c>
      <c r="O18" s="64">
        <f>IF(KMeans_Phase!$E36=1,KMeans_Phase!$A36,NA())</f>
        <v>43900</v>
      </c>
      <c r="P18" s="64">
        <f>IF(KMeans_Phase!$E36=1,Phase_Data!$C18,NA())</f>
        <v>3</v>
      </c>
      <c r="Q18" s="64" t="e">
        <f>IF(KMeans_Phase!$E36=2,KMeans_Phase!$A36,NA())</f>
        <v>#N/A</v>
      </c>
      <c r="R18" s="64" t="e">
        <f>IF(KMeans_Phase!$E36=2,Phase_Data!$C18,NA())</f>
        <v>#N/A</v>
      </c>
      <c r="S18" s="64" t="e">
        <f>IF(KMeans_Phase!$E36=3,KMeans_Phase!$A36,NA())</f>
        <v>#N/A</v>
      </c>
      <c r="T18" s="64" t="e">
        <f>IF(KMeans_Phase!$E36=3,Phase_Data!$C18,NA())</f>
        <v>#N/A</v>
      </c>
      <c r="V18" s="64" t="e">
        <f>IF(KMeans_Travel!$E36=1,KMeans_Travel!$B36,NA())</f>
        <v>#N/A</v>
      </c>
      <c r="W18" s="64" t="e">
        <f>IF(KMeans_Travel!$E36=1,KMeans_Travel!$C36,NA())</f>
        <v>#N/A</v>
      </c>
      <c r="X18" s="64">
        <f>IF(KMeans_Travel!$E36=2,KMeans_Travel!$B36,NA())</f>
        <v>-0.93092920543033619</v>
      </c>
      <c r="Y18" s="64">
        <f>IF(KMeans_Travel!$E36=2,KMeans_Travel!$C36,NA())</f>
        <v>-0.51820107720199382</v>
      </c>
      <c r="Z18" s="64" t="e">
        <f>IF(KMeans_Travel!$E36=3,KMeans_Travel!$B36,NA())</f>
        <v>#N/A</v>
      </c>
      <c r="AA18" s="64" t="e">
        <f>IF(KMeans_Travel!$E36=3,KMeans_Travel!$C36,NA())</f>
        <v>#N/A</v>
      </c>
    </row>
    <row r="19" spans="1:27" x14ac:dyDescent="0.25">
      <c r="A19" s="64" t="e">
        <f>IF(KMeans_City!$E37=1,KMeans_City!$B37,NA())</f>
        <v>#N/A</v>
      </c>
      <c r="B19" s="64" t="e">
        <f>IF(KMeans_City!$E37=1,KMeans_City!$C37,NA())</f>
        <v>#N/A</v>
      </c>
      <c r="C19" s="64" t="e">
        <f>IF(KMeans_City!$E37=2,KMeans_City!$B37,NA())</f>
        <v>#N/A</v>
      </c>
      <c r="D19" s="64" t="e">
        <f>IF(KMeans_City!$E37=2,KMeans_City!$C37,NA())</f>
        <v>#N/A</v>
      </c>
      <c r="E19" s="64">
        <f>IF(KMeans_City!$E37=3,KMeans_City!$B37,NA())</f>
        <v>1.0078177751973447</v>
      </c>
      <c r="F19" s="64">
        <f>IF(KMeans_City!$E37=3,KMeans_City!$C37,NA())</f>
        <v>-0.14698313392952958</v>
      </c>
      <c r="O19" s="64">
        <f>IF(KMeans_Phase!$E37=1,KMeans_Phase!$A37,NA())</f>
        <v>43901</v>
      </c>
      <c r="P19" s="64">
        <f>IF(KMeans_Phase!$E37=1,Phase_Data!$C19,NA())</f>
        <v>1</v>
      </c>
      <c r="Q19" s="64" t="e">
        <f>IF(KMeans_Phase!$E37=2,KMeans_Phase!$A37,NA())</f>
        <v>#N/A</v>
      </c>
      <c r="R19" s="64" t="e">
        <f>IF(KMeans_Phase!$E37=2,Phase_Data!$C19,NA())</f>
        <v>#N/A</v>
      </c>
      <c r="S19" s="64" t="e">
        <f>IF(KMeans_Phase!$E37=3,KMeans_Phase!$A37,NA())</f>
        <v>#N/A</v>
      </c>
      <c r="T19" s="64" t="e">
        <f>IF(KMeans_Phase!$E37=3,Phase_Data!$C19,NA())</f>
        <v>#N/A</v>
      </c>
      <c r="V19" s="64" t="e">
        <f>IF(KMeans_Travel!$E37=1,KMeans_Travel!$B37,NA())</f>
        <v>#N/A</v>
      </c>
      <c r="W19" s="64" t="e">
        <f>IF(KMeans_Travel!$E37=1,KMeans_Travel!$C37,NA())</f>
        <v>#N/A</v>
      </c>
      <c r="X19" s="64">
        <f>IF(KMeans_Travel!$E37=2,KMeans_Travel!$B37,NA())</f>
        <v>-0.93092920543033619</v>
      </c>
      <c r="Y19" s="64">
        <f>IF(KMeans_Travel!$E37=2,KMeans_Travel!$C37,NA())</f>
        <v>-0.51820107720199382</v>
      </c>
      <c r="Z19" s="64" t="e">
        <f>IF(KMeans_Travel!$E37=3,KMeans_Travel!$B37,NA())</f>
        <v>#N/A</v>
      </c>
      <c r="AA19" s="64" t="e">
        <f>IF(KMeans_Travel!$E37=3,KMeans_Travel!$C37,NA())</f>
        <v>#N/A</v>
      </c>
    </row>
    <row r="20" spans="1:27" x14ac:dyDescent="0.25">
      <c r="A20" s="64" t="e">
        <f>IF(KMeans_City!$E38=1,KMeans_City!$B38,NA())</f>
        <v>#N/A</v>
      </c>
      <c r="B20" s="64" t="e">
        <f>IF(KMeans_City!$E38=1,KMeans_City!$C38,NA())</f>
        <v>#N/A</v>
      </c>
      <c r="C20" s="64" t="e">
        <f>IF(KMeans_City!$E38=2,KMeans_City!$B38,NA())</f>
        <v>#N/A</v>
      </c>
      <c r="D20" s="64" t="e">
        <f>IF(KMeans_City!$E38=2,KMeans_City!$C38,NA())</f>
        <v>#N/A</v>
      </c>
      <c r="E20" s="64">
        <f>IF(KMeans_City!$E38=3,KMeans_City!$B38,NA())</f>
        <v>0.97062552695729998</v>
      </c>
      <c r="F20" s="64">
        <f>IF(KMeans_City!$E38=3,KMeans_City!$C38,NA())</f>
        <v>0.99367572463826759</v>
      </c>
      <c r="O20" s="64">
        <f>IF(KMeans_Phase!$E38=1,KMeans_Phase!$A38,NA())</f>
        <v>43902</v>
      </c>
      <c r="P20" s="64">
        <f>IF(KMeans_Phase!$E38=1,Phase_Data!$C20,NA())</f>
        <v>1</v>
      </c>
      <c r="Q20" s="64" t="e">
        <f>IF(KMeans_Phase!$E38=2,KMeans_Phase!$A38,NA())</f>
        <v>#N/A</v>
      </c>
      <c r="R20" s="64" t="e">
        <f>IF(KMeans_Phase!$E38=2,Phase_Data!$C20,NA())</f>
        <v>#N/A</v>
      </c>
      <c r="S20" s="64" t="e">
        <f>IF(KMeans_Phase!$E38=3,KMeans_Phase!$A38,NA())</f>
        <v>#N/A</v>
      </c>
      <c r="T20" s="64" t="e">
        <f>IF(KMeans_Phase!$E38=3,Phase_Data!$C20,NA())</f>
        <v>#N/A</v>
      </c>
    </row>
    <row r="21" spans="1:27" x14ac:dyDescent="0.25">
      <c r="A21" s="64" t="e">
        <f>IF(KMeans_City!$E39=1,KMeans_City!$B39,NA())</f>
        <v>#N/A</v>
      </c>
      <c r="B21" s="64" t="e">
        <f>IF(KMeans_City!$E39=1,KMeans_City!$C39,NA())</f>
        <v>#N/A</v>
      </c>
      <c r="C21" s="64" t="e">
        <f>IF(KMeans_City!$E39=2,KMeans_City!$B39,NA())</f>
        <v>#N/A</v>
      </c>
      <c r="D21" s="64" t="e">
        <f>IF(KMeans_City!$E39=2,KMeans_City!$C39,NA())</f>
        <v>#N/A</v>
      </c>
      <c r="E21" s="64">
        <f>IF(KMeans_City!$E39=3,KMeans_City!$B39,NA())</f>
        <v>0.88016218188859063</v>
      </c>
      <c r="F21" s="64">
        <f>IF(KMeans_City!$E39=3,KMeans_City!$C39,NA())</f>
        <v>0.37868427752921691</v>
      </c>
      <c r="O21" s="64">
        <f>IF(KMeans_Phase!$E39=1,KMeans_Phase!$A39,NA())</f>
        <v>43903</v>
      </c>
      <c r="P21" s="64">
        <f>IF(KMeans_Phase!$E39=1,Phase_Data!$C21,NA())</f>
        <v>9</v>
      </c>
      <c r="Q21" s="64" t="e">
        <f>IF(KMeans_Phase!$E39=2,KMeans_Phase!$A39,NA())</f>
        <v>#N/A</v>
      </c>
      <c r="R21" s="64" t="e">
        <f>IF(KMeans_Phase!$E39=2,Phase_Data!$C21,NA())</f>
        <v>#N/A</v>
      </c>
      <c r="S21" s="64" t="e">
        <f>IF(KMeans_Phase!$E39=3,KMeans_Phase!$A39,NA())</f>
        <v>#N/A</v>
      </c>
      <c r="T21" s="64" t="e">
        <f>IF(KMeans_Phase!$E39=3,Phase_Data!$C21,NA())</f>
        <v>#N/A</v>
      </c>
    </row>
    <row r="22" spans="1:27" x14ac:dyDescent="0.25">
      <c r="A22" s="64" t="e">
        <f>IF(KMeans_City!$E40=1,KMeans_City!$B40,NA())</f>
        <v>#N/A</v>
      </c>
      <c r="B22" s="64" t="e">
        <f>IF(KMeans_City!$E40=1,KMeans_City!$C40,NA())</f>
        <v>#N/A</v>
      </c>
      <c r="C22" s="64" t="e">
        <f>IF(KMeans_City!$E40=2,KMeans_City!$B40,NA())</f>
        <v>#N/A</v>
      </c>
      <c r="D22" s="64" t="e">
        <f>IF(KMeans_City!$E40=2,KMeans_City!$C40,NA())</f>
        <v>#N/A</v>
      </c>
      <c r="E22" s="64">
        <f>IF(KMeans_City!$E40=3,KMeans_City!$B40,NA())</f>
        <v>0.85300106201847159</v>
      </c>
      <c r="F22" s="64">
        <f>IF(KMeans_City!$E40=3,KMeans_City!$C40,NA())</f>
        <v>1.3810745208577742</v>
      </c>
      <c r="O22" s="64">
        <f>IF(KMeans_Phase!$E40=1,KMeans_Phase!$A40,NA())</f>
        <v>43904</v>
      </c>
      <c r="P22" s="64">
        <f>IF(KMeans_Phase!$E40=1,Phase_Data!$C22,NA())</f>
        <v>0</v>
      </c>
      <c r="Q22" s="64" t="e">
        <f>IF(KMeans_Phase!$E40=2,KMeans_Phase!$A40,NA())</f>
        <v>#N/A</v>
      </c>
      <c r="R22" s="64" t="e">
        <f>IF(KMeans_Phase!$E40=2,Phase_Data!$C22,NA())</f>
        <v>#N/A</v>
      </c>
      <c r="S22" s="64" t="e">
        <f>IF(KMeans_Phase!$E40=3,KMeans_Phase!$A40,NA())</f>
        <v>#N/A</v>
      </c>
      <c r="T22" s="64" t="e">
        <f>IF(KMeans_Phase!$E40=3,Phase_Data!$C22,NA())</f>
        <v>#N/A</v>
      </c>
    </row>
    <row r="23" spans="1:27" x14ac:dyDescent="0.25">
      <c r="A23" s="64" t="e">
        <f>IF(KMeans_City!$E41=1,KMeans_City!$B41,NA())</f>
        <v>#N/A</v>
      </c>
      <c r="B23" s="64" t="e">
        <f>IF(KMeans_City!$E41=1,KMeans_City!$C41,NA())</f>
        <v>#N/A</v>
      </c>
      <c r="C23" s="64" t="e">
        <f>IF(KMeans_City!$E41=2,KMeans_City!$B41,NA())</f>
        <v>#N/A</v>
      </c>
      <c r="D23" s="64" t="e">
        <f>IF(KMeans_City!$E41=2,KMeans_City!$C41,NA())</f>
        <v>#N/A</v>
      </c>
      <c r="E23" s="64">
        <f>IF(KMeans_City!$E41=3,KMeans_City!$B41,NA())</f>
        <v>0.85113891327863989</v>
      </c>
      <c r="F23" s="64">
        <f>IF(KMeans_City!$E41=3,KMeans_City!$C41,NA())</f>
        <v>1.3810745208577742</v>
      </c>
      <c r="O23" s="64">
        <f>IF(KMeans_Phase!$E41=1,KMeans_Phase!$A41,NA())</f>
        <v>43905</v>
      </c>
      <c r="P23" s="64">
        <f>IF(KMeans_Phase!$E41=1,Phase_Data!$C23,NA())</f>
        <v>34</v>
      </c>
      <c r="Q23" s="64" t="e">
        <f>IF(KMeans_Phase!$E41=2,KMeans_Phase!$A41,NA())</f>
        <v>#N/A</v>
      </c>
      <c r="R23" s="64" t="e">
        <f>IF(KMeans_Phase!$E41=2,Phase_Data!$C23,NA())</f>
        <v>#N/A</v>
      </c>
      <c r="S23" s="64" t="e">
        <f>IF(KMeans_Phase!$E41=3,KMeans_Phase!$A41,NA())</f>
        <v>#N/A</v>
      </c>
      <c r="T23" s="64" t="e">
        <f>IF(KMeans_Phase!$E41=3,Phase_Data!$C23,NA())</f>
        <v>#N/A</v>
      </c>
    </row>
    <row r="24" spans="1:27" x14ac:dyDescent="0.25">
      <c r="A24" s="64" t="e">
        <f>IF(KMeans_City!$E42=1,KMeans_City!$B42,NA())</f>
        <v>#N/A</v>
      </c>
      <c r="B24" s="64" t="e">
        <f>IF(KMeans_City!$E42=1,KMeans_City!$C42,NA())</f>
        <v>#N/A</v>
      </c>
      <c r="C24" s="64" t="e">
        <f>IF(KMeans_City!$E42=2,KMeans_City!$B42,NA())</f>
        <v>#N/A</v>
      </c>
      <c r="D24" s="64" t="e">
        <f>IF(KMeans_City!$E42=2,KMeans_City!$C42,NA())</f>
        <v>#N/A</v>
      </c>
      <c r="E24" s="64">
        <f>IF(KMeans_City!$E42=3,KMeans_City!$B42,NA())</f>
        <v>0.84172690240795967</v>
      </c>
      <c r="F24" s="64">
        <f>IF(KMeans_City!$E42=3,KMeans_City!$C42,NA())</f>
        <v>0.80308444953571578</v>
      </c>
      <c r="O24" s="64">
        <f>IF(KMeans_Phase!$E42=1,KMeans_Phase!$A42,NA())</f>
        <v>43906</v>
      </c>
      <c r="P24" s="64">
        <f>IF(KMeans_Phase!$E42=1,Phase_Data!$C24,NA())</f>
        <v>151</v>
      </c>
      <c r="Q24" s="64" t="e">
        <f>IF(KMeans_Phase!$E42=2,KMeans_Phase!$A42,NA())</f>
        <v>#N/A</v>
      </c>
      <c r="R24" s="64" t="e">
        <f>IF(KMeans_Phase!$E42=2,Phase_Data!$C24,NA())</f>
        <v>#N/A</v>
      </c>
      <c r="S24" s="64" t="e">
        <f>IF(KMeans_Phase!$E42=3,KMeans_Phase!$A42,NA())</f>
        <v>#N/A</v>
      </c>
      <c r="T24" s="64" t="e">
        <f>IF(KMeans_Phase!$E42=3,Phase_Data!$C24,NA())</f>
        <v>#N/A</v>
      </c>
    </row>
    <row r="25" spans="1:27" x14ac:dyDescent="0.25">
      <c r="A25" s="64" t="e">
        <f>IF(KMeans_City!$E43=1,KMeans_City!$B43,NA())</f>
        <v>#N/A</v>
      </c>
      <c r="B25" s="64" t="e">
        <f>IF(KMeans_City!$E43=1,KMeans_City!$C43,NA())</f>
        <v>#N/A</v>
      </c>
      <c r="C25" s="64" t="e">
        <f>IF(KMeans_City!$E43=2,KMeans_City!$B43,NA())</f>
        <v>#N/A</v>
      </c>
      <c r="D25" s="64" t="e">
        <f>IF(KMeans_City!$E43=2,KMeans_City!$C43,NA())</f>
        <v>#N/A</v>
      </c>
      <c r="E25" s="64">
        <f>IF(KMeans_City!$E43=3,KMeans_City!$B43,NA())</f>
        <v>0.78983637463992185</v>
      </c>
      <c r="F25" s="64">
        <f>IF(KMeans_City!$E43=3,KMeans_City!$C43,NA())</f>
        <v>0.80308444953571578</v>
      </c>
      <c r="O25" s="64">
        <f>IF(KMeans_Phase!$E43=1,KMeans_Phase!$A43,NA())</f>
        <v>43907</v>
      </c>
      <c r="P25" s="64">
        <f>IF(KMeans_Phase!$E43=1,Phase_Data!$C25,NA())</f>
        <v>52</v>
      </c>
      <c r="Q25" s="64" t="e">
        <f>IF(KMeans_Phase!$E43=2,KMeans_Phase!$A43,NA())</f>
        <v>#N/A</v>
      </c>
      <c r="R25" s="64" t="e">
        <f>IF(KMeans_Phase!$E43=2,Phase_Data!$C25,NA())</f>
        <v>#N/A</v>
      </c>
      <c r="S25" s="64" t="e">
        <f>IF(KMeans_Phase!$E43=3,KMeans_Phase!$A43,NA())</f>
        <v>#N/A</v>
      </c>
      <c r="T25" s="64" t="e">
        <f>IF(KMeans_Phase!$E43=3,Phase_Data!$C25,NA())</f>
        <v>#N/A</v>
      </c>
    </row>
    <row r="26" spans="1:27" x14ac:dyDescent="0.25">
      <c r="A26" s="64" t="e">
        <f>IF(KMeans_City!$E44=1,KMeans_City!$B44,NA())</f>
        <v>#N/A</v>
      </c>
      <c r="B26" s="64" t="e">
        <f>IF(KMeans_City!$E44=1,KMeans_City!$C44,NA())</f>
        <v>#N/A</v>
      </c>
      <c r="C26" s="64" t="e">
        <f>IF(KMeans_City!$E44=2,KMeans_City!$B44,NA())</f>
        <v>#N/A</v>
      </c>
      <c r="D26" s="64" t="e">
        <f>IF(KMeans_City!$E44=2,KMeans_City!$C44,NA())</f>
        <v>#N/A</v>
      </c>
      <c r="E26" s="64">
        <f>IF(KMeans_City!$E44=3,KMeans_City!$B44,NA())</f>
        <v>0.78562201948780019</v>
      </c>
      <c r="F26" s="64">
        <f>IF(KMeans_City!$E44=3,KMeans_City!$C44,NA())</f>
        <v>0.80308444953571578</v>
      </c>
      <c r="O26" s="64">
        <f>IF(KMeans_Phase!$E44=1,KMeans_Phase!$A44,NA())</f>
        <v>43908</v>
      </c>
      <c r="P26" s="64">
        <f>IF(KMeans_Phase!$E44=1,Phase_Data!$C26,NA())</f>
        <v>57</v>
      </c>
      <c r="Q26" s="64" t="e">
        <f>IF(KMeans_Phase!$E44=2,KMeans_Phase!$A44,NA())</f>
        <v>#N/A</v>
      </c>
      <c r="R26" s="64" t="e">
        <f>IF(KMeans_Phase!$E44=2,Phase_Data!$C26,NA())</f>
        <v>#N/A</v>
      </c>
      <c r="S26" s="64" t="e">
        <f>IF(KMeans_Phase!$E44=3,KMeans_Phase!$A44,NA())</f>
        <v>#N/A</v>
      </c>
      <c r="T26" s="64" t="e">
        <f>IF(KMeans_Phase!$E44=3,Phase_Data!$C26,NA())</f>
        <v>#N/A</v>
      </c>
    </row>
    <row r="27" spans="1:27" x14ac:dyDescent="0.25">
      <c r="A27" s="64" t="e">
        <f>IF(KMeans_City!$E45=1,KMeans_City!$B45,NA())</f>
        <v>#N/A</v>
      </c>
      <c r="B27" s="64" t="e">
        <f>IF(KMeans_City!$E45=1,KMeans_City!$C45,NA())</f>
        <v>#N/A</v>
      </c>
      <c r="C27" s="64" t="e">
        <f>IF(KMeans_City!$E45=2,KMeans_City!$B45,NA())</f>
        <v>#N/A</v>
      </c>
      <c r="D27" s="64" t="e">
        <f>IF(KMeans_City!$E45=2,KMeans_City!$C45,NA())</f>
        <v>#N/A</v>
      </c>
      <c r="E27" s="64">
        <f>IF(KMeans_City!$E45=3,KMeans_City!$B45,NA())</f>
        <v>0.78350197575168823</v>
      </c>
      <c r="F27" s="64">
        <f>IF(KMeans_City!$E45=3,KMeans_City!$C45,NA())</f>
        <v>0.16051258962499582</v>
      </c>
      <c r="O27" s="64">
        <f>IF(KMeans_Phase!$E45=1,KMeans_Phase!$A45,NA())</f>
        <v>43909</v>
      </c>
      <c r="P27" s="64">
        <f>IF(KMeans_Phase!$E45=1,Phase_Data!$C27,NA())</f>
        <v>154</v>
      </c>
      <c r="Q27" s="64" t="e">
        <f>IF(KMeans_Phase!$E45=2,KMeans_Phase!$A45,NA())</f>
        <v>#N/A</v>
      </c>
      <c r="R27" s="64" t="e">
        <f>IF(KMeans_Phase!$E45=2,Phase_Data!$C27,NA())</f>
        <v>#N/A</v>
      </c>
      <c r="S27" s="64" t="e">
        <f>IF(KMeans_Phase!$E45=3,KMeans_Phase!$A45,NA())</f>
        <v>#N/A</v>
      </c>
      <c r="T27" s="64" t="e">
        <f>IF(KMeans_Phase!$E45=3,Phase_Data!$C27,NA())</f>
        <v>#N/A</v>
      </c>
    </row>
    <row r="28" spans="1:27" x14ac:dyDescent="0.25">
      <c r="A28" s="64" t="e">
        <f>IF(KMeans_City!$E46=1,KMeans_City!$B46,NA())</f>
        <v>#N/A</v>
      </c>
      <c r="B28" s="64" t="e">
        <f>IF(KMeans_City!$E46=1,KMeans_City!$C46,NA())</f>
        <v>#N/A</v>
      </c>
      <c r="C28" s="64" t="e">
        <f>IF(KMeans_City!$E46=2,KMeans_City!$B46,NA())</f>
        <v>#N/A</v>
      </c>
      <c r="D28" s="64" t="e">
        <f>IF(KMeans_City!$E46=2,KMeans_City!$C46,NA())</f>
        <v>#N/A</v>
      </c>
      <c r="E28" s="64">
        <f>IF(KMeans_City!$E46=3,KMeans_City!$B46,NA())</f>
        <v>0.78350197575168823</v>
      </c>
      <c r="F28" s="64">
        <f>IF(KMeans_City!$E46=3,KMeans_City!$C46,NA())</f>
        <v>0.54791138584450239</v>
      </c>
      <c r="O28" s="64">
        <f>IF(KMeans_Phase!$E46=1,KMeans_Phase!$A46,NA())</f>
        <v>43910</v>
      </c>
      <c r="P28" s="64">
        <f>IF(KMeans_Phase!$E46=1,Phase_Data!$C28,NA())</f>
        <v>50</v>
      </c>
      <c r="Q28" s="64" t="e">
        <f>IF(KMeans_Phase!$E46=2,KMeans_Phase!$A46,NA())</f>
        <v>#N/A</v>
      </c>
      <c r="R28" s="64" t="e">
        <f>IF(KMeans_Phase!$E46=2,Phase_Data!$C28,NA())</f>
        <v>#N/A</v>
      </c>
      <c r="S28" s="64" t="e">
        <f>IF(KMeans_Phase!$E46=3,KMeans_Phase!$A46,NA())</f>
        <v>#N/A</v>
      </c>
      <c r="T28" s="64" t="e">
        <f>IF(KMeans_Phase!$E46=3,Phase_Data!$C28,NA())</f>
        <v>#N/A</v>
      </c>
    </row>
    <row r="29" spans="1:27" x14ac:dyDescent="0.25">
      <c r="A29" s="64" t="e">
        <f>IF(KMeans_City!$E47=1,KMeans_City!$B47,NA())</f>
        <v>#N/A</v>
      </c>
      <c r="B29" s="64" t="e">
        <f>IF(KMeans_City!$E47=1,KMeans_City!$C47,NA())</f>
        <v>#N/A</v>
      </c>
      <c r="C29" s="64" t="e">
        <f>IF(KMeans_City!$E47=2,KMeans_City!$B47,NA())</f>
        <v>#N/A</v>
      </c>
      <c r="D29" s="64" t="e">
        <f>IF(KMeans_City!$E47=2,KMeans_City!$C47,NA())</f>
        <v>#N/A</v>
      </c>
      <c r="E29" s="64">
        <f>IF(KMeans_City!$E47=3,KMeans_City!$B47,NA())</f>
        <v>0.76181258672347318</v>
      </c>
      <c r="F29" s="64">
        <f>IF(KMeans_City!$E47=3,KMeans_City!$C47,NA())</f>
        <v>1.3810745208577742</v>
      </c>
      <c r="O29" s="64">
        <f>IF(KMeans_Phase!$E47=1,KMeans_Phase!$A47,NA())</f>
        <v>43911</v>
      </c>
      <c r="P29" s="64">
        <f>IF(KMeans_Phase!$E47=1,Phase_Data!$C29,NA())</f>
        <v>134</v>
      </c>
      <c r="Q29" s="64" t="e">
        <f>IF(KMeans_Phase!$E47=2,KMeans_Phase!$A47,NA())</f>
        <v>#N/A</v>
      </c>
      <c r="R29" s="64" t="e">
        <f>IF(KMeans_Phase!$E47=2,Phase_Data!$C29,NA())</f>
        <v>#N/A</v>
      </c>
      <c r="S29" s="64" t="e">
        <f>IF(KMeans_Phase!$E47=3,KMeans_Phase!$A47,NA())</f>
        <v>#N/A</v>
      </c>
      <c r="T29" s="64" t="e">
        <f>IF(KMeans_Phase!$E47=3,Phase_Data!$C29,NA())</f>
        <v>#N/A</v>
      </c>
    </row>
    <row r="30" spans="1:27" x14ac:dyDescent="0.25">
      <c r="A30" s="64" t="e">
        <f>IF(KMeans_City!$E48=1,KMeans_City!$B48,NA())</f>
        <v>#N/A</v>
      </c>
      <c r="B30" s="64" t="e">
        <f>IF(KMeans_City!$E48=1,KMeans_City!$C48,NA())</f>
        <v>#N/A</v>
      </c>
      <c r="C30" s="64" t="e">
        <f>IF(KMeans_City!$E48=2,KMeans_City!$B48,NA())</f>
        <v>#N/A</v>
      </c>
      <c r="D30" s="64" t="e">
        <f>IF(KMeans_City!$E48=2,KMeans_City!$C48,NA())</f>
        <v>#N/A</v>
      </c>
      <c r="E30" s="64">
        <f>IF(KMeans_City!$E48=3,KMeans_City!$B48,NA())</f>
        <v>0.70820457074466558</v>
      </c>
      <c r="F30" s="64">
        <f>IF(KMeans_City!$E48=3,KMeans_City!$C48,NA())</f>
        <v>0.80308444953571578</v>
      </c>
      <c r="O30" s="64">
        <f>IF(KMeans_Phase!$E48=1,KMeans_Phase!$A48,NA())</f>
        <v>43912</v>
      </c>
      <c r="P30" s="64">
        <f>IF(KMeans_Phase!$E48=1,Phase_Data!$C30,NA())</f>
        <v>110</v>
      </c>
      <c r="Q30" s="64" t="e">
        <f>IF(KMeans_Phase!$E48=2,KMeans_Phase!$A48,NA())</f>
        <v>#N/A</v>
      </c>
      <c r="R30" s="64" t="e">
        <f>IF(KMeans_Phase!$E48=2,Phase_Data!$C30,NA())</f>
        <v>#N/A</v>
      </c>
      <c r="S30" s="64" t="e">
        <f>IF(KMeans_Phase!$E48=3,KMeans_Phase!$A48,NA())</f>
        <v>#N/A</v>
      </c>
      <c r="T30" s="64" t="e">
        <f>IF(KMeans_Phase!$E48=3,Phase_Data!$C30,NA())</f>
        <v>#N/A</v>
      </c>
    </row>
    <row r="31" spans="1:27" x14ac:dyDescent="0.25">
      <c r="A31" s="64" t="e">
        <f>IF(KMeans_City!$E49=1,KMeans_City!$B49,NA())</f>
        <v>#N/A</v>
      </c>
      <c r="B31" s="64" t="e">
        <f>IF(KMeans_City!$E49=1,KMeans_City!$C49,NA())</f>
        <v>#N/A</v>
      </c>
      <c r="C31" s="64">
        <f>IF(KMeans_City!$E49=2,KMeans_City!$B49,NA())</f>
        <v>0.64567305864807512</v>
      </c>
      <c r="D31" s="64">
        <f>IF(KMeans_City!$E49=2,KMeans_City!$C49,NA())</f>
        <v>-0.14698313392952958</v>
      </c>
      <c r="E31" s="64" t="e">
        <f>IF(KMeans_City!$E49=3,KMeans_City!$B49,NA())</f>
        <v>#N/A</v>
      </c>
      <c r="F31" s="64" t="e">
        <f>IF(KMeans_City!$E49=3,KMeans_City!$C49,NA())</f>
        <v>#N/A</v>
      </c>
      <c r="O31" s="64">
        <f>IF(KMeans_Phase!$E49=1,KMeans_Phase!$A49,NA())</f>
        <v>43913</v>
      </c>
      <c r="P31" s="64">
        <f>IF(KMeans_Phase!$E49=1,Phase_Data!$C31,NA())</f>
        <v>82</v>
      </c>
      <c r="Q31" s="64" t="e">
        <f>IF(KMeans_Phase!$E49=2,KMeans_Phase!$A49,NA())</f>
        <v>#N/A</v>
      </c>
      <c r="R31" s="64" t="e">
        <f>IF(KMeans_Phase!$E49=2,Phase_Data!$C31,NA())</f>
        <v>#N/A</v>
      </c>
      <c r="S31" s="64" t="e">
        <f>IF(KMeans_Phase!$E49=3,KMeans_Phase!$A49,NA())</f>
        <v>#N/A</v>
      </c>
      <c r="T31" s="64" t="e">
        <f>IF(KMeans_Phase!$E49=3,Phase_Data!$C31,NA())</f>
        <v>#N/A</v>
      </c>
    </row>
    <row r="32" spans="1:27" x14ac:dyDescent="0.25">
      <c r="A32" s="64" t="e">
        <f>IF(KMeans_City!$E50=1,KMeans_City!$B50,NA())</f>
        <v>#N/A</v>
      </c>
      <c r="B32" s="64" t="e">
        <f>IF(KMeans_City!$E50=1,KMeans_City!$C50,NA())</f>
        <v>#N/A</v>
      </c>
      <c r="C32" s="64" t="e">
        <f>IF(KMeans_City!$E50=2,KMeans_City!$B50,NA())</f>
        <v>#N/A</v>
      </c>
      <c r="D32" s="64" t="e">
        <f>IF(KMeans_City!$E50=2,KMeans_City!$C50,NA())</f>
        <v>#N/A</v>
      </c>
      <c r="E32" s="64">
        <f>IF(KMeans_City!$E50=3,KMeans_City!$B50,NA())</f>
        <v>0.60239578498043678</v>
      </c>
      <c r="F32" s="64">
        <f>IF(KMeans_City!$E50=3,KMeans_City!$C50,NA())</f>
        <v>0.68618000108374222</v>
      </c>
      <c r="O32" s="64" t="e">
        <f>IF(KMeans_Phase!$E50=1,KMeans_Phase!$A50,NA())</f>
        <v>#N/A</v>
      </c>
      <c r="P32" s="64" t="e">
        <f>IF(KMeans_Phase!$E50=1,Phase_Data!$C32,NA())</f>
        <v>#N/A</v>
      </c>
      <c r="Q32" s="64" t="e">
        <f>IF(KMeans_Phase!$E50=2,KMeans_Phase!$A50,NA())</f>
        <v>#N/A</v>
      </c>
      <c r="R32" s="64" t="e">
        <f>IF(KMeans_Phase!$E50=2,Phase_Data!$C32,NA())</f>
        <v>#N/A</v>
      </c>
      <c r="S32" s="64">
        <f>IF(KMeans_Phase!$E50=3,KMeans_Phase!$A50,NA())</f>
        <v>43914</v>
      </c>
      <c r="T32" s="64">
        <f>IF(KMeans_Phase!$E50=3,Phase_Data!$C32,NA())</f>
        <v>114</v>
      </c>
    </row>
    <row r="33" spans="1:20" x14ac:dyDescent="0.25">
      <c r="A33" s="64" t="e">
        <f>IF(KMeans_City!$E51=1,KMeans_City!$B51,NA())</f>
        <v>#N/A</v>
      </c>
      <c r="B33" s="64" t="e">
        <f>IF(KMeans_City!$E51=1,KMeans_City!$C51,NA())</f>
        <v>#N/A</v>
      </c>
      <c r="C33" s="64">
        <f>IF(KMeans_City!$E51=2,KMeans_City!$B51,NA())</f>
        <v>0.57775354876086193</v>
      </c>
      <c r="D33" s="64">
        <f>IF(KMeans_City!$E51=2,KMeans_City!$C51,NA())</f>
        <v>-0.67265054538827607</v>
      </c>
      <c r="E33" s="64" t="e">
        <f>IF(KMeans_City!$E51=3,KMeans_City!$B51,NA())</f>
        <v>#N/A</v>
      </c>
      <c r="F33" s="64" t="e">
        <f>IF(KMeans_City!$E51=3,KMeans_City!$C51,NA())</f>
        <v>#N/A</v>
      </c>
      <c r="O33" s="64">
        <f>IF(KMeans_Phase!$E51=1,KMeans_Phase!$A51,NA())</f>
        <v>43915</v>
      </c>
      <c r="P33" s="64">
        <f>IF(KMeans_Phase!$E51=1,Phase_Data!$C33,NA())</f>
        <v>110</v>
      </c>
      <c r="Q33" s="64" t="e">
        <f>IF(KMeans_Phase!$E51=2,KMeans_Phase!$A51,NA())</f>
        <v>#N/A</v>
      </c>
      <c r="R33" s="64" t="e">
        <f>IF(KMeans_Phase!$E51=2,Phase_Data!$C33,NA())</f>
        <v>#N/A</v>
      </c>
      <c r="S33" s="64" t="e">
        <f>IF(KMeans_Phase!$E51=3,KMeans_Phase!$A51,NA())</f>
        <v>#N/A</v>
      </c>
      <c r="T33" s="64" t="e">
        <f>IF(KMeans_Phase!$E51=3,Phase_Data!$C33,NA())</f>
        <v>#N/A</v>
      </c>
    </row>
    <row r="34" spans="1:20" x14ac:dyDescent="0.25">
      <c r="A34" s="64" t="e">
        <f>IF(KMeans_City!$E52=1,KMeans_City!$B52,NA())</f>
        <v>#N/A</v>
      </c>
      <c r="B34" s="64" t="e">
        <f>IF(KMeans_City!$E52=1,KMeans_City!$C52,NA())</f>
        <v>#N/A</v>
      </c>
      <c r="C34" s="64" t="e">
        <f>IF(KMeans_City!$E52=2,KMeans_City!$B52,NA())</f>
        <v>#N/A</v>
      </c>
      <c r="D34" s="64" t="e">
        <f>IF(KMeans_City!$E52=2,KMeans_City!$C52,NA())</f>
        <v>#N/A</v>
      </c>
      <c r="E34" s="64">
        <f>IF(KMeans_City!$E52=3,KMeans_City!$B52,NA())</f>
        <v>0.57775354876086193</v>
      </c>
      <c r="F34" s="64">
        <f>IF(KMeans_City!$E52=3,KMeans_City!$C52,NA())</f>
        <v>0.16051258962499582</v>
      </c>
      <c r="O34" s="64" t="e">
        <f>IF(KMeans_Phase!$E52=1,KMeans_Phase!$A52,NA())</f>
        <v>#N/A</v>
      </c>
      <c r="P34" s="64" t="e">
        <f>IF(KMeans_Phase!$E52=1,Phase_Data!$C34,NA())</f>
        <v>#N/A</v>
      </c>
      <c r="Q34" s="64" t="e">
        <f>IF(KMeans_Phase!$E52=2,KMeans_Phase!$A52,NA())</f>
        <v>#N/A</v>
      </c>
      <c r="R34" s="64" t="e">
        <f>IF(KMeans_Phase!$E52=2,Phase_Data!$C34,NA())</f>
        <v>#N/A</v>
      </c>
      <c r="S34" s="64">
        <f>IF(KMeans_Phase!$E52=3,KMeans_Phase!$A52,NA())</f>
        <v>43916</v>
      </c>
      <c r="T34" s="64">
        <f>IF(KMeans_Phase!$E52=3,Phase_Data!$C34,NA())</f>
        <v>131</v>
      </c>
    </row>
    <row r="35" spans="1:20" x14ac:dyDescent="0.25">
      <c r="A35" s="64" t="e">
        <f>IF(KMeans_City!$E53=1,KMeans_City!$B53,NA())</f>
        <v>#N/A</v>
      </c>
      <c r="B35" s="64" t="e">
        <f>IF(KMeans_City!$E53=1,KMeans_City!$C53,NA())</f>
        <v>#N/A</v>
      </c>
      <c r="C35" s="64">
        <f>IF(KMeans_City!$E53=2,KMeans_City!$B53,NA())</f>
        <v>0.57458958754261724</v>
      </c>
      <c r="D35" s="64">
        <f>IF(KMeans_City!$E53=2,KMeans_City!$C53,NA())</f>
        <v>-0.67265054538827607</v>
      </c>
      <c r="E35" s="64" t="e">
        <f>IF(KMeans_City!$E53=3,KMeans_City!$B53,NA())</f>
        <v>#N/A</v>
      </c>
      <c r="F35" s="64" t="e">
        <f>IF(KMeans_City!$E53=3,KMeans_City!$C53,NA())</f>
        <v>#N/A</v>
      </c>
      <c r="O35" s="64" t="e">
        <f>IF(KMeans_Phase!$E53=1,KMeans_Phase!$A53,NA())</f>
        <v>#N/A</v>
      </c>
      <c r="P35" s="64" t="e">
        <f>IF(KMeans_Phase!$E53=1,Phase_Data!$C35,NA())</f>
        <v>#N/A</v>
      </c>
      <c r="Q35" s="64" t="e">
        <f>IF(KMeans_Phase!$E53=2,KMeans_Phase!$A53,NA())</f>
        <v>#N/A</v>
      </c>
      <c r="R35" s="64" t="e">
        <f>IF(KMeans_Phase!$E53=2,Phase_Data!$C35,NA())</f>
        <v>#N/A</v>
      </c>
      <c r="S35" s="64">
        <f>IF(KMeans_Phase!$E53=3,KMeans_Phase!$A53,NA())</f>
        <v>43917</v>
      </c>
      <c r="T35" s="64">
        <f>IF(KMeans_Phase!$E53=3,Phase_Data!$C35,NA())</f>
        <v>122</v>
      </c>
    </row>
    <row r="36" spans="1:20" x14ac:dyDescent="0.25">
      <c r="A36" s="64" t="e">
        <f>IF(KMeans_City!$E54=1,KMeans_City!$B54,NA())</f>
        <v>#N/A</v>
      </c>
      <c r="B36" s="64" t="e">
        <f>IF(KMeans_City!$E54=1,KMeans_City!$C54,NA())</f>
        <v>#N/A</v>
      </c>
      <c r="C36" s="64" t="e">
        <f>IF(KMeans_City!$E54=2,KMeans_City!$B54,NA())</f>
        <v>#N/A</v>
      </c>
      <c r="D36" s="64" t="e">
        <f>IF(KMeans_City!$E54=2,KMeans_City!$C54,NA())</f>
        <v>#N/A</v>
      </c>
      <c r="E36" s="64">
        <f>IF(KMeans_City!$E54=3,KMeans_City!$B54,NA())</f>
        <v>0.56820337223564554</v>
      </c>
      <c r="F36" s="64">
        <f>IF(KMeans_City!$E54=3,KMeans_City!$C54,NA())</f>
        <v>0.54791138584450239</v>
      </c>
      <c r="O36" s="64" t="e">
        <f>IF(KMeans_Phase!$E54=1,KMeans_Phase!$A54,NA())</f>
        <v>#N/A</v>
      </c>
      <c r="P36" s="64" t="e">
        <f>IF(KMeans_Phase!$E54=1,Phase_Data!$C36,NA())</f>
        <v>#N/A</v>
      </c>
      <c r="Q36" s="64" t="e">
        <f>IF(KMeans_Phase!$E54=2,KMeans_Phase!$A54,NA())</f>
        <v>#N/A</v>
      </c>
      <c r="R36" s="64" t="e">
        <f>IF(KMeans_Phase!$E54=2,Phase_Data!$C36,NA())</f>
        <v>#N/A</v>
      </c>
      <c r="S36" s="64">
        <f>IF(KMeans_Phase!$E54=3,KMeans_Phase!$A54,NA())</f>
        <v>43918</v>
      </c>
      <c r="T36" s="64">
        <f>IF(KMeans_Phase!$E54=3,Phase_Data!$C36,NA())</f>
        <v>184</v>
      </c>
    </row>
    <row r="37" spans="1:20" x14ac:dyDescent="0.25">
      <c r="A37" s="64" t="e">
        <f>IF(KMeans_City!$E55=1,KMeans_City!$B55,NA())</f>
        <v>#N/A</v>
      </c>
      <c r="B37" s="64" t="e">
        <f>IF(KMeans_City!$E55=1,KMeans_City!$C55,NA())</f>
        <v>#N/A</v>
      </c>
      <c r="C37" s="64" t="e">
        <f>IF(KMeans_City!$E55=2,KMeans_City!$B55,NA())</f>
        <v>#N/A</v>
      </c>
      <c r="D37" s="64" t="e">
        <f>IF(KMeans_City!$E55=2,KMeans_City!$C55,NA())</f>
        <v>#N/A</v>
      </c>
      <c r="E37" s="64">
        <f>IF(KMeans_City!$E55=3,KMeans_City!$B55,NA())</f>
        <v>0.53160574306813768</v>
      </c>
      <c r="F37" s="64">
        <f>IF(KMeans_City!$E55=3,KMeans_City!$C55,NA())</f>
        <v>0.37868427752921691</v>
      </c>
      <c r="O37" s="64" t="e">
        <f>IF(KMeans_Phase!$E55=1,KMeans_Phase!$A55,NA())</f>
        <v>#N/A</v>
      </c>
      <c r="P37" s="64" t="e">
        <f>IF(KMeans_Phase!$E55=1,Phase_Data!$C37,NA())</f>
        <v>#N/A</v>
      </c>
      <c r="Q37" s="64" t="e">
        <f>IF(KMeans_Phase!$E55=2,KMeans_Phase!$A55,NA())</f>
        <v>#N/A</v>
      </c>
      <c r="R37" s="64" t="e">
        <f>IF(KMeans_Phase!$E55=2,Phase_Data!$C37,NA())</f>
        <v>#N/A</v>
      </c>
      <c r="S37" s="64">
        <f>IF(KMeans_Phase!$E55=3,KMeans_Phase!$A55,NA())</f>
        <v>43919</v>
      </c>
      <c r="T37" s="64">
        <f>IF(KMeans_Phase!$E55=3,Phase_Data!$C37,NA())</f>
        <v>87</v>
      </c>
    </row>
    <row r="38" spans="1:20" x14ac:dyDescent="0.25">
      <c r="A38" s="64" t="e">
        <f>IF(KMeans_City!$E56=1,KMeans_City!$B56,NA())</f>
        <v>#N/A</v>
      </c>
      <c r="B38" s="64" t="e">
        <f>IF(KMeans_City!$E56=1,KMeans_City!$C56,NA())</f>
        <v>#N/A</v>
      </c>
      <c r="C38" s="64" t="e">
        <f>IF(KMeans_City!$E56=2,KMeans_City!$B56,NA())</f>
        <v>#N/A</v>
      </c>
      <c r="D38" s="64" t="e">
        <f>IF(KMeans_City!$E56=2,KMeans_City!$C56,NA())</f>
        <v>#N/A</v>
      </c>
      <c r="E38" s="64">
        <f>IF(KMeans_City!$E56=3,KMeans_City!$B56,NA())</f>
        <v>0.48474983033217361</v>
      </c>
      <c r="F38" s="64">
        <f>IF(KMeans_City!$E56=3,KMeans_City!$C56,NA())</f>
        <v>-0.14698313392952958</v>
      </c>
      <c r="O38" s="64" t="e">
        <f>IF(KMeans_Phase!$E56=1,KMeans_Phase!$A56,NA())</f>
        <v>#N/A</v>
      </c>
      <c r="P38" s="64" t="e">
        <f>IF(KMeans_Phase!$E56=1,Phase_Data!$C38,NA())</f>
        <v>#N/A</v>
      </c>
      <c r="Q38" s="64" t="e">
        <f>IF(KMeans_Phase!$E56=2,KMeans_Phase!$A56,NA())</f>
        <v>#N/A</v>
      </c>
      <c r="R38" s="64" t="e">
        <f>IF(KMeans_Phase!$E56=2,Phase_Data!$C38,NA())</f>
        <v>#N/A</v>
      </c>
      <c r="S38" s="64">
        <f>IF(KMeans_Phase!$E56=3,KMeans_Phase!$A56,NA())</f>
        <v>43920</v>
      </c>
      <c r="T38" s="64">
        <f>IF(KMeans_Phase!$E56=3,Phase_Data!$C38,NA())</f>
        <v>145</v>
      </c>
    </row>
    <row r="39" spans="1:20" x14ac:dyDescent="0.25">
      <c r="A39" s="64" t="e">
        <f>IF(KMeans_City!$E57=1,KMeans_City!$B57,NA())</f>
        <v>#N/A</v>
      </c>
      <c r="B39" s="64" t="e">
        <f>IF(KMeans_City!$E57=1,KMeans_City!$C57,NA())</f>
        <v>#N/A</v>
      </c>
      <c r="C39" s="64" t="e">
        <f>IF(KMeans_City!$E57=2,KMeans_City!$B57,NA())</f>
        <v>#N/A</v>
      </c>
      <c r="D39" s="64" t="e">
        <f>IF(KMeans_City!$E57=2,KMeans_City!$C57,NA())</f>
        <v>#N/A</v>
      </c>
      <c r="E39" s="64">
        <f>IF(KMeans_City!$E57=3,KMeans_City!$B57,NA())</f>
        <v>0.48474983033217361</v>
      </c>
      <c r="F39" s="64">
        <f>IF(KMeans_City!$E57=3,KMeans_City!$C57,NA())</f>
        <v>1.3810745208577742</v>
      </c>
      <c r="O39" s="64" t="e">
        <f>IF(KMeans_Phase!$E57=1,KMeans_Phase!$A57,NA())</f>
        <v>#N/A</v>
      </c>
      <c r="P39" s="64" t="e">
        <f>IF(KMeans_Phase!$E57=1,Phase_Data!$C39,NA())</f>
        <v>#N/A</v>
      </c>
      <c r="Q39" s="64" t="e">
        <f>IF(KMeans_Phase!$E57=2,KMeans_Phase!$A57,NA())</f>
        <v>#N/A</v>
      </c>
      <c r="R39" s="64" t="e">
        <f>IF(KMeans_Phase!$E57=2,Phase_Data!$C39,NA())</f>
        <v>#N/A</v>
      </c>
      <c r="S39" s="64">
        <f>IF(KMeans_Phase!$E57=3,KMeans_Phase!$A57,NA())</f>
        <v>43921</v>
      </c>
      <c r="T39" s="64">
        <f>IF(KMeans_Phase!$E57=3,Phase_Data!$C39,NA())</f>
        <v>223</v>
      </c>
    </row>
    <row r="40" spans="1:20" x14ac:dyDescent="0.25">
      <c r="A40" s="64" t="e">
        <f>IF(KMeans_City!$E58=1,KMeans_City!$B58,NA())</f>
        <v>#N/A</v>
      </c>
      <c r="B40" s="64" t="e">
        <f>IF(KMeans_City!$E58=1,KMeans_City!$C58,NA())</f>
        <v>#N/A</v>
      </c>
      <c r="C40" s="64" t="e">
        <f>IF(KMeans_City!$E58=2,KMeans_City!$B58,NA())</f>
        <v>#N/A</v>
      </c>
      <c r="D40" s="64" t="e">
        <f>IF(KMeans_City!$E58=2,KMeans_City!$C58,NA())</f>
        <v>#N/A</v>
      </c>
      <c r="E40" s="64">
        <f>IF(KMeans_City!$E58=3,KMeans_City!$B58,NA())</f>
        <v>0.45366775919714841</v>
      </c>
      <c r="F40" s="64">
        <f>IF(KMeans_City!$E58=3,KMeans_City!$C58,NA())</f>
        <v>1.1458599186993335</v>
      </c>
      <c r="O40" s="64" t="e">
        <f>IF(KMeans_Phase!$E58=1,KMeans_Phase!$A58,NA())</f>
        <v>#N/A</v>
      </c>
      <c r="P40" s="64" t="e">
        <f>IF(KMeans_Phase!$E58=1,Phase_Data!$C40,NA())</f>
        <v>#N/A</v>
      </c>
      <c r="Q40" s="64" t="e">
        <f>IF(KMeans_Phase!$E58=2,KMeans_Phase!$A58,NA())</f>
        <v>#N/A</v>
      </c>
      <c r="R40" s="64" t="e">
        <f>IF(KMeans_Phase!$E58=2,Phase_Data!$C40,NA())</f>
        <v>#N/A</v>
      </c>
      <c r="S40" s="64">
        <f>IF(KMeans_Phase!$E58=3,KMeans_Phase!$A58,NA())</f>
        <v>43922</v>
      </c>
      <c r="T40" s="64">
        <f>IF(KMeans_Phase!$E58=3,Phase_Data!$C40,NA())</f>
        <v>260</v>
      </c>
    </row>
    <row r="41" spans="1:20" x14ac:dyDescent="0.25">
      <c r="A41" s="64" t="e">
        <f>IF(KMeans_City!$E59=1,KMeans_City!$B59,NA())</f>
        <v>#N/A</v>
      </c>
      <c r="B41" s="64" t="e">
        <f>IF(KMeans_City!$E59=1,KMeans_City!$C59,NA())</f>
        <v>#N/A</v>
      </c>
      <c r="C41" s="64" t="e">
        <f>IF(KMeans_City!$E59=2,KMeans_City!$B59,NA())</f>
        <v>#N/A</v>
      </c>
      <c r="D41" s="64" t="e">
        <f>IF(KMeans_City!$E59=2,KMeans_City!$C59,NA())</f>
        <v>#N/A</v>
      </c>
      <c r="E41" s="64">
        <f>IF(KMeans_City!$E59=3,KMeans_City!$B59,NA())</f>
        <v>0.43325455393275542</v>
      </c>
      <c r="F41" s="64">
        <f>IF(KMeans_City!$E59=3,KMeans_City!$C59,NA())</f>
        <v>0.37868427752921691</v>
      </c>
      <c r="O41" s="64" t="e">
        <f>IF(KMeans_Phase!$E59=1,KMeans_Phase!$A59,NA())</f>
        <v>#N/A</v>
      </c>
      <c r="P41" s="64" t="e">
        <f>IF(KMeans_Phase!$E59=1,Phase_Data!$C41,NA())</f>
        <v>#N/A</v>
      </c>
      <c r="Q41" s="64" t="e">
        <f>IF(KMeans_Phase!$E59=2,KMeans_Phase!$A59,NA())</f>
        <v>#N/A</v>
      </c>
      <c r="R41" s="64" t="e">
        <f>IF(KMeans_Phase!$E59=2,Phase_Data!$C41,NA())</f>
        <v>#N/A</v>
      </c>
      <c r="S41" s="64">
        <f>IF(KMeans_Phase!$E59=3,KMeans_Phase!$A59,NA())</f>
        <v>43923</v>
      </c>
      <c r="T41" s="64">
        <f>IF(KMeans_Phase!$E59=3,Phase_Data!$C41,NA())</f>
        <v>183</v>
      </c>
    </row>
    <row r="42" spans="1:20" x14ac:dyDescent="0.25">
      <c r="A42" s="64" t="e">
        <f>IF(KMeans_City!$E60=1,KMeans_City!$B60,NA())</f>
        <v>#N/A</v>
      </c>
      <c r="B42" s="64" t="e">
        <f>IF(KMeans_City!$E60=1,KMeans_City!$C60,NA())</f>
        <v>#N/A</v>
      </c>
      <c r="C42" s="64" t="e">
        <f>IF(KMeans_City!$E60=2,KMeans_City!$B60,NA())</f>
        <v>#N/A</v>
      </c>
      <c r="D42" s="64" t="e">
        <f>IF(KMeans_City!$E60=2,KMeans_City!$C60,NA())</f>
        <v>#N/A</v>
      </c>
      <c r="E42" s="64">
        <f>IF(KMeans_City!$E60=3,KMeans_City!$B60,NA())</f>
        <v>0.42907404938827359</v>
      </c>
      <c r="F42" s="64">
        <f>IF(KMeans_City!$E60=3,KMeans_City!$C60,NA())</f>
        <v>0.37868427752921691</v>
      </c>
      <c r="O42" s="64" t="e">
        <f>IF(KMeans_Phase!$E60=1,KMeans_Phase!$A60,NA())</f>
        <v>#N/A</v>
      </c>
      <c r="P42" s="64" t="e">
        <f>IF(KMeans_Phase!$E60=1,Phase_Data!$C42,NA())</f>
        <v>#N/A</v>
      </c>
      <c r="Q42" s="64" t="e">
        <f>IF(KMeans_Phase!$E60=2,KMeans_Phase!$A60,NA())</f>
        <v>#N/A</v>
      </c>
      <c r="R42" s="64" t="e">
        <f>IF(KMeans_Phase!$E60=2,Phase_Data!$C42,NA())</f>
        <v>#N/A</v>
      </c>
      <c r="S42" s="64">
        <f>IF(KMeans_Phase!$E60=3,KMeans_Phase!$A60,NA())</f>
        <v>43924</v>
      </c>
      <c r="T42" s="64">
        <f>IF(KMeans_Phase!$E60=3,Phase_Data!$C42,NA())</f>
        <v>239</v>
      </c>
    </row>
    <row r="43" spans="1:20" x14ac:dyDescent="0.25">
      <c r="A43" s="64" t="e">
        <f>IF(KMeans_City!$E61=1,KMeans_City!$B61,NA())</f>
        <v>#N/A</v>
      </c>
      <c r="B43" s="64" t="e">
        <f>IF(KMeans_City!$E61=1,KMeans_City!$C61,NA())</f>
        <v>#N/A</v>
      </c>
      <c r="C43" s="64" t="e">
        <f>IF(KMeans_City!$E61=2,KMeans_City!$B61,NA())</f>
        <v>#N/A</v>
      </c>
      <c r="D43" s="64" t="e">
        <f>IF(KMeans_City!$E61=2,KMeans_City!$C61,NA())</f>
        <v>#N/A</v>
      </c>
      <c r="E43" s="64">
        <f>IF(KMeans_City!$E61=3,KMeans_City!$B61,NA())</f>
        <v>0.40765250667401376</v>
      </c>
      <c r="F43" s="64">
        <f>IF(KMeans_City!$E61=3,KMeans_City!$C61,NA())</f>
        <v>1.2725500225060853</v>
      </c>
      <c r="O43" s="64" t="e">
        <f>IF(KMeans_Phase!$E61=1,KMeans_Phase!$A61,NA())</f>
        <v>#N/A</v>
      </c>
      <c r="P43" s="64" t="e">
        <f>IF(KMeans_Phase!$E61=1,Phase_Data!$C43,NA())</f>
        <v>#N/A</v>
      </c>
      <c r="Q43" s="64" t="e">
        <f>IF(KMeans_Phase!$E61=2,KMeans_Phase!$A61,NA())</f>
        <v>#N/A</v>
      </c>
      <c r="R43" s="64" t="e">
        <f>IF(KMeans_Phase!$E61=2,Phase_Data!$C43,NA())</f>
        <v>#N/A</v>
      </c>
      <c r="S43" s="64">
        <f>IF(KMeans_Phase!$E61=3,KMeans_Phase!$A61,NA())</f>
        <v>43925</v>
      </c>
      <c r="T43" s="64">
        <f>IF(KMeans_Phase!$E61=3,Phase_Data!$C43,NA())</f>
        <v>79</v>
      </c>
    </row>
    <row r="44" spans="1:20" x14ac:dyDescent="0.25">
      <c r="A44" s="64" t="e">
        <f>IF(KMeans_City!$E62=1,KMeans_City!$B62,NA())</f>
        <v>#N/A</v>
      </c>
      <c r="B44" s="64" t="e">
        <f>IF(KMeans_City!$E62=1,KMeans_City!$C62,NA())</f>
        <v>#N/A</v>
      </c>
      <c r="C44" s="64" t="e">
        <f>IF(KMeans_City!$E62=2,KMeans_City!$B62,NA())</f>
        <v>#N/A</v>
      </c>
      <c r="D44" s="64" t="e">
        <f>IF(KMeans_City!$E62=2,KMeans_City!$C62,NA())</f>
        <v>#N/A</v>
      </c>
      <c r="E44" s="64">
        <f>IF(KMeans_City!$E62=3,KMeans_City!$B62,NA())</f>
        <v>0.38985692646238834</v>
      </c>
      <c r="F44" s="64">
        <f>IF(KMeans_City!$E62=3,KMeans_City!$C62,NA())</f>
        <v>0.16051258962499582</v>
      </c>
      <c r="O44" s="64" t="e">
        <f>IF(KMeans_Phase!$E62=1,KMeans_Phase!$A62,NA())</f>
        <v>#N/A</v>
      </c>
      <c r="P44" s="64" t="e">
        <f>IF(KMeans_Phase!$E62=1,Phase_Data!$C44,NA())</f>
        <v>#N/A</v>
      </c>
      <c r="Q44" s="64" t="e">
        <f>IF(KMeans_Phase!$E62=2,KMeans_Phase!$A62,NA())</f>
        <v>#N/A</v>
      </c>
      <c r="R44" s="64" t="e">
        <f>IF(KMeans_Phase!$E62=2,Phase_Data!$C44,NA())</f>
        <v>#N/A</v>
      </c>
      <c r="S44" s="64">
        <f>IF(KMeans_Phase!$E62=3,KMeans_Phase!$A62,NA())</f>
        <v>43926</v>
      </c>
      <c r="T44" s="64">
        <f>IF(KMeans_Phase!$E62=3,Phase_Data!$C44,NA())</f>
        <v>180</v>
      </c>
    </row>
    <row r="45" spans="1:20" x14ac:dyDescent="0.25">
      <c r="A45" s="64" t="e">
        <f>IF(KMeans_City!$E63=1,KMeans_City!$B63,NA())</f>
        <v>#N/A</v>
      </c>
      <c r="B45" s="64" t="e">
        <f>IF(KMeans_City!$E63=1,KMeans_City!$C63,NA())</f>
        <v>#N/A</v>
      </c>
      <c r="C45" s="64" t="e">
        <f>IF(KMeans_City!$E63=2,KMeans_City!$B63,NA())</f>
        <v>#N/A</v>
      </c>
      <c r="D45" s="64" t="e">
        <f>IF(KMeans_City!$E63=2,KMeans_City!$C63,NA())</f>
        <v>#N/A</v>
      </c>
      <c r="E45" s="64">
        <f>IF(KMeans_City!$E63=3,KMeans_City!$B63,NA())</f>
        <v>0.31711502585735735</v>
      </c>
      <c r="F45" s="64">
        <f>IF(KMeans_City!$E63=3,KMeans_City!$C63,NA())</f>
        <v>-0.67265054538827607</v>
      </c>
      <c r="O45" s="64" t="e">
        <f>IF(KMeans_Phase!$E63=1,KMeans_Phase!$A63,NA())</f>
        <v>#N/A</v>
      </c>
      <c r="P45" s="64" t="e">
        <f>IF(KMeans_Phase!$E63=1,Phase_Data!$C45,NA())</f>
        <v>#N/A</v>
      </c>
      <c r="Q45" s="64" t="e">
        <f>IF(KMeans_Phase!$E63=2,KMeans_Phase!$A63,NA())</f>
        <v>#N/A</v>
      </c>
      <c r="R45" s="64" t="e">
        <f>IF(KMeans_Phase!$E63=2,Phase_Data!$C45,NA())</f>
        <v>#N/A</v>
      </c>
      <c r="S45" s="64">
        <f>IF(KMeans_Phase!$E63=3,KMeans_Phase!$A63,NA())</f>
        <v>43927</v>
      </c>
      <c r="T45" s="64">
        <f>IF(KMeans_Phase!$E63=3,Phase_Data!$C45,NA())</f>
        <v>249</v>
      </c>
    </row>
    <row r="46" spans="1:20" x14ac:dyDescent="0.25">
      <c r="A46" s="64" t="e">
        <f>IF(KMeans_City!$E64=1,KMeans_City!$B64,NA())</f>
        <v>#N/A</v>
      </c>
      <c r="B46" s="64" t="e">
        <f>IF(KMeans_City!$E64=1,KMeans_City!$C64,NA())</f>
        <v>#N/A</v>
      </c>
      <c r="C46" s="64" t="e">
        <f>IF(KMeans_City!$E64=2,KMeans_City!$B64,NA())</f>
        <v>#N/A</v>
      </c>
      <c r="D46" s="64" t="e">
        <f>IF(KMeans_City!$E64=2,KMeans_City!$C64,NA())</f>
        <v>#N/A</v>
      </c>
      <c r="E46" s="64">
        <f>IF(KMeans_City!$E64=3,KMeans_City!$B64,NA())</f>
        <v>0.27371739838699027</v>
      </c>
      <c r="F46" s="64">
        <f>IF(KMeans_City!$E64=3,KMeans_City!$C64,NA())</f>
        <v>-0.14698313392952958</v>
      </c>
      <c r="O46" s="64" t="e">
        <f>IF(KMeans_Phase!$E64=1,KMeans_Phase!$A64,NA())</f>
        <v>#N/A</v>
      </c>
      <c r="P46" s="64" t="e">
        <f>IF(KMeans_Phase!$E64=1,Phase_Data!$C46,NA())</f>
        <v>#N/A</v>
      </c>
      <c r="Q46" s="64" t="e">
        <f>IF(KMeans_Phase!$E64=2,KMeans_Phase!$A64,NA())</f>
        <v>#N/A</v>
      </c>
      <c r="R46" s="64" t="e">
        <f>IF(KMeans_Phase!$E64=2,Phase_Data!$C46,NA())</f>
        <v>#N/A</v>
      </c>
      <c r="S46" s="64">
        <f>IF(KMeans_Phase!$E64=3,KMeans_Phase!$A64,NA())</f>
        <v>43928</v>
      </c>
      <c r="T46" s="64">
        <f>IF(KMeans_Phase!$E64=3,Phase_Data!$C46,NA())</f>
        <v>107</v>
      </c>
    </row>
    <row r="47" spans="1:20" x14ac:dyDescent="0.25">
      <c r="A47" s="64" t="e">
        <f>IF(KMeans_City!$E65=1,KMeans_City!$B65,NA())</f>
        <v>#N/A</v>
      </c>
      <c r="B47" s="64" t="e">
        <f>IF(KMeans_City!$E65=1,KMeans_City!$C65,NA())</f>
        <v>#N/A</v>
      </c>
      <c r="C47" s="64">
        <f>IF(KMeans_City!$E65=2,KMeans_City!$B65,NA())</f>
        <v>0.26227803642067726</v>
      </c>
      <c r="D47" s="64">
        <f>IF(KMeans_City!$E65=2,KMeans_City!$C65,NA())</f>
        <v>-0.14698313392952958</v>
      </c>
      <c r="E47" s="64" t="e">
        <f>IF(KMeans_City!$E65=3,KMeans_City!$B65,NA())</f>
        <v>#N/A</v>
      </c>
      <c r="F47" s="64" t="e">
        <f>IF(KMeans_City!$E65=3,KMeans_City!$C65,NA())</f>
        <v>#N/A</v>
      </c>
      <c r="O47" s="64" t="e">
        <f>IF(KMeans_Phase!$E65=1,KMeans_Phase!$A65,NA())</f>
        <v>#N/A</v>
      </c>
      <c r="P47" s="64" t="e">
        <f>IF(KMeans_Phase!$E65=1,Phase_Data!$C47,NA())</f>
        <v>#N/A</v>
      </c>
      <c r="Q47" s="64" t="e">
        <f>IF(KMeans_Phase!$E65=2,KMeans_Phase!$A65,NA())</f>
        <v>#N/A</v>
      </c>
      <c r="R47" s="64" t="e">
        <f>IF(KMeans_Phase!$E65=2,Phase_Data!$C47,NA())</f>
        <v>#N/A</v>
      </c>
      <c r="S47" s="64">
        <f>IF(KMeans_Phase!$E65=3,KMeans_Phase!$A65,NA())</f>
        <v>43929</v>
      </c>
      <c r="T47" s="64">
        <f>IF(KMeans_Phase!$E65=3,Phase_Data!$C47,NA())</f>
        <v>337</v>
      </c>
    </row>
    <row r="48" spans="1:20" x14ac:dyDescent="0.25">
      <c r="A48" s="64" t="e">
        <f>IF(KMeans_City!$E66=1,KMeans_City!$B66,NA())</f>
        <v>#N/A</v>
      </c>
      <c r="B48" s="64" t="e">
        <f>IF(KMeans_City!$E66=1,KMeans_City!$C66,NA())</f>
        <v>#N/A</v>
      </c>
      <c r="C48" s="64" t="e">
        <f>IF(KMeans_City!$E66=2,KMeans_City!$B66,NA())</f>
        <v>#N/A</v>
      </c>
      <c r="D48" s="64" t="e">
        <f>IF(KMeans_City!$E66=2,KMeans_City!$C66,NA())</f>
        <v>#N/A</v>
      </c>
      <c r="E48" s="64">
        <f>IF(KMeans_City!$E66=3,KMeans_City!$B66,NA())</f>
        <v>0.25646266846194293</v>
      </c>
      <c r="F48" s="64">
        <f>IF(KMeans_City!$E66=3,KMeans_City!$C66,NA())</f>
        <v>-0.67265054538827607</v>
      </c>
      <c r="O48" s="64" t="e">
        <f>IF(KMeans_Phase!$E66=1,KMeans_Phase!$A66,NA())</f>
        <v>#N/A</v>
      </c>
      <c r="P48" s="64" t="e">
        <f>IF(KMeans_Phase!$E66=1,Phase_Data!$C48,NA())</f>
        <v>#N/A</v>
      </c>
      <c r="Q48" s="64" t="e">
        <f>IF(KMeans_Phase!$E66=2,KMeans_Phase!$A66,NA())</f>
        <v>#N/A</v>
      </c>
      <c r="R48" s="64" t="e">
        <f>IF(KMeans_Phase!$E66=2,Phase_Data!$C48,NA())</f>
        <v>#N/A</v>
      </c>
      <c r="S48" s="64">
        <f>IF(KMeans_Phase!$E66=3,KMeans_Phase!$A66,NA())</f>
        <v>43930</v>
      </c>
      <c r="T48" s="64">
        <f>IF(KMeans_Phase!$E66=3,Phase_Data!$C48,NA())</f>
        <v>874</v>
      </c>
    </row>
    <row r="49" spans="1:20" x14ac:dyDescent="0.25">
      <c r="A49" s="64" t="e">
        <f>IF(KMeans_City!$E67=1,KMeans_City!$B67,NA())</f>
        <v>#N/A</v>
      </c>
      <c r="B49" s="64" t="e">
        <f>IF(KMeans_City!$E67=1,KMeans_City!$C67,NA())</f>
        <v>#N/A</v>
      </c>
      <c r="C49" s="64">
        <f>IF(KMeans_City!$E67=2,KMeans_City!$B67,NA())</f>
        <v>0.23861623378571303</v>
      </c>
      <c r="D49" s="64">
        <f>IF(KMeans_City!$E67=2,KMeans_City!$C67,NA())</f>
        <v>-0.67265054538827607</v>
      </c>
      <c r="E49" s="64" t="e">
        <f>IF(KMeans_City!$E67=3,KMeans_City!$B67,NA())</f>
        <v>#N/A</v>
      </c>
      <c r="F49" s="64" t="e">
        <f>IF(KMeans_City!$E67=3,KMeans_City!$C67,NA())</f>
        <v>#N/A</v>
      </c>
      <c r="O49" s="64" t="e">
        <f>IF(KMeans_Phase!$E67=1,KMeans_Phase!$A67,NA())</f>
        <v>#N/A</v>
      </c>
      <c r="P49" s="64" t="e">
        <f>IF(KMeans_Phase!$E67=1,Phase_Data!$C49,NA())</f>
        <v>#N/A</v>
      </c>
      <c r="Q49" s="64" t="e">
        <f>IF(KMeans_Phase!$E67=2,KMeans_Phase!$A67,NA())</f>
        <v>#N/A</v>
      </c>
      <c r="R49" s="64" t="e">
        <f>IF(KMeans_Phase!$E67=2,Phase_Data!$C49,NA())</f>
        <v>#N/A</v>
      </c>
      <c r="S49" s="64">
        <f>IF(KMeans_Phase!$E67=3,KMeans_Phase!$A67,NA())</f>
        <v>43931</v>
      </c>
      <c r="T49" s="64">
        <f>IF(KMeans_Phase!$E67=3,Phase_Data!$C49,NA())</f>
        <v>156</v>
      </c>
    </row>
    <row r="50" spans="1:20" x14ac:dyDescent="0.25">
      <c r="A50" s="64" t="e">
        <f>IF(KMeans_City!$E68=1,KMeans_City!$B68,NA())</f>
        <v>#N/A</v>
      </c>
      <c r="B50" s="64" t="e">
        <f>IF(KMeans_City!$E68=1,KMeans_City!$C68,NA())</f>
        <v>#N/A</v>
      </c>
      <c r="C50" s="64" t="e">
        <f>IF(KMeans_City!$E68=2,KMeans_City!$B68,NA())</f>
        <v>#N/A</v>
      </c>
      <c r="D50" s="64" t="e">
        <f>IF(KMeans_City!$E68=2,KMeans_City!$C68,NA())</f>
        <v>#N/A</v>
      </c>
      <c r="E50" s="64">
        <f>IF(KMeans_City!$E68=3,KMeans_City!$B68,NA())</f>
        <v>0.23252879576454735</v>
      </c>
      <c r="F50" s="64">
        <f>IF(KMeans_City!$E68=3,KMeans_City!$C68,NA())</f>
        <v>0.16051258962499582</v>
      </c>
      <c r="O50" s="64" t="e">
        <f>IF(KMeans_Phase!$E68=1,KMeans_Phase!$A68,NA())</f>
        <v>#N/A</v>
      </c>
      <c r="P50" s="64" t="e">
        <f>IF(KMeans_Phase!$E68=1,Phase_Data!$C50,NA())</f>
        <v>#N/A</v>
      </c>
      <c r="Q50" s="64" t="e">
        <f>IF(KMeans_Phase!$E68=2,KMeans_Phase!$A68,NA())</f>
        <v>#N/A</v>
      </c>
      <c r="R50" s="64" t="e">
        <f>IF(KMeans_Phase!$E68=2,Phase_Data!$C50,NA())</f>
        <v>#N/A</v>
      </c>
      <c r="S50" s="64">
        <f>IF(KMeans_Phase!$E68=3,KMeans_Phase!$A68,NA())</f>
        <v>43932</v>
      </c>
      <c r="T50" s="64">
        <f>IF(KMeans_Phase!$E68=3,Phase_Data!$C50,NA())</f>
        <v>297</v>
      </c>
    </row>
    <row r="51" spans="1:20" x14ac:dyDescent="0.25">
      <c r="A51" s="64" t="e">
        <f>IF(KMeans_City!$E69=1,KMeans_City!$B69,NA())</f>
        <v>#N/A</v>
      </c>
      <c r="B51" s="64" t="e">
        <f>IF(KMeans_City!$E69=1,KMeans_City!$C69,NA())</f>
        <v>#N/A</v>
      </c>
      <c r="C51" s="64">
        <f>IF(KMeans_City!$E69=2,KMeans_City!$B69,NA())</f>
        <v>0.20097549778195881</v>
      </c>
      <c r="D51" s="64">
        <f>IF(KMeans_City!$E69=2,KMeans_City!$C69,NA())</f>
        <v>-0.67265054538827607</v>
      </c>
      <c r="E51" s="64" t="e">
        <f>IF(KMeans_City!$E69=3,KMeans_City!$B69,NA())</f>
        <v>#N/A</v>
      </c>
      <c r="F51" s="64" t="e">
        <f>IF(KMeans_City!$E69=3,KMeans_City!$C69,NA())</f>
        <v>#N/A</v>
      </c>
      <c r="O51" s="64" t="e">
        <f>IF(KMeans_Phase!$E69=1,KMeans_Phase!$A69,NA())</f>
        <v>#N/A</v>
      </c>
      <c r="P51" s="64" t="e">
        <f>IF(KMeans_Phase!$E69=1,Phase_Data!$C51,NA())</f>
        <v>#N/A</v>
      </c>
      <c r="Q51" s="64" t="e">
        <f>IF(KMeans_Phase!$E69=2,KMeans_Phase!$A69,NA())</f>
        <v>#N/A</v>
      </c>
      <c r="R51" s="64" t="e">
        <f>IF(KMeans_Phase!$E69=2,Phase_Data!$C51,NA())</f>
        <v>#N/A</v>
      </c>
      <c r="S51" s="64">
        <f>IF(KMeans_Phase!$E69=3,KMeans_Phase!$A69,NA())</f>
        <v>43933</v>
      </c>
      <c r="T51" s="64">
        <f>IF(KMeans_Phase!$E69=3,Phase_Data!$C51,NA())</f>
        <v>253</v>
      </c>
    </row>
    <row r="52" spans="1:20" x14ac:dyDescent="0.25">
      <c r="A52" s="64" t="e">
        <f>IF(KMeans_City!$E70=1,KMeans_City!$B70,NA())</f>
        <v>#N/A</v>
      </c>
      <c r="B52" s="64" t="e">
        <f>IF(KMeans_City!$E70=1,KMeans_City!$C70,NA())</f>
        <v>#N/A</v>
      </c>
      <c r="C52" s="64" t="e">
        <f>IF(KMeans_City!$E70=2,KMeans_City!$B70,NA())</f>
        <v>#N/A</v>
      </c>
      <c r="D52" s="64" t="e">
        <f>IF(KMeans_City!$E70=2,KMeans_City!$C70,NA())</f>
        <v>#N/A</v>
      </c>
      <c r="E52" s="64">
        <f>IF(KMeans_City!$E70=3,KMeans_City!$B70,NA())</f>
        <v>0.20097549778195881</v>
      </c>
      <c r="F52" s="64">
        <f>IF(KMeans_City!$E70=3,KMeans_City!$C70,NA())</f>
        <v>-0.67265054538827607</v>
      </c>
      <c r="O52" s="64" t="e">
        <f>IF(KMeans_Phase!$E70=1,KMeans_Phase!$A70,NA())</f>
        <v>#N/A</v>
      </c>
      <c r="P52" s="64" t="e">
        <f>IF(KMeans_Phase!$E70=1,Phase_Data!$C52,NA())</f>
        <v>#N/A</v>
      </c>
      <c r="Q52" s="64" t="e">
        <f>IF(KMeans_Phase!$E70=2,KMeans_Phase!$A70,NA())</f>
        <v>#N/A</v>
      </c>
      <c r="R52" s="64" t="e">
        <f>IF(KMeans_Phase!$E70=2,Phase_Data!$C52,NA())</f>
        <v>#N/A</v>
      </c>
      <c r="S52" s="64">
        <f>IF(KMeans_Phase!$E70=3,KMeans_Phase!$A70,NA())</f>
        <v>43934</v>
      </c>
      <c r="T52" s="64">
        <f>IF(KMeans_Phase!$E70=3,Phase_Data!$C52,NA())</f>
        <v>173</v>
      </c>
    </row>
    <row r="53" spans="1:20" x14ac:dyDescent="0.25">
      <c r="A53" s="64" t="e">
        <f>IF(KMeans_City!$E71=1,KMeans_City!$B71,NA())</f>
        <v>#N/A</v>
      </c>
      <c r="B53" s="64" t="e">
        <f>IF(KMeans_City!$E71=1,KMeans_City!$C71,NA())</f>
        <v>#N/A</v>
      </c>
      <c r="C53" s="64" t="e">
        <f>IF(KMeans_City!$E71=2,KMeans_City!$B71,NA())</f>
        <v>#N/A</v>
      </c>
      <c r="D53" s="64" t="e">
        <f>IF(KMeans_City!$E71=2,KMeans_City!$C71,NA())</f>
        <v>#N/A</v>
      </c>
      <c r="E53" s="64">
        <f>IF(KMeans_City!$E71=3,KMeans_City!$B71,NA())</f>
        <v>0.19442861878561798</v>
      </c>
      <c r="F53" s="64">
        <f>IF(KMeans_City!$E71=3,KMeans_City!$C71,NA())</f>
        <v>-0.14698313392952958</v>
      </c>
      <c r="O53" s="64" t="e">
        <f>IF(KMeans_Phase!$E71=1,KMeans_Phase!$A71,NA())</f>
        <v>#N/A</v>
      </c>
      <c r="P53" s="64" t="e">
        <f>IF(KMeans_Phase!$E71=1,Phase_Data!$C53,NA())</f>
        <v>#N/A</v>
      </c>
      <c r="Q53" s="64" t="e">
        <f>IF(KMeans_Phase!$E71=2,KMeans_Phase!$A71,NA())</f>
        <v>#N/A</v>
      </c>
      <c r="R53" s="64" t="e">
        <f>IF(KMeans_Phase!$E71=2,Phase_Data!$C53,NA())</f>
        <v>#N/A</v>
      </c>
      <c r="S53" s="64">
        <f>IF(KMeans_Phase!$E71=3,KMeans_Phase!$A71,NA())</f>
        <v>43935</v>
      </c>
      <c r="T53" s="64">
        <f>IF(KMeans_Phase!$E71=3,Phase_Data!$C53,NA())</f>
        <v>628</v>
      </c>
    </row>
    <row r="54" spans="1:20" x14ac:dyDescent="0.25">
      <c r="A54" s="64" t="e">
        <f>IF(KMeans_City!$E72=1,KMeans_City!$B72,NA())</f>
        <v>#N/A</v>
      </c>
      <c r="B54" s="64" t="e">
        <f>IF(KMeans_City!$E72=1,KMeans_City!$C72,NA())</f>
        <v>#N/A</v>
      </c>
      <c r="C54" s="64">
        <f>IF(KMeans_City!$E72=2,KMeans_City!$B72,NA())</f>
        <v>0.19442861878561798</v>
      </c>
      <c r="D54" s="64">
        <f>IF(KMeans_City!$E72=2,KMeans_City!$C72,NA())</f>
        <v>-0.67265054538827607</v>
      </c>
      <c r="E54" s="64" t="e">
        <f>IF(KMeans_City!$E72=3,KMeans_City!$B72,NA())</f>
        <v>#N/A</v>
      </c>
      <c r="F54" s="64" t="e">
        <f>IF(KMeans_City!$E72=3,KMeans_City!$C72,NA())</f>
        <v>#N/A</v>
      </c>
      <c r="O54" s="64" t="e">
        <f>IF(KMeans_Phase!$E72=1,KMeans_Phase!$A72,NA())</f>
        <v>#N/A</v>
      </c>
      <c r="P54" s="64" t="e">
        <f>IF(KMeans_Phase!$E72=1,Phase_Data!$C54,NA())</f>
        <v>#N/A</v>
      </c>
      <c r="Q54" s="64" t="e">
        <f>IF(KMeans_Phase!$E72=2,KMeans_Phase!$A72,NA())</f>
        <v>#N/A</v>
      </c>
      <c r="R54" s="64" t="e">
        <f>IF(KMeans_Phase!$E72=2,Phase_Data!$C54,NA())</f>
        <v>#N/A</v>
      </c>
      <c r="S54" s="64">
        <f>IF(KMeans_Phase!$E72=3,KMeans_Phase!$A72,NA())</f>
        <v>43936</v>
      </c>
      <c r="T54" s="64">
        <f>IF(KMeans_Phase!$E72=3,Phase_Data!$C54,NA())</f>
        <v>321</v>
      </c>
    </row>
    <row r="55" spans="1:20" x14ac:dyDescent="0.25">
      <c r="A55" s="64" t="e">
        <f>IF(KMeans_City!$E73=1,KMeans_City!$B73,NA())</f>
        <v>#N/A</v>
      </c>
      <c r="B55" s="64" t="e">
        <f>IF(KMeans_City!$E73=1,KMeans_City!$C73,NA())</f>
        <v>#N/A</v>
      </c>
      <c r="C55" s="64">
        <f>IF(KMeans_City!$E73=2,KMeans_City!$B73,NA())</f>
        <v>0.18779833781528543</v>
      </c>
      <c r="D55" s="64">
        <f>IF(KMeans_City!$E73=2,KMeans_City!$C73,NA())</f>
        <v>-0.67265054538827607</v>
      </c>
      <c r="E55" s="64" t="e">
        <f>IF(KMeans_City!$E73=3,KMeans_City!$B73,NA())</f>
        <v>#N/A</v>
      </c>
      <c r="F55" s="64" t="e">
        <f>IF(KMeans_City!$E73=3,KMeans_City!$C73,NA())</f>
        <v>#N/A</v>
      </c>
      <c r="O55" s="64" t="e">
        <f>IF(KMeans_Phase!$E73=1,KMeans_Phase!$A73,NA())</f>
        <v>#N/A</v>
      </c>
      <c r="P55" s="64" t="e">
        <f>IF(KMeans_Phase!$E73=1,Phase_Data!$C55,NA())</f>
        <v>#N/A</v>
      </c>
      <c r="Q55" s="64">
        <f>IF(KMeans_Phase!$E73=2,KMeans_Phase!$A73,NA())</f>
        <v>43937</v>
      </c>
      <c r="R55" s="64">
        <f>IF(KMeans_Phase!$E73=2,Phase_Data!$C55,NA())</f>
        <v>683</v>
      </c>
      <c r="S55" s="64" t="e">
        <f>IF(KMeans_Phase!$E73=3,KMeans_Phase!$A73,NA())</f>
        <v>#N/A</v>
      </c>
      <c r="T55" s="64" t="e">
        <f>IF(KMeans_Phase!$E73=3,Phase_Data!$C55,NA())</f>
        <v>#N/A</v>
      </c>
    </row>
    <row r="56" spans="1:20" x14ac:dyDescent="0.25">
      <c r="A56" s="64" t="e">
        <f>IF(KMeans_City!$E74=1,KMeans_City!$B74,NA())</f>
        <v>#N/A</v>
      </c>
      <c r="B56" s="64" t="e">
        <f>IF(KMeans_City!$E74=1,KMeans_City!$C74,NA())</f>
        <v>#N/A</v>
      </c>
      <c r="C56" s="64">
        <f>IF(KMeans_City!$E74=2,KMeans_City!$B74,NA())</f>
        <v>0.16738513255089196</v>
      </c>
      <c r="D56" s="64">
        <f>IF(KMeans_City!$E74=2,KMeans_City!$C74,NA())</f>
        <v>-0.67265054538827607</v>
      </c>
      <c r="E56" s="64" t="e">
        <f>IF(KMeans_City!$E74=3,KMeans_City!$B74,NA())</f>
        <v>#N/A</v>
      </c>
      <c r="F56" s="64" t="e">
        <f>IF(KMeans_City!$E74=3,KMeans_City!$C74,NA())</f>
        <v>#N/A</v>
      </c>
      <c r="O56" s="64" t="e">
        <f>IF(KMeans_Phase!$E74=1,KMeans_Phase!$A74,NA())</f>
        <v>#N/A</v>
      </c>
      <c r="P56" s="64" t="e">
        <f>IF(KMeans_Phase!$E74=1,Phase_Data!$C56,NA())</f>
        <v>#N/A</v>
      </c>
      <c r="Q56" s="64" t="e">
        <f>IF(KMeans_Phase!$E74=2,KMeans_Phase!$A74,NA())</f>
        <v>#N/A</v>
      </c>
      <c r="R56" s="64" t="e">
        <f>IF(KMeans_Phase!$E74=2,Phase_Data!$C56,NA())</f>
        <v>#N/A</v>
      </c>
      <c r="S56" s="64">
        <f>IF(KMeans_Phase!$E74=3,KMeans_Phase!$A74,NA())</f>
        <v>43938</v>
      </c>
      <c r="T56" s="64">
        <f>IF(KMeans_Phase!$E74=3,Phase_Data!$C56,NA())</f>
        <v>512</v>
      </c>
    </row>
    <row r="57" spans="1:20" x14ac:dyDescent="0.25">
      <c r="A57" s="64" t="e">
        <f>IF(KMeans_City!$E75=1,KMeans_City!$B75,NA())</f>
        <v>#N/A</v>
      </c>
      <c r="B57" s="64" t="e">
        <f>IF(KMeans_City!$E75=1,KMeans_City!$C75,NA())</f>
        <v>#N/A</v>
      </c>
      <c r="C57" s="64">
        <f>IF(KMeans_City!$E75=2,KMeans_City!$B75,NA())</f>
        <v>0.15331751895798426</v>
      </c>
      <c r="D57" s="64">
        <f>IF(KMeans_City!$E75=2,KMeans_City!$C75,NA())</f>
        <v>-0.67265054538827607</v>
      </c>
      <c r="E57" s="64" t="e">
        <f>IF(KMeans_City!$E75=3,KMeans_City!$B75,NA())</f>
        <v>#N/A</v>
      </c>
      <c r="F57" s="64" t="e">
        <f>IF(KMeans_City!$E75=3,KMeans_City!$C75,NA())</f>
        <v>#N/A</v>
      </c>
      <c r="O57" s="64" t="e">
        <f>IF(KMeans_Phase!$E75=1,KMeans_Phase!$A75,NA())</f>
        <v>#N/A</v>
      </c>
      <c r="P57" s="64" t="e">
        <f>IF(KMeans_Phase!$E75=1,Phase_Data!$C57,NA())</f>
        <v>#N/A</v>
      </c>
      <c r="Q57" s="64" t="e">
        <f>IF(KMeans_Phase!$E75=2,KMeans_Phase!$A75,NA())</f>
        <v>#N/A</v>
      </c>
      <c r="R57" s="64" t="e">
        <f>IF(KMeans_Phase!$E75=2,Phase_Data!$C57,NA())</f>
        <v>#N/A</v>
      </c>
      <c r="S57" s="64">
        <f>IF(KMeans_Phase!$E75=3,KMeans_Phase!$A75,NA())</f>
        <v>43939</v>
      </c>
      <c r="T57" s="64">
        <f>IF(KMeans_Phase!$E75=3,Phase_Data!$C57,NA())</f>
        <v>285</v>
      </c>
    </row>
    <row r="58" spans="1:20" x14ac:dyDescent="0.25">
      <c r="A58" s="64" t="e">
        <f>IF(KMeans_City!$E76=1,KMeans_City!$B76,NA())</f>
        <v>#N/A</v>
      </c>
      <c r="B58" s="64" t="e">
        <f>IF(KMeans_City!$E76=1,KMeans_City!$C76,NA())</f>
        <v>#N/A</v>
      </c>
      <c r="C58" s="64" t="e">
        <f>IF(KMeans_City!$E76=2,KMeans_City!$B76,NA())</f>
        <v>#N/A</v>
      </c>
      <c r="D58" s="64" t="e">
        <f>IF(KMeans_City!$E76=2,KMeans_City!$C76,NA())</f>
        <v>#N/A</v>
      </c>
      <c r="E58" s="64">
        <f>IF(KMeans_City!$E76=3,KMeans_City!$B76,NA())</f>
        <v>0.13147641151517545</v>
      </c>
      <c r="F58" s="64">
        <f>IF(KMeans_City!$E76=3,KMeans_City!$C76,NA())</f>
        <v>1.3810745208577742</v>
      </c>
      <c r="O58" s="64" t="e">
        <f>IF(KMeans_Phase!$E76=1,KMeans_Phase!$A76,NA())</f>
        <v>#N/A</v>
      </c>
      <c r="P58" s="64" t="e">
        <f>IF(KMeans_Phase!$E76=1,Phase_Data!$C58,NA())</f>
        <v>#N/A</v>
      </c>
      <c r="Q58" s="64" t="e">
        <f>IF(KMeans_Phase!$E76=2,KMeans_Phase!$A76,NA())</f>
        <v>#N/A</v>
      </c>
      <c r="R58" s="64" t="e">
        <f>IF(KMeans_Phase!$E76=2,Phase_Data!$C58,NA())</f>
        <v>#N/A</v>
      </c>
      <c r="S58" s="64">
        <f>IF(KMeans_Phase!$E76=3,KMeans_Phase!$A76,NA())</f>
        <v>43940</v>
      </c>
      <c r="T58" s="64">
        <f>IF(KMeans_Phase!$E76=3,Phase_Data!$C58,NA())</f>
        <v>583</v>
      </c>
    </row>
    <row r="59" spans="1:20" x14ac:dyDescent="0.25">
      <c r="A59" s="64" t="e">
        <f>IF(KMeans_City!$E77=1,KMeans_City!$B77,NA())</f>
        <v>#N/A</v>
      </c>
      <c r="B59" s="64" t="e">
        <f>IF(KMeans_City!$E77=1,KMeans_City!$C77,NA())</f>
        <v>#N/A</v>
      </c>
      <c r="C59" s="64" t="e">
        <f>IF(KMeans_City!$E77=2,KMeans_City!$B77,NA())</f>
        <v>#N/A</v>
      </c>
      <c r="D59" s="64" t="e">
        <f>IF(KMeans_City!$E77=2,KMeans_City!$C77,NA())</f>
        <v>#N/A</v>
      </c>
      <c r="E59" s="64">
        <f>IF(KMeans_City!$E77=3,KMeans_City!$B77,NA())</f>
        <v>0.10085169543381561</v>
      </c>
      <c r="F59" s="64">
        <f>IF(KMeans_City!$E77=3,KMeans_City!$C77,NA())</f>
        <v>-0.14698313392952958</v>
      </c>
      <c r="O59" s="64" t="e">
        <f>IF(KMeans_Phase!$E77=1,KMeans_Phase!$A77,NA())</f>
        <v>#N/A</v>
      </c>
      <c r="P59" s="64" t="e">
        <f>IF(KMeans_Phase!$E77=1,Phase_Data!$C59,NA())</f>
        <v>#N/A</v>
      </c>
      <c r="Q59" s="64" t="e">
        <f>IF(KMeans_Phase!$E77=2,KMeans_Phase!$A77,NA())</f>
        <v>#N/A</v>
      </c>
      <c r="R59" s="64" t="e">
        <f>IF(KMeans_Phase!$E77=2,Phase_Data!$C59,NA())</f>
        <v>#N/A</v>
      </c>
      <c r="S59" s="64">
        <f>IF(KMeans_Phase!$E77=3,KMeans_Phase!$A77,NA())</f>
        <v>43941</v>
      </c>
      <c r="T59" s="64">
        <f>IF(KMeans_Phase!$E77=3,Phase_Data!$C59,NA())</f>
        <v>707</v>
      </c>
    </row>
    <row r="60" spans="1:20" x14ac:dyDescent="0.25">
      <c r="A60" s="64" t="e">
        <f>IF(KMeans_City!$E78=1,KMeans_City!$B78,NA())</f>
        <v>#N/A</v>
      </c>
      <c r="B60" s="64" t="e">
        <f>IF(KMeans_City!$E78=1,KMeans_City!$C78,NA())</f>
        <v>#N/A</v>
      </c>
      <c r="C60" s="64">
        <f>IF(KMeans_City!$E78=2,KMeans_City!$B78,NA())</f>
        <v>8.4835969706560738E-2</v>
      </c>
      <c r="D60" s="64">
        <f>IF(KMeans_City!$E78=2,KMeans_City!$C78,NA())</f>
        <v>-0.67265054538827607</v>
      </c>
      <c r="E60" s="64" t="e">
        <f>IF(KMeans_City!$E78=3,KMeans_City!$B78,NA())</f>
        <v>#N/A</v>
      </c>
      <c r="F60" s="64" t="e">
        <f>IF(KMeans_City!$E78=3,KMeans_City!$C78,NA())</f>
        <v>#N/A</v>
      </c>
      <c r="O60" s="64" t="e">
        <f>IF(KMeans_Phase!$E78=1,KMeans_Phase!$A78,NA())</f>
        <v>#N/A</v>
      </c>
      <c r="P60" s="64" t="e">
        <f>IF(KMeans_Phase!$E78=1,Phase_Data!$C60,NA())</f>
        <v>#N/A</v>
      </c>
      <c r="Q60" s="64">
        <f>IF(KMeans_Phase!$E78=2,KMeans_Phase!$A78,NA())</f>
        <v>43942</v>
      </c>
      <c r="R60" s="64">
        <f>IF(KMeans_Phase!$E78=2,Phase_Data!$C60,NA())</f>
        <v>677</v>
      </c>
      <c r="S60" s="64" t="e">
        <f>IF(KMeans_Phase!$E78=3,KMeans_Phase!$A78,NA())</f>
        <v>#N/A</v>
      </c>
      <c r="T60" s="64" t="e">
        <f>IF(KMeans_Phase!$E78=3,Phase_Data!$C60,NA())</f>
        <v>#N/A</v>
      </c>
    </row>
    <row r="61" spans="1:20" x14ac:dyDescent="0.25">
      <c r="A61" s="64" t="e">
        <f>IF(KMeans_City!$E79=1,KMeans_City!$B79,NA())</f>
        <v>#N/A</v>
      </c>
      <c r="B61" s="64" t="e">
        <f>IF(KMeans_City!$E79=1,KMeans_City!$C79,NA())</f>
        <v>#N/A</v>
      </c>
      <c r="C61" s="64">
        <f>IF(KMeans_City!$E79=2,KMeans_City!$B79,NA())</f>
        <v>6.8311724136625313E-2</v>
      </c>
      <c r="D61" s="64">
        <f>IF(KMeans_City!$E79=2,KMeans_City!$C79,NA())</f>
        <v>-0.67265054538827607</v>
      </c>
      <c r="E61" s="64" t="e">
        <f>IF(KMeans_City!$E79=3,KMeans_City!$B79,NA())</f>
        <v>#N/A</v>
      </c>
      <c r="F61" s="64" t="e">
        <f>IF(KMeans_City!$E79=3,KMeans_City!$C79,NA())</f>
        <v>#N/A</v>
      </c>
      <c r="O61" s="64" t="e">
        <f>IF(KMeans_Phase!$E79=1,KMeans_Phase!$A79,NA())</f>
        <v>#N/A</v>
      </c>
      <c r="P61" s="64" t="e">
        <f>IF(KMeans_Phase!$E79=1,Phase_Data!$C61,NA())</f>
        <v>#N/A</v>
      </c>
      <c r="Q61" s="64" t="e">
        <f>IF(KMeans_Phase!$E79=2,KMeans_Phase!$A79,NA())</f>
        <v>#N/A</v>
      </c>
      <c r="R61" s="64" t="e">
        <f>IF(KMeans_Phase!$E79=2,Phase_Data!$C61,NA())</f>
        <v>#N/A</v>
      </c>
      <c r="S61" s="64">
        <f>IF(KMeans_Phase!$E79=3,KMeans_Phase!$A79,NA())</f>
        <v>43943</v>
      </c>
      <c r="T61" s="64">
        <f>IF(KMeans_Phase!$E79=3,Phase_Data!$C61,NA())</f>
        <v>767</v>
      </c>
    </row>
    <row r="62" spans="1:20" x14ac:dyDescent="0.25">
      <c r="A62" s="64" t="e">
        <f>IF(KMeans_City!$E80=1,KMeans_City!$B80,NA())</f>
        <v>#N/A</v>
      </c>
      <c r="B62" s="64" t="e">
        <f>IF(KMeans_City!$E80=1,KMeans_City!$C80,NA())</f>
        <v>#N/A</v>
      </c>
      <c r="C62" s="64" t="e">
        <f>IF(KMeans_City!$E80=2,KMeans_City!$B80,NA())</f>
        <v>#N/A</v>
      </c>
      <c r="D62" s="64" t="e">
        <f>IF(KMeans_City!$E80=2,KMeans_City!$C80,NA())</f>
        <v>#N/A</v>
      </c>
      <c r="E62" s="64">
        <f>IF(KMeans_City!$E80=3,KMeans_City!$B80,NA())</f>
        <v>2.4548982643863189E-2</v>
      </c>
      <c r="F62" s="64">
        <f>IF(KMeans_City!$E80=3,KMeans_City!$C80,NA())</f>
        <v>0.54791138584450239</v>
      </c>
      <c r="O62" s="64" t="e">
        <f>IF(KMeans_Phase!$E80=1,KMeans_Phase!$A80,NA())</f>
        <v>#N/A</v>
      </c>
      <c r="P62" s="64" t="e">
        <f>IF(KMeans_Phase!$E80=1,Phase_Data!$C62,NA())</f>
        <v>#N/A</v>
      </c>
      <c r="Q62" s="64" t="e">
        <f>IF(KMeans_Phase!$E80=2,KMeans_Phase!$A80,NA())</f>
        <v>#N/A</v>
      </c>
      <c r="R62" s="64" t="e">
        <f>IF(KMeans_Phase!$E80=2,Phase_Data!$C62,NA())</f>
        <v>#N/A</v>
      </c>
      <c r="S62" s="64">
        <f>IF(KMeans_Phase!$E80=3,KMeans_Phase!$A80,NA())</f>
        <v>43944</v>
      </c>
      <c r="T62" s="64">
        <f>IF(KMeans_Phase!$E80=3,Phase_Data!$C62,NA())</f>
        <v>641</v>
      </c>
    </row>
    <row r="63" spans="1:20" x14ac:dyDescent="0.25">
      <c r="A63" s="64" t="e">
        <f>IF(KMeans_City!$E81=1,KMeans_City!$B81,NA())</f>
        <v>#N/A</v>
      </c>
      <c r="B63" s="64" t="e">
        <f>IF(KMeans_City!$E81=1,KMeans_City!$C81,NA())</f>
        <v>#N/A</v>
      </c>
      <c r="C63" s="64">
        <f>IF(KMeans_City!$E81=2,KMeans_City!$B81,NA())</f>
        <v>5.9587915640307559E-3</v>
      </c>
      <c r="D63" s="64">
        <f>IF(KMeans_City!$E81=2,KMeans_City!$C81,NA())</f>
        <v>-0.67265054538827607</v>
      </c>
      <c r="E63" s="64" t="e">
        <f>IF(KMeans_City!$E81=3,KMeans_City!$B81,NA())</f>
        <v>#N/A</v>
      </c>
      <c r="F63" s="64" t="e">
        <f>IF(KMeans_City!$E81=3,KMeans_City!$C81,NA())</f>
        <v>#N/A</v>
      </c>
      <c r="O63" s="64" t="e">
        <f>IF(KMeans_Phase!$E81=1,KMeans_Phase!$A81,NA())</f>
        <v>#N/A</v>
      </c>
      <c r="P63" s="64" t="e">
        <f>IF(KMeans_Phase!$E81=1,Phase_Data!$C63,NA())</f>
        <v>#N/A</v>
      </c>
      <c r="Q63" s="64" t="e">
        <f>IF(KMeans_Phase!$E81=2,KMeans_Phase!$A81,NA())</f>
        <v>#N/A</v>
      </c>
      <c r="R63" s="64" t="e">
        <f>IF(KMeans_Phase!$E81=2,Phase_Data!$C63,NA())</f>
        <v>#N/A</v>
      </c>
      <c r="S63" s="64">
        <f>IF(KMeans_Phase!$E81=3,KMeans_Phase!$A81,NA())</f>
        <v>43945</v>
      </c>
      <c r="T63" s="64">
        <f>IF(KMeans_Phase!$E81=3,Phase_Data!$C63,NA())</f>
        <v>534</v>
      </c>
    </row>
    <row r="64" spans="1:20" x14ac:dyDescent="0.25">
      <c r="A64" s="64" t="e">
        <f>IF(KMeans_City!$E82=1,KMeans_City!$B82,NA())</f>
        <v>#N/A</v>
      </c>
      <c r="B64" s="64" t="e">
        <f>IF(KMeans_City!$E82=1,KMeans_City!$C82,NA())</f>
        <v>#N/A</v>
      </c>
      <c r="C64" s="64" t="e">
        <f>IF(KMeans_City!$E82=2,KMeans_City!$B82,NA())</f>
        <v>#N/A</v>
      </c>
      <c r="D64" s="64" t="e">
        <f>IF(KMeans_City!$E82=2,KMeans_City!$C82,NA())</f>
        <v>#N/A</v>
      </c>
      <c r="E64" s="64">
        <f>IF(KMeans_City!$E82=3,KMeans_City!$B82,NA())</f>
        <v>-3.5913849611856918E-3</v>
      </c>
      <c r="F64" s="64">
        <f>IF(KMeans_City!$E82=3,KMeans_City!$C82,NA())</f>
        <v>-0.67265054538827607</v>
      </c>
      <c r="O64" s="64" t="e">
        <f>IF(KMeans_Phase!$E82=1,KMeans_Phase!$A82,NA())</f>
        <v>#N/A</v>
      </c>
      <c r="P64" s="64" t="e">
        <f>IF(KMeans_Phase!$E82=1,Phase_Data!$C64,NA())</f>
        <v>#N/A</v>
      </c>
      <c r="Q64" s="64" t="e">
        <f>IF(KMeans_Phase!$E82=2,KMeans_Phase!$A82,NA())</f>
        <v>#N/A</v>
      </c>
      <c r="R64" s="64" t="e">
        <f>IF(KMeans_Phase!$E82=2,Phase_Data!$C64,NA())</f>
        <v>#N/A</v>
      </c>
      <c r="S64" s="64">
        <f>IF(KMeans_Phase!$E82=3,KMeans_Phase!$A82,NA())</f>
        <v>43946</v>
      </c>
      <c r="T64" s="64">
        <f>IF(KMeans_Phase!$E82=3,Phase_Data!$C64,NA())</f>
        <v>922</v>
      </c>
    </row>
    <row r="65" spans="1:20" x14ac:dyDescent="0.25">
      <c r="A65" s="64" t="e">
        <f>IF(KMeans_City!$E83=1,KMeans_City!$B83,NA())</f>
        <v>#N/A</v>
      </c>
      <c r="B65" s="64" t="e">
        <f>IF(KMeans_City!$E83=1,KMeans_City!$C83,NA())</f>
        <v>#N/A</v>
      </c>
      <c r="C65" s="64" t="e">
        <f>IF(KMeans_City!$E83=2,KMeans_City!$B83,NA())</f>
        <v>#N/A</v>
      </c>
      <c r="D65" s="64" t="e">
        <f>IF(KMeans_City!$E83=2,KMeans_City!$C83,NA())</f>
        <v>#N/A</v>
      </c>
      <c r="E65" s="64">
        <f>IF(KMeans_City!$E83=3,KMeans_City!$B83,NA())</f>
        <v>-3.3340625617315857E-2</v>
      </c>
      <c r="F65" s="64">
        <f>IF(KMeans_City!$E83=3,KMeans_City!$C83,NA())</f>
        <v>0.54791138584450239</v>
      </c>
      <c r="O65" s="64" t="e">
        <f>IF(KMeans_Phase!$E83=1,KMeans_Phase!$A83,NA())</f>
        <v>#N/A</v>
      </c>
      <c r="P65" s="64" t="e">
        <f>IF(KMeans_Phase!$E83=1,Phase_Data!$C65,NA())</f>
        <v>#N/A</v>
      </c>
      <c r="Q65" s="64" t="e">
        <f>IF(KMeans_Phase!$E83=2,KMeans_Phase!$A83,NA())</f>
        <v>#N/A</v>
      </c>
      <c r="R65" s="64" t="e">
        <f>IF(KMeans_Phase!$E83=2,Phase_Data!$C65,NA())</f>
        <v>#N/A</v>
      </c>
      <c r="S65" s="64">
        <f>IF(KMeans_Phase!$E83=3,KMeans_Phase!$A83,NA())</f>
        <v>43947</v>
      </c>
      <c r="T65" s="64">
        <f>IF(KMeans_Phase!$E83=3,Phase_Data!$C65,NA())</f>
        <v>660</v>
      </c>
    </row>
    <row r="66" spans="1:20" x14ac:dyDescent="0.25">
      <c r="A66" s="64" t="e">
        <f>IF(KMeans_City!$E84=1,KMeans_City!$B84,NA())</f>
        <v>#N/A</v>
      </c>
      <c r="B66" s="64" t="e">
        <f>IF(KMeans_City!$E84=1,KMeans_City!$C84,NA())</f>
        <v>#N/A</v>
      </c>
      <c r="C66" s="64" t="e">
        <f>IF(KMeans_City!$E84=2,KMeans_City!$B84,NA())</f>
        <v>#N/A</v>
      </c>
      <c r="D66" s="64" t="e">
        <f>IF(KMeans_City!$E84=2,KMeans_City!$C84,NA())</f>
        <v>#N/A</v>
      </c>
      <c r="E66" s="64">
        <f>IF(KMeans_City!$E84=3,KMeans_City!$B84,NA())</f>
        <v>-4.3647299394291184E-2</v>
      </c>
      <c r="F66" s="64">
        <f>IF(KMeans_City!$E84=3,KMeans_City!$C84,NA())</f>
        <v>0.16051258962499582</v>
      </c>
      <c r="O66" s="64" t="e">
        <f>IF(KMeans_Phase!$E84=1,KMeans_Phase!$A84,NA())</f>
        <v>#N/A</v>
      </c>
      <c r="P66" s="64" t="e">
        <f>IF(KMeans_Phase!$E84=1,Phase_Data!$C66,NA())</f>
        <v>#N/A</v>
      </c>
      <c r="Q66" s="64" t="e">
        <f>IF(KMeans_Phase!$E84=2,KMeans_Phase!$A84,NA())</f>
        <v>#N/A</v>
      </c>
      <c r="R66" s="64" t="e">
        <f>IF(KMeans_Phase!$E84=2,Phase_Data!$C66,NA())</f>
        <v>#N/A</v>
      </c>
      <c r="S66" s="64">
        <f>IF(KMeans_Phase!$E84=3,KMeans_Phase!$A84,NA())</f>
        <v>43948</v>
      </c>
      <c r="T66" s="64">
        <f>IF(KMeans_Phase!$E84=3,Phase_Data!$C66,NA())</f>
        <v>739</v>
      </c>
    </row>
    <row r="67" spans="1:20" x14ac:dyDescent="0.25">
      <c r="A67" s="64" t="e">
        <f>IF(KMeans_City!$E85=1,KMeans_City!$B85,NA())</f>
        <v>#N/A</v>
      </c>
      <c r="B67" s="64" t="e">
        <f>IF(KMeans_City!$E85=1,KMeans_City!$C85,NA())</f>
        <v>#N/A</v>
      </c>
      <c r="C67" s="64">
        <f>IF(KMeans_City!$E85=2,KMeans_City!$B85,NA())</f>
        <v>-6.4893923599903938E-2</v>
      </c>
      <c r="D67" s="64">
        <f>IF(KMeans_City!$E85=2,KMeans_City!$C85,NA())</f>
        <v>-0.67265054538827607</v>
      </c>
      <c r="E67" s="64" t="e">
        <f>IF(KMeans_City!$E85=3,KMeans_City!$B85,NA())</f>
        <v>#N/A</v>
      </c>
      <c r="F67" s="64" t="e">
        <f>IF(KMeans_City!$E85=3,KMeans_City!$C85,NA())</f>
        <v>#N/A</v>
      </c>
      <c r="O67" s="64" t="e">
        <f>IF(KMeans_Phase!$E85=1,KMeans_Phase!$A85,NA())</f>
        <v>#N/A</v>
      </c>
      <c r="P67" s="64" t="e">
        <f>IF(KMeans_Phase!$E85=1,Phase_Data!$C67,NA())</f>
        <v>#N/A</v>
      </c>
      <c r="Q67" s="64" t="e">
        <f>IF(KMeans_Phase!$E85=2,KMeans_Phase!$A85,NA())</f>
        <v>#N/A</v>
      </c>
      <c r="R67" s="64" t="e">
        <f>IF(KMeans_Phase!$E85=2,Phase_Data!$C67,NA())</f>
        <v>#N/A</v>
      </c>
      <c r="S67" s="64">
        <f>IF(KMeans_Phase!$E85=3,KMeans_Phase!$A85,NA())</f>
        <v>43949</v>
      </c>
      <c r="T67" s="64">
        <f>IF(KMeans_Phase!$E85=3,Phase_Data!$C67,NA())</f>
        <v>730</v>
      </c>
    </row>
    <row r="68" spans="1:20" x14ac:dyDescent="0.25">
      <c r="A68" s="64" t="e">
        <f>IF(KMeans_City!$E86=1,KMeans_City!$B86,NA())</f>
        <v>#N/A</v>
      </c>
      <c r="B68" s="64" t="e">
        <f>IF(KMeans_City!$E86=1,KMeans_City!$C86,NA())</f>
        <v>#N/A</v>
      </c>
      <c r="C68" s="64" t="e">
        <f>IF(KMeans_City!$E86=2,KMeans_City!$B86,NA())</f>
        <v>#N/A</v>
      </c>
      <c r="D68" s="64" t="e">
        <f>IF(KMeans_City!$E86=2,KMeans_City!$C86,NA())</f>
        <v>#N/A</v>
      </c>
      <c r="E68" s="64">
        <f>IF(KMeans_City!$E86=3,KMeans_City!$B86,NA())</f>
        <v>-9.8484288830971004E-2</v>
      </c>
      <c r="F68" s="64">
        <f>IF(KMeans_City!$E86=3,KMeans_City!$C86,NA())</f>
        <v>0.16051258962499582</v>
      </c>
      <c r="O68" s="64" t="e">
        <f>IF(KMeans_Phase!$E86=1,KMeans_Phase!$A86,NA())</f>
        <v>#N/A</v>
      </c>
      <c r="P68" s="64" t="e">
        <f>IF(KMeans_Phase!$E86=1,Phase_Data!$C68,NA())</f>
        <v>#N/A</v>
      </c>
      <c r="Q68" s="64">
        <f>IF(KMeans_Phase!$E86=2,KMeans_Phase!$A86,NA())</f>
        <v>43950</v>
      </c>
      <c r="R68" s="64">
        <f>IF(KMeans_Phase!$E86=2,Phase_Data!$C68,NA())</f>
        <v>948</v>
      </c>
      <c r="S68" s="64" t="e">
        <f>IF(KMeans_Phase!$E86=3,KMeans_Phase!$A86,NA())</f>
        <v>#N/A</v>
      </c>
      <c r="T68" s="64" t="e">
        <f>IF(KMeans_Phase!$E86=3,Phase_Data!$C68,NA())</f>
        <v>#N/A</v>
      </c>
    </row>
    <row r="69" spans="1:20" x14ac:dyDescent="0.25">
      <c r="A69" s="64" t="e">
        <f>IF(KMeans_City!$E87=1,KMeans_City!$B87,NA())</f>
        <v>#N/A</v>
      </c>
      <c r="B69" s="64" t="e">
        <f>IF(KMeans_City!$E87=1,KMeans_City!$C87,NA())</f>
        <v>#N/A</v>
      </c>
      <c r="C69" s="64" t="e">
        <f>IF(KMeans_City!$E87=2,KMeans_City!$B87,NA())</f>
        <v>#N/A</v>
      </c>
      <c r="D69" s="64" t="e">
        <f>IF(KMeans_City!$E87=2,KMeans_City!$C87,NA())</f>
        <v>#N/A</v>
      </c>
      <c r="E69" s="64">
        <f>IF(KMeans_City!$E87=3,KMeans_City!$B87,NA())</f>
        <v>-0.11018073651136755</v>
      </c>
      <c r="F69" s="64">
        <f>IF(KMeans_City!$E87=3,KMeans_City!$C87,NA())</f>
        <v>-0.14698313392952958</v>
      </c>
      <c r="O69" s="64" t="e">
        <f>IF(KMeans_Phase!$E87=1,KMeans_Phase!$A87,NA())</f>
        <v>#N/A</v>
      </c>
      <c r="P69" s="64" t="e">
        <f>IF(KMeans_Phase!$E87=1,Phase_Data!$C69,NA())</f>
        <v>#N/A</v>
      </c>
      <c r="Q69" s="64" t="e">
        <f>IF(KMeans_Phase!$E87=2,KMeans_Phase!$A87,NA())</f>
        <v>#N/A</v>
      </c>
      <c r="R69" s="64" t="e">
        <f>IF(KMeans_Phase!$E87=2,Phase_Data!$C69,NA())</f>
        <v>#N/A</v>
      </c>
      <c r="S69" s="64">
        <f>IF(KMeans_Phase!$E87=3,KMeans_Phase!$A87,NA())</f>
        <v>43951</v>
      </c>
      <c r="T69" s="64">
        <f>IF(KMeans_Phase!$E87=3,Phase_Data!$C69,NA())</f>
        <v>665</v>
      </c>
    </row>
    <row r="70" spans="1:20" x14ac:dyDescent="0.25">
      <c r="A70" s="64" t="e">
        <f>IF(KMeans_City!$E88=1,KMeans_City!$B88,NA())</f>
        <v>#N/A</v>
      </c>
      <c r="B70" s="64" t="e">
        <f>IF(KMeans_City!$E88=1,KMeans_City!$C88,NA())</f>
        <v>#N/A</v>
      </c>
      <c r="C70" s="64" t="e">
        <f>IF(KMeans_City!$E88=2,KMeans_City!$B88,NA())</f>
        <v>#N/A</v>
      </c>
      <c r="D70" s="64" t="e">
        <f>IF(KMeans_City!$E88=2,KMeans_City!$C88,NA())</f>
        <v>#N/A</v>
      </c>
      <c r="E70" s="64">
        <f>IF(KMeans_City!$E88=3,KMeans_City!$B88,NA())</f>
        <v>-0.13439300986668776</v>
      </c>
      <c r="F70" s="64">
        <f>IF(KMeans_City!$E88=3,KMeans_City!$C88,NA())</f>
        <v>-0.14698313392952958</v>
      </c>
      <c r="O70" s="64" t="e">
        <f>IF(KMeans_Phase!$E88=1,KMeans_Phase!$A88,NA())</f>
        <v>#N/A</v>
      </c>
      <c r="P70" s="64" t="e">
        <f>IF(KMeans_Phase!$E88=1,Phase_Data!$C70,NA())</f>
        <v>#N/A</v>
      </c>
      <c r="Q70" s="64">
        <f>IF(KMeans_Phase!$E88=2,KMeans_Phase!$A88,NA())</f>
        <v>43952</v>
      </c>
      <c r="R70" s="64">
        <f>IF(KMeans_Phase!$E88=2,Phase_Data!$C70,NA())</f>
        <v>1070</v>
      </c>
      <c r="S70" s="64" t="e">
        <f>IF(KMeans_Phase!$E88=3,KMeans_Phase!$A88,NA())</f>
        <v>#N/A</v>
      </c>
      <c r="T70" s="64" t="e">
        <f>IF(KMeans_Phase!$E88=3,Phase_Data!$C70,NA())</f>
        <v>#N/A</v>
      </c>
    </row>
    <row r="71" spans="1:20" x14ac:dyDescent="0.25">
      <c r="A71" s="64" t="e">
        <f>IF(KMeans_City!$E89=1,KMeans_City!$B89,NA())</f>
        <v>#N/A</v>
      </c>
      <c r="B71" s="64" t="e">
        <f>IF(KMeans_City!$E89=1,KMeans_City!$C89,NA())</f>
        <v>#N/A</v>
      </c>
      <c r="C71" s="64" t="e">
        <f>IF(KMeans_City!$E89=2,KMeans_City!$B89,NA())</f>
        <v>#N/A</v>
      </c>
      <c r="D71" s="64" t="e">
        <f>IF(KMeans_City!$E89=2,KMeans_City!$C89,NA())</f>
        <v>#N/A</v>
      </c>
      <c r="E71" s="64">
        <f>IF(KMeans_City!$E89=3,KMeans_City!$B89,NA())</f>
        <v>-0.17296398743636285</v>
      </c>
      <c r="F71" s="64">
        <f>IF(KMeans_City!$E89=3,KMeans_City!$C89,NA())</f>
        <v>-0.67265054538827607</v>
      </c>
      <c r="O71" s="64" t="e">
        <f>IF(KMeans_Phase!$E89=1,KMeans_Phase!$A89,NA())</f>
        <v>#N/A</v>
      </c>
      <c r="P71" s="64" t="e">
        <f>IF(KMeans_Phase!$E89=1,Phase_Data!$C71,NA())</f>
        <v>#N/A</v>
      </c>
      <c r="Q71" s="64" t="e">
        <f>IF(KMeans_Phase!$E89=2,KMeans_Phase!$A89,NA())</f>
        <v>#N/A</v>
      </c>
      <c r="R71" s="64" t="e">
        <f>IF(KMeans_Phase!$E89=2,Phase_Data!$C71,NA())</f>
        <v>#N/A</v>
      </c>
      <c r="S71" s="64">
        <f>IF(KMeans_Phase!$E89=3,KMeans_Phase!$A89,NA())</f>
        <v>43953</v>
      </c>
      <c r="T71" s="64">
        <f>IF(KMeans_Phase!$E89=3,Phase_Data!$C71,NA())</f>
        <v>1123</v>
      </c>
    </row>
    <row r="72" spans="1:20" x14ac:dyDescent="0.25">
      <c r="A72" s="64" t="e">
        <f>IF(KMeans_City!$E90=1,KMeans_City!$B90,NA())</f>
        <v>#N/A</v>
      </c>
      <c r="B72" s="64" t="e">
        <f>IF(KMeans_City!$E90=1,KMeans_City!$C90,NA())</f>
        <v>#N/A</v>
      </c>
      <c r="C72" s="64">
        <f>IF(KMeans_City!$E90=2,KMeans_City!$B90,NA())</f>
        <v>-0.21462381690636909</v>
      </c>
      <c r="D72" s="64">
        <f>IF(KMeans_City!$E90=2,KMeans_City!$C90,NA())</f>
        <v>-0.67265054538827607</v>
      </c>
      <c r="E72" s="64" t="e">
        <f>IF(KMeans_City!$E90=3,KMeans_City!$B90,NA())</f>
        <v>#N/A</v>
      </c>
      <c r="F72" s="64" t="e">
        <f>IF(KMeans_City!$E90=3,KMeans_City!$C90,NA())</f>
        <v>#N/A</v>
      </c>
      <c r="O72" s="64" t="e">
        <f>IF(KMeans_Phase!$E90=1,KMeans_Phase!$A90,NA())</f>
        <v>#N/A</v>
      </c>
      <c r="P72" s="64" t="e">
        <f>IF(KMeans_Phase!$E90=1,Phase_Data!$C72,NA())</f>
        <v>#N/A</v>
      </c>
      <c r="Q72" s="64" t="e">
        <f>IF(KMeans_Phase!$E90=2,KMeans_Phase!$A90,NA())</f>
        <v>#N/A</v>
      </c>
      <c r="R72" s="64" t="e">
        <f>IF(KMeans_Phase!$E90=2,Phase_Data!$C72,NA())</f>
        <v>#N/A</v>
      </c>
      <c r="S72" s="64">
        <f>IF(KMeans_Phase!$E90=3,KMeans_Phase!$A90,NA())</f>
        <v>43954</v>
      </c>
      <c r="T72" s="64">
        <f>IF(KMeans_Phase!$E90=3,Phase_Data!$C72,NA())</f>
        <v>1342</v>
      </c>
    </row>
    <row r="73" spans="1:20" x14ac:dyDescent="0.25">
      <c r="A73" s="64" t="e">
        <f>IF(KMeans_City!$E91=1,KMeans_City!$B91,NA())</f>
        <v>#N/A</v>
      </c>
      <c r="B73" s="64" t="e">
        <f>IF(KMeans_City!$E91=1,KMeans_City!$C91,NA())</f>
        <v>#N/A</v>
      </c>
      <c r="C73" s="64">
        <f>IF(KMeans_City!$E91=2,KMeans_City!$B91,NA())</f>
        <v>-0.21462381690636909</v>
      </c>
      <c r="D73" s="64">
        <f>IF(KMeans_City!$E91=2,KMeans_City!$C91,NA())</f>
        <v>-0.67265054538827607</v>
      </c>
      <c r="E73" s="64" t="e">
        <f>IF(KMeans_City!$E91=3,KMeans_City!$B91,NA())</f>
        <v>#N/A</v>
      </c>
      <c r="F73" s="64" t="e">
        <f>IF(KMeans_City!$E91=3,KMeans_City!$C91,NA())</f>
        <v>#N/A</v>
      </c>
      <c r="O73" s="64" t="e">
        <f>IF(KMeans_Phase!$E91=1,KMeans_Phase!$A91,NA())</f>
        <v>#N/A</v>
      </c>
      <c r="P73" s="64" t="e">
        <f>IF(KMeans_Phase!$E91=1,Phase_Data!$C73,NA())</f>
        <v>#N/A</v>
      </c>
      <c r="Q73" s="64" t="e">
        <f>IF(KMeans_Phase!$E91=2,KMeans_Phase!$A91,NA())</f>
        <v>#N/A</v>
      </c>
      <c r="R73" s="64" t="e">
        <f>IF(KMeans_Phase!$E91=2,Phase_Data!$C73,NA())</f>
        <v>#N/A</v>
      </c>
      <c r="S73" s="64">
        <f>IF(KMeans_Phase!$E91=3,KMeans_Phase!$A91,NA())</f>
        <v>43955</v>
      </c>
      <c r="T73" s="64">
        <f>IF(KMeans_Phase!$E91=3,Phase_Data!$C73,NA())</f>
        <v>1052</v>
      </c>
    </row>
    <row r="74" spans="1:20" x14ac:dyDescent="0.25">
      <c r="A74" s="64" t="e">
        <f>IF(KMeans_City!$E92=1,KMeans_City!$B92,NA())</f>
        <v>#N/A</v>
      </c>
      <c r="B74" s="64" t="e">
        <f>IF(KMeans_City!$E92=1,KMeans_City!$C92,NA())</f>
        <v>#N/A</v>
      </c>
      <c r="C74" s="64">
        <f>IF(KMeans_City!$E92=2,KMeans_City!$B92,NA())</f>
        <v>-0.25991062981783247</v>
      </c>
      <c r="D74" s="64">
        <f>IF(KMeans_City!$E92=2,KMeans_City!$C92,NA())</f>
        <v>-0.67265054538827607</v>
      </c>
      <c r="E74" s="64" t="e">
        <f>IF(KMeans_City!$E92=3,KMeans_City!$B92,NA())</f>
        <v>#N/A</v>
      </c>
      <c r="F74" s="64" t="e">
        <f>IF(KMeans_City!$E92=3,KMeans_City!$C92,NA())</f>
        <v>#N/A</v>
      </c>
      <c r="O74" s="64" t="e">
        <f>IF(KMeans_Phase!$E92=1,KMeans_Phase!$A92,NA())</f>
        <v>#N/A</v>
      </c>
      <c r="P74" s="64" t="e">
        <f>IF(KMeans_Phase!$E92=1,Phase_Data!$C74,NA())</f>
        <v>#N/A</v>
      </c>
      <c r="Q74" s="64" t="e">
        <f>IF(KMeans_Phase!$E92=2,KMeans_Phase!$A92,NA())</f>
        <v>#N/A</v>
      </c>
      <c r="R74" s="64" t="e">
        <f>IF(KMeans_Phase!$E92=2,Phase_Data!$C74,NA())</f>
        <v>#N/A</v>
      </c>
      <c r="S74" s="64">
        <f>IF(KMeans_Phase!$E92=3,KMeans_Phase!$A92,NA())</f>
        <v>43956</v>
      </c>
      <c r="T74" s="64">
        <f>IF(KMeans_Phase!$E92=3,Phase_Data!$C74,NA())</f>
        <v>1023</v>
      </c>
    </row>
    <row r="75" spans="1:20" x14ac:dyDescent="0.25">
      <c r="A75" s="64" t="e">
        <f>IF(KMeans_City!$E93=1,KMeans_City!$B93,NA())</f>
        <v>#N/A</v>
      </c>
      <c r="B75" s="64" t="e">
        <f>IF(KMeans_City!$E93=1,KMeans_City!$C93,NA())</f>
        <v>#N/A</v>
      </c>
      <c r="C75" s="64">
        <f>IF(KMeans_City!$E93=2,KMeans_City!$B93,NA())</f>
        <v>-0.27592635554508732</v>
      </c>
      <c r="D75" s="64">
        <f>IF(KMeans_City!$E93=2,KMeans_City!$C93,NA())</f>
        <v>-0.67265054538827607</v>
      </c>
      <c r="E75" s="64" t="e">
        <f>IF(KMeans_City!$E93=3,KMeans_City!$B93,NA())</f>
        <v>#N/A</v>
      </c>
      <c r="F75" s="64" t="e">
        <f>IF(KMeans_City!$E93=3,KMeans_City!$C93,NA())</f>
        <v>#N/A</v>
      </c>
      <c r="O75" s="64" t="e">
        <f>IF(KMeans_Phase!$E93=1,KMeans_Phase!$A93,NA())</f>
        <v>#N/A</v>
      </c>
      <c r="P75" s="64" t="e">
        <f>IF(KMeans_Phase!$E93=1,Phase_Data!$C75,NA())</f>
        <v>#N/A</v>
      </c>
      <c r="Q75" s="64">
        <f>IF(KMeans_Phase!$E93=2,KMeans_Phase!$A93,NA())</f>
        <v>43957</v>
      </c>
      <c r="R75" s="64">
        <f>IF(KMeans_Phase!$E93=2,Phase_Data!$C75,NA())</f>
        <v>1804</v>
      </c>
      <c r="S75" s="64" t="e">
        <f>IF(KMeans_Phase!$E93=3,KMeans_Phase!$A93,NA())</f>
        <v>#N/A</v>
      </c>
      <c r="T75" s="64" t="e">
        <f>IF(KMeans_Phase!$E93=3,Phase_Data!$C75,NA())</f>
        <v>#N/A</v>
      </c>
    </row>
    <row r="76" spans="1:20" x14ac:dyDescent="0.25">
      <c r="A76" s="64" t="e">
        <f>IF(KMeans_City!$E94=1,KMeans_City!$B94,NA())</f>
        <v>#N/A</v>
      </c>
      <c r="B76" s="64" t="e">
        <f>IF(KMeans_City!$E94=1,KMeans_City!$C94,NA())</f>
        <v>#N/A</v>
      </c>
      <c r="C76" s="64">
        <f>IF(KMeans_City!$E94=2,KMeans_City!$B94,NA())</f>
        <v>-0.27592635554508732</v>
      </c>
      <c r="D76" s="64">
        <f>IF(KMeans_City!$E94=2,KMeans_City!$C94,NA())</f>
        <v>-0.67265054538827607</v>
      </c>
      <c r="E76" s="64" t="e">
        <f>IF(KMeans_City!$E94=3,KMeans_City!$B94,NA())</f>
        <v>#N/A</v>
      </c>
      <c r="F76" s="64" t="e">
        <f>IF(KMeans_City!$E94=3,KMeans_City!$C94,NA())</f>
        <v>#N/A</v>
      </c>
      <c r="O76" s="64" t="e">
        <f>IF(KMeans_Phase!$E94=1,KMeans_Phase!$A94,NA())</f>
        <v>#N/A</v>
      </c>
      <c r="P76" s="64" t="e">
        <f>IF(KMeans_Phase!$E94=1,Phase_Data!$C76,NA())</f>
        <v>#N/A</v>
      </c>
      <c r="Q76" s="64" t="e">
        <f>IF(KMeans_Phase!$E94=2,KMeans_Phase!$A94,NA())</f>
        <v>#N/A</v>
      </c>
      <c r="R76" s="64" t="e">
        <f>IF(KMeans_Phase!$E94=2,Phase_Data!$C76,NA())</f>
        <v>#N/A</v>
      </c>
      <c r="S76" s="64">
        <f>IF(KMeans_Phase!$E94=3,KMeans_Phase!$A94,NA())</f>
        <v>43958</v>
      </c>
      <c r="T76" s="64">
        <f>IF(KMeans_Phase!$E94=3,Phase_Data!$C76,NA())</f>
        <v>863</v>
      </c>
    </row>
    <row r="77" spans="1:20" x14ac:dyDescent="0.25">
      <c r="A77" s="64" t="e">
        <f>IF(KMeans_City!$E95=1,KMeans_City!$B95,NA())</f>
        <v>#N/A</v>
      </c>
      <c r="B77" s="64" t="e">
        <f>IF(KMeans_City!$E95=1,KMeans_City!$C95,NA())</f>
        <v>#N/A</v>
      </c>
      <c r="C77" s="64">
        <f>IF(KMeans_City!$E95=2,KMeans_City!$B95,NA())</f>
        <v>-0.30951672077615416</v>
      </c>
      <c r="D77" s="64">
        <f>IF(KMeans_City!$E95=2,KMeans_City!$C95,NA())</f>
        <v>-0.67265054538827607</v>
      </c>
      <c r="E77" s="64" t="e">
        <f>IF(KMeans_City!$E95=3,KMeans_City!$B95,NA())</f>
        <v>#N/A</v>
      </c>
      <c r="F77" s="64" t="e">
        <f>IF(KMeans_City!$E95=3,KMeans_City!$C95,NA())</f>
        <v>#N/A</v>
      </c>
      <c r="O77" s="64" t="e">
        <f>IF(KMeans_Phase!$E95=1,KMeans_Phase!$A95,NA())</f>
        <v>#N/A</v>
      </c>
      <c r="P77" s="64" t="e">
        <f>IF(KMeans_Phase!$E95=1,Phase_Data!$C77,NA())</f>
        <v>#N/A</v>
      </c>
      <c r="Q77" s="64" t="e">
        <f>IF(KMeans_Phase!$E95=2,KMeans_Phase!$A95,NA())</f>
        <v>#N/A</v>
      </c>
      <c r="R77" s="64" t="e">
        <f>IF(KMeans_Phase!$E95=2,Phase_Data!$C77,NA())</f>
        <v>#N/A</v>
      </c>
      <c r="S77" s="64">
        <f>IF(KMeans_Phase!$E95=3,KMeans_Phase!$A95,NA())</f>
        <v>43959</v>
      </c>
      <c r="T77" s="64">
        <f>IF(KMeans_Phase!$E95=3,Phase_Data!$C77,NA())</f>
        <v>1829</v>
      </c>
    </row>
    <row r="78" spans="1:20" x14ac:dyDescent="0.25">
      <c r="A78" s="64" t="e">
        <f>IF(KMeans_City!$E96=1,KMeans_City!$B96,NA())</f>
        <v>#N/A</v>
      </c>
      <c r="B78" s="64" t="e">
        <f>IF(KMeans_City!$E96=1,KMeans_City!$C96,NA())</f>
        <v>#N/A</v>
      </c>
      <c r="C78" s="64">
        <f>IF(KMeans_City!$E96=2,KMeans_City!$B96,NA())</f>
        <v>-0.3271614619727895</v>
      </c>
      <c r="D78" s="64">
        <f>IF(KMeans_City!$E96=2,KMeans_City!$C96,NA())</f>
        <v>-0.67265054538827607</v>
      </c>
      <c r="E78" s="64" t="e">
        <f>IF(KMeans_City!$E96=3,KMeans_City!$B96,NA())</f>
        <v>#N/A</v>
      </c>
      <c r="F78" s="64" t="e">
        <f>IF(KMeans_City!$E96=3,KMeans_City!$C96,NA())</f>
        <v>#N/A</v>
      </c>
      <c r="O78" s="64" t="e">
        <f>IF(KMeans_Phase!$E96=1,KMeans_Phase!$A96,NA())</f>
        <v>#N/A</v>
      </c>
      <c r="P78" s="64" t="e">
        <f>IF(KMeans_Phase!$E96=1,Phase_Data!$C78,NA())</f>
        <v>#N/A</v>
      </c>
      <c r="Q78" s="64" t="e">
        <f>IF(KMeans_Phase!$E96=2,KMeans_Phase!$A96,NA())</f>
        <v>#N/A</v>
      </c>
      <c r="R78" s="64" t="e">
        <f>IF(KMeans_Phase!$E96=2,Phase_Data!$C78,NA())</f>
        <v>#N/A</v>
      </c>
      <c r="S78" s="64">
        <f>IF(KMeans_Phase!$E96=3,KMeans_Phase!$A96,NA())</f>
        <v>43960</v>
      </c>
      <c r="T78" s="64">
        <f>IF(KMeans_Phase!$E96=3,Phase_Data!$C78,NA())</f>
        <v>2554</v>
      </c>
    </row>
    <row r="79" spans="1:20" x14ac:dyDescent="0.25">
      <c r="A79" s="64" t="e">
        <f>IF(KMeans_City!$E97=1,KMeans_City!$B97,NA())</f>
        <v>#N/A</v>
      </c>
      <c r="B79" s="64" t="e">
        <f>IF(KMeans_City!$E97=1,KMeans_City!$C97,NA())</f>
        <v>#N/A</v>
      </c>
      <c r="C79" s="64">
        <f>IF(KMeans_City!$E97=2,KMeans_City!$B97,NA())</f>
        <v>-0.3271614619727895</v>
      </c>
      <c r="D79" s="64">
        <f>IF(KMeans_City!$E97=2,KMeans_City!$C97,NA())</f>
        <v>-0.67265054538827607</v>
      </c>
      <c r="E79" s="64" t="e">
        <f>IF(KMeans_City!$E97=3,KMeans_City!$B97,NA())</f>
        <v>#N/A</v>
      </c>
      <c r="F79" s="64" t="e">
        <f>IF(KMeans_City!$E97=3,KMeans_City!$C97,NA())</f>
        <v>#N/A</v>
      </c>
      <c r="O79" s="64" t="e">
        <f>IF(KMeans_Phase!$E97=1,KMeans_Phase!$A97,NA())</f>
        <v>#N/A</v>
      </c>
      <c r="P79" s="64" t="e">
        <f>IF(KMeans_Phase!$E97=1,Phase_Data!$C79,NA())</f>
        <v>#N/A</v>
      </c>
      <c r="Q79" s="64">
        <f>IF(KMeans_Phase!$E97=2,KMeans_Phase!$A97,NA())</f>
        <v>43961</v>
      </c>
      <c r="R79" s="64">
        <f>IF(KMeans_Phase!$E97=2,Phase_Data!$C79,NA())</f>
        <v>1463</v>
      </c>
      <c r="S79" s="64" t="e">
        <f>IF(KMeans_Phase!$E97=3,KMeans_Phase!$A97,NA())</f>
        <v>#N/A</v>
      </c>
      <c r="T79" s="64" t="e">
        <f>IF(KMeans_Phase!$E97=3,Phase_Data!$C79,NA())</f>
        <v>#N/A</v>
      </c>
    </row>
    <row r="80" spans="1:20" x14ac:dyDescent="0.25">
      <c r="A80" s="64" t="e">
        <f>IF(KMeans_City!$E98=1,KMeans_City!$B98,NA())</f>
        <v>#N/A</v>
      </c>
      <c r="B80" s="64" t="e">
        <f>IF(KMeans_City!$E98=1,KMeans_City!$C98,NA())</f>
        <v>#N/A</v>
      </c>
      <c r="C80" s="64">
        <f>IF(KMeans_City!$E98=2,KMeans_City!$B98,NA())</f>
        <v>-0.34542544181187113</v>
      </c>
      <c r="D80" s="64">
        <f>IF(KMeans_City!$E98=2,KMeans_City!$C98,NA())</f>
        <v>-0.67265054538827607</v>
      </c>
      <c r="E80" s="64" t="e">
        <f>IF(KMeans_City!$E98=3,KMeans_City!$B98,NA())</f>
        <v>#N/A</v>
      </c>
      <c r="F80" s="64" t="e">
        <f>IF(KMeans_City!$E98=3,KMeans_City!$C98,NA())</f>
        <v>#N/A</v>
      </c>
      <c r="O80" s="64" t="e">
        <f>IF(KMeans_Phase!$E98=1,KMeans_Phase!$A98,NA())</f>
        <v>#N/A</v>
      </c>
      <c r="P80" s="64" t="e">
        <f>IF(KMeans_Phase!$E98=1,Phase_Data!$C80,NA())</f>
        <v>#N/A</v>
      </c>
      <c r="Q80" s="64">
        <f>IF(KMeans_Phase!$E98=2,KMeans_Phase!$A98,NA())</f>
        <v>43962</v>
      </c>
      <c r="R80" s="64">
        <f>IF(KMeans_Phase!$E98=2,Phase_Data!$C80,NA())</f>
        <v>1079</v>
      </c>
      <c r="S80" s="64" t="e">
        <f>IF(KMeans_Phase!$E98=3,KMeans_Phase!$A98,NA())</f>
        <v>#N/A</v>
      </c>
      <c r="T80" s="64" t="e">
        <f>IF(KMeans_Phase!$E98=3,Phase_Data!$C80,NA())</f>
        <v>#N/A</v>
      </c>
    </row>
    <row r="81" spans="1:20" x14ac:dyDescent="0.25">
      <c r="A81" s="64" t="e">
        <f>IF(KMeans_City!$E99=1,KMeans_City!$B99,NA())</f>
        <v>#N/A</v>
      </c>
      <c r="B81" s="64" t="e">
        <f>IF(KMeans_City!$E99=1,KMeans_City!$C99,NA())</f>
        <v>#N/A</v>
      </c>
      <c r="C81" s="64">
        <f>IF(KMeans_City!$E99=2,KMeans_City!$B99,NA())</f>
        <v>-0.34542544181187113</v>
      </c>
      <c r="D81" s="64">
        <f>IF(KMeans_City!$E99=2,KMeans_City!$C99,NA())</f>
        <v>-0.67265054538827607</v>
      </c>
      <c r="E81" s="64" t="e">
        <f>IF(KMeans_City!$E99=3,KMeans_City!$B99,NA())</f>
        <v>#N/A</v>
      </c>
      <c r="F81" s="64" t="e">
        <f>IF(KMeans_City!$E99=3,KMeans_City!$C99,NA())</f>
        <v>#N/A</v>
      </c>
      <c r="O81" s="64" t="e">
        <f>IF(KMeans_Phase!$E99=1,KMeans_Phase!$A99,NA())</f>
        <v>#N/A</v>
      </c>
      <c r="P81" s="64" t="e">
        <f>IF(KMeans_Phase!$E99=1,Phase_Data!$C81,NA())</f>
        <v>#N/A</v>
      </c>
      <c r="Q81" s="64">
        <f>IF(KMeans_Phase!$E99=2,KMeans_Phase!$A99,NA())</f>
        <v>43963</v>
      </c>
      <c r="R81" s="64">
        <f>IF(KMeans_Phase!$E99=2,Phase_Data!$C81,NA())</f>
        <v>2254</v>
      </c>
      <c r="S81" s="64" t="e">
        <f>IF(KMeans_Phase!$E99=3,KMeans_Phase!$A99,NA())</f>
        <v>#N/A</v>
      </c>
      <c r="T81" s="64" t="e">
        <f>IF(KMeans_Phase!$E99=3,Phase_Data!$C81,NA())</f>
        <v>#N/A</v>
      </c>
    </row>
    <row r="82" spans="1:20" x14ac:dyDescent="0.25">
      <c r="A82" s="64" t="e">
        <f>IF(KMeans_City!$E100=1,KMeans_City!$B100,NA())</f>
        <v>#N/A</v>
      </c>
      <c r="B82" s="64" t="e">
        <f>IF(KMeans_City!$E100=1,KMeans_City!$C100,NA())</f>
        <v>#N/A</v>
      </c>
      <c r="C82" s="64">
        <f>IF(KMeans_City!$E100=2,KMeans_City!$B100,NA())</f>
        <v>-0.38399641938154599</v>
      </c>
      <c r="D82" s="64">
        <f>IF(KMeans_City!$E100=2,KMeans_City!$C100,NA())</f>
        <v>-0.67265054538827607</v>
      </c>
      <c r="E82" s="64" t="e">
        <f>IF(KMeans_City!$E100=3,KMeans_City!$B100,NA())</f>
        <v>#N/A</v>
      </c>
      <c r="F82" s="64" t="e">
        <f>IF(KMeans_City!$E100=3,KMeans_City!$C100,NA())</f>
        <v>#N/A</v>
      </c>
      <c r="O82" s="64" t="e">
        <f>IF(KMeans_Phase!$E100=1,KMeans_Phase!$A100,NA())</f>
        <v>#N/A</v>
      </c>
      <c r="P82" s="64" t="e">
        <f>IF(KMeans_Phase!$E100=1,Phase_Data!$C82,NA())</f>
        <v>#N/A</v>
      </c>
      <c r="Q82" s="64">
        <f>IF(KMeans_Phase!$E100=2,KMeans_Phase!$A100,NA())</f>
        <v>43964</v>
      </c>
      <c r="R82" s="64">
        <f>IF(KMeans_Phase!$E100=2,Phase_Data!$C82,NA())</f>
        <v>1431</v>
      </c>
      <c r="S82" s="64" t="e">
        <f>IF(KMeans_Phase!$E100=3,KMeans_Phase!$A100,NA())</f>
        <v>#N/A</v>
      </c>
      <c r="T82" s="64" t="e">
        <f>IF(KMeans_Phase!$E100=3,Phase_Data!$C82,NA())</f>
        <v>#N/A</v>
      </c>
    </row>
    <row r="83" spans="1:20" x14ac:dyDescent="0.25">
      <c r="A83" s="64" t="e">
        <f>IF(KMeans_City!$E101=1,KMeans_City!$B101,NA())</f>
        <v>#N/A</v>
      </c>
      <c r="B83" s="64" t="e">
        <f>IF(KMeans_City!$E101=1,KMeans_City!$C101,NA())</f>
        <v>#N/A</v>
      </c>
      <c r="C83" s="64">
        <f>IF(KMeans_City!$E101=2,KMeans_City!$B101,NA())</f>
        <v>-0.40440962464593949</v>
      </c>
      <c r="D83" s="64">
        <f>IF(KMeans_City!$E101=2,KMeans_City!$C101,NA())</f>
        <v>-0.67265054538827607</v>
      </c>
      <c r="E83" s="64" t="e">
        <f>IF(KMeans_City!$E101=3,KMeans_City!$B101,NA())</f>
        <v>#N/A</v>
      </c>
      <c r="F83" s="64" t="e">
        <f>IF(KMeans_City!$E101=3,KMeans_City!$C101,NA())</f>
        <v>#N/A</v>
      </c>
      <c r="O83" s="64" t="e">
        <f>IF(KMeans_Phase!$E101=1,KMeans_Phase!$A101,NA())</f>
        <v>#N/A</v>
      </c>
      <c r="P83" s="64" t="e">
        <f>IF(KMeans_Phase!$E101=1,Phase_Data!$C83,NA())</f>
        <v>#N/A</v>
      </c>
      <c r="Q83" s="64">
        <f>IF(KMeans_Phase!$E101=2,KMeans_Phase!$A101,NA())</f>
        <v>43965</v>
      </c>
      <c r="R83" s="64">
        <f>IF(KMeans_Phase!$E101=2,Phase_Data!$C83,NA())</f>
        <v>1449</v>
      </c>
      <c r="S83" s="64" t="e">
        <f>IF(KMeans_Phase!$E101=3,KMeans_Phase!$A101,NA())</f>
        <v>#N/A</v>
      </c>
      <c r="T83" s="64" t="e">
        <f>IF(KMeans_Phase!$E101=3,Phase_Data!$C83,NA())</f>
        <v>#N/A</v>
      </c>
    </row>
    <row r="84" spans="1:20" x14ac:dyDescent="0.25">
      <c r="A84" s="64" t="e">
        <f>IF(KMeans_City!$E102=1,KMeans_City!$B102,NA())</f>
        <v>#N/A</v>
      </c>
      <c r="B84" s="64" t="e">
        <f>IF(KMeans_City!$E102=1,KMeans_City!$C102,NA())</f>
        <v>#N/A</v>
      </c>
      <c r="C84" s="64">
        <f>IF(KMeans_City!$E102=2,KMeans_City!$B102,NA())</f>
        <v>-0.40440962464593949</v>
      </c>
      <c r="D84" s="64">
        <f>IF(KMeans_City!$E102=2,KMeans_City!$C102,NA())</f>
        <v>-0.14698313392952958</v>
      </c>
      <c r="E84" s="64" t="e">
        <f>IF(KMeans_City!$E102=3,KMeans_City!$B102,NA())</f>
        <v>#N/A</v>
      </c>
      <c r="F84" s="64" t="e">
        <f>IF(KMeans_City!$E102=3,KMeans_City!$C102,NA())</f>
        <v>#N/A</v>
      </c>
      <c r="O84" s="64" t="e">
        <f>IF(KMeans_Phase!$E102=1,KMeans_Phase!$A102,NA())</f>
        <v>#N/A</v>
      </c>
      <c r="P84" s="64" t="e">
        <f>IF(KMeans_Phase!$E102=1,Phase_Data!$C84,NA())</f>
        <v>#N/A</v>
      </c>
      <c r="Q84" s="64">
        <f>IF(KMeans_Phase!$E102=2,KMeans_Phase!$A102,NA())</f>
        <v>43966</v>
      </c>
      <c r="R84" s="64">
        <f>IF(KMeans_Phase!$E102=2,Phase_Data!$C84,NA())</f>
        <v>1515</v>
      </c>
      <c r="S84" s="64" t="e">
        <f>IF(KMeans_Phase!$E102=3,KMeans_Phase!$A102,NA())</f>
        <v>#N/A</v>
      </c>
      <c r="T84" s="64" t="e">
        <f>IF(KMeans_Phase!$E102=3,Phase_Data!$C84,NA())</f>
        <v>#N/A</v>
      </c>
    </row>
    <row r="85" spans="1:20" x14ac:dyDescent="0.25">
      <c r="A85" s="64" t="e">
        <f>IF(KMeans_City!$E103=1,KMeans_City!$B103,NA())</f>
        <v>#N/A</v>
      </c>
      <c r="B85" s="64" t="e">
        <f>IF(KMeans_City!$E103=1,KMeans_City!$C103,NA())</f>
        <v>#N/A</v>
      </c>
      <c r="C85" s="64">
        <f>IF(KMeans_City!$E103=2,KMeans_City!$B103,NA())</f>
        <v>-0.47094306176301559</v>
      </c>
      <c r="D85" s="64">
        <f>IF(KMeans_City!$E103=2,KMeans_City!$C103,NA())</f>
        <v>-0.14698313392952958</v>
      </c>
      <c r="E85" s="64" t="e">
        <f>IF(KMeans_City!$E103=3,KMeans_City!$B103,NA())</f>
        <v>#N/A</v>
      </c>
      <c r="F85" s="64" t="e">
        <f>IF(KMeans_City!$E103=3,KMeans_City!$C103,NA())</f>
        <v>#N/A</v>
      </c>
      <c r="O85" s="64" t="e">
        <f>IF(KMeans_Phase!$E103=1,KMeans_Phase!$A103,NA())</f>
        <v>#N/A</v>
      </c>
      <c r="P85" s="64" t="e">
        <f>IF(KMeans_Phase!$E103=1,Phase_Data!$C85,NA())</f>
        <v>#N/A</v>
      </c>
      <c r="Q85" s="64">
        <f>IF(KMeans_Phase!$E103=2,KMeans_Phase!$A103,NA())</f>
        <v>43967</v>
      </c>
      <c r="R85" s="64">
        <f>IF(KMeans_Phase!$E103=2,Phase_Data!$C85,NA())</f>
        <v>1372</v>
      </c>
      <c r="S85" s="64" t="e">
        <f>IF(KMeans_Phase!$E103=3,KMeans_Phase!$A103,NA())</f>
        <v>#N/A</v>
      </c>
      <c r="T85" s="64" t="e">
        <f>IF(KMeans_Phase!$E103=3,Phase_Data!$C85,NA())</f>
        <v>#N/A</v>
      </c>
    </row>
    <row r="86" spans="1:20" x14ac:dyDescent="0.25">
      <c r="A86" s="64" t="e">
        <f>IF(KMeans_City!$E104=1,KMeans_City!$B104,NA())</f>
        <v>#N/A</v>
      </c>
      <c r="B86" s="64" t="e">
        <f>IF(KMeans_City!$E104=1,KMeans_City!$C104,NA())</f>
        <v>#N/A</v>
      </c>
      <c r="C86" s="64">
        <f>IF(KMeans_City!$E104=2,KMeans_City!$B104,NA())</f>
        <v>-0.47094306176301559</v>
      </c>
      <c r="D86" s="64">
        <f>IF(KMeans_City!$E104=2,KMeans_City!$C104,NA())</f>
        <v>-0.67265054538827607</v>
      </c>
      <c r="E86" s="64" t="e">
        <f>IF(KMeans_City!$E104=3,KMeans_City!$B104,NA())</f>
        <v>#N/A</v>
      </c>
      <c r="F86" s="64" t="e">
        <f>IF(KMeans_City!$E104=3,KMeans_City!$C104,NA())</f>
        <v>#N/A</v>
      </c>
      <c r="O86" s="64" t="e">
        <f>IF(KMeans_Phase!$E104=1,KMeans_Phase!$A104,NA())</f>
        <v>#N/A</v>
      </c>
      <c r="P86" s="64" t="e">
        <f>IF(KMeans_Phase!$E104=1,Phase_Data!$C86,NA())</f>
        <v>#N/A</v>
      </c>
      <c r="Q86" s="64">
        <f>IF(KMeans_Phase!$E104=2,KMeans_Phase!$A104,NA())</f>
        <v>43968</v>
      </c>
      <c r="R86" s="64">
        <f>IF(KMeans_Phase!$E104=2,Phase_Data!$C86,NA())</f>
        <v>1956</v>
      </c>
      <c r="S86" s="64" t="e">
        <f>IF(KMeans_Phase!$E104=3,KMeans_Phase!$A104,NA())</f>
        <v>#N/A</v>
      </c>
      <c r="T86" s="64" t="e">
        <f>IF(KMeans_Phase!$E104=3,Phase_Data!$C86,NA())</f>
        <v>#N/A</v>
      </c>
    </row>
    <row r="87" spans="1:20" x14ac:dyDescent="0.25">
      <c r="A87" s="64" t="e">
        <f>IF(KMeans_City!$E105=1,KMeans_City!$B105,NA())</f>
        <v>#N/A</v>
      </c>
      <c r="B87" s="64" t="e">
        <f>IF(KMeans_City!$E105=1,KMeans_City!$C105,NA())</f>
        <v>#N/A</v>
      </c>
      <c r="C87" s="64">
        <f>IF(KMeans_City!$E105=2,KMeans_City!$B105,NA())</f>
        <v>-0.5205491527213375</v>
      </c>
      <c r="D87" s="64">
        <f>IF(KMeans_City!$E105=2,KMeans_City!$C105,NA())</f>
        <v>-0.67265054538827607</v>
      </c>
      <c r="E87" s="64" t="e">
        <f>IF(KMeans_City!$E105=3,KMeans_City!$B105,NA())</f>
        <v>#N/A</v>
      </c>
      <c r="F87" s="64" t="e">
        <f>IF(KMeans_City!$E105=3,KMeans_City!$C105,NA())</f>
        <v>#N/A</v>
      </c>
      <c r="O87" s="64" t="e">
        <f>IF(KMeans_Phase!$E105=1,KMeans_Phase!$A105,NA())</f>
        <v>#N/A</v>
      </c>
      <c r="P87" s="64" t="e">
        <f>IF(KMeans_Phase!$E105=1,Phase_Data!$C87,NA())</f>
        <v>#N/A</v>
      </c>
      <c r="Q87" s="64">
        <f>IF(KMeans_Phase!$E105=2,KMeans_Phase!$A105,NA())</f>
        <v>43969</v>
      </c>
      <c r="R87" s="64">
        <f>IF(KMeans_Phase!$E105=2,Phase_Data!$C87,NA())</f>
        <v>1800</v>
      </c>
      <c r="S87" s="64" t="e">
        <f>IF(KMeans_Phase!$E105=3,KMeans_Phase!$A105,NA())</f>
        <v>#N/A</v>
      </c>
      <c r="T87" s="64" t="e">
        <f>IF(KMeans_Phase!$E105=3,Phase_Data!$C87,NA())</f>
        <v>#N/A</v>
      </c>
    </row>
    <row r="88" spans="1:20" x14ac:dyDescent="0.25">
      <c r="A88" s="64" t="e">
        <f>IF(KMeans_City!$E106=1,KMeans_City!$B106,NA())</f>
        <v>#N/A</v>
      </c>
      <c r="B88" s="64" t="e">
        <f>IF(KMeans_City!$E106=1,KMeans_City!$C106,NA())</f>
        <v>#N/A</v>
      </c>
      <c r="C88" s="64">
        <f>IF(KMeans_City!$E106=2,KMeans_City!$B106,NA())</f>
        <v>-0.54724577455296852</v>
      </c>
      <c r="D88" s="64">
        <f>IF(KMeans_City!$E106=2,KMeans_City!$C106,NA())</f>
        <v>-0.67265054538827607</v>
      </c>
      <c r="E88" s="64" t="e">
        <f>IF(KMeans_City!$E106=3,KMeans_City!$B106,NA())</f>
        <v>#N/A</v>
      </c>
      <c r="F88" s="64" t="e">
        <f>IF(KMeans_City!$E106=3,KMeans_City!$C106,NA())</f>
        <v>#N/A</v>
      </c>
      <c r="O88" s="64" t="e">
        <f>IF(KMeans_Phase!$E106=1,KMeans_Phase!$A106,NA())</f>
        <v>#N/A</v>
      </c>
      <c r="P88" s="64" t="e">
        <f>IF(KMeans_Phase!$E106=1,Phase_Data!$C88,NA())</f>
        <v>#N/A</v>
      </c>
      <c r="Q88" s="64">
        <f>IF(KMeans_Phase!$E106=2,KMeans_Phase!$A106,NA())</f>
        <v>43970</v>
      </c>
      <c r="R88" s="64">
        <f>IF(KMeans_Phase!$E106=2,Phase_Data!$C88,NA())</f>
        <v>1874</v>
      </c>
      <c r="S88" s="64" t="e">
        <f>IF(KMeans_Phase!$E106=3,KMeans_Phase!$A106,NA())</f>
        <v>#N/A</v>
      </c>
      <c r="T88" s="64" t="e">
        <f>IF(KMeans_Phase!$E106=3,Phase_Data!$C88,NA())</f>
        <v>#N/A</v>
      </c>
    </row>
    <row r="89" spans="1:20" x14ac:dyDescent="0.25">
      <c r="A89" s="64" t="e">
        <f>IF(KMeans_City!$E107=1,KMeans_City!$B107,NA())</f>
        <v>#N/A</v>
      </c>
      <c r="B89" s="64" t="e">
        <f>IF(KMeans_City!$E107=1,KMeans_City!$C107,NA())</f>
        <v>#N/A</v>
      </c>
      <c r="C89" s="64">
        <f>IF(KMeans_City!$E107=2,KMeans_City!$B107,NA())</f>
        <v>-0.60513538281414725</v>
      </c>
      <c r="D89" s="64">
        <f>IF(KMeans_City!$E107=2,KMeans_City!$C107,NA())</f>
        <v>-0.67265054538827607</v>
      </c>
      <c r="E89" s="64" t="e">
        <f>IF(KMeans_City!$E107=3,KMeans_City!$B107,NA())</f>
        <v>#N/A</v>
      </c>
      <c r="F89" s="64" t="e">
        <f>IF(KMeans_City!$E107=3,KMeans_City!$C107,NA())</f>
        <v>#N/A</v>
      </c>
      <c r="O89" s="64" t="e">
        <f>IF(KMeans_Phase!$E107=1,KMeans_Phase!$A107,NA())</f>
        <v>#N/A</v>
      </c>
      <c r="P89" s="64" t="e">
        <f>IF(KMeans_Phase!$E107=1,Phase_Data!$C89,NA())</f>
        <v>#N/A</v>
      </c>
      <c r="Q89" s="64">
        <f>IF(KMeans_Phase!$E107=2,KMeans_Phase!$A107,NA())</f>
        <v>43971</v>
      </c>
      <c r="R89" s="64">
        <f>IF(KMeans_Phase!$E107=2,Phase_Data!$C89,NA())</f>
        <v>2115</v>
      </c>
      <c r="S89" s="64" t="e">
        <f>IF(KMeans_Phase!$E107=3,KMeans_Phase!$A107,NA())</f>
        <v>#N/A</v>
      </c>
      <c r="T89" s="64" t="e">
        <f>IF(KMeans_Phase!$E107=3,Phase_Data!$C89,NA())</f>
        <v>#N/A</v>
      </c>
    </row>
    <row r="90" spans="1:20" x14ac:dyDescent="0.25">
      <c r="A90" s="64" t="e">
        <f>IF(KMeans_City!$E108=1,KMeans_City!$B108,NA())</f>
        <v>#N/A</v>
      </c>
      <c r="B90" s="64" t="e">
        <f>IF(KMeans_City!$E108=1,KMeans_City!$C108,NA())</f>
        <v>#N/A</v>
      </c>
      <c r="C90" s="64">
        <f>IF(KMeans_City!$E108=2,KMeans_City!$B108,NA())</f>
        <v>-0.63668868079673557</v>
      </c>
      <c r="D90" s="64">
        <f>IF(KMeans_City!$E108=2,KMeans_City!$C108,NA())</f>
        <v>-0.67265054538827607</v>
      </c>
      <c r="E90" s="64" t="e">
        <f>IF(KMeans_City!$E108=3,KMeans_City!$B108,NA())</f>
        <v>#N/A</v>
      </c>
      <c r="F90" s="64" t="e">
        <f>IF(KMeans_City!$E108=3,KMeans_City!$C108,NA())</f>
        <v>#N/A</v>
      </c>
      <c r="O90" s="64" t="e">
        <f>IF(KMeans_Phase!$E108=1,KMeans_Phase!$A108,NA())</f>
        <v>#N/A</v>
      </c>
      <c r="P90" s="64" t="e">
        <f>IF(KMeans_Phase!$E108=1,Phase_Data!$C90,NA())</f>
        <v>#N/A</v>
      </c>
      <c r="Q90" s="64">
        <f>IF(KMeans_Phase!$E108=2,KMeans_Phase!$A108,NA())</f>
        <v>43972</v>
      </c>
      <c r="R90" s="64">
        <f>IF(KMeans_Phase!$E108=2,Phase_Data!$C90,NA())</f>
        <v>2539</v>
      </c>
      <c r="S90" s="64" t="e">
        <f>IF(KMeans_Phase!$E108=3,KMeans_Phase!$A108,NA())</f>
        <v>#N/A</v>
      </c>
      <c r="T90" s="64" t="e">
        <f>IF(KMeans_Phase!$E108=3,Phase_Data!$C90,NA())</f>
        <v>#N/A</v>
      </c>
    </row>
    <row r="91" spans="1:20" x14ac:dyDescent="0.25">
      <c r="A91" s="64" t="e">
        <f>IF(KMeans_City!$E109=1,KMeans_City!$B109,NA())</f>
        <v>#N/A</v>
      </c>
      <c r="B91" s="64" t="e">
        <f>IF(KMeans_City!$E109=1,KMeans_City!$C109,NA())</f>
        <v>#N/A</v>
      </c>
      <c r="C91" s="64">
        <f>IF(KMeans_City!$E109=2,KMeans_City!$B109,NA())</f>
        <v>-0.63668868079673557</v>
      </c>
      <c r="D91" s="64">
        <f>IF(KMeans_City!$E109=2,KMeans_City!$C109,NA())</f>
        <v>-0.67265054538827607</v>
      </c>
      <c r="E91" s="64" t="e">
        <f>IF(KMeans_City!$E109=3,KMeans_City!$B109,NA())</f>
        <v>#N/A</v>
      </c>
      <c r="F91" s="64" t="e">
        <f>IF(KMeans_City!$E109=3,KMeans_City!$C109,NA())</f>
        <v>#N/A</v>
      </c>
      <c r="O91" s="64" t="e">
        <f>IF(KMeans_Phase!$E109=1,KMeans_Phase!$A109,NA())</f>
        <v>#N/A</v>
      </c>
      <c r="P91" s="64" t="e">
        <f>IF(KMeans_Phase!$E109=1,Phase_Data!$C91,NA())</f>
        <v>#N/A</v>
      </c>
      <c r="Q91" s="64">
        <f>IF(KMeans_Phase!$E109=2,KMeans_Phase!$A109,NA())</f>
        <v>43973</v>
      </c>
      <c r="R91" s="64">
        <f>IF(KMeans_Phase!$E109=2,Phase_Data!$C91,NA())</f>
        <v>1728</v>
      </c>
      <c r="S91" s="64" t="e">
        <f>IF(KMeans_Phase!$E109=3,KMeans_Phase!$A109,NA())</f>
        <v>#N/A</v>
      </c>
      <c r="T91" s="64" t="e">
        <f>IF(KMeans_Phase!$E109=3,Phase_Data!$C91,NA())</f>
        <v>#N/A</v>
      </c>
    </row>
    <row r="92" spans="1:20" x14ac:dyDescent="0.25">
      <c r="A92" s="64" t="e">
        <f>IF(KMeans_City!$E110=1,KMeans_City!$B110,NA())</f>
        <v>#N/A</v>
      </c>
      <c r="B92" s="64" t="e">
        <f>IF(KMeans_City!$E110=1,KMeans_City!$C110,NA())</f>
        <v>#N/A</v>
      </c>
      <c r="C92" s="64" t="e">
        <f>IF(KMeans_City!$E110=2,KMeans_City!$B110,NA())</f>
        <v>#N/A</v>
      </c>
      <c r="D92" s="64" t="e">
        <f>IF(KMeans_City!$E110=2,KMeans_City!$C110,NA())</f>
        <v>#N/A</v>
      </c>
      <c r="E92" s="64">
        <f>IF(KMeans_City!$E110=3,KMeans_City!$B110,NA())</f>
        <v>-0.70618776706351938</v>
      </c>
      <c r="F92" s="64">
        <f>IF(KMeans_City!$E110=3,KMeans_City!$C110,NA())</f>
        <v>-0.14698313392952958</v>
      </c>
      <c r="O92" s="64" t="e">
        <f>IF(KMeans_Phase!$E110=1,KMeans_Phase!$A110,NA())</f>
        <v>#N/A</v>
      </c>
      <c r="P92" s="64" t="e">
        <f>IF(KMeans_Phase!$E110=1,Phase_Data!$C92,NA())</f>
        <v>#N/A</v>
      </c>
      <c r="Q92" s="64">
        <f>IF(KMeans_Phase!$E110=2,KMeans_Phase!$A110,NA())</f>
        <v>43974</v>
      </c>
      <c r="R92" s="64">
        <f>IF(KMeans_Phase!$E110=2,Phase_Data!$C92,NA())</f>
        <v>2060</v>
      </c>
      <c r="S92" s="64" t="e">
        <f>IF(KMeans_Phase!$E110=3,KMeans_Phase!$A110,NA())</f>
        <v>#N/A</v>
      </c>
      <c r="T92" s="64" t="e">
        <f>IF(KMeans_Phase!$E110=3,Phase_Data!$C92,NA())</f>
        <v>#N/A</v>
      </c>
    </row>
    <row r="93" spans="1:20" x14ac:dyDescent="0.25">
      <c r="A93" s="64" t="e">
        <f>IF(KMeans_City!$E111=1,KMeans_City!$B111,NA())</f>
        <v>#N/A</v>
      </c>
      <c r="B93" s="64" t="e">
        <f>IF(KMeans_City!$E111=1,KMeans_City!$C111,NA())</f>
        <v>#N/A</v>
      </c>
      <c r="C93" s="64">
        <f>IF(KMeans_City!$E111=2,KMeans_City!$B111,NA())</f>
        <v>-0.74475874463319425</v>
      </c>
      <c r="D93" s="64">
        <f>IF(KMeans_City!$E111=2,KMeans_City!$C111,NA())</f>
        <v>-0.14698313392952958</v>
      </c>
      <c r="E93" s="64" t="e">
        <f>IF(KMeans_City!$E111=3,KMeans_City!$B111,NA())</f>
        <v>#N/A</v>
      </c>
      <c r="F93" s="64" t="e">
        <f>IF(KMeans_City!$E111=3,KMeans_City!$C111,NA())</f>
        <v>#N/A</v>
      </c>
      <c r="O93" s="64" t="e">
        <f>IF(KMeans_Phase!$E111=1,KMeans_Phase!$A111,NA())</f>
        <v>#N/A</v>
      </c>
      <c r="P93" s="64" t="e">
        <f>IF(KMeans_Phase!$E111=1,Phase_Data!$C93,NA())</f>
        <v>#N/A</v>
      </c>
      <c r="Q93" s="64">
        <f>IF(KMeans_Phase!$E111=2,KMeans_Phase!$A111,NA())</f>
        <v>43975</v>
      </c>
      <c r="R93" s="64">
        <f>IF(KMeans_Phase!$E111=2,Phase_Data!$C93,NA())</f>
        <v>1744</v>
      </c>
      <c r="S93" s="64" t="e">
        <f>IF(KMeans_Phase!$E111=3,KMeans_Phase!$A111,NA())</f>
        <v>#N/A</v>
      </c>
      <c r="T93" s="64" t="e">
        <f>IF(KMeans_Phase!$E111=3,Phase_Data!$C93,NA())</f>
        <v>#N/A</v>
      </c>
    </row>
    <row r="94" spans="1:20" x14ac:dyDescent="0.25">
      <c r="A94" s="64" t="e">
        <f>IF(KMeans_City!$E112=1,KMeans_City!$B112,NA())</f>
        <v>#N/A</v>
      </c>
      <c r="B94" s="64" t="e">
        <f>IF(KMeans_City!$E112=1,KMeans_City!$C112,NA())</f>
        <v>#N/A</v>
      </c>
      <c r="C94" s="64">
        <f>IF(KMeans_City!$E112=2,KMeans_City!$B112,NA())</f>
        <v>-0.74475874463319425</v>
      </c>
      <c r="D94" s="64">
        <f>IF(KMeans_City!$E112=2,KMeans_City!$C112,NA())</f>
        <v>-0.67265054538827607</v>
      </c>
      <c r="E94" s="64" t="e">
        <f>IF(KMeans_City!$E112=3,KMeans_City!$B112,NA())</f>
        <v>#N/A</v>
      </c>
      <c r="F94" s="64" t="e">
        <f>IF(KMeans_City!$E112=3,KMeans_City!$C112,NA())</f>
        <v>#N/A</v>
      </c>
      <c r="O94" s="64" t="e">
        <f>IF(KMeans_Phase!$E112=1,KMeans_Phase!$A112,NA())</f>
        <v>#N/A</v>
      </c>
      <c r="P94" s="64" t="e">
        <f>IF(KMeans_Phase!$E112=1,Phase_Data!$C94,NA())</f>
        <v>#N/A</v>
      </c>
      <c r="Q94" s="64">
        <f>IF(KMeans_Phase!$E112=2,KMeans_Phase!$A112,NA())</f>
        <v>43976</v>
      </c>
      <c r="R94" s="64">
        <f>IF(KMeans_Phase!$E112=2,Phase_Data!$C94,NA())</f>
        <v>1356</v>
      </c>
      <c r="S94" s="64" t="e">
        <f>IF(KMeans_Phase!$E112=3,KMeans_Phase!$A112,NA())</f>
        <v>#N/A</v>
      </c>
      <c r="T94" s="64" t="e">
        <f>IF(KMeans_Phase!$E112=3,Phase_Data!$C94,NA())</f>
        <v>#N/A</v>
      </c>
    </row>
    <row r="95" spans="1:20" x14ac:dyDescent="0.25">
      <c r="A95" s="64" t="e">
        <f>IF(KMeans_City!$E113=1,KMeans_City!$B113,NA())</f>
        <v>#N/A</v>
      </c>
      <c r="B95" s="64" t="e">
        <f>IF(KMeans_City!$E113=1,KMeans_City!$C113,NA())</f>
        <v>#N/A</v>
      </c>
      <c r="C95" s="64">
        <f>IF(KMeans_City!$E113=2,KMeans_City!$B113,NA())</f>
        <v>-0.78641857410320049</v>
      </c>
      <c r="D95" s="64">
        <f>IF(KMeans_City!$E113=2,KMeans_City!$C113,NA())</f>
        <v>-0.67265054538827607</v>
      </c>
      <c r="E95" s="64" t="e">
        <f>IF(KMeans_City!$E113=3,KMeans_City!$B113,NA())</f>
        <v>#N/A</v>
      </c>
      <c r="F95" s="64" t="e">
        <f>IF(KMeans_City!$E113=3,KMeans_City!$C113,NA())</f>
        <v>#N/A</v>
      </c>
      <c r="O95" s="64" t="e">
        <f>IF(KMeans_Phase!$E113=1,KMeans_Phase!$A113,NA())</f>
        <v>#N/A</v>
      </c>
      <c r="P95" s="64" t="e">
        <f>IF(KMeans_Phase!$E113=1,Phase_Data!$C95,NA())</f>
        <v>#N/A</v>
      </c>
      <c r="Q95" s="64">
        <f>IF(KMeans_Phase!$E113=2,KMeans_Phase!$A113,NA())</f>
        <v>43977</v>
      </c>
      <c r="R95" s="64">
        <f>IF(KMeans_Phase!$E113=2,Phase_Data!$C95,NA())</f>
        <v>1440</v>
      </c>
      <c r="S95" s="64" t="e">
        <f>IF(KMeans_Phase!$E113=3,KMeans_Phase!$A113,NA())</f>
        <v>#N/A</v>
      </c>
      <c r="T95" s="64" t="e">
        <f>IF(KMeans_Phase!$E113=3,Phase_Data!$C95,NA())</f>
        <v>#N/A</v>
      </c>
    </row>
    <row r="96" spans="1:20" x14ac:dyDescent="0.25">
      <c r="A96" s="64" t="e">
        <f>IF(KMeans_City!$E114=1,KMeans_City!$B114,NA())</f>
        <v>#N/A</v>
      </c>
      <c r="B96" s="64" t="e">
        <f>IF(KMeans_City!$E114=1,KMeans_City!$C114,NA())</f>
        <v>#N/A</v>
      </c>
      <c r="C96" s="64">
        <f>IF(KMeans_City!$E114=2,KMeans_City!$B114,NA())</f>
        <v>-0.8317053870146639</v>
      </c>
      <c r="D96" s="64">
        <f>IF(KMeans_City!$E114=2,KMeans_City!$C114,NA())</f>
        <v>-0.67265054538827607</v>
      </c>
      <c r="E96" s="64" t="e">
        <f>IF(KMeans_City!$E114=3,KMeans_City!$B114,NA())</f>
        <v>#N/A</v>
      </c>
      <c r="F96" s="64" t="e">
        <f>IF(KMeans_City!$E114=3,KMeans_City!$C114,NA())</f>
        <v>#N/A</v>
      </c>
      <c r="O96" s="64" t="e">
        <f>IF(KMeans_Phase!$E114=1,KMeans_Phase!$A114,NA())</f>
        <v>#N/A</v>
      </c>
      <c r="P96" s="64" t="e">
        <f>IF(KMeans_Phase!$E114=1,Phase_Data!$C96,NA())</f>
        <v>#N/A</v>
      </c>
      <c r="Q96" s="64">
        <f>IF(KMeans_Phase!$E114=2,KMeans_Phase!$A114,NA())</f>
        <v>43978</v>
      </c>
      <c r="R96" s="64">
        <f>IF(KMeans_Phase!$E114=2,Phase_Data!$C96,NA())</f>
        <v>2173</v>
      </c>
      <c r="S96" s="64" t="e">
        <f>IF(KMeans_Phase!$E114=3,KMeans_Phase!$A114,NA())</f>
        <v>#N/A</v>
      </c>
      <c r="T96" s="64" t="e">
        <f>IF(KMeans_Phase!$E114=3,Phase_Data!$C96,NA())</f>
        <v>#N/A</v>
      </c>
    </row>
    <row r="97" spans="1:20" x14ac:dyDescent="0.25">
      <c r="A97" s="64" t="e">
        <f>IF(KMeans_City!$E115=1,KMeans_City!$B115,NA())</f>
        <v>#N/A</v>
      </c>
      <c r="B97" s="64" t="e">
        <f>IF(KMeans_City!$E115=1,KMeans_City!$C115,NA())</f>
        <v>#N/A</v>
      </c>
      <c r="C97" s="64">
        <f>IF(KMeans_City!$E115=2,KMeans_City!$B115,NA())</f>
        <v>-0.8317053870146639</v>
      </c>
      <c r="D97" s="64">
        <f>IF(KMeans_City!$E115=2,KMeans_City!$C115,NA())</f>
        <v>-0.67265054538827607</v>
      </c>
      <c r="E97" s="64" t="e">
        <f>IF(KMeans_City!$E115=3,KMeans_City!$B115,NA())</f>
        <v>#N/A</v>
      </c>
      <c r="F97" s="64" t="e">
        <f>IF(KMeans_City!$E115=3,KMeans_City!$C115,NA())</f>
        <v>#N/A</v>
      </c>
      <c r="O97" s="64" t="e">
        <f>IF(KMeans_Phase!$E115=1,KMeans_Phase!$A115,NA())</f>
        <v>#N/A</v>
      </c>
      <c r="P97" s="64" t="e">
        <f>IF(KMeans_Phase!$E115=1,Phase_Data!$C97,NA())</f>
        <v>#N/A</v>
      </c>
      <c r="Q97" s="64">
        <f>IF(KMeans_Phase!$E115=2,KMeans_Phase!$A115,NA())</f>
        <v>43979</v>
      </c>
      <c r="R97" s="64">
        <f>IF(KMeans_Phase!$E115=2,Phase_Data!$C97,NA())</f>
        <v>2562</v>
      </c>
      <c r="S97" s="64" t="e">
        <f>IF(KMeans_Phase!$E115=3,KMeans_Phase!$A115,NA())</f>
        <v>#N/A</v>
      </c>
      <c r="T97" s="64" t="e">
        <f>IF(KMeans_Phase!$E115=3,Phase_Data!$C97,NA())</f>
        <v>#N/A</v>
      </c>
    </row>
    <row r="98" spans="1:20" x14ac:dyDescent="0.25">
      <c r="A98" s="64" t="e">
        <f>IF(KMeans_City!$E116=1,KMeans_City!$B116,NA())</f>
        <v>#N/A</v>
      </c>
      <c r="B98" s="64" t="e">
        <f>IF(KMeans_City!$E116=1,KMeans_City!$C116,NA())</f>
        <v>#N/A</v>
      </c>
      <c r="C98" s="64">
        <f>IF(KMeans_City!$E116=2,KMeans_City!$B116,NA())</f>
        <v>-0.88131147797298559</v>
      </c>
      <c r="D98" s="64">
        <f>IF(KMeans_City!$E116=2,KMeans_City!$C116,NA())</f>
        <v>-0.67265054538827607</v>
      </c>
      <c r="E98" s="64" t="e">
        <f>IF(KMeans_City!$E116=3,KMeans_City!$B116,NA())</f>
        <v>#N/A</v>
      </c>
      <c r="F98" s="64" t="e">
        <f>IF(KMeans_City!$E116=3,KMeans_City!$C116,NA())</f>
        <v>#N/A</v>
      </c>
      <c r="O98" s="64" t="e">
        <f>IF(KMeans_Phase!$E116=1,KMeans_Phase!$A116,NA())</f>
        <v>#N/A</v>
      </c>
      <c r="P98" s="64" t="e">
        <f>IF(KMeans_Phase!$E116=1,Phase_Data!$C98,NA())</f>
        <v>#N/A</v>
      </c>
      <c r="Q98" s="64">
        <f>IF(KMeans_Phase!$E116=2,KMeans_Phase!$A116,NA())</f>
        <v>43980</v>
      </c>
      <c r="R98" s="64">
        <f>IF(KMeans_Phase!$E116=2,Phase_Data!$C98,NA())</f>
        <v>2426</v>
      </c>
      <c r="S98" s="64" t="e">
        <f>IF(KMeans_Phase!$E116=3,KMeans_Phase!$A116,NA())</f>
        <v>#N/A</v>
      </c>
      <c r="T98" s="64" t="e">
        <f>IF(KMeans_Phase!$E116=3,Phase_Data!$C98,NA())</f>
        <v>#N/A</v>
      </c>
    </row>
    <row r="99" spans="1:20" x14ac:dyDescent="0.25">
      <c r="A99" s="64" t="e">
        <f>IF(KMeans_City!$E117=1,KMeans_City!$B117,NA())</f>
        <v>#N/A</v>
      </c>
      <c r="B99" s="64" t="e">
        <f>IF(KMeans_City!$E117=1,KMeans_City!$C117,NA())</f>
        <v>#N/A</v>
      </c>
      <c r="C99" s="64">
        <f>IF(KMeans_City!$E117=2,KMeans_City!$B117,NA())</f>
        <v>-0.88131147797298559</v>
      </c>
      <c r="D99" s="64">
        <f>IF(KMeans_City!$E117=2,KMeans_City!$C117,NA())</f>
        <v>-0.14698313392952958</v>
      </c>
      <c r="E99" s="64" t="e">
        <f>IF(KMeans_City!$E117=3,KMeans_City!$B117,NA())</f>
        <v>#N/A</v>
      </c>
      <c r="F99" s="64" t="e">
        <f>IF(KMeans_City!$E117=3,KMeans_City!$C117,NA())</f>
        <v>#N/A</v>
      </c>
      <c r="O99" s="64" t="e">
        <f>IF(KMeans_Phase!$E117=1,KMeans_Phase!$A117,NA())</f>
        <v>#N/A</v>
      </c>
      <c r="P99" s="64" t="e">
        <f>IF(KMeans_Phase!$E117=1,Phase_Data!$C99,NA())</f>
        <v>#N/A</v>
      </c>
      <c r="Q99" s="64">
        <f>IF(KMeans_Phase!$E117=2,KMeans_Phase!$A117,NA())</f>
        <v>43981</v>
      </c>
      <c r="R99" s="64">
        <f>IF(KMeans_Phase!$E117=2,Phase_Data!$C99,NA())</f>
        <v>2956</v>
      </c>
      <c r="S99" s="64" t="e">
        <f>IF(KMeans_Phase!$E117=3,KMeans_Phase!$A117,NA())</f>
        <v>#N/A</v>
      </c>
      <c r="T99" s="64" t="e">
        <f>IF(KMeans_Phase!$E117=3,Phase_Data!$C99,NA())</f>
        <v>#N/A</v>
      </c>
    </row>
    <row r="100" spans="1:20" x14ac:dyDescent="0.25">
      <c r="A100" s="64" t="e">
        <f>IF(KMeans_City!$E118=1,KMeans_City!$B118,NA())</f>
        <v>#N/A</v>
      </c>
      <c r="B100" s="64" t="e">
        <f>IF(KMeans_City!$E118=1,KMeans_City!$C118,NA())</f>
        <v>#N/A</v>
      </c>
      <c r="C100" s="64">
        <f>IF(KMeans_City!$E118=2,KMeans_City!$B118,NA())</f>
        <v>-0.88131147797298559</v>
      </c>
      <c r="D100" s="64">
        <f>IF(KMeans_City!$E118=2,KMeans_City!$C118,NA())</f>
        <v>-0.67265054538827607</v>
      </c>
      <c r="E100" s="64" t="e">
        <f>IF(KMeans_City!$E118=3,KMeans_City!$B118,NA())</f>
        <v>#N/A</v>
      </c>
      <c r="F100" s="64" t="e">
        <f>IF(KMeans_City!$E118=3,KMeans_City!$C118,NA())</f>
        <v>#N/A</v>
      </c>
      <c r="O100" s="64" t="e">
        <f>IF(KMeans_Phase!$E118=1,KMeans_Phase!$A118,NA())</f>
        <v>#N/A</v>
      </c>
      <c r="P100" s="64" t="e">
        <f>IF(KMeans_Phase!$E118=1,Phase_Data!$C100,NA())</f>
        <v>#N/A</v>
      </c>
      <c r="Q100" s="64">
        <f>IF(KMeans_Phase!$E118=2,KMeans_Phase!$A118,NA())</f>
        <v>43982</v>
      </c>
      <c r="R100" s="64">
        <f>IF(KMeans_Phase!$E118=2,Phase_Data!$C100,NA())</f>
        <v>2883</v>
      </c>
      <c r="S100" s="64" t="e">
        <f>IF(KMeans_Phase!$E118=3,KMeans_Phase!$A118,NA())</f>
        <v>#N/A</v>
      </c>
      <c r="T100" s="64" t="e">
        <f>IF(KMeans_Phase!$E118=3,Phase_Data!$C100,NA())</f>
        <v>#N/A</v>
      </c>
    </row>
    <row r="101" spans="1:20" x14ac:dyDescent="0.25">
      <c r="A101" s="64" t="e">
        <f>IF(KMeans_City!$E119=1,KMeans_City!$B119,NA())</f>
        <v>#N/A</v>
      </c>
      <c r="B101" s="64" t="e">
        <f>IF(KMeans_City!$E119=1,KMeans_City!$C119,NA())</f>
        <v>#N/A</v>
      </c>
      <c r="C101" s="64">
        <f>IF(KMeans_City!$E119=2,KMeans_City!$B119,NA())</f>
        <v>-0.88131147797298559</v>
      </c>
      <c r="D101" s="64">
        <f>IF(KMeans_City!$E119=2,KMeans_City!$C119,NA())</f>
        <v>-0.67265054538827607</v>
      </c>
      <c r="E101" s="64" t="e">
        <f>IF(KMeans_City!$E119=3,KMeans_City!$B119,NA())</f>
        <v>#N/A</v>
      </c>
      <c r="F101" s="64" t="e">
        <f>IF(KMeans_City!$E119=3,KMeans_City!$C119,NA())</f>
        <v>#N/A</v>
      </c>
      <c r="O101" s="64" t="e">
        <f>IF(KMeans_Phase!$E119=1,KMeans_Phase!$A119,NA())</f>
        <v>#N/A</v>
      </c>
      <c r="P101" s="64" t="e">
        <f>IF(KMeans_Phase!$E119=1,Phase_Data!$C101,NA())</f>
        <v>#N/A</v>
      </c>
      <c r="Q101" s="64">
        <f>IF(KMeans_Phase!$E119=2,KMeans_Phase!$A119,NA())</f>
        <v>43983</v>
      </c>
      <c r="R101" s="64">
        <f>IF(KMeans_Phase!$E119=2,Phase_Data!$C101,NA())</f>
        <v>3872</v>
      </c>
      <c r="S101" s="64" t="e">
        <f>IF(KMeans_Phase!$E119=3,KMeans_Phase!$A119,NA())</f>
        <v>#N/A</v>
      </c>
      <c r="T101" s="64" t="e">
        <f>IF(KMeans_Phase!$E119=3,Phase_Data!$C101,NA())</f>
        <v>#N/A</v>
      </c>
    </row>
    <row r="102" spans="1:20" x14ac:dyDescent="0.25">
      <c r="A102" s="64" t="e">
        <f>IF(KMeans_City!$E120=1,KMeans_City!$B120,NA())</f>
        <v>#N/A</v>
      </c>
      <c r="B102" s="64" t="e">
        <f>IF(KMeans_City!$E120=1,KMeans_City!$C120,NA())</f>
        <v>#N/A</v>
      </c>
      <c r="C102" s="64">
        <f>IF(KMeans_City!$E120=2,KMeans_City!$B120,NA())</f>
        <v>-0.9361484674096654</v>
      </c>
      <c r="D102" s="64">
        <f>IF(KMeans_City!$E120=2,KMeans_City!$C120,NA())</f>
        <v>-0.67265054538827607</v>
      </c>
      <c r="E102" s="64" t="e">
        <f>IF(KMeans_City!$E120=3,KMeans_City!$B120,NA())</f>
        <v>#N/A</v>
      </c>
      <c r="F102" s="64" t="e">
        <f>IF(KMeans_City!$E120=3,KMeans_City!$C120,NA())</f>
        <v>#N/A</v>
      </c>
      <c r="O102" s="64" t="e">
        <f>IF(KMeans_Phase!$E120=1,KMeans_Phase!$A120,NA())</f>
        <v>#N/A</v>
      </c>
      <c r="P102" s="64" t="e">
        <f>IF(KMeans_Phase!$E120=1,Phase_Data!$C102,NA())</f>
        <v>#N/A</v>
      </c>
      <c r="Q102" s="64">
        <f>IF(KMeans_Phase!$E120=2,KMeans_Phase!$A120,NA())</f>
        <v>43984</v>
      </c>
      <c r="R102" s="64">
        <f>IF(KMeans_Phase!$E120=2,Phase_Data!$C102,NA())</f>
        <v>4242</v>
      </c>
      <c r="S102" s="64" t="e">
        <f>IF(KMeans_Phase!$E120=3,KMeans_Phase!$A120,NA())</f>
        <v>#N/A</v>
      </c>
      <c r="T102" s="64" t="e">
        <f>IF(KMeans_Phase!$E120=3,Phase_Data!$C102,NA())</f>
        <v>#N/A</v>
      </c>
    </row>
    <row r="103" spans="1:20" x14ac:dyDescent="0.25">
      <c r="A103" s="64" t="e">
        <f>IF(KMeans_City!$E121=1,KMeans_City!$B121,NA())</f>
        <v>#N/A</v>
      </c>
      <c r="B103" s="64" t="e">
        <f>IF(KMeans_City!$E121=1,KMeans_City!$C121,NA())</f>
        <v>#N/A</v>
      </c>
      <c r="C103" s="64">
        <f>IF(KMeans_City!$E121=2,KMeans_City!$B121,NA())</f>
        <v>-0.9361484674096654</v>
      </c>
      <c r="D103" s="64">
        <f>IF(KMeans_City!$E121=2,KMeans_City!$C121,NA())</f>
        <v>-0.67265054538827607</v>
      </c>
      <c r="E103" s="64" t="e">
        <f>IF(KMeans_City!$E121=3,KMeans_City!$B121,NA())</f>
        <v>#N/A</v>
      </c>
      <c r="F103" s="64" t="e">
        <f>IF(KMeans_City!$E121=3,KMeans_City!$C121,NA())</f>
        <v>#N/A</v>
      </c>
      <c r="O103" s="64" t="e">
        <f>IF(KMeans_Phase!$E121=1,KMeans_Phase!$A121,NA())</f>
        <v>#N/A</v>
      </c>
      <c r="P103" s="64" t="e">
        <f>IF(KMeans_Phase!$E121=1,Phase_Data!$C103,NA())</f>
        <v>#N/A</v>
      </c>
      <c r="Q103" s="64">
        <f>IF(KMeans_Phase!$E121=2,KMeans_Phase!$A121,NA())</f>
        <v>43985</v>
      </c>
      <c r="R103" s="64">
        <f>IF(KMeans_Phase!$E121=2,Phase_Data!$C103,NA())</f>
        <v>4677</v>
      </c>
      <c r="S103" s="64" t="e">
        <f>IF(KMeans_Phase!$E121=3,KMeans_Phase!$A121,NA())</f>
        <v>#N/A</v>
      </c>
      <c r="T103" s="64" t="e">
        <f>IF(KMeans_Phase!$E121=3,Phase_Data!$C103,NA())</f>
        <v>#N/A</v>
      </c>
    </row>
    <row r="104" spans="1:20" x14ac:dyDescent="0.25">
      <c r="A104" s="64" t="e">
        <f>IF(KMeans_City!$E122=1,KMeans_City!$B122,NA())</f>
        <v>#N/A</v>
      </c>
      <c r="B104" s="64" t="e">
        <f>IF(KMeans_City!$E122=1,KMeans_City!$C122,NA())</f>
        <v>#N/A</v>
      </c>
      <c r="C104" s="64">
        <f>IF(KMeans_City!$E122=2,KMeans_City!$B122,NA())</f>
        <v>-0.9361484674096654</v>
      </c>
      <c r="D104" s="64">
        <f>IF(KMeans_City!$E122=2,KMeans_City!$C122,NA())</f>
        <v>-0.67265054538827607</v>
      </c>
      <c r="E104" s="64" t="e">
        <f>IF(KMeans_City!$E122=3,KMeans_City!$B122,NA())</f>
        <v>#N/A</v>
      </c>
      <c r="F104" s="64" t="e">
        <f>IF(KMeans_City!$E122=3,KMeans_City!$C122,NA())</f>
        <v>#N/A</v>
      </c>
    </row>
    <row r="105" spans="1:20" x14ac:dyDescent="0.25">
      <c r="A105" s="64" t="e">
        <f>IF(KMeans_City!$E123=1,KMeans_City!$B123,NA())</f>
        <v>#N/A</v>
      </c>
      <c r="B105" s="64" t="e">
        <f>IF(KMeans_City!$E123=1,KMeans_City!$C123,NA())</f>
        <v>#N/A</v>
      </c>
      <c r="C105" s="64">
        <f>IF(KMeans_City!$E123=2,KMeans_City!$B123,NA())</f>
        <v>-0.9361484674096654</v>
      </c>
      <c r="D105" s="64">
        <f>IF(KMeans_City!$E123=2,KMeans_City!$C123,NA())</f>
        <v>-0.67265054538827607</v>
      </c>
      <c r="E105" s="64" t="e">
        <f>IF(KMeans_City!$E123=3,KMeans_City!$B123,NA())</f>
        <v>#N/A</v>
      </c>
      <c r="F105" s="64" t="e">
        <f>IF(KMeans_City!$E123=3,KMeans_City!$C123,NA())</f>
        <v>#N/A</v>
      </c>
    </row>
    <row r="106" spans="1:20" x14ac:dyDescent="0.25">
      <c r="A106" s="64" t="e">
        <f>IF(KMeans_City!$E124=1,KMeans_City!$B124,NA())</f>
        <v>#N/A</v>
      </c>
      <c r="B106" s="64" t="e">
        <f>IF(KMeans_City!$E124=1,KMeans_City!$C124,NA())</f>
        <v>#N/A</v>
      </c>
      <c r="C106" s="64">
        <f>IF(KMeans_City!$E124=2,KMeans_City!$B124,NA())</f>
        <v>-0.99745100604838388</v>
      </c>
      <c r="D106" s="64">
        <f>IF(KMeans_City!$E124=2,KMeans_City!$C124,NA())</f>
        <v>-0.67265054538827607</v>
      </c>
      <c r="E106" s="64" t="e">
        <f>IF(KMeans_City!$E124=3,KMeans_City!$B124,NA())</f>
        <v>#N/A</v>
      </c>
      <c r="F106" s="64" t="e">
        <f>IF(KMeans_City!$E124=3,KMeans_City!$C124,NA())</f>
        <v>#N/A</v>
      </c>
    </row>
    <row r="107" spans="1:20" x14ac:dyDescent="0.25">
      <c r="A107" s="64" t="e">
        <f>IF(KMeans_City!$E125=1,KMeans_City!$B125,NA())</f>
        <v>#N/A</v>
      </c>
      <c r="B107" s="64" t="e">
        <f>IF(KMeans_City!$E125=1,KMeans_City!$C125,NA())</f>
        <v>#N/A</v>
      </c>
      <c r="C107" s="64">
        <f>IF(KMeans_City!$E125=2,KMeans_City!$B125,NA())</f>
        <v>-0.99745100604838388</v>
      </c>
      <c r="D107" s="64">
        <f>IF(KMeans_City!$E125=2,KMeans_City!$C125,NA())</f>
        <v>-0.67265054538827607</v>
      </c>
      <c r="E107" s="64" t="e">
        <f>IF(KMeans_City!$E125=3,KMeans_City!$B125,NA())</f>
        <v>#N/A</v>
      </c>
      <c r="F107" s="64" t="e">
        <f>IF(KMeans_City!$E125=3,KMeans_City!$C125,NA())</f>
        <v>#N/A</v>
      </c>
    </row>
    <row r="108" spans="1:20" x14ac:dyDescent="0.25">
      <c r="A108" s="64" t="e">
        <f>IF(KMeans_City!$E126=1,KMeans_City!$B126,NA())</f>
        <v>#N/A</v>
      </c>
      <c r="B108" s="64" t="e">
        <f>IF(KMeans_City!$E126=1,KMeans_City!$C126,NA())</f>
        <v>#N/A</v>
      </c>
      <c r="C108" s="64">
        <f>IF(KMeans_City!$E126=2,KMeans_City!$B126,NA())</f>
        <v>-0.99745100604838388</v>
      </c>
      <c r="D108" s="64">
        <f>IF(KMeans_City!$E126=2,KMeans_City!$C126,NA())</f>
        <v>-0.67265054538827607</v>
      </c>
      <c r="E108" s="64" t="e">
        <f>IF(KMeans_City!$E126=3,KMeans_City!$B126,NA())</f>
        <v>#N/A</v>
      </c>
      <c r="F108" s="64" t="e">
        <f>IF(KMeans_City!$E126=3,KMeans_City!$C126,NA())</f>
        <v>#N/A</v>
      </c>
    </row>
    <row r="109" spans="1:20" x14ac:dyDescent="0.25">
      <c r="A109" s="64" t="e">
        <f>IF(KMeans_City!$E127=1,KMeans_City!$B127,NA())</f>
        <v>#N/A</v>
      </c>
      <c r="B109" s="64" t="e">
        <f>IF(KMeans_City!$E127=1,KMeans_City!$C127,NA())</f>
        <v>#N/A</v>
      </c>
      <c r="C109" s="64">
        <f>IF(KMeans_City!$E127=2,KMeans_City!$B127,NA())</f>
        <v>-1.1471808993548489</v>
      </c>
      <c r="D109" s="64">
        <f>IF(KMeans_City!$E127=2,KMeans_City!$C127,NA())</f>
        <v>-0.67265054538827607</v>
      </c>
      <c r="E109" s="64" t="e">
        <f>IF(KMeans_City!$E127=3,KMeans_City!$B127,NA())</f>
        <v>#N/A</v>
      </c>
      <c r="F109" s="64" t="e">
        <f>IF(KMeans_City!$E127=3,KMeans_City!$C127,NA())</f>
        <v>#N/A</v>
      </c>
    </row>
    <row r="110" spans="1:20" x14ac:dyDescent="0.25">
      <c r="A110" s="64" t="e">
        <f>IF(KMeans_City!$E128=1,KMeans_City!$B128,NA())</f>
        <v>#N/A</v>
      </c>
      <c r="B110" s="64" t="e">
        <f>IF(KMeans_City!$E128=1,KMeans_City!$C128,NA())</f>
        <v>#N/A</v>
      </c>
      <c r="C110" s="64">
        <f>IF(KMeans_City!$E128=2,KMeans_City!$B128,NA())</f>
        <v>-1.3582133313000322</v>
      </c>
      <c r="D110" s="64">
        <f>IF(KMeans_City!$E128=2,KMeans_City!$C128,NA())</f>
        <v>-0.67265054538827607</v>
      </c>
      <c r="E110" s="64" t="e">
        <f>IF(KMeans_City!$E128=3,KMeans_City!$B128,NA())</f>
        <v>#N/A</v>
      </c>
      <c r="F110" s="64" t="e">
        <f>IF(KMeans_City!$E128=3,KMeans_City!$C128,NA())</f>
        <v>#N/A</v>
      </c>
    </row>
    <row r="111" spans="1:20" x14ac:dyDescent="0.25">
      <c r="A111" s="64" t="e">
        <f>IF(KMeans_City!$E129=1,KMeans_City!$B129,NA())</f>
        <v>#N/A</v>
      </c>
      <c r="B111" s="64" t="e">
        <f>IF(KMeans_City!$E129=1,KMeans_City!$C129,NA())</f>
        <v>#N/A</v>
      </c>
      <c r="C111" s="64">
        <f>IF(KMeans_City!$E129=2,KMeans_City!$B129,NA())</f>
        <v>-1.507943224606497</v>
      </c>
      <c r="D111" s="64">
        <f>IF(KMeans_City!$E129=2,KMeans_City!$C129,NA())</f>
        <v>-0.67265054538827607</v>
      </c>
      <c r="E111" s="64" t="e">
        <f>IF(KMeans_City!$E129=3,KMeans_City!$B129,NA())</f>
        <v>#N/A</v>
      </c>
      <c r="F111" s="64" t="e">
        <f>IF(KMeans_City!$E129=3,KMeans_City!$C129,NA())</f>
        <v>#N/A</v>
      </c>
    </row>
    <row r="112" spans="1:20" x14ac:dyDescent="0.25">
      <c r="A112" s="64" t="e">
        <f>IF(KMeans_City!$E130=1,KMeans_City!$B130,NA())</f>
        <v>#N/A</v>
      </c>
      <c r="B112" s="64" t="e">
        <f>IF(KMeans_City!$E130=1,KMeans_City!$C130,NA())</f>
        <v>#N/A</v>
      </c>
      <c r="C112" s="64">
        <f>IF(KMeans_City!$E130=2,KMeans_City!$B130,NA())</f>
        <v>-1.507943224606497</v>
      </c>
      <c r="D112" s="64">
        <f>IF(KMeans_City!$E130=2,KMeans_City!$C130,NA())</f>
        <v>-0.67265054538827607</v>
      </c>
      <c r="E112" s="64" t="e">
        <f>IF(KMeans_City!$E130=3,KMeans_City!$B130,NA())</f>
        <v>#N/A</v>
      </c>
      <c r="F112" s="64" t="e">
        <f>IF(KMeans_City!$E130=3,KMeans_City!$C130,NA())</f>
        <v>#N/A</v>
      </c>
    </row>
    <row r="113" spans="1:6" x14ac:dyDescent="0.25">
      <c r="A113" s="64" t="e">
        <f>IF(KMeans_City!$E131=1,KMeans_City!$B131,NA())</f>
        <v>#N/A</v>
      </c>
      <c r="B113" s="64" t="e">
        <f>IF(KMeans_City!$E131=1,KMeans_City!$C131,NA())</f>
        <v>#N/A</v>
      </c>
      <c r="C113" s="64">
        <f>IF(KMeans_City!$E131=2,KMeans_City!$B131,NA())</f>
        <v>-1.507943224606497</v>
      </c>
      <c r="D113" s="64">
        <f>IF(KMeans_City!$E131=2,KMeans_City!$C131,NA())</f>
        <v>-0.67265054538827607</v>
      </c>
      <c r="E113" s="64" t="e">
        <f>IF(KMeans_City!$E131=3,KMeans_City!$B131,NA())</f>
        <v>#N/A</v>
      </c>
      <c r="F113" s="64" t="e">
        <f>IF(KMeans_City!$E131=3,KMeans_City!$C131,NA())</f>
        <v>#N/A</v>
      </c>
    </row>
    <row r="114" spans="1:6" x14ac:dyDescent="0.25">
      <c r="A114" s="64" t="e">
        <f>IF(KMeans_City!$E132=1,KMeans_City!$B132,NA())</f>
        <v>#N/A</v>
      </c>
      <c r="B114" s="64" t="e">
        <f>IF(KMeans_City!$E132=1,KMeans_City!$C132,NA())</f>
        <v>#N/A</v>
      </c>
      <c r="C114" s="64">
        <f>IF(KMeans_City!$E132=2,KMeans_City!$B132,NA())</f>
        <v>-1.507943224606497</v>
      </c>
      <c r="D114" s="64">
        <f>IF(KMeans_City!$E132=2,KMeans_City!$C132,NA())</f>
        <v>-0.67265054538827607</v>
      </c>
      <c r="E114" s="64" t="e">
        <f>IF(KMeans_City!$E132=3,KMeans_City!$B132,NA())</f>
        <v>#N/A</v>
      </c>
      <c r="F114" s="64" t="e">
        <f>IF(KMeans_City!$E132=3,KMeans_City!$C132,NA())</f>
        <v>#N/A</v>
      </c>
    </row>
    <row r="115" spans="1:6" x14ac:dyDescent="0.25">
      <c r="A115" s="64" t="e">
        <f>IF(KMeans_City!$E133=1,KMeans_City!$B133,NA())</f>
        <v>#N/A</v>
      </c>
      <c r="B115" s="64" t="e">
        <f>IF(KMeans_City!$E133=1,KMeans_City!$C133,NA())</f>
        <v>#N/A</v>
      </c>
      <c r="C115" s="64">
        <f>IF(KMeans_City!$E133=2,KMeans_City!$B133,NA())</f>
        <v>-1.7189756565516803</v>
      </c>
      <c r="D115" s="64">
        <f>IF(KMeans_City!$E133=2,KMeans_City!$C133,NA())</f>
        <v>-0.67265054538827607</v>
      </c>
      <c r="E115" s="64" t="e">
        <f>IF(KMeans_City!$E133=3,KMeans_City!$B133,NA())</f>
        <v>#N/A</v>
      </c>
      <c r="F115" s="64" t="e">
        <f>IF(KMeans_City!$E133=3,KMeans_City!$C133,NA())</f>
        <v>#N/A</v>
      </c>
    </row>
    <row r="116" spans="1:6" x14ac:dyDescent="0.25">
      <c r="A116" s="64" t="e">
        <f>IF(KMeans_City!$E134=1,KMeans_City!$B134,NA())</f>
        <v>#N/A</v>
      </c>
      <c r="B116" s="64" t="e">
        <f>IF(KMeans_City!$E134=1,KMeans_City!$C134,NA())</f>
        <v>#N/A</v>
      </c>
      <c r="C116" s="64">
        <f>IF(KMeans_City!$E134=2,KMeans_City!$B134,NA())</f>
        <v>-1.7189756565516803</v>
      </c>
      <c r="D116" s="64">
        <f>IF(KMeans_City!$E134=2,KMeans_City!$C134,NA())</f>
        <v>-0.67265054538827607</v>
      </c>
      <c r="E116" s="64" t="e">
        <f>IF(KMeans_City!$E134=3,KMeans_City!$B134,NA())</f>
        <v>#N/A</v>
      </c>
      <c r="F116" s="64" t="e">
        <f>IF(KMeans_City!$E134=3,KMeans_City!$C134,NA())</f>
        <v>#N/A</v>
      </c>
    </row>
    <row r="117" spans="1:6" x14ac:dyDescent="0.25">
      <c r="A117" s="64" t="e">
        <f>IF(KMeans_City!$E135=1,KMeans_City!$B135,NA())</f>
        <v>#N/A</v>
      </c>
      <c r="B117" s="64" t="e">
        <f>IF(KMeans_City!$E135=1,KMeans_City!$C135,NA())</f>
        <v>#N/A</v>
      </c>
      <c r="C117" s="64">
        <f>IF(KMeans_City!$E135=2,KMeans_City!$B135,NA())</f>
        <v>-1.7189756565516803</v>
      </c>
      <c r="D117" s="64">
        <f>IF(KMeans_City!$E135=2,KMeans_City!$C135,NA())</f>
        <v>-0.67265054538827607</v>
      </c>
      <c r="E117" s="64" t="e">
        <f>IF(KMeans_City!$E135=3,KMeans_City!$B135,NA())</f>
        <v>#N/A</v>
      </c>
      <c r="F117" s="64" t="e">
        <f>IF(KMeans_City!$E135=3,KMeans_City!$C135,NA())</f>
        <v>#N/A</v>
      </c>
    </row>
    <row r="118" spans="1:6" x14ac:dyDescent="0.25">
      <c r="A118" s="64" t="e">
        <f>IF(KMeans_City!$E136=1,KMeans_City!$B136,NA())</f>
        <v>#N/A</v>
      </c>
      <c r="B118" s="64" t="e">
        <f>IF(KMeans_City!$E136=1,KMeans_City!$C136,NA())</f>
        <v>#N/A</v>
      </c>
      <c r="C118" s="64">
        <f>IF(KMeans_City!$E136=2,KMeans_City!$B136,NA())</f>
        <v>-1.7189756565516803</v>
      </c>
      <c r="D118" s="64">
        <f>IF(KMeans_City!$E136=2,KMeans_City!$C136,NA())</f>
        <v>-0.67265054538827607</v>
      </c>
      <c r="E118" s="64" t="e">
        <f>IF(KMeans_City!$E136=3,KMeans_City!$B136,NA())</f>
        <v>#N/A</v>
      </c>
      <c r="F118" s="64" t="e">
        <f>IF(KMeans_City!$E136=3,KMeans_City!$C136,NA())</f>
        <v>#N/A</v>
      </c>
    </row>
    <row r="119" spans="1:6" x14ac:dyDescent="0.25">
      <c r="A119" s="64" t="e">
        <f>IF(KMeans_City!$E137=1,KMeans_City!$B137,NA())</f>
        <v>#N/A</v>
      </c>
      <c r="B119" s="64" t="e">
        <f>IF(KMeans_City!$E137=1,KMeans_City!$C137,NA())</f>
        <v>#N/A</v>
      </c>
      <c r="C119" s="64">
        <f>IF(KMeans_City!$E137=2,KMeans_City!$B137,NA())</f>
        <v>-1.7189756565516803</v>
      </c>
      <c r="D119" s="64">
        <f>IF(KMeans_City!$E137=2,KMeans_City!$C137,NA())</f>
        <v>-0.67265054538827607</v>
      </c>
      <c r="E119" s="64" t="e">
        <f>IF(KMeans_City!$E137=3,KMeans_City!$B137,NA())</f>
        <v>#N/A</v>
      </c>
      <c r="F119" s="64" t="e">
        <f>IF(KMeans_City!$E137=3,KMeans_City!$C137,NA())</f>
        <v>#N/A</v>
      </c>
    </row>
    <row r="120" spans="1:6" x14ac:dyDescent="0.25">
      <c r="A120" s="64" t="e">
        <f>IF(KMeans_City!$E138=1,KMeans_City!$B138,NA())</f>
        <v>#N/A</v>
      </c>
      <c r="B120" s="64" t="e">
        <f>IF(KMeans_City!$E138=1,KMeans_City!$C138,NA())</f>
        <v>#N/A</v>
      </c>
      <c r="C120" s="64">
        <f>IF(KMeans_City!$E138=2,KMeans_City!$B138,NA())</f>
        <v>-2.0797379818033286</v>
      </c>
      <c r="D120" s="64">
        <f>IF(KMeans_City!$E138=2,KMeans_City!$C138,NA())</f>
        <v>-0.67265054538827607</v>
      </c>
      <c r="E120" s="64" t="e">
        <f>IF(KMeans_City!$E138=3,KMeans_City!$B138,NA())</f>
        <v>#N/A</v>
      </c>
      <c r="F120" s="64" t="e">
        <f>IF(KMeans_City!$E138=3,KMeans_City!$C138,NA())</f>
        <v>#N/A</v>
      </c>
    </row>
    <row r="121" spans="1:6" x14ac:dyDescent="0.25">
      <c r="A121" s="64" t="e">
        <f>IF(KMeans_City!$E139=1,KMeans_City!$B139,NA())</f>
        <v>#N/A</v>
      </c>
      <c r="B121" s="64" t="e">
        <f>IF(KMeans_City!$E139=1,KMeans_City!$C139,NA())</f>
        <v>#N/A</v>
      </c>
      <c r="C121" s="64">
        <f>IF(KMeans_City!$E139=2,KMeans_City!$B139,NA())</f>
        <v>-2.0797379818033286</v>
      </c>
      <c r="D121" s="64">
        <f>IF(KMeans_City!$E139=2,KMeans_City!$C139,NA())</f>
        <v>-0.67265054538827607</v>
      </c>
      <c r="E121" s="64" t="e">
        <f>IF(KMeans_City!$E139=3,KMeans_City!$B139,NA())</f>
        <v>#N/A</v>
      </c>
      <c r="F121" s="64" t="e">
        <f>IF(KMeans_City!$E139=3,KMeans_City!$C139,NA())</f>
        <v>#N/A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F7F7F"/>
    <pageSetUpPr fitToPage="1"/>
  </sheetPr>
  <dimension ref="A1:D38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40" customWidth="1"/>
    <col min="3" max="3" width="18" customWidth="1"/>
    <col min="4" max="4" width="80" customWidth="1"/>
  </cols>
  <sheetData>
    <row r="1" spans="1:4" ht="20.25" x14ac:dyDescent="0.3">
      <c r="A1" s="8" t="s">
        <v>543</v>
      </c>
    </row>
    <row r="2" spans="1:4" x14ac:dyDescent="0.25">
      <c r="A2" s="9" t="s">
        <v>544</v>
      </c>
    </row>
    <row r="4" spans="1:4" ht="31.5" customHeight="1" x14ac:dyDescent="0.25">
      <c r="A4" s="11" t="s">
        <v>545</v>
      </c>
      <c r="B4" s="11" t="s">
        <v>546</v>
      </c>
      <c r="C4" s="11" t="s">
        <v>547</v>
      </c>
      <c r="D4" s="11" t="s">
        <v>548</v>
      </c>
    </row>
    <row r="5" spans="1:4" ht="42" customHeight="1" x14ac:dyDescent="0.25">
      <c r="A5" s="65">
        <v>1</v>
      </c>
      <c r="B5" s="50" t="s">
        <v>549</v>
      </c>
      <c r="C5" s="66">
        <f>COUNTA(Data!$A$2:$A$2797)</f>
        <v>2796</v>
      </c>
      <c r="D5" s="50" t="s">
        <v>550</v>
      </c>
    </row>
    <row r="6" spans="1:4" ht="42" customHeight="1" x14ac:dyDescent="0.25">
      <c r="A6" s="65">
        <v>2</v>
      </c>
      <c r="B6" s="50" t="s">
        <v>551</v>
      </c>
      <c r="C6" s="67">
        <v>0</v>
      </c>
      <c r="D6" s="50" t="s">
        <v>552</v>
      </c>
    </row>
    <row r="7" spans="1:4" ht="42" customHeight="1" x14ac:dyDescent="0.25">
      <c r="A7" s="65">
        <v>3</v>
      </c>
      <c r="B7" s="50" t="s">
        <v>553</v>
      </c>
      <c r="C7" s="67">
        <v>0</v>
      </c>
      <c r="D7" s="50" t="s">
        <v>554</v>
      </c>
    </row>
    <row r="8" spans="1:4" ht="42" customHeight="1" x14ac:dyDescent="0.25">
      <c r="A8" s="65">
        <v>4</v>
      </c>
      <c r="B8" s="50" t="s">
        <v>555</v>
      </c>
      <c r="C8" s="67">
        <f>COUNTIF(Data!$D$2:$D$2797,"&lt;0")</f>
        <v>3</v>
      </c>
      <c r="D8" s="50" t="str">
        <f>"Kept as reported; they net to "&amp;SUMIF(Data!$D$2:$D$2797,"&lt;0")&amp;" recoveries, which is immaterial. Likely data-entry corrections."</f>
        <v>Kept as reported; they net to -4 recoveries, which is immaterial. Likely data-entry corrections.</v>
      </c>
    </row>
    <row r="9" spans="1:4" ht="42" customHeight="1" x14ac:dyDescent="0.25">
      <c r="A9" s="65">
        <v>5</v>
      </c>
      <c r="B9" s="50" t="s">
        <v>556</v>
      </c>
      <c r="C9" s="67">
        <f>COUNTIF(Daily!$P$5:$P$103,0)</f>
        <v>8</v>
      </c>
      <c r="D9" s="50" t="s">
        <v>557</v>
      </c>
    </row>
    <row r="10" spans="1:4" ht="42" customHeight="1" x14ac:dyDescent="0.25">
      <c r="A10" s="65">
        <v>6</v>
      </c>
      <c r="B10" s="50" t="s">
        <v>558</v>
      </c>
      <c r="C10" s="66">
        <f>COUNTIF(Data!$B$2:$B$2797,0)</f>
        <v>810</v>
      </c>
      <c r="D10" s="50" t="s">
        <v>559</v>
      </c>
    </row>
    <row r="11" spans="1:4" ht="42" customHeight="1" x14ac:dyDescent="0.25">
      <c r="A11" s="65">
        <v>7</v>
      </c>
      <c r="B11" s="50" t="s">
        <v>560</v>
      </c>
      <c r="C11" s="67">
        <v>6</v>
      </c>
      <c r="D11" s="50" t="s">
        <v>561</v>
      </c>
    </row>
    <row r="12" spans="1:4" ht="42" customHeight="1" x14ac:dyDescent="0.25">
      <c r="A12" s="65">
        <v>8</v>
      </c>
      <c r="B12" s="50" t="s">
        <v>562</v>
      </c>
      <c r="C12" s="50" t="s">
        <v>563</v>
      </c>
      <c r="D12" s="50" t="s">
        <v>564</v>
      </c>
    </row>
    <row r="13" spans="1:4" ht="42" customHeight="1" x14ac:dyDescent="0.25">
      <c r="A13" s="65">
        <v>9</v>
      </c>
      <c r="B13" s="50" t="s">
        <v>565</v>
      </c>
      <c r="C13" s="50" t="str">
        <f>"Multan: "&amp;INDEX(City!F5:F19,MATCH("Multan",City!B5:B19,0))&amp;" recovered of "&amp;INDEX(City!D5:D19,MATCH("Multan",City!B5:B19,0))</f>
        <v>Multan: 1 recovered of 712</v>
      </c>
      <c r="D13" s="50" t="s">
        <v>566</v>
      </c>
    </row>
    <row r="14" spans="1:4" ht="42" customHeight="1" x14ac:dyDescent="0.25">
      <c r="A14" s="65">
        <v>10</v>
      </c>
      <c r="B14" s="50" t="s">
        <v>567</v>
      </c>
      <c r="C14" s="50" t="str">
        <f>"June: "&amp;Monthly!B9&amp;" days"</f>
        <v>June: 3 days</v>
      </c>
      <c r="D14" s="50" t="s">
        <v>568</v>
      </c>
    </row>
    <row r="17" spans="1:4" ht="15.75" x14ac:dyDescent="0.25">
      <c r="A17" s="10" t="s">
        <v>569</v>
      </c>
    </row>
    <row r="18" spans="1:4" ht="30" customHeight="1" x14ac:dyDescent="0.25">
      <c r="B18" s="53" t="s">
        <v>570</v>
      </c>
      <c r="C18" s="13"/>
      <c r="D18" s="50" t="s">
        <v>571</v>
      </c>
    </row>
    <row r="19" spans="1:4" ht="30" customHeight="1" x14ac:dyDescent="0.25">
      <c r="B19" s="53" t="s">
        <v>32</v>
      </c>
      <c r="C19" s="13"/>
      <c r="D19" s="50" t="s">
        <v>572</v>
      </c>
    </row>
    <row r="20" spans="1:4" ht="30" customHeight="1" x14ac:dyDescent="0.25">
      <c r="B20" s="53" t="s">
        <v>573</v>
      </c>
      <c r="C20" s="13"/>
      <c r="D20" s="50" t="s">
        <v>574</v>
      </c>
    </row>
    <row r="21" spans="1:4" ht="30" customHeight="1" x14ac:dyDescent="0.25">
      <c r="B21" s="53" t="s">
        <v>51</v>
      </c>
      <c r="C21" s="13"/>
      <c r="D21" s="50" t="s">
        <v>575</v>
      </c>
    </row>
    <row r="22" spans="1:4" ht="30" customHeight="1" x14ac:dyDescent="0.25">
      <c r="B22" s="53" t="s">
        <v>576</v>
      </c>
      <c r="C22" s="13"/>
      <c r="D22" s="50" t="s">
        <v>577</v>
      </c>
    </row>
    <row r="23" spans="1:4" ht="30" customHeight="1" x14ac:dyDescent="0.25">
      <c r="B23" s="53" t="s">
        <v>578</v>
      </c>
      <c r="C23" s="13"/>
      <c r="D23" s="50" t="s">
        <v>579</v>
      </c>
    </row>
    <row r="24" spans="1:4" ht="30" customHeight="1" x14ac:dyDescent="0.25">
      <c r="B24" s="53" t="s">
        <v>580</v>
      </c>
      <c r="C24" s="13"/>
      <c r="D24" s="50" t="s">
        <v>581</v>
      </c>
    </row>
    <row r="25" spans="1:4" ht="30" customHeight="1" x14ac:dyDescent="0.25">
      <c r="B25" s="53" t="s">
        <v>582</v>
      </c>
      <c r="C25" s="13"/>
      <c r="D25" s="50" t="s">
        <v>583</v>
      </c>
    </row>
    <row r="28" spans="1:4" ht="15.75" x14ac:dyDescent="0.25">
      <c r="A28" s="10" t="s">
        <v>584</v>
      </c>
    </row>
    <row r="29" spans="1:4" x14ac:dyDescent="0.25">
      <c r="B29" s="36" t="s">
        <v>585</v>
      </c>
      <c r="C29" s="13"/>
      <c r="D29" s="13" t="s">
        <v>586</v>
      </c>
    </row>
    <row r="30" spans="1:4" x14ac:dyDescent="0.25">
      <c r="B30" s="36" t="s">
        <v>587</v>
      </c>
      <c r="C30" s="13"/>
      <c r="D30" s="13" t="s">
        <v>588</v>
      </c>
    </row>
    <row r="31" spans="1:4" x14ac:dyDescent="0.25">
      <c r="B31" s="36" t="s">
        <v>589</v>
      </c>
      <c r="C31" s="13"/>
      <c r="D31" s="13" t="s">
        <v>590</v>
      </c>
    </row>
    <row r="32" spans="1:4" x14ac:dyDescent="0.25">
      <c r="B32" s="36" t="s">
        <v>591</v>
      </c>
      <c r="C32" s="13"/>
      <c r="D32" s="13" t="s">
        <v>592</v>
      </c>
    </row>
    <row r="33" spans="2:4" x14ac:dyDescent="0.25">
      <c r="B33" s="36" t="s">
        <v>593</v>
      </c>
      <c r="C33" s="13"/>
      <c r="D33" s="13" t="s">
        <v>594</v>
      </c>
    </row>
    <row r="34" spans="2:4" x14ac:dyDescent="0.25">
      <c r="B34" s="36" t="s">
        <v>595</v>
      </c>
      <c r="C34" s="13"/>
      <c r="D34" s="13" t="s">
        <v>596</v>
      </c>
    </row>
    <row r="35" spans="2:4" x14ac:dyDescent="0.25">
      <c r="B35" s="36" t="s">
        <v>597</v>
      </c>
      <c r="C35" s="13"/>
      <c r="D35" s="13" t="s">
        <v>598</v>
      </c>
    </row>
    <row r="36" spans="2:4" x14ac:dyDescent="0.25">
      <c r="B36" s="36" t="s">
        <v>599</v>
      </c>
      <c r="C36" s="13"/>
      <c r="D36" s="13" t="s">
        <v>600</v>
      </c>
    </row>
    <row r="37" spans="2:4" x14ac:dyDescent="0.25">
      <c r="B37" s="36" t="s">
        <v>601</v>
      </c>
      <c r="C37" s="13"/>
      <c r="D37" s="13" t="s">
        <v>602</v>
      </c>
    </row>
    <row r="38" spans="2:4" x14ac:dyDescent="0.25">
      <c r="B38" s="36" t="s">
        <v>603</v>
      </c>
      <c r="C38" s="13"/>
      <c r="D38" s="13" t="s">
        <v>604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F7F7F"/>
    <pageSetUpPr fitToPage="1"/>
  </sheetPr>
  <dimension ref="A1:H279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3" width="9" customWidth="1"/>
    <col min="4" max="4" width="11" customWidth="1"/>
    <col min="5" max="5" width="26" customWidth="1"/>
    <col min="6" max="6" width="34" customWidth="1"/>
    <col min="7" max="7" width="18" customWidth="1"/>
    <col min="8" max="8" width="11" customWidth="1"/>
  </cols>
  <sheetData>
    <row r="1" spans="1:8" ht="19.5" customHeight="1" x14ac:dyDescent="0.25">
      <c r="A1" s="11" t="s">
        <v>24</v>
      </c>
      <c r="B1" s="11" t="s">
        <v>47</v>
      </c>
      <c r="C1" s="11" t="s">
        <v>48</v>
      </c>
      <c r="D1" s="11" t="s">
        <v>49</v>
      </c>
      <c r="E1" s="11" t="s">
        <v>292</v>
      </c>
      <c r="F1" s="11" t="s">
        <v>63</v>
      </c>
      <c r="G1" s="11" t="s">
        <v>89</v>
      </c>
      <c r="H1" s="11" t="s">
        <v>56</v>
      </c>
    </row>
    <row r="2" spans="1:8" x14ac:dyDescent="0.25">
      <c r="A2" s="68">
        <v>43887</v>
      </c>
      <c r="B2" s="48">
        <v>1</v>
      </c>
      <c r="C2" s="48">
        <v>0</v>
      </c>
      <c r="D2" s="48">
        <v>0</v>
      </c>
      <c r="E2" s="48" t="s">
        <v>126</v>
      </c>
      <c r="F2" s="48" t="s">
        <v>74</v>
      </c>
      <c r="G2" s="48" t="s">
        <v>95</v>
      </c>
      <c r="H2" s="69">
        <f t="shared" ref="H2:H65" si="0">DATE(YEAR(A2),MONTH(A2),1)</f>
        <v>43862</v>
      </c>
    </row>
    <row r="3" spans="1:8" x14ac:dyDescent="0.25">
      <c r="A3" s="68">
        <v>43887</v>
      </c>
      <c r="B3" s="48">
        <v>2</v>
      </c>
      <c r="C3" s="48">
        <v>0</v>
      </c>
      <c r="D3" s="48">
        <v>0</v>
      </c>
      <c r="E3" s="48" t="s">
        <v>118</v>
      </c>
      <c r="F3" s="48" t="s">
        <v>70</v>
      </c>
      <c r="G3" s="48" t="s">
        <v>91</v>
      </c>
      <c r="H3" s="69">
        <f t="shared" si="0"/>
        <v>43862</v>
      </c>
    </row>
    <row r="4" spans="1:8" x14ac:dyDescent="0.25">
      <c r="A4" s="68">
        <v>43890</v>
      </c>
      <c r="B4" s="48">
        <v>1</v>
      </c>
      <c r="C4" s="48">
        <v>0</v>
      </c>
      <c r="D4" s="48">
        <v>0</v>
      </c>
      <c r="E4" s="48" t="s">
        <v>126</v>
      </c>
      <c r="F4" s="48" t="s">
        <v>74</v>
      </c>
      <c r="G4" s="48" t="s">
        <v>95</v>
      </c>
      <c r="H4" s="69">
        <f t="shared" si="0"/>
        <v>43862</v>
      </c>
    </row>
    <row r="5" spans="1:8" x14ac:dyDescent="0.25">
      <c r="A5" s="68">
        <v>43890</v>
      </c>
      <c r="B5" s="48">
        <v>1</v>
      </c>
      <c r="C5" s="48">
        <v>0</v>
      </c>
      <c r="D5" s="48">
        <v>0</v>
      </c>
      <c r="E5" s="48" t="s">
        <v>118</v>
      </c>
      <c r="F5" s="48" t="s">
        <v>70</v>
      </c>
      <c r="G5" s="48" t="s">
        <v>91</v>
      </c>
      <c r="H5" s="69">
        <f t="shared" si="0"/>
        <v>43862</v>
      </c>
    </row>
    <row r="6" spans="1:8" x14ac:dyDescent="0.25">
      <c r="A6" s="68">
        <v>43892</v>
      </c>
      <c r="B6" s="48">
        <v>1</v>
      </c>
      <c r="C6" s="48">
        <v>0</v>
      </c>
      <c r="D6" s="48">
        <v>0</v>
      </c>
      <c r="E6" s="48" t="s">
        <v>118</v>
      </c>
      <c r="F6" s="48" t="s">
        <v>75</v>
      </c>
      <c r="G6" s="48" t="s">
        <v>103</v>
      </c>
      <c r="H6" s="69">
        <f t="shared" si="0"/>
        <v>43891</v>
      </c>
    </row>
    <row r="7" spans="1:8" x14ac:dyDescent="0.25">
      <c r="A7" s="68">
        <v>43896</v>
      </c>
      <c r="B7" s="48">
        <v>0</v>
      </c>
      <c r="C7" s="48">
        <v>0</v>
      </c>
      <c r="D7" s="48">
        <v>1</v>
      </c>
      <c r="E7" s="48" t="s">
        <v>114</v>
      </c>
      <c r="F7" s="48" t="s">
        <v>70</v>
      </c>
      <c r="G7" s="48" t="s">
        <v>91</v>
      </c>
      <c r="H7" s="69">
        <f t="shared" si="0"/>
        <v>43891</v>
      </c>
    </row>
    <row r="8" spans="1:8" x14ac:dyDescent="0.25">
      <c r="A8" s="68">
        <v>43897</v>
      </c>
      <c r="B8" s="48">
        <v>1</v>
      </c>
      <c r="C8" s="48">
        <v>0</v>
      </c>
      <c r="D8" s="48">
        <v>0</v>
      </c>
      <c r="E8" s="48" t="s">
        <v>118</v>
      </c>
      <c r="F8" s="48" t="s">
        <v>70</v>
      </c>
      <c r="G8" s="48" t="s">
        <v>91</v>
      </c>
      <c r="H8" s="69">
        <f t="shared" si="0"/>
        <v>43891</v>
      </c>
    </row>
    <row r="9" spans="1:8" x14ac:dyDescent="0.25">
      <c r="A9" s="68">
        <v>43899</v>
      </c>
      <c r="B9" s="48">
        <v>6</v>
      </c>
      <c r="C9" s="48">
        <v>0</v>
      </c>
      <c r="D9" s="48">
        <v>0</v>
      </c>
      <c r="E9" s="48" t="s">
        <v>123</v>
      </c>
      <c r="F9" s="48" t="s">
        <v>70</v>
      </c>
      <c r="G9" s="48" t="s">
        <v>91</v>
      </c>
      <c r="H9" s="69">
        <f t="shared" si="0"/>
        <v>43891</v>
      </c>
    </row>
    <row r="10" spans="1:8" x14ac:dyDescent="0.25">
      <c r="A10" s="68">
        <v>43899</v>
      </c>
      <c r="B10" s="48">
        <v>3</v>
      </c>
      <c r="C10" s="48">
        <v>0</v>
      </c>
      <c r="D10" s="48">
        <v>0</v>
      </c>
      <c r="E10" s="48" t="s">
        <v>125</v>
      </c>
      <c r="F10" s="48" t="s">
        <v>70</v>
      </c>
      <c r="G10" s="48" t="s">
        <v>91</v>
      </c>
      <c r="H10" s="69">
        <f t="shared" si="0"/>
        <v>43891</v>
      </c>
    </row>
    <row r="11" spans="1:8" x14ac:dyDescent="0.25">
      <c r="A11" s="68">
        <v>43900</v>
      </c>
      <c r="B11" s="48">
        <v>1</v>
      </c>
      <c r="C11" s="48">
        <v>0</v>
      </c>
      <c r="D11" s="48">
        <v>0</v>
      </c>
      <c r="E11" s="48" t="s">
        <v>118</v>
      </c>
      <c r="F11" s="48" t="s">
        <v>73</v>
      </c>
      <c r="G11" s="48" t="s">
        <v>93</v>
      </c>
      <c r="H11" s="69">
        <f t="shared" si="0"/>
        <v>43891</v>
      </c>
    </row>
    <row r="12" spans="1:8" x14ac:dyDescent="0.25">
      <c r="A12" s="68">
        <v>43900</v>
      </c>
      <c r="B12" s="48">
        <v>1</v>
      </c>
      <c r="C12" s="48">
        <v>0</v>
      </c>
      <c r="D12" s="48">
        <v>0</v>
      </c>
      <c r="E12" s="48" t="s">
        <v>118</v>
      </c>
      <c r="F12" s="48" t="s">
        <v>70</v>
      </c>
      <c r="G12" s="48" t="s">
        <v>91</v>
      </c>
      <c r="H12" s="69">
        <f t="shared" si="0"/>
        <v>43891</v>
      </c>
    </row>
    <row r="13" spans="1:8" x14ac:dyDescent="0.25">
      <c r="A13" s="68">
        <v>43900</v>
      </c>
      <c r="B13" s="48">
        <v>1</v>
      </c>
      <c r="C13" s="48">
        <v>0</v>
      </c>
      <c r="D13" s="48">
        <v>0</v>
      </c>
      <c r="E13" s="48" t="s">
        <v>123</v>
      </c>
      <c r="F13" s="48" t="s">
        <v>70</v>
      </c>
      <c r="G13" s="48" t="s">
        <v>99</v>
      </c>
      <c r="H13" s="69">
        <f t="shared" si="0"/>
        <v>43891</v>
      </c>
    </row>
    <row r="14" spans="1:8" x14ac:dyDescent="0.25">
      <c r="A14" s="68">
        <v>43901</v>
      </c>
      <c r="B14" s="48">
        <v>1</v>
      </c>
      <c r="C14" s="48">
        <v>0</v>
      </c>
      <c r="D14" s="48">
        <v>0</v>
      </c>
      <c r="E14" s="48" t="s">
        <v>118</v>
      </c>
      <c r="F14" s="48" t="s">
        <v>75</v>
      </c>
      <c r="G14" s="48" t="s">
        <v>368</v>
      </c>
      <c r="H14" s="69">
        <f t="shared" si="0"/>
        <v>43891</v>
      </c>
    </row>
    <row r="15" spans="1:8" x14ac:dyDescent="0.25">
      <c r="A15" s="68">
        <v>43901</v>
      </c>
      <c r="B15" s="48">
        <v>0</v>
      </c>
      <c r="C15" s="48">
        <v>0</v>
      </c>
      <c r="D15" s="48">
        <v>1</v>
      </c>
      <c r="E15" s="48" t="s">
        <v>118</v>
      </c>
      <c r="F15" s="48" t="s">
        <v>70</v>
      </c>
      <c r="G15" s="48" t="s">
        <v>91</v>
      </c>
      <c r="H15" s="69">
        <f t="shared" si="0"/>
        <v>43891</v>
      </c>
    </row>
    <row r="16" spans="1:8" x14ac:dyDescent="0.25">
      <c r="A16" s="68">
        <v>43902</v>
      </c>
      <c r="B16" s="48">
        <v>1</v>
      </c>
      <c r="C16" s="48">
        <v>0</v>
      </c>
      <c r="D16" s="48">
        <v>0</v>
      </c>
      <c r="E16" s="48" t="s">
        <v>112</v>
      </c>
      <c r="F16" s="48" t="s">
        <v>75</v>
      </c>
      <c r="G16" s="48" t="s">
        <v>103</v>
      </c>
      <c r="H16" s="69">
        <f t="shared" si="0"/>
        <v>43891</v>
      </c>
    </row>
    <row r="17" spans="1:8" x14ac:dyDescent="0.25">
      <c r="A17" s="68">
        <v>43903</v>
      </c>
      <c r="B17" s="48">
        <v>7</v>
      </c>
      <c r="C17" s="48">
        <v>0</v>
      </c>
      <c r="D17" s="48">
        <v>0</v>
      </c>
      <c r="E17" s="48" t="s">
        <v>118</v>
      </c>
      <c r="F17" s="48" t="s">
        <v>73</v>
      </c>
      <c r="G17" s="48" t="s">
        <v>409</v>
      </c>
      <c r="H17" s="69">
        <f t="shared" si="0"/>
        <v>43891</v>
      </c>
    </row>
    <row r="18" spans="1:8" x14ac:dyDescent="0.25">
      <c r="A18" s="68">
        <v>43903</v>
      </c>
      <c r="B18" s="48">
        <v>1</v>
      </c>
      <c r="C18" s="48">
        <v>0</v>
      </c>
      <c r="D18" s="48">
        <v>0</v>
      </c>
      <c r="E18" s="48" t="s">
        <v>130</v>
      </c>
      <c r="F18" s="48" t="s">
        <v>74</v>
      </c>
      <c r="G18" s="48" t="s">
        <v>95</v>
      </c>
      <c r="H18" s="69">
        <f t="shared" si="0"/>
        <v>43891</v>
      </c>
    </row>
    <row r="19" spans="1:8" x14ac:dyDescent="0.25">
      <c r="A19" s="68">
        <v>43903</v>
      </c>
      <c r="B19" s="48">
        <v>1</v>
      </c>
      <c r="C19" s="48">
        <v>0</v>
      </c>
      <c r="D19" s="48">
        <v>1</v>
      </c>
      <c r="E19" s="48" t="s">
        <v>112</v>
      </c>
      <c r="F19" s="48" t="s">
        <v>70</v>
      </c>
      <c r="G19" s="48" t="s">
        <v>91</v>
      </c>
      <c r="H19" s="69">
        <f t="shared" si="0"/>
        <v>43891</v>
      </c>
    </row>
    <row r="20" spans="1:8" x14ac:dyDescent="0.25">
      <c r="A20" s="68">
        <v>43905</v>
      </c>
      <c r="B20" s="48">
        <v>1</v>
      </c>
      <c r="C20" s="48">
        <v>0</v>
      </c>
      <c r="D20" s="48">
        <v>0</v>
      </c>
      <c r="E20" s="48" t="s">
        <v>125</v>
      </c>
      <c r="F20" s="48" t="s">
        <v>71</v>
      </c>
      <c r="G20" s="48" t="s">
        <v>92</v>
      </c>
      <c r="H20" s="69">
        <f t="shared" si="0"/>
        <v>43891</v>
      </c>
    </row>
    <row r="21" spans="1:8" x14ac:dyDescent="0.25">
      <c r="A21" s="68">
        <v>43905</v>
      </c>
      <c r="B21" s="48">
        <v>13</v>
      </c>
      <c r="C21" s="48">
        <v>0</v>
      </c>
      <c r="D21" s="48">
        <v>0</v>
      </c>
      <c r="E21" s="48" t="s">
        <v>118</v>
      </c>
      <c r="F21" s="48" t="s">
        <v>70</v>
      </c>
      <c r="G21" s="48" t="s">
        <v>98</v>
      </c>
      <c r="H21" s="69">
        <f t="shared" si="0"/>
        <v>43891</v>
      </c>
    </row>
    <row r="22" spans="1:8" x14ac:dyDescent="0.25">
      <c r="A22" s="68">
        <v>43905</v>
      </c>
      <c r="B22" s="48">
        <v>4</v>
      </c>
      <c r="C22" s="48">
        <v>0</v>
      </c>
      <c r="D22" s="48">
        <v>0</v>
      </c>
      <c r="E22" s="48" t="s">
        <v>118</v>
      </c>
      <c r="F22" s="48" t="s">
        <v>70</v>
      </c>
      <c r="G22" s="48" t="s">
        <v>91</v>
      </c>
      <c r="H22" s="69">
        <f t="shared" si="0"/>
        <v>43891</v>
      </c>
    </row>
    <row r="23" spans="1:8" x14ac:dyDescent="0.25">
      <c r="A23" s="68">
        <v>43905</v>
      </c>
      <c r="B23" s="48">
        <v>15</v>
      </c>
      <c r="C23" s="48">
        <v>0</v>
      </c>
      <c r="D23" s="48">
        <v>0</v>
      </c>
      <c r="E23" s="48" t="s">
        <v>118</v>
      </c>
      <c r="F23" s="48" t="s">
        <v>72</v>
      </c>
      <c r="G23" s="48" t="s">
        <v>351</v>
      </c>
      <c r="H23" s="69">
        <f t="shared" si="0"/>
        <v>43891</v>
      </c>
    </row>
    <row r="24" spans="1:8" x14ac:dyDescent="0.25">
      <c r="A24" s="68">
        <v>43905</v>
      </c>
      <c r="B24" s="48">
        <v>1</v>
      </c>
      <c r="C24" s="48">
        <v>1</v>
      </c>
      <c r="D24" s="48">
        <v>0</v>
      </c>
      <c r="E24" s="48" t="s">
        <v>114</v>
      </c>
      <c r="F24" s="48" t="s">
        <v>72</v>
      </c>
      <c r="G24" s="48" t="s">
        <v>102</v>
      </c>
      <c r="H24" s="69">
        <f t="shared" si="0"/>
        <v>43891</v>
      </c>
    </row>
    <row r="25" spans="1:8" x14ac:dyDescent="0.25">
      <c r="A25" s="68">
        <v>43906</v>
      </c>
      <c r="B25" s="48">
        <v>1</v>
      </c>
      <c r="C25" s="48">
        <v>0</v>
      </c>
      <c r="D25" s="48">
        <v>1</v>
      </c>
      <c r="E25" s="48" t="s">
        <v>114</v>
      </c>
      <c r="F25" s="48" t="s">
        <v>74</v>
      </c>
      <c r="G25" s="48" t="s">
        <v>95</v>
      </c>
      <c r="H25" s="69">
        <f t="shared" si="0"/>
        <v>43891</v>
      </c>
    </row>
    <row r="26" spans="1:8" x14ac:dyDescent="0.25">
      <c r="A26" s="68">
        <v>43906</v>
      </c>
      <c r="B26" s="48">
        <v>1</v>
      </c>
      <c r="C26" s="48">
        <v>0</v>
      </c>
      <c r="D26" s="48">
        <v>0</v>
      </c>
      <c r="E26" s="48" t="s">
        <v>114</v>
      </c>
      <c r="F26" s="48" t="s">
        <v>72</v>
      </c>
      <c r="G26" s="48" t="s">
        <v>354</v>
      </c>
      <c r="H26" s="69">
        <f t="shared" si="0"/>
        <v>43891</v>
      </c>
    </row>
    <row r="27" spans="1:8" x14ac:dyDescent="0.25">
      <c r="A27" s="68">
        <v>43906</v>
      </c>
      <c r="B27" s="48">
        <v>1</v>
      </c>
      <c r="C27" s="48">
        <v>0</v>
      </c>
      <c r="D27" s="48">
        <v>0</v>
      </c>
      <c r="E27" s="48" t="s">
        <v>114</v>
      </c>
      <c r="F27" s="48" t="s">
        <v>72</v>
      </c>
      <c r="G27" s="48" t="s">
        <v>102</v>
      </c>
      <c r="H27" s="69">
        <f t="shared" si="0"/>
        <v>43891</v>
      </c>
    </row>
    <row r="28" spans="1:8" x14ac:dyDescent="0.25">
      <c r="A28" s="68">
        <v>43906</v>
      </c>
      <c r="B28" s="48">
        <v>1</v>
      </c>
      <c r="C28" s="48">
        <v>0</v>
      </c>
      <c r="D28" s="48">
        <v>0</v>
      </c>
      <c r="E28" s="48" t="s">
        <v>114</v>
      </c>
      <c r="F28" s="48" t="s">
        <v>71</v>
      </c>
      <c r="G28" s="48" t="s">
        <v>92</v>
      </c>
      <c r="H28" s="69">
        <f t="shared" si="0"/>
        <v>43891</v>
      </c>
    </row>
    <row r="29" spans="1:8" x14ac:dyDescent="0.25">
      <c r="A29" s="68">
        <v>43906</v>
      </c>
      <c r="B29" s="48">
        <v>119</v>
      </c>
      <c r="C29" s="48">
        <v>0</v>
      </c>
      <c r="D29" s="48">
        <v>0</v>
      </c>
      <c r="E29" s="48" t="s">
        <v>118</v>
      </c>
      <c r="F29" s="48" t="s">
        <v>70</v>
      </c>
      <c r="G29" s="48" t="s">
        <v>98</v>
      </c>
      <c r="H29" s="69">
        <f t="shared" si="0"/>
        <v>43891</v>
      </c>
    </row>
    <row r="30" spans="1:8" x14ac:dyDescent="0.25">
      <c r="A30" s="68">
        <v>43906</v>
      </c>
      <c r="B30" s="48">
        <v>26</v>
      </c>
      <c r="C30" s="48">
        <v>0</v>
      </c>
      <c r="D30" s="48">
        <v>0</v>
      </c>
      <c r="E30" s="48" t="s">
        <v>118</v>
      </c>
      <c r="F30" s="48" t="s">
        <v>70</v>
      </c>
      <c r="G30" s="48" t="s">
        <v>91</v>
      </c>
      <c r="H30" s="69">
        <f t="shared" si="0"/>
        <v>43891</v>
      </c>
    </row>
    <row r="31" spans="1:8" x14ac:dyDescent="0.25">
      <c r="A31" s="68">
        <v>43906</v>
      </c>
      <c r="B31" s="48">
        <v>2</v>
      </c>
      <c r="C31" s="48">
        <v>0</v>
      </c>
      <c r="D31" s="48">
        <v>0</v>
      </c>
      <c r="E31" s="48" t="s">
        <v>118</v>
      </c>
      <c r="F31" s="48" t="s">
        <v>70</v>
      </c>
      <c r="G31" s="48" t="s">
        <v>99</v>
      </c>
      <c r="H31" s="69">
        <f t="shared" si="0"/>
        <v>43891</v>
      </c>
    </row>
    <row r="32" spans="1:8" x14ac:dyDescent="0.25">
      <c r="A32" s="68">
        <v>43907</v>
      </c>
      <c r="B32" s="48">
        <v>2</v>
      </c>
      <c r="C32" s="48">
        <v>0</v>
      </c>
      <c r="D32" s="48">
        <v>0</v>
      </c>
      <c r="E32" s="48" t="s">
        <v>118</v>
      </c>
      <c r="F32" s="48" t="s">
        <v>73</v>
      </c>
      <c r="G32" s="48" t="s">
        <v>93</v>
      </c>
      <c r="H32" s="69">
        <f t="shared" si="0"/>
        <v>43891</v>
      </c>
    </row>
    <row r="33" spans="1:8" x14ac:dyDescent="0.25">
      <c r="A33" s="68">
        <v>43907</v>
      </c>
      <c r="B33" s="48">
        <v>1</v>
      </c>
      <c r="C33" s="48">
        <v>0</v>
      </c>
      <c r="D33" s="48">
        <v>0</v>
      </c>
      <c r="E33" s="48" t="s">
        <v>114</v>
      </c>
      <c r="F33" s="48" t="s">
        <v>74</v>
      </c>
      <c r="G33" s="48" t="s">
        <v>95</v>
      </c>
      <c r="H33" s="69">
        <f t="shared" si="0"/>
        <v>43891</v>
      </c>
    </row>
    <row r="34" spans="1:8" x14ac:dyDescent="0.25">
      <c r="A34" s="68">
        <v>43907</v>
      </c>
      <c r="B34" s="48">
        <v>1</v>
      </c>
      <c r="C34" s="48">
        <v>0</v>
      </c>
      <c r="D34" s="48">
        <v>0</v>
      </c>
      <c r="E34" s="48" t="s">
        <v>114</v>
      </c>
      <c r="F34" s="48" t="s">
        <v>72</v>
      </c>
      <c r="G34" s="48" t="s">
        <v>94</v>
      </c>
      <c r="H34" s="69">
        <f t="shared" si="0"/>
        <v>43891</v>
      </c>
    </row>
    <row r="35" spans="1:8" x14ac:dyDescent="0.25">
      <c r="A35" s="68">
        <v>43907</v>
      </c>
      <c r="B35" s="48">
        <v>1</v>
      </c>
      <c r="C35" s="48">
        <v>0</v>
      </c>
      <c r="D35" s="48">
        <v>0</v>
      </c>
      <c r="E35" s="48" t="s">
        <v>125</v>
      </c>
      <c r="F35" s="48" t="s">
        <v>72</v>
      </c>
      <c r="G35" s="48" t="s">
        <v>341</v>
      </c>
      <c r="H35" s="69">
        <f t="shared" si="0"/>
        <v>43891</v>
      </c>
    </row>
    <row r="36" spans="1:8" x14ac:dyDescent="0.25">
      <c r="A36" s="68">
        <v>43907</v>
      </c>
      <c r="B36" s="48">
        <v>15</v>
      </c>
      <c r="C36" s="48">
        <v>0</v>
      </c>
      <c r="D36" s="48">
        <v>0</v>
      </c>
      <c r="E36" s="48" t="s">
        <v>118</v>
      </c>
      <c r="F36" s="48" t="s">
        <v>71</v>
      </c>
      <c r="G36" s="48" t="s">
        <v>340</v>
      </c>
      <c r="H36" s="69">
        <f t="shared" si="0"/>
        <v>43891</v>
      </c>
    </row>
    <row r="37" spans="1:8" x14ac:dyDescent="0.25">
      <c r="A37" s="68">
        <v>43907</v>
      </c>
      <c r="B37" s="48">
        <v>3</v>
      </c>
      <c r="C37" s="48">
        <v>0</v>
      </c>
      <c r="D37" s="48">
        <v>0</v>
      </c>
      <c r="E37" s="48" t="s">
        <v>114</v>
      </c>
      <c r="F37" s="48" t="s">
        <v>71</v>
      </c>
      <c r="G37" s="48" t="s">
        <v>92</v>
      </c>
      <c r="H37" s="69">
        <f t="shared" si="0"/>
        <v>43891</v>
      </c>
    </row>
    <row r="38" spans="1:8" x14ac:dyDescent="0.25">
      <c r="A38" s="68">
        <v>43907</v>
      </c>
      <c r="B38" s="48">
        <v>24</v>
      </c>
      <c r="C38" s="48">
        <v>0</v>
      </c>
      <c r="D38" s="48">
        <v>0</v>
      </c>
      <c r="E38" s="48" t="s">
        <v>118</v>
      </c>
      <c r="F38" s="48" t="s">
        <v>70</v>
      </c>
      <c r="G38" s="48" t="s">
        <v>98</v>
      </c>
      <c r="H38" s="69">
        <f t="shared" si="0"/>
        <v>43891</v>
      </c>
    </row>
    <row r="39" spans="1:8" x14ac:dyDescent="0.25">
      <c r="A39" s="68">
        <v>43907</v>
      </c>
      <c r="B39" s="48">
        <v>5</v>
      </c>
      <c r="C39" s="48">
        <v>0</v>
      </c>
      <c r="D39" s="48">
        <v>0</v>
      </c>
      <c r="E39" s="48" t="s">
        <v>124</v>
      </c>
      <c r="F39" s="48" t="s">
        <v>70</v>
      </c>
      <c r="G39" s="48" t="s">
        <v>91</v>
      </c>
      <c r="H39" s="69">
        <f t="shared" si="0"/>
        <v>43891</v>
      </c>
    </row>
    <row r="40" spans="1:8" x14ac:dyDescent="0.25">
      <c r="A40" s="68">
        <v>43908</v>
      </c>
      <c r="B40" s="48">
        <v>1</v>
      </c>
      <c r="C40" s="48">
        <v>0</v>
      </c>
      <c r="D40" s="48">
        <v>0</v>
      </c>
      <c r="E40" s="48" t="s">
        <v>118</v>
      </c>
      <c r="F40" s="48" t="s">
        <v>76</v>
      </c>
      <c r="G40" s="48" t="s">
        <v>416</v>
      </c>
      <c r="H40" s="69">
        <f t="shared" si="0"/>
        <v>43891</v>
      </c>
    </row>
    <row r="41" spans="1:8" x14ac:dyDescent="0.25">
      <c r="A41" s="68">
        <v>43908</v>
      </c>
      <c r="B41" s="48">
        <v>10</v>
      </c>
      <c r="C41" s="48">
        <v>0</v>
      </c>
      <c r="D41" s="48">
        <v>0</v>
      </c>
      <c r="E41" s="48" t="s">
        <v>114</v>
      </c>
      <c r="F41" s="48" t="s">
        <v>75</v>
      </c>
      <c r="G41" s="48" t="s">
        <v>103</v>
      </c>
      <c r="H41" s="69">
        <f t="shared" si="0"/>
        <v>43891</v>
      </c>
    </row>
    <row r="42" spans="1:8" x14ac:dyDescent="0.25">
      <c r="A42" s="68">
        <v>43908</v>
      </c>
      <c r="B42" s="48">
        <v>2</v>
      </c>
      <c r="C42" s="48">
        <v>0</v>
      </c>
      <c r="D42" s="48">
        <v>0</v>
      </c>
      <c r="E42" s="48" t="s">
        <v>114</v>
      </c>
      <c r="F42" s="48" t="s">
        <v>74</v>
      </c>
      <c r="G42" s="48" t="s">
        <v>95</v>
      </c>
      <c r="H42" s="69">
        <f t="shared" si="0"/>
        <v>43891</v>
      </c>
    </row>
    <row r="43" spans="1:8" x14ac:dyDescent="0.25">
      <c r="A43" s="68">
        <v>43908</v>
      </c>
      <c r="B43" s="48">
        <v>1</v>
      </c>
      <c r="C43" s="48">
        <v>0</v>
      </c>
      <c r="D43" s="48">
        <v>0</v>
      </c>
      <c r="E43" s="48" t="s">
        <v>112</v>
      </c>
      <c r="F43" s="48" t="s">
        <v>72</v>
      </c>
      <c r="G43" s="48" t="s">
        <v>347</v>
      </c>
      <c r="H43" s="69">
        <f t="shared" si="0"/>
        <v>43891</v>
      </c>
    </row>
    <row r="44" spans="1:8" x14ac:dyDescent="0.25">
      <c r="A44" s="68">
        <v>43908</v>
      </c>
      <c r="B44" s="48">
        <v>1</v>
      </c>
      <c r="C44" s="48">
        <v>1</v>
      </c>
      <c r="D44" s="48">
        <v>0</v>
      </c>
      <c r="E44" s="48" t="s">
        <v>124</v>
      </c>
      <c r="F44" s="48" t="s">
        <v>72</v>
      </c>
      <c r="G44" s="48" t="s">
        <v>102</v>
      </c>
      <c r="H44" s="69">
        <f t="shared" si="0"/>
        <v>43891</v>
      </c>
    </row>
    <row r="45" spans="1:8" x14ac:dyDescent="0.25">
      <c r="A45" s="68">
        <v>43908</v>
      </c>
      <c r="B45" s="48">
        <v>1</v>
      </c>
      <c r="C45" s="48">
        <v>1</v>
      </c>
      <c r="D45" s="48">
        <v>0</v>
      </c>
      <c r="E45" s="48" t="s">
        <v>114</v>
      </c>
      <c r="F45" s="48" t="s">
        <v>72</v>
      </c>
      <c r="G45" s="48" t="s">
        <v>399</v>
      </c>
      <c r="H45" s="69">
        <f t="shared" si="0"/>
        <v>43891</v>
      </c>
    </row>
    <row r="46" spans="1:8" x14ac:dyDescent="0.25">
      <c r="A46" s="68">
        <v>43908</v>
      </c>
      <c r="B46" s="48">
        <v>5</v>
      </c>
      <c r="C46" s="48">
        <v>0</v>
      </c>
      <c r="D46" s="48">
        <v>0</v>
      </c>
      <c r="E46" s="48" t="s">
        <v>118</v>
      </c>
      <c r="F46" s="48" t="s">
        <v>71</v>
      </c>
      <c r="G46" s="48" t="s">
        <v>340</v>
      </c>
      <c r="H46" s="69">
        <f t="shared" si="0"/>
        <v>43891</v>
      </c>
    </row>
    <row r="47" spans="1:8" x14ac:dyDescent="0.25">
      <c r="A47" s="68">
        <v>43908</v>
      </c>
      <c r="B47" s="48">
        <v>31</v>
      </c>
      <c r="C47" s="48">
        <v>0</v>
      </c>
      <c r="D47" s="48">
        <v>0</v>
      </c>
      <c r="E47" s="48" t="s">
        <v>118</v>
      </c>
      <c r="F47" s="48" t="s">
        <v>70</v>
      </c>
      <c r="G47" s="48" t="s">
        <v>98</v>
      </c>
      <c r="H47" s="69">
        <f t="shared" si="0"/>
        <v>43891</v>
      </c>
    </row>
    <row r="48" spans="1:8" x14ac:dyDescent="0.25">
      <c r="A48" s="68">
        <v>43908</v>
      </c>
      <c r="B48" s="48">
        <v>5</v>
      </c>
      <c r="C48" s="48">
        <v>0</v>
      </c>
      <c r="D48" s="48">
        <v>0</v>
      </c>
      <c r="E48" s="48" t="s">
        <v>112</v>
      </c>
      <c r="F48" s="48" t="s">
        <v>70</v>
      </c>
      <c r="G48" s="48" t="s">
        <v>91</v>
      </c>
      <c r="H48" s="69">
        <f t="shared" si="0"/>
        <v>43891</v>
      </c>
    </row>
    <row r="49" spans="1:8" x14ac:dyDescent="0.25">
      <c r="A49" s="68">
        <v>43909</v>
      </c>
      <c r="B49" s="48">
        <v>53</v>
      </c>
      <c r="C49" s="48">
        <v>0</v>
      </c>
      <c r="D49" s="48">
        <v>0</v>
      </c>
      <c r="E49" s="48" t="s">
        <v>118</v>
      </c>
      <c r="F49" s="48" t="s">
        <v>73</v>
      </c>
      <c r="G49" s="48" t="s">
        <v>93</v>
      </c>
      <c r="H49" s="69">
        <f t="shared" si="0"/>
        <v>43891</v>
      </c>
    </row>
    <row r="50" spans="1:8" x14ac:dyDescent="0.25">
      <c r="A50" s="68">
        <v>43909</v>
      </c>
      <c r="B50" s="48">
        <v>4</v>
      </c>
      <c r="C50" s="48">
        <v>0</v>
      </c>
      <c r="D50" s="48">
        <v>0</v>
      </c>
      <c r="E50" s="48" t="s">
        <v>114</v>
      </c>
      <c r="F50" s="48" t="s">
        <v>75</v>
      </c>
      <c r="G50" s="48" t="s">
        <v>103</v>
      </c>
      <c r="H50" s="69">
        <f t="shared" si="0"/>
        <v>43891</v>
      </c>
    </row>
    <row r="51" spans="1:8" x14ac:dyDescent="0.25">
      <c r="A51" s="68">
        <v>43909</v>
      </c>
      <c r="B51" s="48">
        <v>4</v>
      </c>
      <c r="C51" s="48">
        <v>0</v>
      </c>
      <c r="D51" s="48">
        <v>0</v>
      </c>
      <c r="E51" s="48" t="s">
        <v>114</v>
      </c>
      <c r="F51" s="48" t="s">
        <v>75</v>
      </c>
      <c r="G51" s="48" t="s">
        <v>361</v>
      </c>
      <c r="H51" s="69">
        <f t="shared" si="0"/>
        <v>43891</v>
      </c>
    </row>
    <row r="52" spans="1:8" x14ac:dyDescent="0.25">
      <c r="A52" s="68">
        <v>43909</v>
      </c>
      <c r="B52" s="48">
        <v>2</v>
      </c>
      <c r="C52" s="48">
        <v>0</v>
      </c>
      <c r="D52" s="48">
        <v>0</v>
      </c>
      <c r="E52" s="48" t="s">
        <v>112</v>
      </c>
      <c r="F52" s="48" t="s">
        <v>72</v>
      </c>
      <c r="G52" s="48" t="s">
        <v>102</v>
      </c>
      <c r="H52" s="69">
        <f t="shared" si="0"/>
        <v>43891</v>
      </c>
    </row>
    <row r="53" spans="1:8" x14ac:dyDescent="0.25">
      <c r="A53" s="68">
        <v>43909</v>
      </c>
      <c r="B53" s="48">
        <v>1</v>
      </c>
      <c r="C53" s="48">
        <v>0</v>
      </c>
      <c r="D53" s="48">
        <v>0</v>
      </c>
      <c r="E53" s="48" t="s">
        <v>129</v>
      </c>
      <c r="F53" s="48" t="s">
        <v>72</v>
      </c>
      <c r="G53" s="48" t="s">
        <v>351</v>
      </c>
      <c r="H53" s="69">
        <f t="shared" si="0"/>
        <v>43891</v>
      </c>
    </row>
    <row r="54" spans="1:8" x14ac:dyDescent="0.25">
      <c r="A54" s="68">
        <v>43909</v>
      </c>
      <c r="B54" s="48">
        <v>1</v>
      </c>
      <c r="C54" s="48">
        <v>0</v>
      </c>
      <c r="D54" s="48">
        <v>0</v>
      </c>
      <c r="E54" s="48" t="s">
        <v>112</v>
      </c>
      <c r="F54" s="48" t="s">
        <v>71</v>
      </c>
      <c r="G54" s="48" t="s">
        <v>97</v>
      </c>
      <c r="H54" s="69">
        <f t="shared" si="0"/>
        <v>43891</v>
      </c>
    </row>
    <row r="55" spans="1:8" x14ac:dyDescent="0.25">
      <c r="A55" s="68">
        <v>43909</v>
      </c>
      <c r="B55" s="48">
        <v>8</v>
      </c>
      <c r="C55" s="48">
        <v>0</v>
      </c>
      <c r="D55" s="48">
        <v>0</v>
      </c>
      <c r="E55" s="48" t="s">
        <v>114</v>
      </c>
      <c r="F55" s="48" t="s">
        <v>71</v>
      </c>
      <c r="G55" s="48" t="s">
        <v>92</v>
      </c>
      <c r="H55" s="69">
        <f t="shared" si="0"/>
        <v>43891</v>
      </c>
    </row>
    <row r="56" spans="1:8" x14ac:dyDescent="0.25">
      <c r="A56" s="68">
        <v>43909</v>
      </c>
      <c r="B56" s="48">
        <v>44</v>
      </c>
      <c r="C56" s="48">
        <v>0</v>
      </c>
      <c r="D56" s="48">
        <v>0</v>
      </c>
      <c r="E56" s="48" t="s">
        <v>118</v>
      </c>
      <c r="F56" s="48" t="s">
        <v>71</v>
      </c>
      <c r="G56" s="48" t="s">
        <v>340</v>
      </c>
      <c r="H56" s="69">
        <f t="shared" si="0"/>
        <v>43891</v>
      </c>
    </row>
    <row r="57" spans="1:8" x14ac:dyDescent="0.25">
      <c r="A57" s="68">
        <v>43909</v>
      </c>
      <c r="B57" s="48">
        <v>37</v>
      </c>
      <c r="C57" s="48">
        <v>0</v>
      </c>
      <c r="D57" s="48">
        <v>1</v>
      </c>
      <c r="E57" s="48" t="s">
        <v>112</v>
      </c>
      <c r="F57" s="48" t="s">
        <v>70</v>
      </c>
      <c r="G57" s="48" t="s">
        <v>91</v>
      </c>
      <c r="H57" s="69">
        <f t="shared" si="0"/>
        <v>43891</v>
      </c>
    </row>
    <row r="58" spans="1:8" x14ac:dyDescent="0.25">
      <c r="A58" s="68">
        <v>43910</v>
      </c>
      <c r="B58" s="48">
        <v>5</v>
      </c>
      <c r="C58" s="48">
        <v>0</v>
      </c>
      <c r="D58" s="48">
        <v>0</v>
      </c>
      <c r="E58" s="48" t="s">
        <v>114</v>
      </c>
      <c r="F58" s="48" t="s">
        <v>73</v>
      </c>
      <c r="G58" s="48" t="s">
        <v>93</v>
      </c>
      <c r="H58" s="69">
        <f t="shared" si="0"/>
        <v>43891</v>
      </c>
    </row>
    <row r="59" spans="1:8" x14ac:dyDescent="0.25">
      <c r="A59" s="68">
        <v>43910</v>
      </c>
      <c r="B59" s="48">
        <v>1</v>
      </c>
      <c r="C59" s="48">
        <v>0</v>
      </c>
      <c r="D59" s="48">
        <v>0</v>
      </c>
      <c r="E59" s="48" t="s">
        <v>114</v>
      </c>
      <c r="F59" s="48" t="s">
        <v>77</v>
      </c>
      <c r="G59" s="48" t="s">
        <v>343</v>
      </c>
      <c r="H59" s="69">
        <f t="shared" si="0"/>
        <v>43891</v>
      </c>
    </row>
    <row r="60" spans="1:8" x14ac:dyDescent="0.25">
      <c r="A60" s="68">
        <v>43910</v>
      </c>
      <c r="B60" s="48">
        <v>1</v>
      </c>
      <c r="C60" s="48">
        <v>0</v>
      </c>
      <c r="D60" s="48">
        <v>0</v>
      </c>
      <c r="E60" s="48" t="s">
        <v>112</v>
      </c>
      <c r="F60" s="48" t="s">
        <v>75</v>
      </c>
      <c r="G60" s="48" t="s">
        <v>361</v>
      </c>
      <c r="H60" s="69">
        <f t="shared" si="0"/>
        <v>43891</v>
      </c>
    </row>
    <row r="61" spans="1:8" x14ac:dyDescent="0.25">
      <c r="A61" s="68">
        <v>43910</v>
      </c>
      <c r="B61" s="48">
        <v>8</v>
      </c>
      <c r="C61" s="48">
        <v>0</v>
      </c>
      <c r="D61" s="48">
        <v>0</v>
      </c>
      <c r="E61" s="48" t="s">
        <v>118</v>
      </c>
      <c r="F61" s="48" t="s">
        <v>75</v>
      </c>
      <c r="G61" s="48" t="s">
        <v>103</v>
      </c>
      <c r="H61" s="69">
        <f t="shared" si="0"/>
        <v>43891</v>
      </c>
    </row>
    <row r="62" spans="1:8" x14ac:dyDescent="0.25">
      <c r="A62" s="68">
        <v>43910</v>
      </c>
      <c r="B62" s="48">
        <v>1</v>
      </c>
      <c r="C62" s="48">
        <v>0</v>
      </c>
      <c r="D62" s="48">
        <v>0</v>
      </c>
      <c r="E62" s="48" t="s">
        <v>114</v>
      </c>
      <c r="F62" s="48" t="s">
        <v>72</v>
      </c>
      <c r="G62" s="48" t="s">
        <v>354</v>
      </c>
      <c r="H62" s="69">
        <f t="shared" si="0"/>
        <v>43891</v>
      </c>
    </row>
    <row r="63" spans="1:8" x14ac:dyDescent="0.25">
      <c r="A63" s="68">
        <v>43910</v>
      </c>
      <c r="B63" s="48">
        <v>1</v>
      </c>
      <c r="C63" s="48">
        <v>0</v>
      </c>
      <c r="D63" s="48">
        <v>0</v>
      </c>
      <c r="E63" s="48" t="s">
        <v>112</v>
      </c>
      <c r="F63" s="48" t="s">
        <v>71</v>
      </c>
      <c r="G63" s="48" t="s">
        <v>346</v>
      </c>
      <c r="H63" s="69">
        <f t="shared" si="0"/>
        <v>43891</v>
      </c>
    </row>
    <row r="64" spans="1:8" x14ac:dyDescent="0.25">
      <c r="A64" s="68">
        <v>43910</v>
      </c>
      <c r="B64" s="48">
        <v>1</v>
      </c>
      <c r="C64" s="48">
        <v>0</v>
      </c>
      <c r="D64" s="48">
        <v>0</v>
      </c>
      <c r="E64" s="48" t="s">
        <v>112</v>
      </c>
      <c r="F64" s="48" t="s">
        <v>71</v>
      </c>
      <c r="G64" s="48" t="s">
        <v>371</v>
      </c>
      <c r="H64" s="69">
        <f t="shared" si="0"/>
        <v>43891</v>
      </c>
    </row>
    <row r="65" spans="1:8" x14ac:dyDescent="0.25">
      <c r="A65" s="68">
        <v>43910</v>
      </c>
      <c r="B65" s="48">
        <v>3</v>
      </c>
      <c r="C65" s="48">
        <v>0</v>
      </c>
      <c r="D65" s="48">
        <v>0</v>
      </c>
      <c r="E65" s="48" t="s">
        <v>112</v>
      </c>
      <c r="F65" s="48" t="s">
        <v>71</v>
      </c>
      <c r="G65" s="48" t="s">
        <v>350</v>
      </c>
      <c r="H65" s="69">
        <f t="shared" si="0"/>
        <v>43891</v>
      </c>
    </row>
    <row r="66" spans="1:8" x14ac:dyDescent="0.25">
      <c r="A66" s="68">
        <v>43910</v>
      </c>
      <c r="B66" s="48">
        <v>2</v>
      </c>
      <c r="C66" s="48">
        <v>0</v>
      </c>
      <c r="D66" s="48">
        <v>0</v>
      </c>
      <c r="E66" s="48" t="s">
        <v>114</v>
      </c>
      <c r="F66" s="48" t="s">
        <v>71</v>
      </c>
      <c r="G66" s="48" t="s">
        <v>92</v>
      </c>
      <c r="H66" s="69">
        <f t="shared" ref="H66:H129" si="1">DATE(YEAR(A66),MONTH(A66),1)</f>
        <v>43891</v>
      </c>
    </row>
    <row r="67" spans="1:8" x14ac:dyDescent="0.25">
      <c r="A67" s="68">
        <v>43910</v>
      </c>
      <c r="B67" s="48">
        <v>7</v>
      </c>
      <c r="C67" s="48">
        <v>0</v>
      </c>
      <c r="D67" s="48">
        <v>0</v>
      </c>
      <c r="E67" s="48" t="s">
        <v>118</v>
      </c>
      <c r="F67" s="48" t="s">
        <v>71</v>
      </c>
      <c r="G67" s="48" t="s">
        <v>340</v>
      </c>
      <c r="H67" s="69">
        <f t="shared" si="1"/>
        <v>43891</v>
      </c>
    </row>
    <row r="68" spans="1:8" x14ac:dyDescent="0.25">
      <c r="A68" s="68">
        <v>43910</v>
      </c>
      <c r="B68" s="48">
        <v>4</v>
      </c>
      <c r="C68" s="48">
        <v>1</v>
      </c>
      <c r="D68" s="48">
        <v>0</v>
      </c>
      <c r="E68" s="48" t="s">
        <v>112</v>
      </c>
      <c r="F68" s="48" t="s">
        <v>70</v>
      </c>
      <c r="G68" s="48" t="s">
        <v>91</v>
      </c>
      <c r="H68" s="69">
        <f t="shared" si="1"/>
        <v>43891</v>
      </c>
    </row>
    <row r="69" spans="1:8" x14ac:dyDescent="0.25">
      <c r="A69" s="68">
        <v>43910</v>
      </c>
      <c r="B69" s="48">
        <v>16</v>
      </c>
      <c r="C69" s="48">
        <v>0</v>
      </c>
      <c r="D69" s="48">
        <v>0</v>
      </c>
      <c r="E69" s="48" t="s">
        <v>112</v>
      </c>
      <c r="F69" s="48" t="s">
        <v>70</v>
      </c>
      <c r="G69" s="48" t="s">
        <v>91</v>
      </c>
      <c r="H69" s="69">
        <f t="shared" si="1"/>
        <v>43891</v>
      </c>
    </row>
    <row r="70" spans="1:8" x14ac:dyDescent="0.25">
      <c r="A70" s="68">
        <v>43911</v>
      </c>
      <c r="B70" s="48">
        <v>12</v>
      </c>
      <c r="C70" s="48">
        <v>0</v>
      </c>
      <c r="D70" s="48">
        <v>0</v>
      </c>
      <c r="E70" s="48" t="s">
        <v>118</v>
      </c>
      <c r="F70" s="48" t="s">
        <v>73</v>
      </c>
      <c r="G70" s="48" t="s">
        <v>93</v>
      </c>
      <c r="H70" s="69">
        <f t="shared" si="1"/>
        <v>43891</v>
      </c>
    </row>
    <row r="71" spans="1:8" x14ac:dyDescent="0.25">
      <c r="A71" s="68">
        <v>43911</v>
      </c>
      <c r="B71" s="48">
        <v>25</v>
      </c>
      <c r="C71" s="48">
        <v>0</v>
      </c>
      <c r="D71" s="48">
        <v>0</v>
      </c>
      <c r="E71" s="48" t="s">
        <v>118</v>
      </c>
      <c r="F71" s="48" t="s">
        <v>75</v>
      </c>
      <c r="G71" s="48" t="s">
        <v>368</v>
      </c>
      <c r="H71" s="69">
        <f t="shared" si="1"/>
        <v>43891</v>
      </c>
    </row>
    <row r="72" spans="1:8" x14ac:dyDescent="0.25">
      <c r="A72" s="68">
        <v>43911</v>
      </c>
      <c r="B72" s="48">
        <v>3</v>
      </c>
      <c r="C72" s="48">
        <v>0</v>
      </c>
      <c r="D72" s="48">
        <v>0</v>
      </c>
      <c r="E72" s="48" t="s">
        <v>114</v>
      </c>
      <c r="F72" s="48" t="s">
        <v>74</v>
      </c>
      <c r="G72" s="48" t="s">
        <v>95</v>
      </c>
      <c r="H72" s="69">
        <f t="shared" si="1"/>
        <v>43891</v>
      </c>
    </row>
    <row r="73" spans="1:8" x14ac:dyDescent="0.25">
      <c r="A73" s="68">
        <v>43911</v>
      </c>
      <c r="B73" s="48">
        <v>1</v>
      </c>
      <c r="C73" s="48">
        <v>0</v>
      </c>
      <c r="D73" s="48">
        <v>0</v>
      </c>
      <c r="E73" s="48" t="s">
        <v>118</v>
      </c>
      <c r="F73" s="48" t="s">
        <v>72</v>
      </c>
      <c r="G73" s="48" t="s">
        <v>94</v>
      </c>
      <c r="H73" s="69">
        <f t="shared" si="1"/>
        <v>43891</v>
      </c>
    </row>
    <row r="74" spans="1:8" x14ac:dyDescent="0.25">
      <c r="A74" s="68">
        <v>43911</v>
      </c>
      <c r="B74" s="48">
        <v>1</v>
      </c>
      <c r="C74" s="48">
        <v>0</v>
      </c>
      <c r="D74" s="48">
        <v>0</v>
      </c>
      <c r="E74" s="48" t="s">
        <v>112</v>
      </c>
      <c r="F74" s="48" t="s">
        <v>72</v>
      </c>
      <c r="G74" s="48" t="s">
        <v>94</v>
      </c>
      <c r="H74" s="69">
        <f t="shared" si="1"/>
        <v>43891</v>
      </c>
    </row>
    <row r="75" spans="1:8" x14ac:dyDescent="0.25">
      <c r="A75" s="68">
        <v>43911</v>
      </c>
      <c r="B75" s="48">
        <v>2</v>
      </c>
      <c r="C75" s="48">
        <v>0</v>
      </c>
      <c r="D75" s="48">
        <v>0</v>
      </c>
      <c r="E75" s="48" t="s">
        <v>118</v>
      </c>
      <c r="F75" s="48" t="s">
        <v>72</v>
      </c>
      <c r="G75" s="48" t="s">
        <v>351</v>
      </c>
      <c r="H75" s="69">
        <f t="shared" si="1"/>
        <v>43891</v>
      </c>
    </row>
    <row r="76" spans="1:8" x14ac:dyDescent="0.25">
      <c r="A76" s="68">
        <v>43911</v>
      </c>
      <c r="B76" s="48">
        <v>1</v>
      </c>
      <c r="C76" s="48">
        <v>0</v>
      </c>
      <c r="D76" s="48">
        <v>0</v>
      </c>
      <c r="E76" s="48" t="s">
        <v>118</v>
      </c>
      <c r="F76" s="48" t="s">
        <v>72</v>
      </c>
      <c r="G76" s="48" t="s">
        <v>102</v>
      </c>
      <c r="H76" s="69">
        <f t="shared" si="1"/>
        <v>43891</v>
      </c>
    </row>
    <row r="77" spans="1:8" x14ac:dyDescent="0.25">
      <c r="A77" s="68">
        <v>43911</v>
      </c>
      <c r="B77" s="48">
        <v>1</v>
      </c>
      <c r="C77" s="48">
        <v>0</v>
      </c>
      <c r="D77" s="48">
        <v>0</v>
      </c>
      <c r="E77" s="48" t="s">
        <v>118</v>
      </c>
      <c r="F77" s="48" t="s">
        <v>72</v>
      </c>
      <c r="G77" s="48" t="s">
        <v>352</v>
      </c>
      <c r="H77" s="69">
        <f t="shared" si="1"/>
        <v>43891</v>
      </c>
    </row>
    <row r="78" spans="1:8" x14ac:dyDescent="0.25">
      <c r="A78" s="68">
        <v>43911</v>
      </c>
      <c r="B78" s="48">
        <v>6</v>
      </c>
      <c r="C78" s="48">
        <v>0</v>
      </c>
      <c r="D78" s="48">
        <v>0</v>
      </c>
      <c r="E78" s="48" t="s">
        <v>114</v>
      </c>
      <c r="F78" s="48" t="s">
        <v>71</v>
      </c>
      <c r="G78" s="48" t="s">
        <v>92</v>
      </c>
      <c r="H78" s="69">
        <f t="shared" si="1"/>
        <v>43891</v>
      </c>
    </row>
    <row r="79" spans="1:8" x14ac:dyDescent="0.25">
      <c r="A79" s="68">
        <v>43911</v>
      </c>
      <c r="B79" s="48">
        <v>38</v>
      </c>
      <c r="C79" s="48">
        <v>0</v>
      </c>
      <c r="D79" s="48">
        <v>0</v>
      </c>
      <c r="E79" s="48" t="s">
        <v>118</v>
      </c>
      <c r="F79" s="48" t="s">
        <v>71</v>
      </c>
      <c r="G79" s="48" t="s">
        <v>340</v>
      </c>
      <c r="H79" s="69">
        <f t="shared" si="1"/>
        <v>43891</v>
      </c>
    </row>
    <row r="80" spans="1:8" x14ac:dyDescent="0.25">
      <c r="A80" s="68">
        <v>43911</v>
      </c>
      <c r="B80" s="48">
        <v>1</v>
      </c>
      <c r="C80" s="48">
        <v>0</v>
      </c>
      <c r="D80" s="48">
        <v>0</v>
      </c>
      <c r="E80" s="48" t="s">
        <v>112</v>
      </c>
      <c r="F80" s="48" t="s">
        <v>71</v>
      </c>
      <c r="G80" s="48" t="s">
        <v>371</v>
      </c>
      <c r="H80" s="69">
        <f t="shared" si="1"/>
        <v>43891</v>
      </c>
    </row>
    <row r="81" spans="1:8" x14ac:dyDescent="0.25">
      <c r="A81" s="68">
        <v>43911</v>
      </c>
      <c r="B81" s="48">
        <v>4</v>
      </c>
      <c r="C81" s="48">
        <v>0</v>
      </c>
      <c r="D81" s="48">
        <v>0</v>
      </c>
      <c r="E81" s="48" t="s">
        <v>112</v>
      </c>
      <c r="F81" s="48" t="s">
        <v>71</v>
      </c>
      <c r="G81" s="48" t="s">
        <v>364</v>
      </c>
      <c r="H81" s="69">
        <f t="shared" si="1"/>
        <v>43891</v>
      </c>
    </row>
    <row r="82" spans="1:8" x14ac:dyDescent="0.25">
      <c r="A82" s="68">
        <v>43911</v>
      </c>
      <c r="B82" s="48">
        <v>39</v>
      </c>
      <c r="C82" s="48">
        <v>0</v>
      </c>
      <c r="D82" s="48">
        <v>0</v>
      </c>
      <c r="E82" s="48" t="s">
        <v>118</v>
      </c>
      <c r="F82" s="48" t="s">
        <v>70</v>
      </c>
      <c r="G82" s="48" t="s">
        <v>98</v>
      </c>
      <c r="H82" s="69">
        <f t="shared" si="1"/>
        <v>43891</v>
      </c>
    </row>
    <row r="83" spans="1:8" x14ac:dyDescent="0.25">
      <c r="A83" s="68">
        <v>43911</v>
      </c>
      <c r="B83" s="48">
        <v>0</v>
      </c>
      <c r="C83" s="48">
        <v>0</v>
      </c>
      <c r="D83" s="48">
        <v>3</v>
      </c>
      <c r="E83" s="48" t="s">
        <v>112</v>
      </c>
      <c r="F83" s="48" t="s">
        <v>70</v>
      </c>
      <c r="G83" s="48" t="s">
        <v>91</v>
      </c>
      <c r="H83" s="69">
        <f t="shared" si="1"/>
        <v>43891</v>
      </c>
    </row>
    <row r="84" spans="1:8" x14ac:dyDescent="0.25">
      <c r="A84" s="68">
        <v>43912</v>
      </c>
      <c r="B84" s="48">
        <v>4</v>
      </c>
      <c r="C84" s="48">
        <v>1</v>
      </c>
      <c r="D84" s="48">
        <v>0</v>
      </c>
      <c r="E84" s="48" t="s">
        <v>114</v>
      </c>
      <c r="F84" s="48" t="s">
        <v>73</v>
      </c>
      <c r="G84" s="48" t="s">
        <v>93</v>
      </c>
      <c r="H84" s="69">
        <f t="shared" si="1"/>
        <v>43891</v>
      </c>
    </row>
    <row r="85" spans="1:8" x14ac:dyDescent="0.25">
      <c r="A85" s="68">
        <v>43912</v>
      </c>
      <c r="B85" s="48">
        <v>4</v>
      </c>
      <c r="C85" s="48">
        <v>0</v>
      </c>
      <c r="D85" s="48">
        <v>0</v>
      </c>
      <c r="E85" s="48" t="s">
        <v>112</v>
      </c>
      <c r="F85" s="48" t="s">
        <v>75</v>
      </c>
      <c r="G85" s="48" t="s">
        <v>361</v>
      </c>
      <c r="H85" s="69">
        <f t="shared" si="1"/>
        <v>43891</v>
      </c>
    </row>
    <row r="86" spans="1:8" x14ac:dyDescent="0.25">
      <c r="A86" s="68">
        <v>43912</v>
      </c>
      <c r="B86" s="48">
        <v>1</v>
      </c>
      <c r="C86" s="48">
        <v>0</v>
      </c>
      <c r="D86" s="48">
        <v>0</v>
      </c>
      <c r="E86" s="48" t="s">
        <v>114</v>
      </c>
      <c r="F86" s="48" t="s">
        <v>74</v>
      </c>
      <c r="G86" s="48" t="s">
        <v>95</v>
      </c>
      <c r="H86" s="69">
        <f t="shared" si="1"/>
        <v>43891</v>
      </c>
    </row>
    <row r="87" spans="1:8" x14ac:dyDescent="0.25">
      <c r="A87" s="68">
        <v>43912</v>
      </c>
      <c r="B87" s="48">
        <v>15</v>
      </c>
      <c r="C87" s="48">
        <v>0</v>
      </c>
      <c r="D87" s="48">
        <v>0</v>
      </c>
      <c r="E87" s="48" t="s">
        <v>114</v>
      </c>
      <c r="F87" s="48" t="s">
        <v>71</v>
      </c>
      <c r="G87" s="48" t="s">
        <v>92</v>
      </c>
      <c r="H87" s="69">
        <f t="shared" si="1"/>
        <v>43891</v>
      </c>
    </row>
    <row r="88" spans="1:8" x14ac:dyDescent="0.25">
      <c r="A88" s="68">
        <v>43912</v>
      </c>
      <c r="B88" s="48">
        <v>1</v>
      </c>
      <c r="C88" s="48">
        <v>0</v>
      </c>
      <c r="D88" s="48">
        <v>0</v>
      </c>
      <c r="E88" s="48" t="s">
        <v>112</v>
      </c>
      <c r="F88" s="48" t="s">
        <v>71</v>
      </c>
      <c r="G88" s="48" t="s">
        <v>371</v>
      </c>
      <c r="H88" s="69">
        <f t="shared" si="1"/>
        <v>43891</v>
      </c>
    </row>
    <row r="89" spans="1:8" x14ac:dyDescent="0.25">
      <c r="A89" s="68">
        <v>43912</v>
      </c>
      <c r="B89" s="48">
        <v>1</v>
      </c>
      <c r="C89" s="48">
        <v>0</v>
      </c>
      <c r="D89" s="48">
        <v>0</v>
      </c>
      <c r="E89" s="48" t="s">
        <v>112</v>
      </c>
      <c r="F89" s="48" t="s">
        <v>71</v>
      </c>
      <c r="G89" s="48" t="s">
        <v>346</v>
      </c>
      <c r="H89" s="69">
        <f t="shared" si="1"/>
        <v>43891</v>
      </c>
    </row>
    <row r="90" spans="1:8" x14ac:dyDescent="0.25">
      <c r="A90" s="68">
        <v>43912</v>
      </c>
      <c r="B90" s="48">
        <v>43</v>
      </c>
      <c r="C90" s="48">
        <v>0</v>
      </c>
      <c r="D90" s="48">
        <v>0</v>
      </c>
      <c r="E90" s="48" t="s">
        <v>118</v>
      </c>
      <c r="F90" s="48" t="s">
        <v>71</v>
      </c>
      <c r="G90" s="48" t="s">
        <v>340</v>
      </c>
      <c r="H90" s="69">
        <f t="shared" si="1"/>
        <v>43891</v>
      </c>
    </row>
    <row r="91" spans="1:8" x14ac:dyDescent="0.25">
      <c r="A91" s="68">
        <v>43912</v>
      </c>
      <c r="B91" s="48">
        <v>18</v>
      </c>
      <c r="C91" s="48">
        <v>0</v>
      </c>
      <c r="D91" s="48">
        <v>0</v>
      </c>
      <c r="E91" s="48" t="s">
        <v>112</v>
      </c>
      <c r="F91" s="48" t="s">
        <v>70</v>
      </c>
      <c r="G91" s="48" t="s">
        <v>91</v>
      </c>
      <c r="H91" s="69">
        <f t="shared" si="1"/>
        <v>43891</v>
      </c>
    </row>
    <row r="92" spans="1:8" x14ac:dyDescent="0.25">
      <c r="A92" s="68">
        <v>43912</v>
      </c>
      <c r="B92" s="48">
        <v>23</v>
      </c>
      <c r="C92" s="48">
        <v>0</v>
      </c>
      <c r="D92" s="48">
        <v>0</v>
      </c>
      <c r="E92" s="48" t="s">
        <v>118</v>
      </c>
      <c r="F92" s="48" t="s">
        <v>70</v>
      </c>
      <c r="G92" s="48" t="s">
        <v>98</v>
      </c>
      <c r="H92" s="69">
        <f t="shared" si="1"/>
        <v>43891</v>
      </c>
    </row>
    <row r="93" spans="1:8" x14ac:dyDescent="0.25">
      <c r="A93" s="68">
        <v>43913</v>
      </c>
      <c r="B93" s="48">
        <v>5</v>
      </c>
      <c r="C93" s="48">
        <v>0</v>
      </c>
      <c r="D93" s="48">
        <v>0</v>
      </c>
      <c r="E93" s="48" t="s">
        <v>118</v>
      </c>
      <c r="F93" s="48" t="s">
        <v>73</v>
      </c>
      <c r="G93" s="48" t="s">
        <v>409</v>
      </c>
      <c r="H93" s="69">
        <f t="shared" si="1"/>
        <v>43891</v>
      </c>
    </row>
    <row r="94" spans="1:8" x14ac:dyDescent="0.25">
      <c r="A94" s="68">
        <v>43913</v>
      </c>
      <c r="B94" s="48">
        <v>16</v>
      </c>
      <c r="C94" s="48">
        <v>1</v>
      </c>
      <c r="D94" s="48">
        <v>0</v>
      </c>
      <c r="E94" s="48" t="s">
        <v>118</v>
      </c>
      <c r="F94" s="48" t="s">
        <v>75</v>
      </c>
      <c r="G94" s="48" t="s">
        <v>368</v>
      </c>
      <c r="H94" s="69">
        <f t="shared" si="1"/>
        <v>43891</v>
      </c>
    </row>
    <row r="95" spans="1:8" x14ac:dyDescent="0.25">
      <c r="A95" s="68">
        <v>43913</v>
      </c>
      <c r="B95" s="48">
        <v>1</v>
      </c>
      <c r="C95" s="48">
        <v>0</v>
      </c>
      <c r="D95" s="48">
        <v>0</v>
      </c>
      <c r="E95" s="48" t="s">
        <v>114</v>
      </c>
      <c r="F95" s="48" t="s">
        <v>72</v>
      </c>
      <c r="G95" s="48" t="s">
        <v>354</v>
      </c>
      <c r="H95" s="69">
        <f t="shared" si="1"/>
        <v>43891</v>
      </c>
    </row>
    <row r="96" spans="1:8" x14ac:dyDescent="0.25">
      <c r="A96" s="68">
        <v>43913</v>
      </c>
      <c r="B96" s="48">
        <v>25</v>
      </c>
      <c r="C96" s="48">
        <v>0</v>
      </c>
      <c r="D96" s="48">
        <v>0</v>
      </c>
      <c r="E96" s="48" t="s">
        <v>118</v>
      </c>
      <c r="F96" s="48" t="s">
        <v>71</v>
      </c>
      <c r="G96" s="48" t="s">
        <v>340</v>
      </c>
      <c r="H96" s="69">
        <f t="shared" si="1"/>
        <v>43891</v>
      </c>
    </row>
    <row r="97" spans="1:8" x14ac:dyDescent="0.25">
      <c r="A97" s="68">
        <v>43913</v>
      </c>
      <c r="B97" s="48">
        <v>16</v>
      </c>
      <c r="C97" s="48">
        <v>0</v>
      </c>
      <c r="D97" s="48">
        <v>0</v>
      </c>
      <c r="E97" s="48" t="s">
        <v>112</v>
      </c>
      <c r="F97" s="48" t="s">
        <v>71</v>
      </c>
      <c r="G97" s="48" t="s">
        <v>92</v>
      </c>
      <c r="H97" s="69">
        <f t="shared" si="1"/>
        <v>43891</v>
      </c>
    </row>
    <row r="98" spans="1:8" x14ac:dyDescent="0.25">
      <c r="A98" s="68">
        <v>43913</v>
      </c>
      <c r="B98" s="48">
        <v>7</v>
      </c>
      <c r="C98" s="48">
        <v>0</v>
      </c>
      <c r="D98" s="48">
        <v>0</v>
      </c>
      <c r="E98" s="48" t="s">
        <v>112</v>
      </c>
      <c r="F98" s="48" t="s">
        <v>70</v>
      </c>
      <c r="G98" s="48" t="s">
        <v>91</v>
      </c>
      <c r="H98" s="69">
        <f t="shared" si="1"/>
        <v>43891</v>
      </c>
    </row>
    <row r="99" spans="1:8" x14ac:dyDescent="0.25">
      <c r="A99" s="68">
        <v>43913</v>
      </c>
      <c r="B99" s="48">
        <v>11</v>
      </c>
      <c r="C99" s="48">
        <v>0</v>
      </c>
      <c r="D99" s="48">
        <v>0</v>
      </c>
      <c r="E99" s="48" t="s">
        <v>118</v>
      </c>
      <c r="F99" s="48" t="s">
        <v>70</v>
      </c>
      <c r="G99" s="48" t="s">
        <v>98</v>
      </c>
      <c r="H99" s="69">
        <f t="shared" si="1"/>
        <v>43891</v>
      </c>
    </row>
    <row r="100" spans="1:8" x14ac:dyDescent="0.25">
      <c r="A100" s="68">
        <v>43913</v>
      </c>
      <c r="B100" s="48">
        <v>1</v>
      </c>
      <c r="C100" s="48">
        <v>0</v>
      </c>
      <c r="D100" s="48">
        <v>0</v>
      </c>
      <c r="E100" s="48" t="s">
        <v>118</v>
      </c>
      <c r="F100" s="48" t="s">
        <v>70</v>
      </c>
      <c r="G100" s="48" t="s">
        <v>379</v>
      </c>
      <c r="H100" s="69">
        <f t="shared" si="1"/>
        <v>43891</v>
      </c>
    </row>
    <row r="101" spans="1:8" x14ac:dyDescent="0.25">
      <c r="A101" s="68">
        <v>43914</v>
      </c>
      <c r="B101" s="48">
        <v>2</v>
      </c>
      <c r="C101" s="48">
        <v>0</v>
      </c>
      <c r="D101" s="48">
        <v>0</v>
      </c>
      <c r="E101" s="48" t="s">
        <v>114</v>
      </c>
      <c r="F101" s="48" t="s">
        <v>73</v>
      </c>
      <c r="G101" s="48" t="s">
        <v>93</v>
      </c>
      <c r="H101" s="69">
        <f t="shared" si="1"/>
        <v>43891</v>
      </c>
    </row>
    <row r="102" spans="1:8" x14ac:dyDescent="0.25">
      <c r="A102" s="68">
        <v>43914</v>
      </c>
      <c r="B102" s="48">
        <v>1</v>
      </c>
      <c r="C102" s="48">
        <v>0</v>
      </c>
      <c r="D102" s="48">
        <v>0</v>
      </c>
      <c r="E102" s="48" t="s">
        <v>118</v>
      </c>
      <c r="F102" s="48" t="s">
        <v>77</v>
      </c>
      <c r="G102" s="48" t="s">
        <v>420</v>
      </c>
      <c r="H102" s="69">
        <f t="shared" si="1"/>
        <v>43891</v>
      </c>
    </row>
    <row r="103" spans="1:8" x14ac:dyDescent="0.25">
      <c r="A103" s="68">
        <v>43914</v>
      </c>
      <c r="B103" s="48">
        <v>5</v>
      </c>
      <c r="C103" s="48">
        <v>0</v>
      </c>
      <c r="D103" s="48">
        <v>0</v>
      </c>
      <c r="E103" s="48" t="s">
        <v>112</v>
      </c>
      <c r="F103" s="48" t="s">
        <v>75</v>
      </c>
      <c r="G103" s="48" t="s">
        <v>103</v>
      </c>
      <c r="H103" s="69">
        <f t="shared" si="1"/>
        <v>43891</v>
      </c>
    </row>
    <row r="104" spans="1:8" x14ac:dyDescent="0.25">
      <c r="A104" s="68">
        <v>43914</v>
      </c>
      <c r="B104" s="48">
        <v>37</v>
      </c>
      <c r="C104" s="48">
        <v>0</v>
      </c>
      <c r="D104" s="48">
        <v>0</v>
      </c>
      <c r="E104" s="48" t="s">
        <v>118</v>
      </c>
      <c r="F104" s="48" t="s">
        <v>72</v>
      </c>
      <c r="G104" s="48" t="s">
        <v>351</v>
      </c>
      <c r="H104" s="69">
        <f t="shared" si="1"/>
        <v>43891</v>
      </c>
    </row>
    <row r="105" spans="1:8" x14ac:dyDescent="0.25">
      <c r="A105" s="68">
        <v>43914</v>
      </c>
      <c r="B105" s="48">
        <v>2</v>
      </c>
      <c r="C105" s="48">
        <v>0</v>
      </c>
      <c r="D105" s="48">
        <v>0</v>
      </c>
      <c r="E105" s="48" t="s">
        <v>114</v>
      </c>
      <c r="F105" s="48" t="s">
        <v>72</v>
      </c>
      <c r="G105" s="48" t="s">
        <v>94</v>
      </c>
      <c r="H105" s="69">
        <f t="shared" si="1"/>
        <v>43891</v>
      </c>
    </row>
    <row r="106" spans="1:8" x14ac:dyDescent="0.25">
      <c r="A106" s="68">
        <v>43914</v>
      </c>
      <c r="B106" s="48">
        <v>7</v>
      </c>
      <c r="C106" s="48">
        <v>0</v>
      </c>
      <c r="D106" s="48">
        <v>0</v>
      </c>
      <c r="E106" s="48" t="s">
        <v>112</v>
      </c>
      <c r="F106" s="48" t="s">
        <v>71</v>
      </c>
      <c r="G106" s="48" t="s">
        <v>92</v>
      </c>
      <c r="H106" s="69">
        <f t="shared" si="1"/>
        <v>43891</v>
      </c>
    </row>
    <row r="107" spans="1:8" x14ac:dyDescent="0.25">
      <c r="A107" s="68">
        <v>43914</v>
      </c>
      <c r="B107" s="48">
        <v>1</v>
      </c>
      <c r="C107" s="48">
        <v>0</v>
      </c>
      <c r="D107" s="48">
        <v>0</v>
      </c>
      <c r="E107" s="48" t="s">
        <v>112</v>
      </c>
      <c r="F107" s="48" t="s">
        <v>71</v>
      </c>
      <c r="G107" s="48" t="s">
        <v>97</v>
      </c>
      <c r="H107" s="69">
        <f t="shared" si="1"/>
        <v>43891</v>
      </c>
    </row>
    <row r="108" spans="1:8" x14ac:dyDescent="0.25">
      <c r="A108" s="68">
        <v>43914</v>
      </c>
      <c r="B108" s="48">
        <v>9</v>
      </c>
      <c r="C108" s="48">
        <v>0</v>
      </c>
      <c r="D108" s="48">
        <v>0</v>
      </c>
      <c r="E108" s="48" t="s">
        <v>112</v>
      </c>
      <c r="F108" s="48" t="s">
        <v>71</v>
      </c>
      <c r="G108" s="48" t="s">
        <v>350</v>
      </c>
      <c r="H108" s="69">
        <f t="shared" si="1"/>
        <v>43891</v>
      </c>
    </row>
    <row r="109" spans="1:8" x14ac:dyDescent="0.25">
      <c r="A109" s="68">
        <v>43914</v>
      </c>
      <c r="B109" s="48">
        <v>3</v>
      </c>
      <c r="C109" s="48">
        <v>0</v>
      </c>
      <c r="D109" s="48">
        <v>0</v>
      </c>
      <c r="E109" s="48" t="s">
        <v>112</v>
      </c>
      <c r="F109" s="48" t="s">
        <v>71</v>
      </c>
      <c r="G109" s="48" t="s">
        <v>364</v>
      </c>
      <c r="H109" s="69">
        <f t="shared" si="1"/>
        <v>43891</v>
      </c>
    </row>
    <row r="110" spans="1:8" x14ac:dyDescent="0.25">
      <c r="A110" s="68">
        <v>43914</v>
      </c>
      <c r="B110" s="48">
        <v>1</v>
      </c>
      <c r="C110" s="48">
        <v>0</v>
      </c>
      <c r="D110" s="48">
        <v>0</v>
      </c>
      <c r="E110" s="48" t="s">
        <v>112</v>
      </c>
      <c r="F110" s="48" t="s">
        <v>71</v>
      </c>
      <c r="G110" s="48" t="s">
        <v>348</v>
      </c>
      <c r="H110" s="69">
        <f t="shared" si="1"/>
        <v>43891</v>
      </c>
    </row>
    <row r="111" spans="1:8" x14ac:dyDescent="0.25">
      <c r="A111" s="68">
        <v>43914</v>
      </c>
      <c r="B111" s="48">
        <v>1</v>
      </c>
      <c r="C111" s="48">
        <v>0</v>
      </c>
      <c r="D111" s="48">
        <v>0</v>
      </c>
      <c r="E111" s="48" t="s">
        <v>112</v>
      </c>
      <c r="F111" s="48" t="s">
        <v>71</v>
      </c>
      <c r="G111" s="48" t="s">
        <v>370</v>
      </c>
      <c r="H111" s="69">
        <f t="shared" si="1"/>
        <v>43891</v>
      </c>
    </row>
    <row r="112" spans="1:8" x14ac:dyDescent="0.25">
      <c r="A112" s="68">
        <v>43914</v>
      </c>
      <c r="B112" s="48">
        <v>1</v>
      </c>
      <c r="C112" s="48">
        <v>0</v>
      </c>
      <c r="D112" s="48">
        <v>0</v>
      </c>
      <c r="E112" s="48" t="s">
        <v>112</v>
      </c>
      <c r="F112" s="48" t="s">
        <v>71</v>
      </c>
      <c r="G112" s="48" t="s">
        <v>392</v>
      </c>
      <c r="H112" s="69">
        <f t="shared" si="1"/>
        <v>43891</v>
      </c>
    </row>
    <row r="113" spans="1:8" x14ac:dyDescent="0.25">
      <c r="A113" s="68">
        <v>43914</v>
      </c>
      <c r="B113" s="48">
        <v>1</v>
      </c>
      <c r="C113" s="48">
        <v>0</v>
      </c>
      <c r="D113" s="48">
        <v>0</v>
      </c>
      <c r="E113" s="48" t="s">
        <v>112</v>
      </c>
      <c r="F113" s="48" t="s">
        <v>71</v>
      </c>
      <c r="G113" s="48" t="s">
        <v>362</v>
      </c>
      <c r="H113" s="69">
        <f t="shared" si="1"/>
        <v>43891</v>
      </c>
    </row>
    <row r="114" spans="1:8" x14ac:dyDescent="0.25">
      <c r="A114" s="68">
        <v>43914</v>
      </c>
      <c r="B114" s="48">
        <v>21</v>
      </c>
      <c r="C114" s="48">
        <v>1</v>
      </c>
      <c r="D114" s="48">
        <v>2</v>
      </c>
      <c r="E114" s="48" t="s">
        <v>118</v>
      </c>
      <c r="F114" s="48" t="s">
        <v>71</v>
      </c>
      <c r="G114" s="48" t="s">
        <v>340</v>
      </c>
      <c r="H114" s="69">
        <f t="shared" si="1"/>
        <v>43891</v>
      </c>
    </row>
    <row r="115" spans="1:8" x14ac:dyDescent="0.25">
      <c r="A115" s="68">
        <v>43914</v>
      </c>
      <c r="B115" s="48">
        <v>8</v>
      </c>
      <c r="C115" s="48">
        <v>0</v>
      </c>
      <c r="D115" s="48">
        <v>6</v>
      </c>
      <c r="E115" s="48" t="s">
        <v>112</v>
      </c>
      <c r="F115" s="48" t="s">
        <v>70</v>
      </c>
      <c r="G115" s="48" t="s">
        <v>91</v>
      </c>
      <c r="H115" s="69">
        <f t="shared" si="1"/>
        <v>43891</v>
      </c>
    </row>
    <row r="116" spans="1:8" x14ac:dyDescent="0.25">
      <c r="A116" s="68">
        <v>43914</v>
      </c>
      <c r="B116" s="48">
        <v>8</v>
      </c>
      <c r="C116" s="48">
        <v>0</v>
      </c>
      <c r="D116" s="48">
        <v>0</v>
      </c>
      <c r="E116" s="48" t="s">
        <v>118</v>
      </c>
      <c r="F116" s="48" t="s">
        <v>70</v>
      </c>
      <c r="G116" s="48" t="s">
        <v>98</v>
      </c>
      <c r="H116" s="69">
        <f t="shared" si="1"/>
        <v>43891</v>
      </c>
    </row>
    <row r="117" spans="1:8" x14ac:dyDescent="0.25">
      <c r="A117" s="68">
        <v>43914</v>
      </c>
      <c r="B117" s="48">
        <v>3</v>
      </c>
      <c r="C117" s="48">
        <v>0</v>
      </c>
      <c r="D117" s="48">
        <v>10</v>
      </c>
      <c r="E117" s="48" t="s">
        <v>112</v>
      </c>
      <c r="F117" s="48" t="s">
        <v>70</v>
      </c>
      <c r="G117" s="48" t="s">
        <v>91</v>
      </c>
      <c r="H117" s="69">
        <f t="shared" si="1"/>
        <v>43891</v>
      </c>
    </row>
    <row r="118" spans="1:8" x14ac:dyDescent="0.25">
      <c r="A118" s="68">
        <v>43914</v>
      </c>
      <c r="B118" s="48">
        <v>3</v>
      </c>
      <c r="C118" s="48">
        <v>0</v>
      </c>
      <c r="D118" s="48">
        <v>0</v>
      </c>
      <c r="E118" s="48" t="s">
        <v>112</v>
      </c>
      <c r="F118" s="48" t="s">
        <v>70</v>
      </c>
      <c r="G118" s="48" t="s">
        <v>91</v>
      </c>
      <c r="H118" s="69">
        <f t="shared" si="1"/>
        <v>43891</v>
      </c>
    </row>
    <row r="119" spans="1:8" x14ac:dyDescent="0.25">
      <c r="A119" s="68">
        <v>43915</v>
      </c>
      <c r="B119" s="48">
        <v>9</v>
      </c>
      <c r="C119" s="48">
        <v>0</v>
      </c>
      <c r="D119" s="48">
        <v>0</v>
      </c>
      <c r="E119" s="48" t="s">
        <v>112</v>
      </c>
      <c r="F119" s="48" t="s">
        <v>73</v>
      </c>
      <c r="G119" s="48" t="s">
        <v>93</v>
      </c>
      <c r="H119" s="69">
        <f t="shared" si="1"/>
        <v>43891</v>
      </c>
    </row>
    <row r="120" spans="1:8" x14ac:dyDescent="0.25">
      <c r="A120" s="68">
        <v>43915</v>
      </c>
      <c r="B120" s="48">
        <v>12</v>
      </c>
      <c r="C120" s="48">
        <v>0</v>
      </c>
      <c r="D120" s="48">
        <v>0</v>
      </c>
      <c r="E120" s="48" t="s">
        <v>118</v>
      </c>
      <c r="F120" s="48" t="s">
        <v>73</v>
      </c>
      <c r="G120" s="48" t="s">
        <v>93</v>
      </c>
      <c r="H120" s="69">
        <f t="shared" si="1"/>
        <v>43891</v>
      </c>
    </row>
    <row r="121" spans="1:8" x14ac:dyDescent="0.25">
      <c r="A121" s="68">
        <v>43915</v>
      </c>
      <c r="B121" s="48">
        <v>1</v>
      </c>
      <c r="C121" s="48">
        <v>0</v>
      </c>
      <c r="D121" s="48">
        <v>0</v>
      </c>
      <c r="E121" s="48" t="s">
        <v>114</v>
      </c>
      <c r="F121" s="48" t="s">
        <v>75</v>
      </c>
      <c r="G121" s="48" t="s">
        <v>373</v>
      </c>
      <c r="H121" s="69">
        <f t="shared" si="1"/>
        <v>43891</v>
      </c>
    </row>
    <row r="122" spans="1:8" x14ac:dyDescent="0.25">
      <c r="A122" s="68">
        <v>43915</v>
      </c>
      <c r="B122" s="48">
        <v>7</v>
      </c>
      <c r="C122" s="48">
        <v>0</v>
      </c>
      <c r="D122" s="48">
        <v>0</v>
      </c>
      <c r="E122" s="48" t="s">
        <v>114</v>
      </c>
      <c r="F122" s="48" t="s">
        <v>75</v>
      </c>
      <c r="G122" s="48" t="s">
        <v>404</v>
      </c>
      <c r="H122" s="69">
        <f t="shared" si="1"/>
        <v>43891</v>
      </c>
    </row>
    <row r="123" spans="1:8" x14ac:dyDescent="0.25">
      <c r="A123" s="68">
        <v>43915</v>
      </c>
      <c r="B123" s="48">
        <v>1</v>
      </c>
      <c r="C123" s="48">
        <v>0</v>
      </c>
      <c r="D123" s="48">
        <v>0</v>
      </c>
      <c r="E123" s="48" t="s">
        <v>128</v>
      </c>
      <c r="F123" s="48" t="s">
        <v>75</v>
      </c>
      <c r="G123" s="48" t="s">
        <v>404</v>
      </c>
      <c r="H123" s="69">
        <f t="shared" si="1"/>
        <v>43891</v>
      </c>
    </row>
    <row r="124" spans="1:8" x14ac:dyDescent="0.25">
      <c r="A124" s="68">
        <v>43915</v>
      </c>
      <c r="B124" s="48">
        <v>5</v>
      </c>
      <c r="C124" s="48">
        <v>0</v>
      </c>
      <c r="D124" s="48">
        <v>0</v>
      </c>
      <c r="E124" s="48" t="s">
        <v>122</v>
      </c>
      <c r="F124" s="48" t="s">
        <v>74</v>
      </c>
      <c r="G124" s="48" t="s">
        <v>95</v>
      </c>
      <c r="H124" s="69">
        <f t="shared" si="1"/>
        <v>43891</v>
      </c>
    </row>
    <row r="125" spans="1:8" x14ac:dyDescent="0.25">
      <c r="A125" s="68">
        <v>43915</v>
      </c>
      <c r="B125" s="48">
        <v>39</v>
      </c>
      <c r="C125" s="48">
        <v>0</v>
      </c>
      <c r="D125" s="48">
        <v>2</v>
      </c>
      <c r="E125" s="48" t="s">
        <v>114</v>
      </c>
      <c r="F125" s="48" t="s">
        <v>72</v>
      </c>
      <c r="G125" s="48" t="s">
        <v>102</v>
      </c>
      <c r="H125" s="69">
        <f t="shared" si="1"/>
        <v>43891</v>
      </c>
    </row>
    <row r="126" spans="1:8" x14ac:dyDescent="0.25">
      <c r="A126" s="68">
        <v>43915</v>
      </c>
      <c r="B126" s="48">
        <v>1</v>
      </c>
      <c r="C126" s="48">
        <v>0</v>
      </c>
      <c r="D126" s="48">
        <v>0</v>
      </c>
      <c r="E126" s="48" t="s">
        <v>118</v>
      </c>
      <c r="F126" s="48" t="s">
        <v>72</v>
      </c>
      <c r="G126" s="48" t="s">
        <v>351</v>
      </c>
      <c r="H126" s="69">
        <f t="shared" si="1"/>
        <v>43891</v>
      </c>
    </row>
    <row r="127" spans="1:8" x14ac:dyDescent="0.25">
      <c r="A127" s="68">
        <v>43915</v>
      </c>
      <c r="B127" s="48">
        <v>1</v>
      </c>
      <c r="C127" s="48">
        <v>0</v>
      </c>
      <c r="D127" s="48">
        <v>0</v>
      </c>
      <c r="E127" s="48" t="s">
        <v>114</v>
      </c>
      <c r="F127" s="48" t="s">
        <v>72</v>
      </c>
      <c r="G127" s="48" t="s">
        <v>355</v>
      </c>
      <c r="H127" s="69">
        <f t="shared" si="1"/>
        <v>43891</v>
      </c>
    </row>
    <row r="128" spans="1:8" x14ac:dyDescent="0.25">
      <c r="A128" s="68">
        <v>43915</v>
      </c>
      <c r="B128" s="48">
        <v>9</v>
      </c>
      <c r="C128" s="48">
        <v>0</v>
      </c>
      <c r="D128" s="48">
        <v>0</v>
      </c>
      <c r="E128" s="48" t="s">
        <v>112</v>
      </c>
      <c r="F128" s="48" t="s">
        <v>71</v>
      </c>
      <c r="G128" s="48" t="s">
        <v>350</v>
      </c>
      <c r="H128" s="69">
        <f t="shared" si="1"/>
        <v>43891</v>
      </c>
    </row>
    <row r="129" spans="1:8" x14ac:dyDescent="0.25">
      <c r="A129" s="68">
        <v>43915</v>
      </c>
      <c r="B129" s="48">
        <v>1</v>
      </c>
      <c r="C129" s="48">
        <v>0</v>
      </c>
      <c r="D129" s="48">
        <v>0</v>
      </c>
      <c r="E129" s="48" t="s">
        <v>112</v>
      </c>
      <c r="F129" s="48" t="s">
        <v>71</v>
      </c>
      <c r="G129" s="48" t="s">
        <v>364</v>
      </c>
      <c r="H129" s="69">
        <f t="shared" si="1"/>
        <v>43891</v>
      </c>
    </row>
    <row r="130" spans="1:8" x14ac:dyDescent="0.25">
      <c r="A130" s="68">
        <v>43915</v>
      </c>
      <c r="B130" s="48">
        <v>2</v>
      </c>
      <c r="C130" s="48">
        <v>1</v>
      </c>
      <c r="D130" s="48">
        <v>0</v>
      </c>
      <c r="E130" s="48" t="s">
        <v>118</v>
      </c>
      <c r="F130" s="48" t="s">
        <v>71</v>
      </c>
      <c r="G130" s="48" t="s">
        <v>340</v>
      </c>
      <c r="H130" s="69">
        <f t="shared" ref="H130:H193" si="2">DATE(YEAR(A130),MONTH(A130),1)</f>
        <v>43891</v>
      </c>
    </row>
    <row r="131" spans="1:8" x14ac:dyDescent="0.25">
      <c r="A131" s="68">
        <v>43915</v>
      </c>
      <c r="B131" s="48">
        <v>18</v>
      </c>
      <c r="C131" s="48">
        <v>0</v>
      </c>
      <c r="D131" s="48">
        <v>1</v>
      </c>
      <c r="E131" s="48" t="s">
        <v>114</v>
      </c>
      <c r="F131" s="48" t="s">
        <v>71</v>
      </c>
      <c r="G131" s="48" t="s">
        <v>92</v>
      </c>
      <c r="H131" s="69">
        <f t="shared" si="2"/>
        <v>43891</v>
      </c>
    </row>
    <row r="132" spans="1:8" x14ac:dyDescent="0.25">
      <c r="A132" s="68">
        <v>43915</v>
      </c>
      <c r="B132" s="48">
        <v>1</v>
      </c>
      <c r="C132" s="48">
        <v>0</v>
      </c>
      <c r="D132" s="48">
        <v>0</v>
      </c>
      <c r="E132" s="48" t="s">
        <v>112</v>
      </c>
      <c r="F132" s="48" t="s">
        <v>71</v>
      </c>
      <c r="G132" s="48" t="s">
        <v>97</v>
      </c>
      <c r="H132" s="69">
        <f t="shared" si="2"/>
        <v>43891</v>
      </c>
    </row>
    <row r="133" spans="1:8" x14ac:dyDescent="0.25">
      <c r="A133" s="68">
        <v>43915</v>
      </c>
      <c r="B133" s="48">
        <v>3</v>
      </c>
      <c r="C133" s="48">
        <v>0</v>
      </c>
      <c r="D133" s="48">
        <v>0</v>
      </c>
      <c r="E133" s="48" t="s">
        <v>112</v>
      </c>
      <c r="F133" s="48" t="s">
        <v>70</v>
      </c>
      <c r="G133" s="48" t="s">
        <v>91</v>
      </c>
      <c r="H133" s="69">
        <f t="shared" si="2"/>
        <v>43891</v>
      </c>
    </row>
    <row r="134" spans="1:8" x14ac:dyDescent="0.25">
      <c r="A134" s="68">
        <v>43915</v>
      </c>
      <c r="B134" s="48">
        <v>0</v>
      </c>
      <c r="C134" s="48">
        <v>0</v>
      </c>
      <c r="D134" s="48">
        <v>1</v>
      </c>
      <c r="E134" s="48" t="s">
        <v>112</v>
      </c>
      <c r="F134" s="48" t="s">
        <v>70</v>
      </c>
      <c r="G134" s="48" t="s">
        <v>99</v>
      </c>
      <c r="H134" s="69">
        <f t="shared" si="2"/>
        <v>43891</v>
      </c>
    </row>
    <row r="135" spans="1:8" x14ac:dyDescent="0.25">
      <c r="A135" s="68">
        <v>43916</v>
      </c>
      <c r="B135" s="48">
        <v>1</v>
      </c>
      <c r="C135" s="48">
        <v>0</v>
      </c>
      <c r="D135" s="48">
        <v>0</v>
      </c>
      <c r="E135" s="48" t="s">
        <v>114</v>
      </c>
      <c r="F135" s="48" t="s">
        <v>76</v>
      </c>
      <c r="G135" s="48" t="s">
        <v>416</v>
      </c>
      <c r="H135" s="69">
        <f t="shared" si="2"/>
        <v>43891</v>
      </c>
    </row>
    <row r="136" spans="1:8" x14ac:dyDescent="0.25">
      <c r="A136" s="68">
        <v>43916</v>
      </c>
      <c r="B136" s="48">
        <v>12</v>
      </c>
      <c r="C136" s="48">
        <v>0</v>
      </c>
      <c r="D136" s="48">
        <v>0</v>
      </c>
      <c r="E136" s="48" t="s">
        <v>118</v>
      </c>
      <c r="F136" s="48" t="s">
        <v>73</v>
      </c>
      <c r="G136" s="48" t="s">
        <v>93</v>
      </c>
      <c r="H136" s="69">
        <f t="shared" si="2"/>
        <v>43891</v>
      </c>
    </row>
    <row r="137" spans="1:8" x14ac:dyDescent="0.25">
      <c r="A137" s="68">
        <v>43916</v>
      </c>
      <c r="B137" s="48">
        <v>7</v>
      </c>
      <c r="C137" s="48">
        <v>0</v>
      </c>
      <c r="D137" s="48">
        <v>2</v>
      </c>
      <c r="E137" s="48" t="s">
        <v>114</v>
      </c>
      <c r="F137" s="48" t="s">
        <v>75</v>
      </c>
      <c r="G137" s="48" t="s">
        <v>368</v>
      </c>
      <c r="H137" s="69">
        <f t="shared" si="2"/>
        <v>43891</v>
      </c>
    </row>
    <row r="138" spans="1:8" x14ac:dyDescent="0.25">
      <c r="A138" s="68">
        <v>43916</v>
      </c>
      <c r="B138" s="48">
        <v>5</v>
      </c>
      <c r="C138" s="48">
        <v>0</v>
      </c>
      <c r="D138" s="48">
        <v>0</v>
      </c>
      <c r="E138" s="48" t="s">
        <v>114</v>
      </c>
      <c r="F138" s="48" t="s">
        <v>74</v>
      </c>
      <c r="G138" s="48" t="s">
        <v>95</v>
      </c>
      <c r="H138" s="69">
        <f t="shared" si="2"/>
        <v>43891</v>
      </c>
    </row>
    <row r="139" spans="1:8" x14ac:dyDescent="0.25">
      <c r="A139" s="68">
        <v>43916</v>
      </c>
      <c r="B139" s="48">
        <v>2</v>
      </c>
      <c r="C139" s="48">
        <v>0</v>
      </c>
      <c r="D139" s="48">
        <v>0</v>
      </c>
      <c r="E139" s="48" t="s">
        <v>114</v>
      </c>
      <c r="F139" s="48" t="s">
        <v>72</v>
      </c>
      <c r="G139" s="48" t="s">
        <v>342</v>
      </c>
      <c r="H139" s="69">
        <f t="shared" si="2"/>
        <v>43891</v>
      </c>
    </row>
    <row r="140" spans="1:8" x14ac:dyDescent="0.25">
      <c r="A140" s="68">
        <v>43916</v>
      </c>
      <c r="B140" s="48">
        <v>1</v>
      </c>
      <c r="C140" s="48">
        <v>0</v>
      </c>
      <c r="D140" s="48">
        <v>0</v>
      </c>
      <c r="E140" s="48" t="s">
        <v>114</v>
      </c>
      <c r="F140" s="48" t="s">
        <v>72</v>
      </c>
      <c r="G140" s="48" t="s">
        <v>96</v>
      </c>
      <c r="H140" s="69">
        <f t="shared" si="2"/>
        <v>43891</v>
      </c>
    </row>
    <row r="141" spans="1:8" x14ac:dyDescent="0.25">
      <c r="A141" s="68">
        <v>43916</v>
      </c>
      <c r="B141" s="48">
        <v>6</v>
      </c>
      <c r="C141" s="48">
        <v>0</v>
      </c>
      <c r="D141" s="48">
        <v>2</v>
      </c>
      <c r="E141" s="48" t="s">
        <v>112</v>
      </c>
      <c r="F141" s="48" t="s">
        <v>72</v>
      </c>
      <c r="G141" s="48" t="s">
        <v>102</v>
      </c>
      <c r="H141" s="69">
        <f t="shared" si="2"/>
        <v>43891</v>
      </c>
    </row>
    <row r="142" spans="1:8" x14ac:dyDescent="0.25">
      <c r="A142" s="68">
        <v>43916</v>
      </c>
      <c r="B142" s="48">
        <v>26</v>
      </c>
      <c r="C142" s="48">
        <v>0</v>
      </c>
      <c r="D142" s="48">
        <v>1</v>
      </c>
      <c r="E142" s="48" t="s">
        <v>114</v>
      </c>
      <c r="F142" s="48" t="s">
        <v>71</v>
      </c>
      <c r="G142" s="48" t="s">
        <v>92</v>
      </c>
      <c r="H142" s="69">
        <f t="shared" si="2"/>
        <v>43891</v>
      </c>
    </row>
    <row r="143" spans="1:8" x14ac:dyDescent="0.25">
      <c r="A143" s="68">
        <v>43916</v>
      </c>
      <c r="B143" s="48">
        <v>16</v>
      </c>
      <c r="C143" s="48">
        <v>0</v>
      </c>
      <c r="D143" s="48">
        <v>0</v>
      </c>
      <c r="E143" s="48" t="s">
        <v>118</v>
      </c>
      <c r="F143" s="48" t="s">
        <v>71</v>
      </c>
      <c r="G143" s="48" t="s">
        <v>97</v>
      </c>
      <c r="H143" s="69">
        <f t="shared" si="2"/>
        <v>43891</v>
      </c>
    </row>
    <row r="144" spans="1:8" x14ac:dyDescent="0.25">
      <c r="A144" s="68">
        <v>43916</v>
      </c>
      <c r="B144" s="48">
        <v>1</v>
      </c>
      <c r="C144" s="48">
        <v>0</v>
      </c>
      <c r="D144" s="48">
        <v>0</v>
      </c>
      <c r="E144" s="48" t="s">
        <v>112</v>
      </c>
      <c r="F144" s="48" t="s">
        <v>71</v>
      </c>
      <c r="G144" s="48" t="s">
        <v>350</v>
      </c>
      <c r="H144" s="69">
        <f t="shared" si="2"/>
        <v>43891</v>
      </c>
    </row>
    <row r="145" spans="1:8" x14ac:dyDescent="0.25">
      <c r="A145" s="68">
        <v>43916</v>
      </c>
      <c r="B145" s="48">
        <v>16</v>
      </c>
      <c r="C145" s="48">
        <v>0</v>
      </c>
      <c r="D145" s="48">
        <v>0</v>
      </c>
      <c r="E145" s="48" t="s">
        <v>112</v>
      </c>
      <c r="F145" s="48" t="s">
        <v>71</v>
      </c>
      <c r="G145" s="48" t="s">
        <v>371</v>
      </c>
      <c r="H145" s="69">
        <f t="shared" si="2"/>
        <v>43891</v>
      </c>
    </row>
    <row r="146" spans="1:8" x14ac:dyDescent="0.25">
      <c r="A146" s="68">
        <v>43916</v>
      </c>
      <c r="B146" s="48">
        <v>12</v>
      </c>
      <c r="C146" s="48">
        <v>0</v>
      </c>
      <c r="D146" s="48">
        <v>0</v>
      </c>
      <c r="E146" s="48" t="s">
        <v>112</v>
      </c>
      <c r="F146" s="48" t="s">
        <v>71</v>
      </c>
      <c r="G146" s="48" t="s">
        <v>346</v>
      </c>
      <c r="H146" s="69">
        <f t="shared" si="2"/>
        <v>43891</v>
      </c>
    </row>
    <row r="147" spans="1:8" x14ac:dyDescent="0.25">
      <c r="A147" s="68">
        <v>43916</v>
      </c>
      <c r="B147" s="48">
        <v>2</v>
      </c>
      <c r="C147" s="48">
        <v>0</v>
      </c>
      <c r="D147" s="48">
        <v>0</v>
      </c>
      <c r="E147" s="48" t="s">
        <v>112</v>
      </c>
      <c r="F147" s="48" t="s">
        <v>71</v>
      </c>
      <c r="G147" s="48" t="s">
        <v>370</v>
      </c>
      <c r="H147" s="69">
        <f t="shared" si="2"/>
        <v>43891</v>
      </c>
    </row>
    <row r="148" spans="1:8" x14ac:dyDescent="0.25">
      <c r="A148" s="68">
        <v>43916</v>
      </c>
      <c r="B148" s="48">
        <v>2</v>
      </c>
      <c r="C148" s="48">
        <v>0</v>
      </c>
      <c r="D148" s="48">
        <v>0</v>
      </c>
      <c r="E148" s="48" t="s">
        <v>112</v>
      </c>
      <c r="F148" s="48" t="s">
        <v>71</v>
      </c>
      <c r="G148" s="48" t="s">
        <v>392</v>
      </c>
      <c r="H148" s="69">
        <f t="shared" si="2"/>
        <v>43891</v>
      </c>
    </row>
    <row r="149" spans="1:8" x14ac:dyDescent="0.25">
      <c r="A149" s="68">
        <v>43916</v>
      </c>
      <c r="B149" s="48">
        <v>2</v>
      </c>
      <c r="C149" s="48">
        <v>0</v>
      </c>
      <c r="D149" s="48">
        <v>0</v>
      </c>
      <c r="E149" s="48" t="s">
        <v>112</v>
      </c>
      <c r="F149" s="48" t="s">
        <v>71</v>
      </c>
      <c r="G149" s="48" t="s">
        <v>403</v>
      </c>
      <c r="H149" s="69">
        <f t="shared" si="2"/>
        <v>43891</v>
      </c>
    </row>
    <row r="150" spans="1:8" x14ac:dyDescent="0.25">
      <c r="A150" s="68">
        <v>43916</v>
      </c>
      <c r="B150" s="48">
        <v>1</v>
      </c>
      <c r="C150" s="48">
        <v>0</v>
      </c>
      <c r="D150" s="48">
        <v>0</v>
      </c>
      <c r="E150" s="48" t="s">
        <v>112</v>
      </c>
      <c r="F150" s="48" t="s">
        <v>71</v>
      </c>
      <c r="G150" s="48" t="s">
        <v>391</v>
      </c>
      <c r="H150" s="69">
        <f t="shared" si="2"/>
        <v>43891</v>
      </c>
    </row>
    <row r="151" spans="1:8" x14ac:dyDescent="0.25">
      <c r="A151" s="68">
        <v>43916</v>
      </c>
      <c r="B151" s="48">
        <v>1</v>
      </c>
      <c r="C151" s="48">
        <v>0</v>
      </c>
      <c r="D151" s="48">
        <v>0</v>
      </c>
      <c r="E151" s="48" t="s">
        <v>112</v>
      </c>
      <c r="F151" s="48" t="s">
        <v>71</v>
      </c>
      <c r="G151" s="48" t="s">
        <v>395</v>
      </c>
      <c r="H151" s="69">
        <f t="shared" si="2"/>
        <v>43891</v>
      </c>
    </row>
    <row r="152" spans="1:8" x14ac:dyDescent="0.25">
      <c r="A152" s="68">
        <v>43916</v>
      </c>
      <c r="B152" s="48">
        <v>1</v>
      </c>
      <c r="C152" s="48">
        <v>0</v>
      </c>
      <c r="D152" s="48">
        <v>0</v>
      </c>
      <c r="E152" s="48" t="s">
        <v>112</v>
      </c>
      <c r="F152" s="48" t="s">
        <v>71</v>
      </c>
      <c r="G152" s="48" t="s">
        <v>405</v>
      </c>
      <c r="H152" s="69">
        <f t="shared" si="2"/>
        <v>43891</v>
      </c>
    </row>
    <row r="153" spans="1:8" x14ac:dyDescent="0.25">
      <c r="A153" s="68">
        <v>43916</v>
      </c>
      <c r="B153" s="48">
        <v>1</v>
      </c>
      <c r="C153" s="48">
        <v>0</v>
      </c>
      <c r="D153" s="48">
        <v>0</v>
      </c>
      <c r="E153" s="48" t="s">
        <v>112</v>
      </c>
      <c r="F153" s="48" t="s">
        <v>71</v>
      </c>
      <c r="G153" s="48" t="s">
        <v>401</v>
      </c>
      <c r="H153" s="69">
        <f t="shared" si="2"/>
        <v>43891</v>
      </c>
    </row>
    <row r="154" spans="1:8" x14ac:dyDescent="0.25">
      <c r="A154" s="68">
        <v>43916</v>
      </c>
      <c r="B154" s="48">
        <v>7</v>
      </c>
      <c r="C154" s="48">
        <v>1</v>
      </c>
      <c r="D154" s="48">
        <v>0</v>
      </c>
      <c r="E154" s="48" t="s">
        <v>118</v>
      </c>
      <c r="F154" s="48" t="s">
        <v>71</v>
      </c>
      <c r="G154" s="48" t="s">
        <v>340</v>
      </c>
      <c r="H154" s="69">
        <f t="shared" si="2"/>
        <v>43891</v>
      </c>
    </row>
    <row r="155" spans="1:8" x14ac:dyDescent="0.25">
      <c r="A155" s="68">
        <v>43916</v>
      </c>
      <c r="B155" s="48">
        <v>9</v>
      </c>
      <c r="C155" s="48">
        <v>0</v>
      </c>
      <c r="D155" s="48">
        <v>0</v>
      </c>
      <c r="E155" s="48" t="s">
        <v>112</v>
      </c>
      <c r="F155" s="48" t="s">
        <v>70</v>
      </c>
      <c r="G155" s="48" t="s">
        <v>91</v>
      </c>
      <c r="H155" s="69">
        <f t="shared" si="2"/>
        <v>43891</v>
      </c>
    </row>
    <row r="156" spans="1:8" x14ac:dyDescent="0.25">
      <c r="A156" s="68">
        <v>43917</v>
      </c>
      <c r="B156" s="48">
        <v>0</v>
      </c>
      <c r="C156" s="48">
        <v>0</v>
      </c>
      <c r="D156" s="48">
        <v>2</v>
      </c>
      <c r="E156" s="48" t="s">
        <v>114</v>
      </c>
      <c r="F156" s="48" t="s">
        <v>73</v>
      </c>
      <c r="G156" s="48" t="s">
        <v>93</v>
      </c>
      <c r="H156" s="69">
        <f t="shared" si="2"/>
        <v>43891</v>
      </c>
    </row>
    <row r="157" spans="1:8" x14ac:dyDescent="0.25">
      <c r="A157" s="68">
        <v>43917</v>
      </c>
      <c r="B157" s="48">
        <v>11</v>
      </c>
      <c r="C157" s="48">
        <v>0</v>
      </c>
      <c r="D157" s="48">
        <v>1</v>
      </c>
      <c r="E157" s="48" t="s">
        <v>114</v>
      </c>
      <c r="F157" s="48" t="s">
        <v>75</v>
      </c>
      <c r="G157" s="48" t="s">
        <v>390</v>
      </c>
      <c r="H157" s="69">
        <f t="shared" si="2"/>
        <v>43891</v>
      </c>
    </row>
    <row r="158" spans="1:8" x14ac:dyDescent="0.25">
      <c r="A158" s="68">
        <v>43917</v>
      </c>
      <c r="B158" s="48">
        <v>5</v>
      </c>
      <c r="C158" s="48">
        <v>0</v>
      </c>
      <c r="D158" s="48">
        <v>0</v>
      </c>
      <c r="E158" s="48" t="s">
        <v>114</v>
      </c>
      <c r="F158" s="48" t="s">
        <v>75</v>
      </c>
      <c r="G158" s="48" t="s">
        <v>103</v>
      </c>
      <c r="H158" s="69">
        <f t="shared" si="2"/>
        <v>43891</v>
      </c>
    </row>
    <row r="159" spans="1:8" x14ac:dyDescent="0.25">
      <c r="A159" s="68">
        <v>43917</v>
      </c>
      <c r="B159" s="48">
        <v>2</v>
      </c>
      <c r="C159" s="48">
        <v>0</v>
      </c>
      <c r="D159" s="48">
        <v>0</v>
      </c>
      <c r="E159" s="48" t="s">
        <v>112</v>
      </c>
      <c r="F159" s="48" t="s">
        <v>74</v>
      </c>
      <c r="G159" s="48" t="s">
        <v>95</v>
      </c>
      <c r="H159" s="69">
        <f t="shared" si="2"/>
        <v>43891</v>
      </c>
    </row>
    <row r="160" spans="1:8" x14ac:dyDescent="0.25">
      <c r="A160" s="68">
        <v>43917</v>
      </c>
      <c r="B160" s="48">
        <v>7</v>
      </c>
      <c r="C160" s="48">
        <v>0</v>
      </c>
      <c r="D160" s="48">
        <v>0</v>
      </c>
      <c r="E160" s="48" t="s">
        <v>114</v>
      </c>
      <c r="F160" s="48" t="s">
        <v>72</v>
      </c>
      <c r="G160" s="48" t="s">
        <v>94</v>
      </c>
      <c r="H160" s="69">
        <f t="shared" si="2"/>
        <v>43891</v>
      </c>
    </row>
    <row r="161" spans="1:8" x14ac:dyDescent="0.25">
      <c r="A161" s="68">
        <v>43917</v>
      </c>
      <c r="B161" s="48">
        <v>2</v>
      </c>
      <c r="C161" s="48">
        <v>0</v>
      </c>
      <c r="D161" s="48">
        <v>0</v>
      </c>
      <c r="E161" s="48" t="s">
        <v>114</v>
      </c>
      <c r="F161" s="48" t="s">
        <v>72</v>
      </c>
      <c r="G161" s="48" t="s">
        <v>96</v>
      </c>
      <c r="H161" s="69">
        <f t="shared" si="2"/>
        <v>43891</v>
      </c>
    </row>
    <row r="162" spans="1:8" x14ac:dyDescent="0.25">
      <c r="A162" s="68">
        <v>43917</v>
      </c>
      <c r="B162" s="48">
        <v>3</v>
      </c>
      <c r="C162" s="48">
        <v>0</v>
      </c>
      <c r="D162" s="48">
        <v>0</v>
      </c>
      <c r="E162" s="48" t="s">
        <v>114</v>
      </c>
      <c r="F162" s="48" t="s">
        <v>72</v>
      </c>
      <c r="G162" s="48" t="s">
        <v>355</v>
      </c>
      <c r="H162" s="69">
        <f t="shared" si="2"/>
        <v>43891</v>
      </c>
    </row>
    <row r="163" spans="1:8" x14ac:dyDescent="0.25">
      <c r="A163" s="68">
        <v>43917</v>
      </c>
      <c r="B163" s="48">
        <v>1</v>
      </c>
      <c r="C163" s="48">
        <v>0</v>
      </c>
      <c r="D163" s="48">
        <v>0</v>
      </c>
      <c r="E163" s="48" t="s">
        <v>114</v>
      </c>
      <c r="F163" s="48" t="s">
        <v>72</v>
      </c>
      <c r="G163" s="48" t="s">
        <v>353</v>
      </c>
      <c r="H163" s="69">
        <f t="shared" si="2"/>
        <v>43891</v>
      </c>
    </row>
    <row r="164" spans="1:8" x14ac:dyDescent="0.25">
      <c r="A164" s="68">
        <v>43917</v>
      </c>
      <c r="B164" s="48">
        <v>3</v>
      </c>
      <c r="C164" s="48">
        <v>0</v>
      </c>
      <c r="D164" s="48">
        <v>0</v>
      </c>
      <c r="E164" s="48" t="s">
        <v>114</v>
      </c>
      <c r="F164" s="48" t="s">
        <v>72</v>
      </c>
      <c r="G164" s="48" t="s">
        <v>338</v>
      </c>
      <c r="H164" s="69">
        <f t="shared" si="2"/>
        <v>43891</v>
      </c>
    </row>
    <row r="165" spans="1:8" x14ac:dyDescent="0.25">
      <c r="A165" s="68">
        <v>43917</v>
      </c>
      <c r="B165" s="48">
        <v>1</v>
      </c>
      <c r="C165" s="48">
        <v>0</v>
      </c>
      <c r="D165" s="48">
        <v>0</v>
      </c>
      <c r="E165" s="48" t="s">
        <v>118</v>
      </c>
      <c r="F165" s="48" t="s">
        <v>72</v>
      </c>
      <c r="G165" s="48" t="s">
        <v>410</v>
      </c>
      <c r="H165" s="69">
        <f t="shared" si="2"/>
        <v>43891</v>
      </c>
    </row>
    <row r="166" spans="1:8" x14ac:dyDescent="0.25">
      <c r="A166" s="68">
        <v>43917</v>
      </c>
      <c r="B166" s="48">
        <v>34</v>
      </c>
      <c r="C166" s="48">
        <v>0</v>
      </c>
      <c r="D166" s="48">
        <v>0</v>
      </c>
      <c r="E166" s="48" t="s">
        <v>114</v>
      </c>
      <c r="F166" s="48" t="s">
        <v>72</v>
      </c>
      <c r="G166" s="48" t="s">
        <v>102</v>
      </c>
      <c r="H166" s="69">
        <f t="shared" si="2"/>
        <v>43891</v>
      </c>
    </row>
    <row r="167" spans="1:8" x14ac:dyDescent="0.25">
      <c r="A167" s="68">
        <v>43917</v>
      </c>
      <c r="B167" s="48">
        <v>3</v>
      </c>
      <c r="C167" s="48">
        <v>0</v>
      </c>
      <c r="D167" s="48">
        <v>0</v>
      </c>
      <c r="E167" s="48" t="s">
        <v>114</v>
      </c>
      <c r="F167" s="48" t="s">
        <v>72</v>
      </c>
      <c r="G167" s="48" t="s">
        <v>101</v>
      </c>
      <c r="H167" s="69">
        <f t="shared" si="2"/>
        <v>43891</v>
      </c>
    </row>
    <row r="168" spans="1:8" x14ac:dyDescent="0.25">
      <c r="A168" s="68">
        <v>43917</v>
      </c>
      <c r="B168" s="48">
        <v>2</v>
      </c>
      <c r="C168" s="48">
        <v>0</v>
      </c>
      <c r="D168" s="48">
        <v>0</v>
      </c>
      <c r="E168" s="48" t="s">
        <v>114</v>
      </c>
      <c r="F168" s="48" t="s">
        <v>72</v>
      </c>
      <c r="G168" s="48" t="s">
        <v>354</v>
      </c>
      <c r="H168" s="69">
        <f t="shared" si="2"/>
        <v>43891</v>
      </c>
    </row>
    <row r="169" spans="1:8" x14ac:dyDescent="0.25">
      <c r="A169" s="68">
        <v>43917</v>
      </c>
      <c r="B169" s="48">
        <v>3</v>
      </c>
      <c r="C169" s="48">
        <v>0</v>
      </c>
      <c r="D169" s="48">
        <v>0</v>
      </c>
      <c r="E169" s="48" t="s">
        <v>114</v>
      </c>
      <c r="F169" s="48" t="s">
        <v>72</v>
      </c>
      <c r="G169" s="48" t="s">
        <v>358</v>
      </c>
      <c r="H169" s="69">
        <f t="shared" si="2"/>
        <v>43891</v>
      </c>
    </row>
    <row r="170" spans="1:8" x14ac:dyDescent="0.25">
      <c r="A170" s="68">
        <v>43917</v>
      </c>
      <c r="B170" s="48">
        <v>2</v>
      </c>
      <c r="C170" s="48">
        <v>0</v>
      </c>
      <c r="D170" s="48">
        <v>0</v>
      </c>
      <c r="E170" s="48" t="s">
        <v>112</v>
      </c>
      <c r="F170" s="48" t="s">
        <v>71</v>
      </c>
      <c r="G170" s="48" t="s">
        <v>92</v>
      </c>
      <c r="H170" s="69">
        <f t="shared" si="2"/>
        <v>43891</v>
      </c>
    </row>
    <row r="171" spans="1:8" x14ac:dyDescent="0.25">
      <c r="A171" s="68">
        <v>43917</v>
      </c>
      <c r="B171" s="48">
        <v>2</v>
      </c>
      <c r="C171" s="48">
        <v>0</v>
      </c>
      <c r="D171" s="48">
        <v>0</v>
      </c>
      <c r="E171" s="48" t="s">
        <v>112</v>
      </c>
      <c r="F171" s="48" t="s">
        <v>71</v>
      </c>
      <c r="G171" s="48" t="s">
        <v>370</v>
      </c>
      <c r="H171" s="69">
        <f t="shared" si="2"/>
        <v>43891</v>
      </c>
    </row>
    <row r="172" spans="1:8" x14ac:dyDescent="0.25">
      <c r="A172" s="68">
        <v>43917</v>
      </c>
      <c r="B172" s="48">
        <v>30</v>
      </c>
      <c r="C172" s="48">
        <v>2</v>
      </c>
      <c r="D172" s="48">
        <v>1</v>
      </c>
      <c r="E172" s="48" t="s">
        <v>118</v>
      </c>
      <c r="F172" s="48" t="s">
        <v>71</v>
      </c>
      <c r="G172" s="48" t="s">
        <v>97</v>
      </c>
      <c r="H172" s="69">
        <f t="shared" si="2"/>
        <v>43891</v>
      </c>
    </row>
    <row r="173" spans="1:8" x14ac:dyDescent="0.25">
      <c r="A173" s="68">
        <v>43917</v>
      </c>
      <c r="B173" s="48">
        <v>7</v>
      </c>
      <c r="C173" s="48">
        <v>0</v>
      </c>
      <c r="D173" s="48">
        <v>0</v>
      </c>
      <c r="E173" s="48" t="s">
        <v>118</v>
      </c>
      <c r="F173" s="48" t="s">
        <v>70</v>
      </c>
      <c r="G173" s="48" t="s">
        <v>104</v>
      </c>
      <c r="H173" s="69">
        <f t="shared" si="2"/>
        <v>43891</v>
      </c>
    </row>
    <row r="174" spans="1:8" x14ac:dyDescent="0.25">
      <c r="A174" s="68">
        <v>43917</v>
      </c>
      <c r="B174" s="48">
        <v>4</v>
      </c>
      <c r="C174" s="48">
        <v>0</v>
      </c>
      <c r="D174" s="48">
        <v>1</v>
      </c>
      <c r="E174" s="48" t="s">
        <v>112</v>
      </c>
      <c r="F174" s="48" t="s">
        <v>70</v>
      </c>
      <c r="G174" s="48" t="s">
        <v>91</v>
      </c>
      <c r="H174" s="69">
        <f t="shared" si="2"/>
        <v>43891</v>
      </c>
    </row>
    <row r="175" spans="1:8" x14ac:dyDescent="0.25">
      <c r="A175" s="68">
        <v>43918</v>
      </c>
      <c r="B175" s="48">
        <v>5</v>
      </c>
      <c r="C175" s="48">
        <v>0</v>
      </c>
      <c r="D175" s="48">
        <v>0</v>
      </c>
      <c r="E175" s="48" t="s">
        <v>112</v>
      </c>
      <c r="F175" s="48" t="s">
        <v>73</v>
      </c>
      <c r="G175" s="48" t="s">
        <v>93</v>
      </c>
      <c r="H175" s="69">
        <f t="shared" si="2"/>
        <v>43891</v>
      </c>
    </row>
    <row r="176" spans="1:8" x14ac:dyDescent="0.25">
      <c r="A176" s="68">
        <v>43918</v>
      </c>
      <c r="B176" s="48">
        <v>8</v>
      </c>
      <c r="C176" s="48">
        <v>0</v>
      </c>
      <c r="D176" s="48">
        <v>1</v>
      </c>
      <c r="E176" s="48" t="s">
        <v>112</v>
      </c>
      <c r="F176" s="48" t="s">
        <v>75</v>
      </c>
      <c r="G176" s="48" t="s">
        <v>361</v>
      </c>
      <c r="H176" s="69">
        <f t="shared" si="2"/>
        <v>43891</v>
      </c>
    </row>
    <row r="177" spans="1:8" x14ac:dyDescent="0.25">
      <c r="A177" s="68">
        <v>43918</v>
      </c>
      <c r="B177" s="48">
        <v>12</v>
      </c>
      <c r="C177" s="48">
        <v>0</v>
      </c>
      <c r="D177" s="48">
        <v>0</v>
      </c>
      <c r="E177" s="48" t="s">
        <v>122</v>
      </c>
      <c r="F177" s="48" t="s">
        <v>74</v>
      </c>
      <c r="G177" s="48" t="s">
        <v>95</v>
      </c>
      <c r="H177" s="69">
        <f t="shared" si="2"/>
        <v>43891</v>
      </c>
    </row>
    <row r="178" spans="1:8" x14ac:dyDescent="0.25">
      <c r="A178" s="68">
        <v>43918</v>
      </c>
      <c r="B178" s="48">
        <v>1</v>
      </c>
      <c r="C178" s="48">
        <v>1</v>
      </c>
      <c r="D178" s="48">
        <v>0</v>
      </c>
      <c r="E178" s="48" t="s">
        <v>114</v>
      </c>
      <c r="F178" s="48" t="s">
        <v>72</v>
      </c>
      <c r="G178" s="48" t="s">
        <v>351</v>
      </c>
      <c r="H178" s="69">
        <f t="shared" si="2"/>
        <v>43891</v>
      </c>
    </row>
    <row r="179" spans="1:8" x14ac:dyDescent="0.25">
      <c r="A179" s="68">
        <v>43918</v>
      </c>
      <c r="B179" s="48">
        <v>1</v>
      </c>
      <c r="C179" s="48">
        <v>0</v>
      </c>
      <c r="D179" s="48">
        <v>0</v>
      </c>
      <c r="E179" s="48" t="s">
        <v>114</v>
      </c>
      <c r="F179" s="48" t="s">
        <v>72</v>
      </c>
      <c r="G179" s="48" t="s">
        <v>341</v>
      </c>
      <c r="H179" s="69">
        <f t="shared" si="2"/>
        <v>43891</v>
      </c>
    </row>
    <row r="180" spans="1:8" x14ac:dyDescent="0.25">
      <c r="A180" s="68">
        <v>43918</v>
      </c>
      <c r="B180" s="48">
        <v>4</v>
      </c>
      <c r="C180" s="48">
        <v>0</v>
      </c>
      <c r="D180" s="48">
        <v>0</v>
      </c>
      <c r="E180" s="48" t="s">
        <v>114</v>
      </c>
      <c r="F180" s="48" t="s">
        <v>72</v>
      </c>
      <c r="G180" s="48" t="s">
        <v>347</v>
      </c>
      <c r="H180" s="69">
        <f t="shared" si="2"/>
        <v>43891</v>
      </c>
    </row>
    <row r="181" spans="1:8" x14ac:dyDescent="0.25">
      <c r="A181" s="68">
        <v>43918</v>
      </c>
      <c r="B181" s="48">
        <v>1</v>
      </c>
      <c r="C181" s="48">
        <v>0</v>
      </c>
      <c r="D181" s="48">
        <v>0</v>
      </c>
      <c r="E181" s="48" t="s">
        <v>114</v>
      </c>
      <c r="F181" s="48" t="s">
        <v>72</v>
      </c>
      <c r="G181" s="48" t="s">
        <v>335</v>
      </c>
      <c r="H181" s="69">
        <f t="shared" si="2"/>
        <v>43891</v>
      </c>
    </row>
    <row r="182" spans="1:8" x14ac:dyDescent="0.25">
      <c r="A182" s="68">
        <v>43918</v>
      </c>
      <c r="B182" s="48">
        <v>1</v>
      </c>
      <c r="C182" s="48">
        <v>0</v>
      </c>
      <c r="D182" s="48">
        <v>0</v>
      </c>
      <c r="E182" s="48" t="s">
        <v>114</v>
      </c>
      <c r="F182" s="48" t="s">
        <v>72</v>
      </c>
      <c r="G182" s="48" t="s">
        <v>337</v>
      </c>
      <c r="H182" s="69">
        <f t="shared" si="2"/>
        <v>43891</v>
      </c>
    </row>
    <row r="183" spans="1:8" x14ac:dyDescent="0.25">
      <c r="A183" s="68">
        <v>43918</v>
      </c>
      <c r="B183" s="48">
        <v>1</v>
      </c>
      <c r="C183" s="48">
        <v>0</v>
      </c>
      <c r="D183" s="48">
        <v>0</v>
      </c>
      <c r="E183" s="48" t="s">
        <v>112</v>
      </c>
      <c r="F183" s="48" t="s">
        <v>71</v>
      </c>
      <c r="G183" s="48" t="s">
        <v>396</v>
      </c>
      <c r="H183" s="69">
        <f t="shared" si="2"/>
        <v>43891</v>
      </c>
    </row>
    <row r="184" spans="1:8" x14ac:dyDescent="0.25">
      <c r="A184" s="68">
        <v>43918</v>
      </c>
      <c r="B184" s="48">
        <v>1</v>
      </c>
      <c r="C184" s="48">
        <v>0</v>
      </c>
      <c r="D184" s="48">
        <v>0</v>
      </c>
      <c r="E184" s="48" t="s">
        <v>112</v>
      </c>
      <c r="F184" s="48" t="s">
        <v>71</v>
      </c>
      <c r="G184" s="48" t="s">
        <v>395</v>
      </c>
      <c r="H184" s="69">
        <f t="shared" si="2"/>
        <v>43891</v>
      </c>
    </row>
    <row r="185" spans="1:8" x14ac:dyDescent="0.25">
      <c r="A185" s="68">
        <v>43918</v>
      </c>
      <c r="B185" s="48">
        <v>1</v>
      </c>
      <c r="C185" s="48">
        <v>0</v>
      </c>
      <c r="D185" s="48">
        <v>0</v>
      </c>
      <c r="E185" s="48" t="s">
        <v>112</v>
      </c>
      <c r="F185" s="48" t="s">
        <v>71</v>
      </c>
      <c r="G185" s="48" t="s">
        <v>392</v>
      </c>
      <c r="H185" s="69">
        <f t="shared" si="2"/>
        <v>43891</v>
      </c>
    </row>
    <row r="186" spans="1:8" x14ac:dyDescent="0.25">
      <c r="A186" s="68">
        <v>43918</v>
      </c>
      <c r="B186" s="48">
        <v>2</v>
      </c>
      <c r="C186" s="48">
        <v>0</v>
      </c>
      <c r="D186" s="48">
        <v>0</v>
      </c>
      <c r="E186" s="48" t="s">
        <v>112</v>
      </c>
      <c r="F186" s="48" t="s">
        <v>71</v>
      </c>
      <c r="G186" s="48" t="s">
        <v>348</v>
      </c>
      <c r="H186" s="69">
        <f t="shared" si="2"/>
        <v>43891</v>
      </c>
    </row>
    <row r="187" spans="1:8" x14ac:dyDescent="0.25">
      <c r="A187" s="68">
        <v>43918</v>
      </c>
      <c r="B187" s="48">
        <v>1</v>
      </c>
      <c r="C187" s="48">
        <v>0</v>
      </c>
      <c r="D187" s="48">
        <v>0</v>
      </c>
      <c r="E187" s="48" t="s">
        <v>112</v>
      </c>
      <c r="F187" s="48" t="s">
        <v>71</v>
      </c>
      <c r="G187" s="48" t="s">
        <v>372</v>
      </c>
      <c r="H187" s="69">
        <f t="shared" si="2"/>
        <v>43891</v>
      </c>
    </row>
    <row r="188" spans="1:8" x14ac:dyDescent="0.25">
      <c r="A188" s="68">
        <v>43918</v>
      </c>
      <c r="B188" s="48">
        <v>26</v>
      </c>
      <c r="C188" s="48">
        <v>0</v>
      </c>
      <c r="D188" s="48">
        <v>0</v>
      </c>
      <c r="E188" s="48" t="s">
        <v>118</v>
      </c>
      <c r="F188" s="48" t="s">
        <v>71</v>
      </c>
      <c r="G188" s="48" t="s">
        <v>97</v>
      </c>
      <c r="H188" s="69">
        <f t="shared" si="2"/>
        <v>43891</v>
      </c>
    </row>
    <row r="189" spans="1:8" x14ac:dyDescent="0.25">
      <c r="A189" s="68">
        <v>43918</v>
      </c>
      <c r="B189" s="48">
        <v>14</v>
      </c>
      <c r="C189" s="48">
        <v>0</v>
      </c>
      <c r="D189" s="48">
        <v>0</v>
      </c>
      <c r="E189" s="48" t="s">
        <v>112</v>
      </c>
      <c r="F189" s="48" t="s">
        <v>71</v>
      </c>
      <c r="G189" s="48" t="s">
        <v>92</v>
      </c>
      <c r="H189" s="69">
        <f t="shared" si="2"/>
        <v>43891</v>
      </c>
    </row>
    <row r="190" spans="1:8" x14ac:dyDescent="0.25">
      <c r="A190" s="68">
        <v>43918</v>
      </c>
      <c r="B190" s="48">
        <v>4</v>
      </c>
      <c r="C190" s="48">
        <v>0</v>
      </c>
      <c r="D190" s="48">
        <v>0</v>
      </c>
      <c r="E190" s="48" t="s">
        <v>112</v>
      </c>
      <c r="F190" s="48" t="s">
        <v>71</v>
      </c>
      <c r="G190" s="48" t="s">
        <v>370</v>
      </c>
      <c r="H190" s="69">
        <f t="shared" si="2"/>
        <v>43891</v>
      </c>
    </row>
    <row r="191" spans="1:8" x14ac:dyDescent="0.25">
      <c r="A191" s="68">
        <v>43918</v>
      </c>
      <c r="B191" s="48">
        <v>10</v>
      </c>
      <c r="C191" s="48">
        <v>0</v>
      </c>
      <c r="D191" s="48">
        <v>0</v>
      </c>
      <c r="E191" s="48" t="s">
        <v>112</v>
      </c>
      <c r="F191" s="48" t="s">
        <v>71</v>
      </c>
      <c r="G191" s="48" t="s">
        <v>364</v>
      </c>
      <c r="H191" s="69">
        <f t="shared" si="2"/>
        <v>43891</v>
      </c>
    </row>
    <row r="192" spans="1:8" x14ac:dyDescent="0.25">
      <c r="A192" s="68">
        <v>43918</v>
      </c>
      <c r="B192" s="48">
        <v>5</v>
      </c>
      <c r="C192" s="48">
        <v>0</v>
      </c>
      <c r="D192" s="48">
        <v>0</v>
      </c>
      <c r="E192" s="48" t="s">
        <v>112</v>
      </c>
      <c r="F192" s="48" t="s">
        <v>71</v>
      </c>
      <c r="G192" s="48" t="s">
        <v>346</v>
      </c>
      <c r="H192" s="69">
        <f t="shared" si="2"/>
        <v>43891</v>
      </c>
    </row>
    <row r="193" spans="1:8" x14ac:dyDescent="0.25">
      <c r="A193" s="68">
        <v>43918</v>
      </c>
      <c r="B193" s="48">
        <v>2</v>
      </c>
      <c r="C193" s="48">
        <v>0</v>
      </c>
      <c r="D193" s="48">
        <v>0</v>
      </c>
      <c r="E193" s="48" t="s">
        <v>112</v>
      </c>
      <c r="F193" s="48" t="s">
        <v>71</v>
      </c>
      <c r="G193" s="48" t="s">
        <v>371</v>
      </c>
      <c r="H193" s="69">
        <f t="shared" si="2"/>
        <v>43891</v>
      </c>
    </row>
    <row r="194" spans="1:8" x14ac:dyDescent="0.25">
      <c r="A194" s="68">
        <v>43918</v>
      </c>
      <c r="B194" s="48">
        <v>29</v>
      </c>
      <c r="C194" s="48">
        <v>0</v>
      </c>
      <c r="D194" s="48">
        <v>0</v>
      </c>
      <c r="E194" s="48" t="s">
        <v>112</v>
      </c>
      <c r="F194" s="48" t="s">
        <v>71</v>
      </c>
      <c r="G194" s="48" t="s">
        <v>350</v>
      </c>
      <c r="H194" s="69">
        <f t="shared" ref="H194:H257" si="3">DATE(YEAR(A194),MONTH(A194),1)</f>
        <v>43891</v>
      </c>
    </row>
    <row r="195" spans="1:8" x14ac:dyDescent="0.25">
      <c r="A195" s="68">
        <v>43918</v>
      </c>
      <c r="B195" s="48">
        <v>5</v>
      </c>
      <c r="C195" s="48">
        <v>0</v>
      </c>
      <c r="D195" s="48">
        <v>0</v>
      </c>
      <c r="E195" s="48" t="s">
        <v>112</v>
      </c>
      <c r="F195" s="48" t="s">
        <v>71</v>
      </c>
      <c r="G195" s="48" t="s">
        <v>340</v>
      </c>
      <c r="H195" s="69">
        <f t="shared" si="3"/>
        <v>43891</v>
      </c>
    </row>
    <row r="196" spans="1:8" x14ac:dyDescent="0.25">
      <c r="A196" s="68">
        <v>43918</v>
      </c>
      <c r="B196" s="48">
        <v>21</v>
      </c>
      <c r="C196" s="48">
        <v>0</v>
      </c>
      <c r="D196" s="48">
        <v>0</v>
      </c>
      <c r="E196" s="48" t="s">
        <v>118</v>
      </c>
      <c r="F196" s="48" t="s">
        <v>71</v>
      </c>
      <c r="G196" s="48" t="s">
        <v>100</v>
      </c>
      <c r="H196" s="69">
        <f t="shared" si="3"/>
        <v>43891</v>
      </c>
    </row>
    <row r="197" spans="1:8" x14ac:dyDescent="0.25">
      <c r="A197" s="68">
        <v>43918</v>
      </c>
      <c r="B197" s="48">
        <v>25</v>
      </c>
      <c r="C197" s="48">
        <v>1</v>
      </c>
      <c r="D197" s="48">
        <v>0</v>
      </c>
      <c r="E197" s="48" t="s">
        <v>112</v>
      </c>
      <c r="F197" s="48" t="s">
        <v>70</v>
      </c>
      <c r="G197" s="48" t="s">
        <v>91</v>
      </c>
      <c r="H197" s="69">
        <f t="shared" si="3"/>
        <v>43891</v>
      </c>
    </row>
    <row r="198" spans="1:8" x14ac:dyDescent="0.25">
      <c r="A198" s="68">
        <v>43918</v>
      </c>
      <c r="B198" s="48">
        <v>4</v>
      </c>
      <c r="C198" s="48">
        <v>0</v>
      </c>
      <c r="D198" s="48">
        <v>0</v>
      </c>
      <c r="E198" s="48" t="s">
        <v>112</v>
      </c>
      <c r="F198" s="48" t="s">
        <v>70</v>
      </c>
      <c r="G198" s="48" t="s">
        <v>99</v>
      </c>
      <c r="H198" s="69">
        <f t="shared" si="3"/>
        <v>43891</v>
      </c>
    </row>
    <row r="199" spans="1:8" x14ac:dyDescent="0.25">
      <c r="A199" s="68">
        <v>43919</v>
      </c>
      <c r="B199" s="48">
        <v>4</v>
      </c>
      <c r="C199" s="48">
        <v>0</v>
      </c>
      <c r="D199" s="48">
        <v>0</v>
      </c>
      <c r="E199" s="48" t="s">
        <v>114</v>
      </c>
      <c r="F199" s="48" t="s">
        <v>76</v>
      </c>
      <c r="G199" s="48" t="s">
        <v>339</v>
      </c>
      <c r="H199" s="69">
        <f t="shared" si="3"/>
        <v>43891</v>
      </c>
    </row>
    <row r="200" spans="1:8" x14ac:dyDescent="0.25">
      <c r="A200" s="68">
        <v>43919</v>
      </c>
      <c r="B200" s="48">
        <v>0</v>
      </c>
      <c r="C200" s="48">
        <v>1</v>
      </c>
      <c r="D200" s="48">
        <v>0</v>
      </c>
      <c r="E200" s="48" t="s">
        <v>112</v>
      </c>
      <c r="F200" s="48" t="s">
        <v>75</v>
      </c>
      <c r="G200" s="48" t="s">
        <v>361</v>
      </c>
      <c r="H200" s="69">
        <f t="shared" si="3"/>
        <v>43891</v>
      </c>
    </row>
    <row r="201" spans="1:8" x14ac:dyDescent="0.25">
      <c r="A201" s="68">
        <v>43919</v>
      </c>
      <c r="B201" s="48">
        <v>5</v>
      </c>
      <c r="C201" s="48">
        <v>0</v>
      </c>
      <c r="D201" s="48">
        <v>0</v>
      </c>
      <c r="E201" s="48" t="s">
        <v>114</v>
      </c>
      <c r="F201" s="48" t="s">
        <v>75</v>
      </c>
      <c r="G201" s="48" t="s">
        <v>390</v>
      </c>
      <c r="H201" s="69">
        <f t="shared" si="3"/>
        <v>43891</v>
      </c>
    </row>
    <row r="202" spans="1:8" x14ac:dyDescent="0.25">
      <c r="A202" s="68">
        <v>43919</v>
      </c>
      <c r="B202" s="48">
        <v>2</v>
      </c>
      <c r="C202" s="48">
        <v>0</v>
      </c>
      <c r="D202" s="48">
        <v>0</v>
      </c>
      <c r="E202" s="48" t="s">
        <v>118</v>
      </c>
      <c r="F202" s="48" t="s">
        <v>75</v>
      </c>
      <c r="G202" s="48" t="s">
        <v>404</v>
      </c>
      <c r="H202" s="69">
        <f t="shared" si="3"/>
        <v>43891</v>
      </c>
    </row>
    <row r="203" spans="1:8" x14ac:dyDescent="0.25">
      <c r="A203" s="68">
        <v>43919</v>
      </c>
      <c r="B203" s="48">
        <v>3</v>
      </c>
      <c r="C203" s="48">
        <v>0</v>
      </c>
      <c r="D203" s="48">
        <v>0</v>
      </c>
      <c r="E203" s="48" t="s">
        <v>112</v>
      </c>
      <c r="F203" s="48" t="s">
        <v>75</v>
      </c>
      <c r="G203" s="48" t="s">
        <v>373</v>
      </c>
      <c r="H203" s="69">
        <f t="shared" si="3"/>
        <v>43891</v>
      </c>
    </row>
    <row r="204" spans="1:8" x14ac:dyDescent="0.25">
      <c r="A204" s="68">
        <v>43919</v>
      </c>
      <c r="B204" s="48">
        <v>2</v>
      </c>
      <c r="C204" s="48">
        <v>0</v>
      </c>
      <c r="D204" s="48">
        <v>0</v>
      </c>
      <c r="E204" s="48" t="s">
        <v>114</v>
      </c>
      <c r="F204" s="48" t="s">
        <v>75</v>
      </c>
      <c r="G204" s="48" t="s">
        <v>393</v>
      </c>
      <c r="H204" s="69">
        <f t="shared" si="3"/>
        <v>43891</v>
      </c>
    </row>
    <row r="205" spans="1:8" x14ac:dyDescent="0.25">
      <c r="A205" s="68">
        <v>43919</v>
      </c>
      <c r="B205" s="48">
        <v>4</v>
      </c>
      <c r="C205" s="48">
        <v>0</v>
      </c>
      <c r="D205" s="48">
        <v>1</v>
      </c>
      <c r="E205" s="48" t="s">
        <v>112</v>
      </c>
      <c r="F205" s="48" t="s">
        <v>74</v>
      </c>
      <c r="G205" s="48" t="s">
        <v>95</v>
      </c>
      <c r="H205" s="69">
        <f t="shared" si="3"/>
        <v>43891</v>
      </c>
    </row>
    <row r="206" spans="1:8" x14ac:dyDescent="0.25">
      <c r="A206" s="68">
        <v>43919</v>
      </c>
      <c r="B206" s="48">
        <v>1</v>
      </c>
      <c r="C206" s="48">
        <v>1</v>
      </c>
      <c r="D206" s="48">
        <v>0</v>
      </c>
      <c r="E206" s="48" t="s">
        <v>114</v>
      </c>
      <c r="F206" s="48" t="s">
        <v>72</v>
      </c>
      <c r="G206" s="48" t="s">
        <v>337</v>
      </c>
      <c r="H206" s="69">
        <f t="shared" si="3"/>
        <v>43891</v>
      </c>
    </row>
    <row r="207" spans="1:8" x14ac:dyDescent="0.25">
      <c r="A207" s="68">
        <v>43919</v>
      </c>
      <c r="B207" s="48">
        <v>2</v>
      </c>
      <c r="C207" s="48">
        <v>0</v>
      </c>
      <c r="D207" s="48">
        <v>0</v>
      </c>
      <c r="E207" s="48" t="s">
        <v>112</v>
      </c>
      <c r="F207" s="48" t="s">
        <v>72</v>
      </c>
      <c r="G207" s="48" t="s">
        <v>94</v>
      </c>
      <c r="H207" s="69">
        <f t="shared" si="3"/>
        <v>43891</v>
      </c>
    </row>
    <row r="208" spans="1:8" x14ac:dyDescent="0.25">
      <c r="A208" s="68">
        <v>43919</v>
      </c>
      <c r="B208" s="48">
        <v>1</v>
      </c>
      <c r="C208" s="48">
        <v>1</v>
      </c>
      <c r="D208" s="48">
        <v>0</v>
      </c>
      <c r="E208" s="48" t="s">
        <v>114</v>
      </c>
      <c r="F208" s="48" t="s">
        <v>72</v>
      </c>
      <c r="G208" s="48" t="s">
        <v>335</v>
      </c>
      <c r="H208" s="69">
        <f t="shared" si="3"/>
        <v>43891</v>
      </c>
    </row>
    <row r="209" spans="1:8" x14ac:dyDescent="0.25">
      <c r="A209" s="68">
        <v>43919</v>
      </c>
      <c r="B209" s="48">
        <v>0</v>
      </c>
      <c r="C209" s="48">
        <v>0</v>
      </c>
      <c r="D209" s="48">
        <v>3</v>
      </c>
      <c r="E209" s="48" t="s">
        <v>112</v>
      </c>
      <c r="F209" s="48" t="s">
        <v>71</v>
      </c>
      <c r="G209" s="48" t="s">
        <v>92</v>
      </c>
      <c r="H209" s="69">
        <f t="shared" si="3"/>
        <v>43891</v>
      </c>
    </row>
    <row r="210" spans="1:8" x14ac:dyDescent="0.25">
      <c r="A210" s="68">
        <v>43919</v>
      </c>
      <c r="B210" s="48">
        <v>1</v>
      </c>
      <c r="C210" s="48">
        <v>0</v>
      </c>
      <c r="D210" s="48">
        <v>0</v>
      </c>
      <c r="E210" s="48" t="s">
        <v>112</v>
      </c>
      <c r="F210" s="48" t="s">
        <v>71</v>
      </c>
      <c r="G210" s="48" t="s">
        <v>372</v>
      </c>
      <c r="H210" s="69">
        <f t="shared" si="3"/>
        <v>43891</v>
      </c>
    </row>
    <row r="211" spans="1:8" x14ac:dyDescent="0.25">
      <c r="A211" s="68">
        <v>43919</v>
      </c>
      <c r="B211" s="48">
        <v>1</v>
      </c>
      <c r="C211" s="48">
        <v>0</v>
      </c>
      <c r="D211" s="48">
        <v>0</v>
      </c>
      <c r="E211" s="48" t="s">
        <v>112</v>
      </c>
      <c r="F211" s="48" t="s">
        <v>71</v>
      </c>
      <c r="G211" s="48" t="s">
        <v>378</v>
      </c>
      <c r="H211" s="69">
        <f t="shared" si="3"/>
        <v>43891</v>
      </c>
    </row>
    <row r="212" spans="1:8" x14ac:dyDescent="0.25">
      <c r="A212" s="68">
        <v>43919</v>
      </c>
      <c r="B212" s="48">
        <v>3</v>
      </c>
      <c r="C212" s="48">
        <v>0</v>
      </c>
      <c r="D212" s="48">
        <v>0</v>
      </c>
      <c r="E212" s="48" t="s">
        <v>112</v>
      </c>
      <c r="F212" s="48" t="s">
        <v>71</v>
      </c>
      <c r="G212" s="48" t="s">
        <v>350</v>
      </c>
      <c r="H212" s="69">
        <f t="shared" si="3"/>
        <v>43891</v>
      </c>
    </row>
    <row r="213" spans="1:8" x14ac:dyDescent="0.25">
      <c r="A213" s="68">
        <v>43919</v>
      </c>
      <c r="B213" s="48">
        <v>7</v>
      </c>
      <c r="C213" s="48">
        <v>0</v>
      </c>
      <c r="D213" s="48">
        <v>0</v>
      </c>
      <c r="E213" s="48" t="s">
        <v>112</v>
      </c>
      <c r="F213" s="48" t="s">
        <v>71</v>
      </c>
      <c r="G213" s="48" t="s">
        <v>371</v>
      </c>
      <c r="H213" s="69">
        <f t="shared" si="3"/>
        <v>43891</v>
      </c>
    </row>
    <row r="214" spans="1:8" x14ac:dyDescent="0.25">
      <c r="A214" s="68">
        <v>43919</v>
      </c>
      <c r="B214" s="48">
        <v>1</v>
      </c>
      <c r="C214" s="48">
        <v>0</v>
      </c>
      <c r="D214" s="48">
        <v>0</v>
      </c>
      <c r="E214" s="48" t="s">
        <v>112</v>
      </c>
      <c r="F214" s="48" t="s">
        <v>71</v>
      </c>
      <c r="G214" s="48" t="s">
        <v>364</v>
      </c>
      <c r="H214" s="69">
        <f t="shared" si="3"/>
        <v>43891</v>
      </c>
    </row>
    <row r="215" spans="1:8" x14ac:dyDescent="0.25">
      <c r="A215" s="68">
        <v>43919</v>
      </c>
      <c r="B215" s="48">
        <v>11</v>
      </c>
      <c r="C215" s="48">
        <v>0</v>
      </c>
      <c r="D215" s="48">
        <v>0</v>
      </c>
      <c r="E215" s="48" t="s">
        <v>112</v>
      </c>
      <c r="F215" s="48" t="s">
        <v>71</v>
      </c>
      <c r="G215" s="48" t="s">
        <v>346</v>
      </c>
      <c r="H215" s="69">
        <f t="shared" si="3"/>
        <v>43891</v>
      </c>
    </row>
    <row r="216" spans="1:8" x14ac:dyDescent="0.25">
      <c r="A216" s="68">
        <v>43919</v>
      </c>
      <c r="B216" s="48">
        <v>5</v>
      </c>
      <c r="C216" s="48">
        <v>0</v>
      </c>
      <c r="D216" s="48">
        <v>0</v>
      </c>
      <c r="E216" s="48" t="s">
        <v>118</v>
      </c>
      <c r="F216" s="48" t="s">
        <v>71</v>
      </c>
      <c r="G216" s="48" t="s">
        <v>100</v>
      </c>
      <c r="H216" s="69">
        <f t="shared" si="3"/>
        <v>43891</v>
      </c>
    </row>
    <row r="217" spans="1:8" x14ac:dyDescent="0.25">
      <c r="A217" s="68">
        <v>43919</v>
      </c>
      <c r="B217" s="48">
        <v>1</v>
      </c>
      <c r="C217" s="48">
        <v>1</v>
      </c>
      <c r="D217" s="48">
        <v>0</v>
      </c>
      <c r="E217" s="48" t="s">
        <v>112</v>
      </c>
      <c r="F217" s="48" t="s">
        <v>71</v>
      </c>
      <c r="G217" s="48" t="s">
        <v>362</v>
      </c>
      <c r="H217" s="69">
        <f t="shared" si="3"/>
        <v>43891</v>
      </c>
    </row>
    <row r="218" spans="1:8" x14ac:dyDescent="0.25">
      <c r="A218" s="68">
        <v>43919</v>
      </c>
      <c r="B218" s="48">
        <v>33</v>
      </c>
      <c r="C218" s="48">
        <v>2</v>
      </c>
      <c r="D218" s="48">
        <v>3</v>
      </c>
      <c r="E218" s="48" t="s">
        <v>112</v>
      </c>
      <c r="F218" s="48" t="s">
        <v>70</v>
      </c>
      <c r="G218" s="48" t="s">
        <v>91</v>
      </c>
      <c r="H218" s="69">
        <f t="shared" si="3"/>
        <v>43891</v>
      </c>
    </row>
    <row r="219" spans="1:8" x14ac:dyDescent="0.25">
      <c r="A219" s="68">
        <v>43920</v>
      </c>
      <c r="B219" s="48">
        <v>6</v>
      </c>
      <c r="C219" s="48">
        <v>0</v>
      </c>
      <c r="D219" s="48">
        <v>0</v>
      </c>
      <c r="E219" s="48" t="s">
        <v>112</v>
      </c>
      <c r="F219" s="48" t="s">
        <v>73</v>
      </c>
      <c r="G219" s="48" t="s">
        <v>93</v>
      </c>
      <c r="H219" s="69">
        <f t="shared" si="3"/>
        <v>43891</v>
      </c>
    </row>
    <row r="220" spans="1:8" x14ac:dyDescent="0.25">
      <c r="A220" s="68">
        <v>43920</v>
      </c>
      <c r="B220" s="48">
        <v>1</v>
      </c>
      <c r="C220" s="48">
        <v>0</v>
      </c>
      <c r="D220" s="48">
        <v>0</v>
      </c>
      <c r="E220" s="48" t="s">
        <v>112</v>
      </c>
      <c r="F220" s="48" t="s">
        <v>77</v>
      </c>
      <c r="G220" s="48" t="s">
        <v>344</v>
      </c>
      <c r="H220" s="69">
        <f t="shared" si="3"/>
        <v>43891</v>
      </c>
    </row>
    <row r="221" spans="1:8" x14ac:dyDescent="0.25">
      <c r="A221" s="68">
        <v>43920</v>
      </c>
      <c r="B221" s="48">
        <v>18</v>
      </c>
      <c r="C221" s="48">
        <v>0</v>
      </c>
      <c r="D221" s="48">
        <v>4</v>
      </c>
      <c r="E221" s="48" t="s">
        <v>114</v>
      </c>
      <c r="F221" s="48" t="s">
        <v>75</v>
      </c>
      <c r="G221" s="48" t="s">
        <v>361</v>
      </c>
      <c r="H221" s="69">
        <f t="shared" si="3"/>
        <v>43891</v>
      </c>
    </row>
    <row r="222" spans="1:8" x14ac:dyDescent="0.25">
      <c r="A222" s="68">
        <v>43920</v>
      </c>
      <c r="B222" s="48">
        <v>8</v>
      </c>
      <c r="C222" s="48">
        <v>0</v>
      </c>
      <c r="D222" s="48">
        <v>1</v>
      </c>
      <c r="E222" s="48" t="s">
        <v>112</v>
      </c>
      <c r="F222" s="48" t="s">
        <v>74</v>
      </c>
      <c r="G222" s="48" t="s">
        <v>95</v>
      </c>
      <c r="H222" s="69">
        <f t="shared" si="3"/>
        <v>43891</v>
      </c>
    </row>
    <row r="223" spans="1:8" x14ac:dyDescent="0.25">
      <c r="A223" s="68">
        <v>43920</v>
      </c>
      <c r="B223" s="48">
        <v>3</v>
      </c>
      <c r="C223" s="48">
        <v>0</v>
      </c>
      <c r="D223" s="48">
        <v>0</v>
      </c>
      <c r="E223" s="48" t="s">
        <v>118</v>
      </c>
      <c r="F223" s="48" t="s">
        <v>72</v>
      </c>
      <c r="G223" s="48" t="s">
        <v>94</v>
      </c>
      <c r="H223" s="69">
        <f t="shared" si="3"/>
        <v>43891</v>
      </c>
    </row>
    <row r="224" spans="1:8" x14ac:dyDescent="0.25">
      <c r="A224" s="68">
        <v>43920</v>
      </c>
      <c r="B224" s="48">
        <v>1</v>
      </c>
      <c r="C224" s="48">
        <v>0</v>
      </c>
      <c r="D224" s="48">
        <v>0</v>
      </c>
      <c r="E224" s="48" t="s">
        <v>114</v>
      </c>
      <c r="F224" s="48" t="s">
        <v>72</v>
      </c>
      <c r="G224" s="48" t="s">
        <v>365</v>
      </c>
      <c r="H224" s="69">
        <f t="shared" si="3"/>
        <v>43891</v>
      </c>
    </row>
    <row r="225" spans="1:8" x14ac:dyDescent="0.25">
      <c r="A225" s="68">
        <v>43920</v>
      </c>
      <c r="B225" s="48">
        <v>1</v>
      </c>
      <c r="C225" s="48">
        <v>0</v>
      </c>
      <c r="D225" s="48">
        <v>0</v>
      </c>
      <c r="E225" s="48" t="s">
        <v>112</v>
      </c>
      <c r="F225" s="48" t="s">
        <v>72</v>
      </c>
      <c r="G225" s="48" t="s">
        <v>351</v>
      </c>
      <c r="H225" s="69">
        <f t="shared" si="3"/>
        <v>43891</v>
      </c>
    </row>
    <row r="226" spans="1:8" x14ac:dyDescent="0.25">
      <c r="A226" s="68">
        <v>43920</v>
      </c>
      <c r="B226" s="48">
        <v>3</v>
      </c>
      <c r="C226" s="48">
        <v>0</v>
      </c>
      <c r="D226" s="48">
        <v>0</v>
      </c>
      <c r="E226" s="48" t="s">
        <v>112</v>
      </c>
      <c r="F226" s="48" t="s">
        <v>72</v>
      </c>
      <c r="G226" s="48" t="s">
        <v>335</v>
      </c>
      <c r="H226" s="69">
        <f t="shared" si="3"/>
        <v>43891</v>
      </c>
    </row>
    <row r="227" spans="1:8" x14ac:dyDescent="0.25">
      <c r="A227" s="68">
        <v>43920</v>
      </c>
      <c r="B227" s="48">
        <v>1</v>
      </c>
      <c r="C227" s="48">
        <v>0</v>
      </c>
      <c r="D227" s="48">
        <v>0</v>
      </c>
      <c r="E227" s="48" t="s">
        <v>112</v>
      </c>
      <c r="F227" s="48" t="s">
        <v>72</v>
      </c>
      <c r="G227" s="48" t="s">
        <v>354</v>
      </c>
      <c r="H227" s="69">
        <f t="shared" si="3"/>
        <v>43891</v>
      </c>
    </row>
    <row r="228" spans="1:8" x14ac:dyDescent="0.25">
      <c r="A228" s="68">
        <v>43920</v>
      </c>
      <c r="B228" s="48">
        <v>1</v>
      </c>
      <c r="C228" s="48">
        <v>0</v>
      </c>
      <c r="D228" s="48">
        <v>0</v>
      </c>
      <c r="E228" s="48" t="s">
        <v>112</v>
      </c>
      <c r="F228" s="48" t="s">
        <v>72</v>
      </c>
      <c r="G228" s="48" t="s">
        <v>102</v>
      </c>
      <c r="H228" s="69">
        <f t="shared" si="3"/>
        <v>43891</v>
      </c>
    </row>
    <row r="229" spans="1:8" x14ac:dyDescent="0.25">
      <c r="A229" s="68">
        <v>43920</v>
      </c>
      <c r="B229" s="48">
        <v>16</v>
      </c>
      <c r="C229" s="48">
        <v>0</v>
      </c>
      <c r="D229" s="48">
        <v>0</v>
      </c>
      <c r="E229" s="48" t="s">
        <v>112</v>
      </c>
      <c r="F229" s="48" t="s">
        <v>72</v>
      </c>
      <c r="G229" s="48" t="s">
        <v>94</v>
      </c>
      <c r="H229" s="69">
        <f t="shared" si="3"/>
        <v>43891</v>
      </c>
    </row>
    <row r="230" spans="1:8" x14ac:dyDescent="0.25">
      <c r="A230" s="68">
        <v>43920</v>
      </c>
      <c r="B230" s="48">
        <v>11</v>
      </c>
      <c r="C230" s="48">
        <v>0</v>
      </c>
      <c r="D230" s="48">
        <v>1</v>
      </c>
      <c r="E230" s="48" t="s">
        <v>112</v>
      </c>
      <c r="F230" s="48" t="s">
        <v>71</v>
      </c>
      <c r="G230" s="48" t="s">
        <v>395</v>
      </c>
      <c r="H230" s="69">
        <f t="shared" si="3"/>
        <v>43891</v>
      </c>
    </row>
    <row r="231" spans="1:8" x14ac:dyDescent="0.25">
      <c r="A231" s="68">
        <v>43920</v>
      </c>
      <c r="B231" s="48">
        <v>14</v>
      </c>
      <c r="C231" s="48">
        <v>0</v>
      </c>
      <c r="D231" s="48">
        <v>0</v>
      </c>
      <c r="E231" s="48" t="s">
        <v>114</v>
      </c>
      <c r="F231" s="48" t="s">
        <v>71</v>
      </c>
      <c r="G231" s="48" t="s">
        <v>92</v>
      </c>
      <c r="H231" s="69">
        <f t="shared" si="3"/>
        <v>43891</v>
      </c>
    </row>
    <row r="232" spans="1:8" x14ac:dyDescent="0.25">
      <c r="A232" s="68">
        <v>43920</v>
      </c>
      <c r="B232" s="48">
        <v>8</v>
      </c>
      <c r="C232" s="48">
        <v>0</v>
      </c>
      <c r="D232" s="48">
        <v>0</v>
      </c>
      <c r="E232" s="48" t="s">
        <v>112</v>
      </c>
      <c r="F232" s="48" t="s">
        <v>71</v>
      </c>
      <c r="G232" s="48" t="s">
        <v>350</v>
      </c>
      <c r="H232" s="69">
        <f t="shared" si="3"/>
        <v>43891</v>
      </c>
    </row>
    <row r="233" spans="1:8" x14ac:dyDescent="0.25">
      <c r="A233" s="68">
        <v>43920</v>
      </c>
      <c r="B233" s="48">
        <v>26</v>
      </c>
      <c r="C233" s="48">
        <v>0</v>
      </c>
      <c r="D233" s="48">
        <v>1</v>
      </c>
      <c r="E233" s="48" t="s">
        <v>118</v>
      </c>
      <c r="F233" s="48" t="s">
        <v>71</v>
      </c>
      <c r="G233" s="48" t="s">
        <v>100</v>
      </c>
      <c r="H233" s="69">
        <f t="shared" si="3"/>
        <v>43891</v>
      </c>
    </row>
    <row r="234" spans="1:8" x14ac:dyDescent="0.25">
      <c r="A234" s="68">
        <v>43920</v>
      </c>
      <c r="B234" s="48">
        <v>21</v>
      </c>
      <c r="C234" s="48">
        <v>4</v>
      </c>
      <c r="D234" s="48">
        <v>2</v>
      </c>
      <c r="E234" s="48" t="s">
        <v>112</v>
      </c>
      <c r="F234" s="48" t="s">
        <v>70</v>
      </c>
      <c r="G234" s="48" t="s">
        <v>91</v>
      </c>
      <c r="H234" s="69">
        <f t="shared" si="3"/>
        <v>43891</v>
      </c>
    </row>
    <row r="235" spans="1:8" x14ac:dyDescent="0.25">
      <c r="A235" s="68">
        <v>43920</v>
      </c>
      <c r="B235" s="48">
        <v>6</v>
      </c>
      <c r="C235" s="48">
        <v>0</v>
      </c>
      <c r="D235" s="48">
        <v>23</v>
      </c>
      <c r="E235" s="48" t="s">
        <v>112</v>
      </c>
      <c r="F235" s="48" t="s">
        <v>70</v>
      </c>
      <c r="G235" s="48" t="s">
        <v>98</v>
      </c>
      <c r="H235" s="69">
        <f t="shared" si="3"/>
        <v>43891</v>
      </c>
    </row>
    <row r="236" spans="1:8" x14ac:dyDescent="0.25">
      <c r="A236" s="68">
        <v>43921</v>
      </c>
      <c r="B236" s="48">
        <v>14</v>
      </c>
      <c r="C236" s="48">
        <v>0</v>
      </c>
      <c r="D236" s="48">
        <v>17</v>
      </c>
      <c r="E236" s="48" t="s">
        <v>118</v>
      </c>
      <c r="F236" s="48" t="s">
        <v>73</v>
      </c>
      <c r="G236" s="48" t="s">
        <v>93</v>
      </c>
      <c r="H236" s="69">
        <f t="shared" si="3"/>
        <v>43891</v>
      </c>
    </row>
    <row r="237" spans="1:8" x14ac:dyDescent="0.25">
      <c r="A237" s="68">
        <v>43921</v>
      </c>
      <c r="B237" s="48">
        <v>1</v>
      </c>
      <c r="C237" s="48">
        <v>0</v>
      </c>
      <c r="D237" s="48">
        <v>0</v>
      </c>
      <c r="E237" s="48" t="s">
        <v>112</v>
      </c>
      <c r="F237" s="48" t="s">
        <v>77</v>
      </c>
      <c r="G237" s="48" t="s">
        <v>344</v>
      </c>
      <c r="H237" s="69">
        <f t="shared" si="3"/>
        <v>43891</v>
      </c>
    </row>
    <row r="238" spans="1:8" x14ac:dyDescent="0.25">
      <c r="A238" s="68">
        <v>43921</v>
      </c>
      <c r="B238" s="48">
        <v>1</v>
      </c>
      <c r="C238" s="48">
        <v>0</v>
      </c>
      <c r="D238" s="48">
        <v>0</v>
      </c>
      <c r="E238" s="48" t="s">
        <v>118</v>
      </c>
      <c r="F238" s="48" t="s">
        <v>77</v>
      </c>
      <c r="G238" s="48" t="s">
        <v>359</v>
      </c>
      <c r="H238" s="69">
        <f t="shared" si="3"/>
        <v>43891</v>
      </c>
    </row>
    <row r="239" spans="1:8" x14ac:dyDescent="0.25">
      <c r="A239" s="68">
        <v>43921</v>
      </c>
      <c r="B239" s="48">
        <v>37</v>
      </c>
      <c r="C239" s="48">
        <v>0</v>
      </c>
      <c r="D239" s="48">
        <v>0</v>
      </c>
      <c r="E239" s="48" t="s">
        <v>114</v>
      </c>
      <c r="F239" s="48" t="s">
        <v>75</v>
      </c>
      <c r="G239" s="48" t="s">
        <v>361</v>
      </c>
      <c r="H239" s="69">
        <f t="shared" si="3"/>
        <v>43891</v>
      </c>
    </row>
    <row r="240" spans="1:8" x14ac:dyDescent="0.25">
      <c r="A240" s="68">
        <v>43921</v>
      </c>
      <c r="B240" s="48">
        <v>7</v>
      </c>
      <c r="C240" s="48">
        <v>0</v>
      </c>
      <c r="D240" s="48">
        <v>0</v>
      </c>
      <c r="E240" s="48" t="s">
        <v>114</v>
      </c>
      <c r="F240" s="48" t="s">
        <v>74</v>
      </c>
      <c r="G240" s="48" t="s">
        <v>95</v>
      </c>
      <c r="H240" s="69">
        <f t="shared" si="3"/>
        <v>43891</v>
      </c>
    </row>
    <row r="241" spans="1:8" x14ac:dyDescent="0.25">
      <c r="A241" s="68">
        <v>43921</v>
      </c>
      <c r="B241" s="48">
        <v>0</v>
      </c>
      <c r="C241" s="48">
        <v>0</v>
      </c>
      <c r="D241" s="48">
        <v>0</v>
      </c>
      <c r="E241" s="48" t="s">
        <v>114</v>
      </c>
      <c r="F241" s="48" t="s">
        <v>72</v>
      </c>
      <c r="G241" s="48" t="s">
        <v>94</v>
      </c>
      <c r="H241" s="69">
        <f t="shared" si="3"/>
        <v>43891</v>
      </c>
    </row>
    <row r="242" spans="1:8" x14ac:dyDescent="0.25">
      <c r="A242" s="68">
        <v>43921</v>
      </c>
      <c r="B242" s="48">
        <v>3</v>
      </c>
      <c r="C242" s="48">
        <v>0</v>
      </c>
      <c r="D242" s="48">
        <v>0</v>
      </c>
      <c r="E242" s="48" t="s">
        <v>114</v>
      </c>
      <c r="F242" s="48" t="s">
        <v>72</v>
      </c>
      <c r="G242" s="48" t="s">
        <v>351</v>
      </c>
      <c r="H242" s="69">
        <f t="shared" si="3"/>
        <v>43891</v>
      </c>
    </row>
    <row r="243" spans="1:8" x14ac:dyDescent="0.25">
      <c r="A243" s="68">
        <v>43921</v>
      </c>
      <c r="B243" s="48">
        <v>1</v>
      </c>
      <c r="C243" s="48">
        <v>0</v>
      </c>
      <c r="D243" s="48">
        <v>0</v>
      </c>
      <c r="E243" s="48" t="s">
        <v>112</v>
      </c>
      <c r="F243" s="48" t="s">
        <v>72</v>
      </c>
      <c r="G243" s="48" t="s">
        <v>356</v>
      </c>
      <c r="H243" s="69">
        <f t="shared" si="3"/>
        <v>43891</v>
      </c>
    </row>
    <row r="244" spans="1:8" x14ac:dyDescent="0.25">
      <c r="A244" s="68">
        <v>43921</v>
      </c>
      <c r="B244" s="48">
        <v>10</v>
      </c>
      <c r="C244" s="48">
        <v>0</v>
      </c>
      <c r="D244" s="48">
        <v>0</v>
      </c>
      <c r="E244" s="48" t="s">
        <v>112</v>
      </c>
      <c r="F244" s="48" t="s">
        <v>72</v>
      </c>
      <c r="G244" s="48" t="s">
        <v>358</v>
      </c>
      <c r="H244" s="69">
        <f t="shared" si="3"/>
        <v>43891</v>
      </c>
    </row>
    <row r="245" spans="1:8" x14ac:dyDescent="0.25">
      <c r="A245" s="68">
        <v>43921</v>
      </c>
      <c r="B245" s="48">
        <v>1</v>
      </c>
      <c r="C245" s="48">
        <v>0</v>
      </c>
      <c r="D245" s="48">
        <v>5</v>
      </c>
      <c r="E245" s="48" t="s">
        <v>112</v>
      </c>
      <c r="F245" s="48" t="s">
        <v>72</v>
      </c>
      <c r="G245" s="48" t="s">
        <v>102</v>
      </c>
      <c r="H245" s="69">
        <f t="shared" si="3"/>
        <v>43891</v>
      </c>
    </row>
    <row r="246" spans="1:8" x14ac:dyDescent="0.25">
      <c r="A246" s="68">
        <v>43921</v>
      </c>
      <c r="B246" s="48">
        <v>4</v>
      </c>
      <c r="C246" s="48">
        <v>1</v>
      </c>
      <c r="D246" s="48">
        <v>10</v>
      </c>
      <c r="E246" s="48" t="s">
        <v>118</v>
      </c>
      <c r="F246" s="48" t="s">
        <v>72</v>
      </c>
      <c r="G246" s="48" t="s">
        <v>351</v>
      </c>
      <c r="H246" s="69">
        <f t="shared" si="3"/>
        <v>43891</v>
      </c>
    </row>
    <row r="247" spans="1:8" x14ac:dyDescent="0.25">
      <c r="A247" s="68">
        <v>43921</v>
      </c>
      <c r="B247" s="48">
        <v>10</v>
      </c>
      <c r="C247" s="48">
        <v>0</v>
      </c>
      <c r="D247" s="48">
        <v>0</v>
      </c>
      <c r="E247" s="48" t="s">
        <v>114</v>
      </c>
      <c r="F247" s="48" t="s">
        <v>72</v>
      </c>
      <c r="G247" s="48" t="s">
        <v>94</v>
      </c>
      <c r="H247" s="69">
        <f t="shared" si="3"/>
        <v>43891</v>
      </c>
    </row>
    <row r="248" spans="1:8" x14ac:dyDescent="0.25">
      <c r="A248" s="68">
        <v>43921</v>
      </c>
      <c r="B248" s="48">
        <v>0</v>
      </c>
      <c r="C248" s="48">
        <v>3</v>
      </c>
      <c r="D248" s="48">
        <v>0</v>
      </c>
      <c r="E248" s="48" t="s">
        <v>118</v>
      </c>
      <c r="F248" s="48" t="s">
        <v>71</v>
      </c>
      <c r="G248" s="48" t="s">
        <v>340</v>
      </c>
      <c r="H248" s="69">
        <f t="shared" si="3"/>
        <v>43891</v>
      </c>
    </row>
    <row r="249" spans="1:8" x14ac:dyDescent="0.25">
      <c r="A249" s="68">
        <v>43921</v>
      </c>
      <c r="B249" s="48">
        <v>14</v>
      </c>
      <c r="C249" s="48">
        <v>0</v>
      </c>
      <c r="D249" s="48">
        <v>0</v>
      </c>
      <c r="E249" s="48" t="s">
        <v>112</v>
      </c>
      <c r="F249" s="48" t="s">
        <v>71</v>
      </c>
      <c r="G249" s="48" t="s">
        <v>346</v>
      </c>
      <c r="H249" s="69">
        <f t="shared" si="3"/>
        <v>43891</v>
      </c>
    </row>
    <row r="250" spans="1:8" x14ac:dyDescent="0.25">
      <c r="A250" s="68">
        <v>43921</v>
      </c>
      <c r="B250" s="48">
        <v>1</v>
      </c>
      <c r="C250" s="48">
        <v>0</v>
      </c>
      <c r="D250" s="48">
        <v>0</v>
      </c>
      <c r="E250" s="48" t="s">
        <v>112</v>
      </c>
      <c r="F250" s="48" t="s">
        <v>71</v>
      </c>
      <c r="G250" s="48" t="s">
        <v>403</v>
      </c>
      <c r="H250" s="69">
        <f t="shared" si="3"/>
        <v>43891</v>
      </c>
    </row>
    <row r="251" spans="1:8" x14ac:dyDescent="0.25">
      <c r="A251" s="68">
        <v>43921</v>
      </c>
      <c r="B251" s="48">
        <v>1</v>
      </c>
      <c r="C251" s="48">
        <v>0</v>
      </c>
      <c r="D251" s="48">
        <v>0</v>
      </c>
      <c r="E251" s="48" t="s">
        <v>112</v>
      </c>
      <c r="F251" s="48" t="s">
        <v>71</v>
      </c>
      <c r="G251" s="48" t="s">
        <v>362</v>
      </c>
      <c r="H251" s="69">
        <f t="shared" si="3"/>
        <v>43891</v>
      </c>
    </row>
    <row r="252" spans="1:8" x14ac:dyDescent="0.25">
      <c r="A252" s="68">
        <v>43921</v>
      </c>
      <c r="B252" s="48">
        <v>5</v>
      </c>
      <c r="C252" s="48">
        <v>0</v>
      </c>
      <c r="D252" s="48">
        <v>0</v>
      </c>
      <c r="E252" s="48" t="s">
        <v>112</v>
      </c>
      <c r="F252" s="48" t="s">
        <v>71</v>
      </c>
      <c r="G252" s="48" t="s">
        <v>382</v>
      </c>
      <c r="H252" s="69">
        <f t="shared" si="3"/>
        <v>43891</v>
      </c>
    </row>
    <row r="253" spans="1:8" x14ac:dyDescent="0.25">
      <c r="A253" s="68">
        <v>43921</v>
      </c>
      <c r="B253" s="48">
        <v>1</v>
      </c>
      <c r="C253" s="48">
        <v>0</v>
      </c>
      <c r="D253" s="48">
        <v>0</v>
      </c>
      <c r="E253" s="48" t="s">
        <v>112</v>
      </c>
      <c r="F253" s="48" t="s">
        <v>71</v>
      </c>
      <c r="G253" s="48" t="s">
        <v>412</v>
      </c>
      <c r="H253" s="69">
        <f t="shared" si="3"/>
        <v>43891</v>
      </c>
    </row>
    <row r="254" spans="1:8" x14ac:dyDescent="0.25">
      <c r="A254" s="68">
        <v>43921</v>
      </c>
      <c r="B254" s="48">
        <v>1</v>
      </c>
      <c r="C254" s="48">
        <v>0</v>
      </c>
      <c r="D254" s="48">
        <v>0</v>
      </c>
      <c r="E254" s="48" t="s">
        <v>112</v>
      </c>
      <c r="F254" s="48" t="s">
        <v>71</v>
      </c>
      <c r="G254" s="48" t="s">
        <v>389</v>
      </c>
      <c r="H254" s="69">
        <f t="shared" si="3"/>
        <v>43891</v>
      </c>
    </row>
    <row r="255" spans="1:8" x14ac:dyDescent="0.25">
      <c r="A255" s="68">
        <v>43921</v>
      </c>
      <c r="B255" s="48">
        <v>16</v>
      </c>
      <c r="C255" s="48">
        <v>0</v>
      </c>
      <c r="D255" s="48">
        <v>0</v>
      </c>
      <c r="E255" s="48" t="s">
        <v>112</v>
      </c>
      <c r="F255" s="48" t="s">
        <v>70</v>
      </c>
      <c r="G255" s="48" t="s">
        <v>99</v>
      </c>
      <c r="H255" s="69">
        <f t="shared" si="3"/>
        <v>43891</v>
      </c>
    </row>
    <row r="256" spans="1:8" x14ac:dyDescent="0.25">
      <c r="A256" s="68">
        <v>43921</v>
      </c>
      <c r="B256" s="48">
        <v>0</v>
      </c>
      <c r="C256" s="48">
        <v>0</v>
      </c>
      <c r="D256" s="48">
        <v>10</v>
      </c>
      <c r="E256" s="48" t="s">
        <v>118</v>
      </c>
      <c r="F256" s="48" t="s">
        <v>70</v>
      </c>
      <c r="G256" s="48" t="s">
        <v>98</v>
      </c>
      <c r="H256" s="69">
        <f t="shared" si="3"/>
        <v>43891</v>
      </c>
    </row>
    <row r="257" spans="1:8" x14ac:dyDescent="0.25">
      <c r="A257" s="68">
        <v>43921</v>
      </c>
      <c r="B257" s="48">
        <v>94</v>
      </c>
      <c r="C257" s="48">
        <v>0</v>
      </c>
      <c r="D257" s="48">
        <v>0</v>
      </c>
      <c r="E257" s="48" t="s">
        <v>116</v>
      </c>
      <c r="F257" s="48" t="s">
        <v>70</v>
      </c>
      <c r="G257" s="48" t="s">
        <v>99</v>
      </c>
      <c r="H257" s="69">
        <f t="shared" si="3"/>
        <v>43891</v>
      </c>
    </row>
    <row r="258" spans="1:8" x14ac:dyDescent="0.25">
      <c r="A258" s="68">
        <v>43921</v>
      </c>
      <c r="B258" s="48">
        <v>1</v>
      </c>
      <c r="C258" s="48">
        <v>0</v>
      </c>
      <c r="D258" s="48">
        <v>0</v>
      </c>
      <c r="E258" s="48" t="s">
        <v>112</v>
      </c>
      <c r="F258" s="48" t="s">
        <v>70</v>
      </c>
      <c r="G258" s="48" t="s">
        <v>367</v>
      </c>
      <c r="H258" s="69">
        <f t="shared" ref="H258:H321" si="4">DATE(YEAR(A258),MONTH(A258),1)</f>
        <v>43891</v>
      </c>
    </row>
    <row r="259" spans="1:8" x14ac:dyDescent="0.25">
      <c r="A259" s="68">
        <v>43922</v>
      </c>
      <c r="B259" s="48">
        <v>2</v>
      </c>
      <c r="C259" s="48">
        <v>0</v>
      </c>
      <c r="D259" s="48">
        <v>0</v>
      </c>
      <c r="E259" s="48" t="s">
        <v>114</v>
      </c>
      <c r="F259" s="48" t="s">
        <v>76</v>
      </c>
      <c r="G259" s="48" t="s">
        <v>427</v>
      </c>
      <c r="H259" s="69">
        <f t="shared" si="4"/>
        <v>43922</v>
      </c>
    </row>
    <row r="260" spans="1:8" x14ac:dyDescent="0.25">
      <c r="A260" s="68">
        <v>43922</v>
      </c>
      <c r="B260" s="48">
        <v>1</v>
      </c>
      <c r="C260" s="48">
        <v>0</v>
      </c>
      <c r="D260" s="48">
        <v>0</v>
      </c>
      <c r="E260" s="48" t="s">
        <v>114</v>
      </c>
      <c r="F260" s="48" t="s">
        <v>76</v>
      </c>
      <c r="G260" s="48" t="s">
        <v>430</v>
      </c>
      <c r="H260" s="69">
        <f t="shared" si="4"/>
        <v>43922</v>
      </c>
    </row>
    <row r="261" spans="1:8" x14ac:dyDescent="0.25">
      <c r="A261" s="68">
        <v>43922</v>
      </c>
      <c r="B261" s="48">
        <v>6</v>
      </c>
      <c r="C261" s="48">
        <v>0</v>
      </c>
      <c r="D261" s="48">
        <v>0</v>
      </c>
      <c r="E261" s="48" t="s">
        <v>112</v>
      </c>
      <c r="F261" s="48" t="s">
        <v>73</v>
      </c>
      <c r="G261" s="48" t="s">
        <v>93</v>
      </c>
      <c r="H261" s="69">
        <f t="shared" si="4"/>
        <v>43922</v>
      </c>
    </row>
    <row r="262" spans="1:8" x14ac:dyDescent="0.25">
      <c r="A262" s="68">
        <v>43922</v>
      </c>
      <c r="B262" s="48">
        <v>1</v>
      </c>
      <c r="C262" s="48">
        <v>0</v>
      </c>
      <c r="D262" s="48">
        <v>0</v>
      </c>
      <c r="E262" s="48" t="s">
        <v>112</v>
      </c>
      <c r="F262" s="48" t="s">
        <v>77</v>
      </c>
      <c r="G262" s="48" t="s">
        <v>343</v>
      </c>
      <c r="H262" s="69">
        <f t="shared" si="4"/>
        <v>43922</v>
      </c>
    </row>
    <row r="263" spans="1:8" x14ac:dyDescent="0.25">
      <c r="A263" s="68">
        <v>43922</v>
      </c>
      <c r="B263" s="48">
        <v>2</v>
      </c>
      <c r="C263" s="48">
        <v>0</v>
      </c>
      <c r="D263" s="48">
        <v>0</v>
      </c>
      <c r="E263" s="48" t="s">
        <v>112</v>
      </c>
      <c r="F263" s="48" t="s">
        <v>77</v>
      </c>
      <c r="G263" s="48" t="s">
        <v>359</v>
      </c>
      <c r="H263" s="69">
        <f t="shared" si="4"/>
        <v>43922</v>
      </c>
    </row>
    <row r="264" spans="1:8" x14ac:dyDescent="0.25">
      <c r="A264" s="68">
        <v>43922</v>
      </c>
      <c r="B264" s="48">
        <v>1</v>
      </c>
      <c r="C264" s="48">
        <v>0</v>
      </c>
      <c r="D264" s="48">
        <v>0</v>
      </c>
      <c r="E264" s="48" t="s">
        <v>112</v>
      </c>
      <c r="F264" s="48" t="s">
        <v>77</v>
      </c>
      <c r="G264" s="48" t="s">
        <v>420</v>
      </c>
      <c r="H264" s="69">
        <f t="shared" si="4"/>
        <v>43922</v>
      </c>
    </row>
    <row r="265" spans="1:8" x14ac:dyDescent="0.25">
      <c r="A265" s="68">
        <v>43922</v>
      </c>
      <c r="B265" s="48">
        <v>13</v>
      </c>
      <c r="C265" s="48">
        <v>0</v>
      </c>
      <c r="D265" s="48">
        <v>0</v>
      </c>
      <c r="E265" s="48" t="s">
        <v>122</v>
      </c>
      <c r="F265" s="48" t="s">
        <v>74</v>
      </c>
      <c r="G265" s="48" t="s">
        <v>95</v>
      </c>
      <c r="H265" s="69">
        <f t="shared" si="4"/>
        <v>43922</v>
      </c>
    </row>
    <row r="266" spans="1:8" x14ac:dyDescent="0.25">
      <c r="A266" s="68">
        <v>43922</v>
      </c>
      <c r="B266" s="48">
        <v>1</v>
      </c>
      <c r="C266" s="48">
        <v>1</v>
      </c>
      <c r="D266" s="48">
        <v>0</v>
      </c>
      <c r="E266" s="48" t="s">
        <v>112</v>
      </c>
      <c r="F266" s="48" t="s">
        <v>72</v>
      </c>
      <c r="G266" s="48" t="s">
        <v>365</v>
      </c>
      <c r="H266" s="69">
        <f t="shared" si="4"/>
        <v>43922</v>
      </c>
    </row>
    <row r="267" spans="1:8" x14ac:dyDescent="0.25">
      <c r="A267" s="68">
        <v>43922</v>
      </c>
      <c r="B267" s="48">
        <v>1</v>
      </c>
      <c r="C267" s="48">
        <v>1</v>
      </c>
      <c r="D267" s="48">
        <v>0</v>
      </c>
      <c r="E267" s="48" t="s">
        <v>112</v>
      </c>
      <c r="F267" s="48" t="s">
        <v>72</v>
      </c>
      <c r="G267" s="48" t="s">
        <v>94</v>
      </c>
      <c r="H267" s="69">
        <f t="shared" si="4"/>
        <v>43922</v>
      </c>
    </row>
    <row r="268" spans="1:8" x14ac:dyDescent="0.25">
      <c r="A268" s="68">
        <v>43922</v>
      </c>
      <c r="B268" s="48">
        <v>0</v>
      </c>
      <c r="C268" s="48">
        <v>0</v>
      </c>
      <c r="D268" s="48">
        <v>2</v>
      </c>
      <c r="E268" s="48" t="s">
        <v>112</v>
      </c>
      <c r="F268" s="48" t="s">
        <v>72</v>
      </c>
      <c r="G268" s="48" t="s">
        <v>338</v>
      </c>
      <c r="H268" s="69">
        <f t="shared" si="4"/>
        <v>43922</v>
      </c>
    </row>
    <row r="269" spans="1:8" x14ac:dyDescent="0.25">
      <c r="A269" s="68">
        <v>43922</v>
      </c>
      <c r="B269" s="48">
        <v>3</v>
      </c>
      <c r="C269" s="48">
        <v>0</v>
      </c>
      <c r="D269" s="48">
        <v>0</v>
      </c>
      <c r="E269" s="48" t="s">
        <v>112</v>
      </c>
      <c r="F269" s="48" t="s">
        <v>72</v>
      </c>
      <c r="G269" s="48" t="s">
        <v>337</v>
      </c>
      <c r="H269" s="69">
        <f t="shared" si="4"/>
        <v>43922</v>
      </c>
    </row>
    <row r="270" spans="1:8" x14ac:dyDescent="0.25">
      <c r="A270" s="68">
        <v>43922</v>
      </c>
      <c r="B270" s="48">
        <v>1</v>
      </c>
      <c r="C270" s="48">
        <v>0</v>
      </c>
      <c r="D270" s="48">
        <v>0</v>
      </c>
      <c r="E270" s="48" t="s">
        <v>112</v>
      </c>
      <c r="F270" s="48" t="s">
        <v>72</v>
      </c>
      <c r="G270" s="48" t="s">
        <v>342</v>
      </c>
      <c r="H270" s="69">
        <f t="shared" si="4"/>
        <v>43922</v>
      </c>
    </row>
    <row r="271" spans="1:8" x14ac:dyDescent="0.25">
      <c r="A271" s="68">
        <v>43922</v>
      </c>
      <c r="B271" s="48">
        <v>2</v>
      </c>
      <c r="C271" s="48">
        <v>0</v>
      </c>
      <c r="D271" s="48">
        <v>0</v>
      </c>
      <c r="E271" s="48" t="s">
        <v>112</v>
      </c>
      <c r="F271" s="48" t="s">
        <v>72</v>
      </c>
      <c r="G271" s="48" t="s">
        <v>356</v>
      </c>
      <c r="H271" s="69">
        <f t="shared" si="4"/>
        <v>43922</v>
      </c>
    </row>
    <row r="272" spans="1:8" x14ac:dyDescent="0.25">
      <c r="A272" s="68">
        <v>43922</v>
      </c>
      <c r="B272" s="48">
        <v>1</v>
      </c>
      <c r="C272" s="48">
        <v>0</v>
      </c>
      <c r="D272" s="48">
        <v>0</v>
      </c>
      <c r="E272" s="48" t="s">
        <v>112</v>
      </c>
      <c r="F272" s="48" t="s">
        <v>72</v>
      </c>
      <c r="G272" s="48" t="s">
        <v>358</v>
      </c>
      <c r="H272" s="69">
        <f t="shared" si="4"/>
        <v>43922</v>
      </c>
    </row>
    <row r="273" spans="1:8" x14ac:dyDescent="0.25">
      <c r="A273" s="68">
        <v>43922</v>
      </c>
      <c r="B273" s="48">
        <v>2</v>
      </c>
      <c r="C273" s="48">
        <v>0</v>
      </c>
      <c r="D273" s="48">
        <v>0</v>
      </c>
      <c r="E273" s="48" t="s">
        <v>112</v>
      </c>
      <c r="F273" s="48" t="s">
        <v>72</v>
      </c>
      <c r="G273" s="48" t="s">
        <v>354</v>
      </c>
      <c r="H273" s="69">
        <f t="shared" si="4"/>
        <v>43922</v>
      </c>
    </row>
    <row r="274" spans="1:8" x14ac:dyDescent="0.25">
      <c r="A274" s="68">
        <v>43922</v>
      </c>
      <c r="B274" s="48">
        <v>7</v>
      </c>
      <c r="C274" s="48">
        <v>0</v>
      </c>
      <c r="D274" s="48">
        <v>10</v>
      </c>
      <c r="E274" s="48" t="s">
        <v>112</v>
      </c>
      <c r="F274" s="48" t="s">
        <v>72</v>
      </c>
      <c r="G274" s="48" t="s">
        <v>102</v>
      </c>
      <c r="H274" s="69">
        <f t="shared" si="4"/>
        <v>43922</v>
      </c>
    </row>
    <row r="275" spans="1:8" x14ac:dyDescent="0.25">
      <c r="A275" s="68">
        <v>43922</v>
      </c>
      <c r="B275" s="48">
        <v>1</v>
      </c>
      <c r="C275" s="48">
        <v>0</v>
      </c>
      <c r="D275" s="48">
        <v>0</v>
      </c>
      <c r="E275" s="48" t="s">
        <v>112</v>
      </c>
      <c r="F275" s="48" t="s">
        <v>72</v>
      </c>
      <c r="G275" s="48" t="s">
        <v>410</v>
      </c>
      <c r="H275" s="69">
        <f t="shared" si="4"/>
        <v>43922</v>
      </c>
    </row>
    <row r="276" spans="1:8" x14ac:dyDescent="0.25">
      <c r="A276" s="68">
        <v>43922</v>
      </c>
      <c r="B276" s="48">
        <v>1</v>
      </c>
      <c r="C276" s="48">
        <v>0</v>
      </c>
      <c r="D276" s="48">
        <v>0</v>
      </c>
      <c r="E276" s="48" t="s">
        <v>112</v>
      </c>
      <c r="F276" s="48" t="s">
        <v>72</v>
      </c>
      <c r="G276" s="48" t="s">
        <v>417</v>
      </c>
      <c r="H276" s="69">
        <f t="shared" si="4"/>
        <v>43922</v>
      </c>
    </row>
    <row r="277" spans="1:8" x14ac:dyDescent="0.25">
      <c r="A277" s="68">
        <v>43922</v>
      </c>
      <c r="B277" s="48">
        <v>2</v>
      </c>
      <c r="C277" s="48">
        <v>0</v>
      </c>
      <c r="D277" s="48">
        <v>0</v>
      </c>
      <c r="E277" s="48" t="s">
        <v>112</v>
      </c>
      <c r="F277" s="48" t="s">
        <v>71</v>
      </c>
      <c r="G277" s="48" t="s">
        <v>366</v>
      </c>
      <c r="H277" s="69">
        <f t="shared" si="4"/>
        <v>43922</v>
      </c>
    </row>
    <row r="278" spans="1:8" x14ac:dyDescent="0.25">
      <c r="A278" s="68">
        <v>43922</v>
      </c>
      <c r="B278" s="48">
        <v>48</v>
      </c>
      <c r="C278" s="48">
        <v>0</v>
      </c>
      <c r="D278" s="48">
        <v>0</v>
      </c>
      <c r="E278" s="48" t="s">
        <v>112</v>
      </c>
      <c r="F278" s="48" t="s">
        <v>71</v>
      </c>
      <c r="G278" s="48" t="s">
        <v>92</v>
      </c>
      <c r="H278" s="69">
        <f t="shared" si="4"/>
        <v>43922</v>
      </c>
    </row>
    <row r="279" spans="1:8" x14ac:dyDescent="0.25">
      <c r="A279" s="68">
        <v>43922</v>
      </c>
      <c r="B279" s="48">
        <v>7</v>
      </c>
      <c r="C279" s="48">
        <v>1</v>
      </c>
      <c r="D279" s="48">
        <v>0</v>
      </c>
      <c r="E279" s="48" t="s">
        <v>112</v>
      </c>
      <c r="F279" s="48" t="s">
        <v>71</v>
      </c>
      <c r="G279" s="48" t="s">
        <v>346</v>
      </c>
      <c r="H279" s="69">
        <f t="shared" si="4"/>
        <v>43922</v>
      </c>
    </row>
    <row r="280" spans="1:8" x14ac:dyDescent="0.25">
      <c r="A280" s="68">
        <v>43922</v>
      </c>
      <c r="B280" s="48">
        <v>28</v>
      </c>
      <c r="C280" s="48">
        <v>0</v>
      </c>
      <c r="D280" s="48">
        <v>0</v>
      </c>
      <c r="E280" s="48" t="s">
        <v>112</v>
      </c>
      <c r="F280" s="48" t="s">
        <v>71</v>
      </c>
      <c r="G280" s="48" t="s">
        <v>350</v>
      </c>
      <c r="H280" s="69">
        <f t="shared" si="4"/>
        <v>43922</v>
      </c>
    </row>
    <row r="281" spans="1:8" x14ac:dyDescent="0.25">
      <c r="A281" s="68">
        <v>43922</v>
      </c>
      <c r="B281" s="48">
        <v>2</v>
      </c>
      <c r="C281" s="48">
        <v>0</v>
      </c>
      <c r="D281" s="48">
        <v>0</v>
      </c>
      <c r="E281" s="48" t="s">
        <v>112</v>
      </c>
      <c r="F281" s="48" t="s">
        <v>71</v>
      </c>
      <c r="G281" s="48" t="s">
        <v>364</v>
      </c>
      <c r="H281" s="69">
        <f t="shared" si="4"/>
        <v>43922</v>
      </c>
    </row>
    <row r="282" spans="1:8" x14ac:dyDescent="0.25">
      <c r="A282" s="68">
        <v>43922</v>
      </c>
      <c r="B282" s="48">
        <v>1</v>
      </c>
      <c r="C282" s="48">
        <v>0</v>
      </c>
      <c r="D282" s="48">
        <v>0</v>
      </c>
      <c r="E282" s="48" t="s">
        <v>112</v>
      </c>
      <c r="F282" s="48" t="s">
        <v>71</v>
      </c>
      <c r="G282" s="48" t="s">
        <v>391</v>
      </c>
      <c r="H282" s="69">
        <f t="shared" si="4"/>
        <v>43922</v>
      </c>
    </row>
    <row r="283" spans="1:8" x14ac:dyDescent="0.25">
      <c r="A283" s="68">
        <v>43922</v>
      </c>
      <c r="B283" s="48">
        <v>8</v>
      </c>
      <c r="C283" s="48">
        <v>0</v>
      </c>
      <c r="D283" s="48">
        <v>0</v>
      </c>
      <c r="E283" s="48" t="s">
        <v>112</v>
      </c>
      <c r="F283" s="48" t="s">
        <v>71</v>
      </c>
      <c r="G283" s="48" t="s">
        <v>348</v>
      </c>
      <c r="H283" s="69">
        <f t="shared" si="4"/>
        <v>43922</v>
      </c>
    </row>
    <row r="284" spans="1:8" x14ac:dyDescent="0.25">
      <c r="A284" s="68">
        <v>43922</v>
      </c>
      <c r="B284" s="48">
        <v>1</v>
      </c>
      <c r="C284" s="48">
        <v>0</v>
      </c>
      <c r="D284" s="48">
        <v>0</v>
      </c>
      <c r="E284" s="48" t="s">
        <v>112</v>
      </c>
      <c r="F284" s="48" t="s">
        <v>71</v>
      </c>
      <c r="G284" s="48" t="s">
        <v>369</v>
      </c>
      <c r="H284" s="69">
        <f t="shared" si="4"/>
        <v>43922</v>
      </c>
    </row>
    <row r="285" spans="1:8" x14ac:dyDescent="0.25">
      <c r="A285" s="68">
        <v>43922</v>
      </c>
      <c r="B285" s="48">
        <v>2</v>
      </c>
      <c r="C285" s="48">
        <v>0</v>
      </c>
      <c r="D285" s="48">
        <v>0</v>
      </c>
      <c r="E285" s="48" t="s">
        <v>112</v>
      </c>
      <c r="F285" s="48" t="s">
        <v>71</v>
      </c>
      <c r="G285" s="48" t="s">
        <v>401</v>
      </c>
      <c r="H285" s="69">
        <f t="shared" si="4"/>
        <v>43922</v>
      </c>
    </row>
    <row r="286" spans="1:8" x14ac:dyDescent="0.25">
      <c r="A286" s="68">
        <v>43922</v>
      </c>
      <c r="B286" s="48">
        <v>16</v>
      </c>
      <c r="C286" s="48">
        <v>0</v>
      </c>
      <c r="D286" s="48">
        <v>0</v>
      </c>
      <c r="E286" s="48" t="s">
        <v>118</v>
      </c>
      <c r="F286" s="48" t="s">
        <v>71</v>
      </c>
      <c r="G286" s="48" t="s">
        <v>97</v>
      </c>
      <c r="H286" s="69">
        <f t="shared" si="4"/>
        <v>43922</v>
      </c>
    </row>
    <row r="287" spans="1:8" x14ac:dyDescent="0.25">
      <c r="A287" s="68">
        <v>43922</v>
      </c>
      <c r="B287" s="48">
        <v>63</v>
      </c>
      <c r="C287" s="48">
        <v>0</v>
      </c>
      <c r="D287" s="48">
        <v>0</v>
      </c>
      <c r="E287" s="48" t="s">
        <v>118</v>
      </c>
      <c r="F287" s="48" t="s">
        <v>71</v>
      </c>
      <c r="G287" s="48" t="s">
        <v>100</v>
      </c>
      <c r="H287" s="69">
        <f t="shared" si="4"/>
        <v>43922</v>
      </c>
    </row>
    <row r="288" spans="1:8" x14ac:dyDescent="0.25">
      <c r="A288" s="68">
        <v>43922</v>
      </c>
      <c r="B288" s="48">
        <v>3</v>
      </c>
      <c r="C288" s="48">
        <v>0</v>
      </c>
      <c r="D288" s="48">
        <v>0</v>
      </c>
      <c r="E288" s="48" t="s">
        <v>118</v>
      </c>
      <c r="F288" s="48" t="s">
        <v>71</v>
      </c>
      <c r="G288" s="48" t="s">
        <v>370</v>
      </c>
      <c r="H288" s="69">
        <f t="shared" si="4"/>
        <v>43922</v>
      </c>
    </row>
    <row r="289" spans="1:8" x14ac:dyDescent="0.25">
      <c r="A289" s="68">
        <v>43922</v>
      </c>
      <c r="B289" s="48">
        <v>33</v>
      </c>
      <c r="C289" s="48">
        <v>1</v>
      </c>
      <c r="D289" s="48">
        <v>3</v>
      </c>
      <c r="E289" s="48" t="s">
        <v>112</v>
      </c>
      <c r="F289" s="48" t="s">
        <v>70</v>
      </c>
      <c r="G289" s="48" t="s">
        <v>91</v>
      </c>
      <c r="H289" s="69">
        <f t="shared" si="4"/>
        <v>43922</v>
      </c>
    </row>
    <row r="290" spans="1:8" x14ac:dyDescent="0.25">
      <c r="A290" s="68">
        <v>43923</v>
      </c>
      <c r="B290" s="48">
        <v>5</v>
      </c>
      <c r="C290" s="48">
        <v>0</v>
      </c>
      <c r="D290" s="48">
        <v>0</v>
      </c>
      <c r="E290" s="48" t="s">
        <v>112</v>
      </c>
      <c r="F290" s="48" t="s">
        <v>73</v>
      </c>
      <c r="G290" s="48" t="s">
        <v>93</v>
      </c>
      <c r="H290" s="69">
        <f t="shared" si="4"/>
        <v>43922</v>
      </c>
    </row>
    <row r="291" spans="1:8" x14ac:dyDescent="0.25">
      <c r="A291" s="68">
        <v>43923</v>
      </c>
      <c r="B291" s="48">
        <v>3</v>
      </c>
      <c r="C291" s="48">
        <v>1</v>
      </c>
      <c r="D291" s="48">
        <v>0</v>
      </c>
      <c r="E291" s="48" t="s">
        <v>114</v>
      </c>
      <c r="F291" s="48" t="s">
        <v>75</v>
      </c>
      <c r="G291" s="48" t="s">
        <v>373</v>
      </c>
      <c r="H291" s="69">
        <f t="shared" si="4"/>
        <v>43922</v>
      </c>
    </row>
    <row r="292" spans="1:8" x14ac:dyDescent="0.25">
      <c r="A292" s="68">
        <v>43923</v>
      </c>
      <c r="B292" s="48">
        <v>4</v>
      </c>
      <c r="C292" s="48">
        <v>0</v>
      </c>
      <c r="D292" s="48">
        <v>0</v>
      </c>
      <c r="E292" s="48" t="s">
        <v>114</v>
      </c>
      <c r="F292" s="48" t="s">
        <v>74</v>
      </c>
      <c r="G292" s="48" t="s">
        <v>95</v>
      </c>
      <c r="H292" s="69">
        <f t="shared" si="4"/>
        <v>43922</v>
      </c>
    </row>
    <row r="293" spans="1:8" x14ac:dyDescent="0.25">
      <c r="A293" s="68">
        <v>43923</v>
      </c>
      <c r="B293" s="48">
        <v>1</v>
      </c>
      <c r="C293" s="48">
        <v>1</v>
      </c>
      <c r="D293" s="48">
        <v>0</v>
      </c>
      <c r="E293" s="48" t="s">
        <v>112</v>
      </c>
      <c r="F293" s="48" t="s">
        <v>72</v>
      </c>
      <c r="G293" s="48" t="s">
        <v>347</v>
      </c>
      <c r="H293" s="69">
        <f t="shared" si="4"/>
        <v>43922</v>
      </c>
    </row>
    <row r="294" spans="1:8" x14ac:dyDescent="0.25">
      <c r="A294" s="68">
        <v>43923</v>
      </c>
      <c r="B294" s="48">
        <v>1</v>
      </c>
      <c r="C294" s="48">
        <v>0</v>
      </c>
      <c r="D294" s="48">
        <v>0</v>
      </c>
      <c r="E294" s="48" t="s">
        <v>112</v>
      </c>
      <c r="F294" s="48" t="s">
        <v>72</v>
      </c>
      <c r="G294" s="48" t="s">
        <v>337</v>
      </c>
      <c r="H294" s="69">
        <f t="shared" si="4"/>
        <v>43922</v>
      </c>
    </row>
    <row r="295" spans="1:8" x14ac:dyDescent="0.25">
      <c r="A295" s="68">
        <v>43923</v>
      </c>
      <c r="B295" s="48">
        <v>5</v>
      </c>
      <c r="C295" s="48">
        <v>0</v>
      </c>
      <c r="D295" s="48">
        <v>0</v>
      </c>
      <c r="E295" s="48" t="s">
        <v>112</v>
      </c>
      <c r="F295" s="48" t="s">
        <v>72</v>
      </c>
      <c r="G295" s="48" t="s">
        <v>335</v>
      </c>
      <c r="H295" s="69">
        <f t="shared" si="4"/>
        <v>43922</v>
      </c>
    </row>
    <row r="296" spans="1:8" x14ac:dyDescent="0.25">
      <c r="A296" s="68">
        <v>43923</v>
      </c>
      <c r="B296" s="48">
        <v>2</v>
      </c>
      <c r="C296" s="48">
        <v>0</v>
      </c>
      <c r="D296" s="48">
        <v>0</v>
      </c>
      <c r="E296" s="48" t="s">
        <v>112</v>
      </c>
      <c r="F296" s="48" t="s">
        <v>72</v>
      </c>
      <c r="G296" s="48" t="s">
        <v>342</v>
      </c>
      <c r="H296" s="69">
        <f t="shared" si="4"/>
        <v>43922</v>
      </c>
    </row>
    <row r="297" spans="1:8" x14ac:dyDescent="0.25">
      <c r="A297" s="68">
        <v>43923</v>
      </c>
      <c r="B297" s="48">
        <v>1</v>
      </c>
      <c r="C297" s="48">
        <v>0</v>
      </c>
      <c r="D297" s="48">
        <v>0</v>
      </c>
      <c r="E297" s="48" t="s">
        <v>112</v>
      </c>
      <c r="F297" s="48" t="s">
        <v>72</v>
      </c>
      <c r="G297" s="48" t="s">
        <v>399</v>
      </c>
      <c r="H297" s="69">
        <f t="shared" si="4"/>
        <v>43922</v>
      </c>
    </row>
    <row r="298" spans="1:8" x14ac:dyDescent="0.25">
      <c r="A298" s="68">
        <v>43923</v>
      </c>
      <c r="B298" s="48">
        <v>1</v>
      </c>
      <c r="C298" s="48">
        <v>0</v>
      </c>
      <c r="D298" s="48">
        <v>0</v>
      </c>
      <c r="E298" s="48" t="s">
        <v>112</v>
      </c>
      <c r="F298" s="48" t="s">
        <v>72</v>
      </c>
      <c r="G298" s="48" t="s">
        <v>352</v>
      </c>
      <c r="H298" s="69">
        <f t="shared" si="4"/>
        <v>43922</v>
      </c>
    </row>
    <row r="299" spans="1:8" x14ac:dyDescent="0.25">
      <c r="A299" s="68">
        <v>43923</v>
      </c>
      <c r="B299" s="48">
        <v>6</v>
      </c>
      <c r="C299" s="48">
        <v>0</v>
      </c>
      <c r="D299" s="48">
        <v>0</v>
      </c>
      <c r="E299" s="48" t="s">
        <v>112</v>
      </c>
      <c r="F299" s="48" t="s">
        <v>72</v>
      </c>
      <c r="G299" s="48" t="s">
        <v>358</v>
      </c>
      <c r="H299" s="69">
        <f t="shared" si="4"/>
        <v>43922</v>
      </c>
    </row>
    <row r="300" spans="1:8" x14ac:dyDescent="0.25">
      <c r="A300" s="68">
        <v>43923</v>
      </c>
      <c r="B300" s="48">
        <v>1</v>
      </c>
      <c r="C300" s="48">
        <v>0</v>
      </c>
      <c r="D300" s="48">
        <v>0</v>
      </c>
      <c r="E300" s="48" t="s">
        <v>112</v>
      </c>
      <c r="F300" s="48" t="s">
        <v>72</v>
      </c>
      <c r="G300" s="48" t="s">
        <v>354</v>
      </c>
      <c r="H300" s="69">
        <f t="shared" si="4"/>
        <v>43922</v>
      </c>
    </row>
    <row r="301" spans="1:8" x14ac:dyDescent="0.25">
      <c r="A301" s="68">
        <v>43923</v>
      </c>
      <c r="B301" s="48">
        <v>1</v>
      </c>
      <c r="C301" s="48">
        <v>0</v>
      </c>
      <c r="D301" s="48">
        <v>0</v>
      </c>
      <c r="E301" s="48" t="s">
        <v>112</v>
      </c>
      <c r="F301" s="48" t="s">
        <v>72</v>
      </c>
      <c r="G301" s="48" t="s">
        <v>338</v>
      </c>
      <c r="H301" s="69">
        <f t="shared" si="4"/>
        <v>43922</v>
      </c>
    </row>
    <row r="302" spans="1:8" x14ac:dyDescent="0.25">
      <c r="A302" s="68">
        <v>43923</v>
      </c>
      <c r="B302" s="48">
        <v>17</v>
      </c>
      <c r="C302" s="48">
        <v>0</v>
      </c>
      <c r="D302" s="48">
        <v>0</v>
      </c>
      <c r="E302" s="48" t="s">
        <v>112</v>
      </c>
      <c r="F302" s="48" t="s">
        <v>72</v>
      </c>
      <c r="G302" s="48" t="s">
        <v>94</v>
      </c>
      <c r="H302" s="69">
        <f t="shared" si="4"/>
        <v>43922</v>
      </c>
    </row>
    <row r="303" spans="1:8" x14ac:dyDescent="0.25">
      <c r="A303" s="68">
        <v>43923</v>
      </c>
      <c r="B303" s="48">
        <v>1</v>
      </c>
      <c r="C303" s="48">
        <v>0</v>
      </c>
      <c r="D303" s="48">
        <v>3</v>
      </c>
      <c r="E303" s="48" t="s">
        <v>112</v>
      </c>
      <c r="F303" s="48" t="s">
        <v>72</v>
      </c>
      <c r="G303" s="48" t="s">
        <v>355</v>
      </c>
      <c r="H303" s="69">
        <f t="shared" si="4"/>
        <v>43922</v>
      </c>
    </row>
    <row r="304" spans="1:8" x14ac:dyDescent="0.25">
      <c r="A304" s="68">
        <v>43923</v>
      </c>
      <c r="B304" s="48">
        <v>27</v>
      </c>
      <c r="C304" s="48">
        <v>0</v>
      </c>
      <c r="D304" s="48">
        <v>0</v>
      </c>
      <c r="E304" s="48" t="s">
        <v>116</v>
      </c>
      <c r="F304" s="48" t="s">
        <v>71</v>
      </c>
      <c r="G304" s="48" t="s">
        <v>100</v>
      </c>
      <c r="H304" s="69">
        <f t="shared" si="4"/>
        <v>43922</v>
      </c>
    </row>
    <row r="305" spans="1:8" x14ac:dyDescent="0.25">
      <c r="A305" s="68">
        <v>43923</v>
      </c>
      <c r="B305" s="48">
        <v>21</v>
      </c>
      <c r="C305" s="48">
        <v>1</v>
      </c>
      <c r="D305" s="48">
        <v>0</v>
      </c>
      <c r="E305" s="48" t="s">
        <v>114</v>
      </c>
      <c r="F305" s="48" t="s">
        <v>71</v>
      </c>
      <c r="G305" s="48" t="s">
        <v>92</v>
      </c>
      <c r="H305" s="69">
        <f t="shared" si="4"/>
        <v>43922</v>
      </c>
    </row>
    <row r="306" spans="1:8" x14ac:dyDescent="0.25">
      <c r="A306" s="68">
        <v>43923</v>
      </c>
      <c r="B306" s="48">
        <v>1</v>
      </c>
      <c r="C306" s="48">
        <v>0</v>
      </c>
      <c r="D306" s="48">
        <v>0</v>
      </c>
      <c r="E306" s="48" t="s">
        <v>112</v>
      </c>
      <c r="F306" s="48" t="s">
        <v>71</v>
      </c>
      <c r="G306" s="48" t="s">
        <v>364</v>
      </c>
      <c r="H306" s="69">
        <f t="shared" si="4"/>
        <v>43922</v>
      </c>
    </row>
    <row r="307" spans="1:8" x14ac:dyDescent="0.25">
      <c r="A307" s="68">
        <v>43923</v>
      </c>
      <c r="B307" s="48">
        <v>2</v>
      </c>
      <c r="C307" s="48">
        <v>0</v>
      </c>
      <c r="D307" s="48">
        <v>0</v>
      </c>
      <c r="E307" s="48" t="s">
        <v>112</v>
      </c>
      <c r="F307" s="48" t="s">
        <v>71</v>
      </c>
      <c r="G307" s="48" t="s">
        <v>346</v>
      </c>
      <c r="H307" s="69">
        <f t="shared" si="4"/>
        <v>43922</v>
      </c>
    </row>
    <row r="308" spans="1:8" x14ac:dyDescent="0.25">
      <c r="A308" s="68">
        <v>43923</v>
      </c>
      <c r="B308" s="48">
        <v>10</v>
      </c>
      <c r="C308" s="48">
        <v>0</v>
      </c>
      <c r="D308" s="48">
        <v>0</v>
      </c>
      <c r="E308" s="48" t="s">
        <v>112</v>
      </c>
      <c r="F308" s="48" t="s">
        <v>71</v>
      </c>
      <c r="G308" s="48" t="s">
        <v>392</v>
      </c>
      <c r="H308" s="69">
        <f t="shared" si="4"/>
        <v>43922</v>
      </c>
    </row>
    <row r="309" spans="1:8" x14ac:dyDescent="0.25">
      <c r="A309" s="68">
        <v>43923</v>
      </c>
      <c r="B309" s="48">
        <v>6</v>
      </c>
      <c r="C309" s="48">
        <v>0</v>
      </c>
      <c r="D309" s="48">
        <v>0</v>
      </c>
      <c r="E309" s="48" t="s">
        <v>112</v>
      </c>
      <c r="F309" s="48" t="s">
        <v>71</v>
      </c>
      <c r="G309" s="48" t="s">
        <v>372</v>
      </c>
      <c r="H309" s="69">
        <f t="shared" si="4"/>
        <v>43922</v>
      </c>
    </row>
    <row r="310" spans="1:8" x14ac:dyDescent="0.25">
      <c r="A310" s="68">
        <v>43923</v>
      </c>
      <c r="B310" s="48">
        <v>6</v>
      </c>
      <c r="C310" s="48">
        <v>0</v>
      </c>
      <c r="D310" s="48">
        <v>0</v>
      </c>
      <c r="E310" s="48" t="s">
        <v>118</v>
      </c>
      <c r="F310" s="48" t="s">
        <v>71</v>
      </c>
      <c r="G310" s="48" t="s">
        <v>340</v>
      </c>
      <c r="H310" s="69">
        <f t="shared" si="4"/>
        <v>43922</v>
      </c>
    </row>
    <row r="311" spans="1:8" x14ac:dyDescent="0.25">
      <c r="A311" s="68">
        <v>43923</v>
      </c>
      <c r="B311" s="48">
        <v>27</v>
      </c>
      <c r="C311" s="48">
        <v>0</v>
      </c>
      <c r="D311" s="48">
        <v>0</v>
      </c>
      <c r="E311" s="48" t="s">
        <v>118</v>
      </c>
      <c r="F311" s="48" t="s">
        <v>71</v>
      </c>
      <c r="G311" s="48" t="s">
        <v>100</v>
      </c>
      <c r="H311" s="69">
        <f t="shared" si="4"/>
        <v>43922</v>
      </c>
    </row>
    <row r="312" spans="1:8" x14ac:dyDescent="0.25">
      <c r="A312" s="68">
        <v>43923</v>
      </c>
      <c r="B312" s="48">
        <v>2</v>
      </c>
      <c r="C312" s="48">
        <v>0</v>
      </c>
      <c r="D312" s="48">
        <v>0</v>
      </c>
      <c r="E312" s="48" t="s">
        <v>118</v>
      </c>
      <c r="F312" s="48" t="s">
        <v>71</v>
      </c>
      <c r="G312" s="48" t="s">
        <v>370</v>
      </c>
      <c r="H312" s="69">
        <f t="shared" si="4"/>
        <v>43922</v>
      </c>
    </row>
    <row r="313" spans="1:8" x14ac:dyDescent="0.25">
      <c r="A313" s="68">
        <v>43923</v>
      </c>
      <c r="B313" s="48">
        <v>32</v>
      </c>
      <c r="C313" s="48">
        <v>1</v>
      </c>
      <c r="D313" s="48">
        <v>9</v>
      </c>
      <c r="E313" s="48" t="s">
        <v>112</v>
      </c>
      <c r="F313" s="48" t="s">
        <v>70</v>
      </c>
      <c r="G313" s="48" t="s">
        <v>91</v>
      </c>
      <c r="H313" s="69">
        <f t="shared" si="4"/>
        <v>43922</v>
      </c>
    </row>
    <row r="314" spans="1:8" x14ac:dyDescent="0.25">
      <c r="A314" s="68">
        <v>43923</v>
      </c>
      <c r="B314" s="48">
        <v>0</v>
      </c>
      <c r="C314" s="48">
        <v>1</v>
      </c>
      <c r="D314" s="48">
        <v>0</v>
      </c>
      <c r="E314" s="48" t="s">
        <v>116</v>
      </c>
      <c r="F314" s="48" t="s">
        <v>70</v>
      </c>
      <c r="G314" s="48" t="s">
        <v>99</v>
      </c>
      <c r="H314" s="69">
        <f t="shared" si="4"/>
        <v>43922</v>
      </c>
    </row>
    <row r="315" spans="1:8" x14ac:dyDescent="0.25">
      <c r="A315" s="68">
        <v>43923</v>
      </c>
      <c r="B315" s="48">
        <v>0</v>
      </c>
      <c r="C315" s="48">
        <v>0</v>
      </c>
      <c r="D315" s="48">
        <v>2</v>
      </c>
      <c r="E315" s="48" t="s">
        <v>118</v>
      </c>
      <c r="F315" s="48" t="s">
        <v>70</v>
      </c>
      <c r="G315" s="48" t="s">
        <v>98</v>
      </c>
      <c r="H315" s="69">
        <f t="shared" si="4"/>
        <v>43922</v>
      </c>
    </row>
    <row r="316" spans="1:8" x14ac:dyDescent="0.25">
      <c r="A316" s="68">
        <v>43924</v>
      </c>
      <c r="B316" s="48">
        <v>6</v>
      </c>
      <c r="C316" s="48">
        <v>0</v>
      </c>
      <c r="D316" s="48">
        <v>0</v>
      </c>
      <c r="E316" s="48" t="s">
        <v>114</v>
      </c>
      <c r="F316" s="48" t="s">
        <v>73</v>
      </c>
      <c r="G316" s="48" t="s">
        <v>93</v>
      </c>
      <c r="H316" s="69">
        <f t="shared" si="4"/>
        <v>43922</v>
      </c>
    </row>
    <row r="317" spans="1:8" x14ac:dyDescent="0.25">
      <c r="A317" s="68">
        <v>43924</v>
      </c>
      <c r="B317" s="48">
        <v>1</v>
      </c>
      <c r="C317" s="48">
        <v>0</v>
      </c>
      <c r="D317" s="48">
        <v>1</v>
      </c>
      <c r="E317" s="48" t="s">
        <v>114</v>
      </c>
      <c r="F317" s="48" t="s">
        <v>75</v>
      </c>
      <c r="G317" s="48" t="s">
        <v>390</v>
      </c>
      <c r="H317" s="69">
        <f t="shared" si="4"/>
        <v>43922</v>
      </c>
    </row>
    <row r="318" spans="1:8" x14ac:dyDescent="0.25">
      <c r="A318" s="68">
        <v>43924</v>
      </c>
      <c r="B318" s="48">
        <v>1</v>
      </c>
      <c r="C318" s="48">
        <v>0</v>
      </c>
      <c r="D318" s="48">
        <v>0</v>
      </c>
      <c r="E318" s="48" t="s">
        <v>114</v>
      </c>
      <c r="F318" s="48" t="s">
        <v>75</v>
      </c>
      <c r="G318" s="48" t="s">
        <v>361</v>
      </c>
      <c r="H318" s="69">
        <f t="shared" si="4"/>
        <v>43922</v>
      </c>
    </row>
    <row r="319" spans="1:8" x14ac:dyDescent="0.25">
      <c r="A319" s="68">
        <v>43924</v>
      </c>
      <c r="B319" s="48">
        <v>1</v>
      </c>
      <c r="C319" s="48">
        <v>0</v>
      </c>
      <c r="D319" s="48">
        <v>0</v>
      </c>
      <c r="E319" s="48" t="s">
        <v>114</v>
      </c>
      <c r="F319" s="48" t="s">
        <v>75</v>
      </c>
      <c r="G319" s="48" t="s">
        <v>373</v>
      </c>
      <c r="H319" s="69">
        <f t="shared" si="4"/>
        <v>43922</v>
      </c>
    </row>
    <row r="320" spans="1:8" x14ac:dyDescent="0.25">
      <c r="A320" s="68">
        <v>43924</v>
      </c>
      <c r="B320" s="48">
        <v>6</v>
      </c>
      <c r="C320" s="48">
        <v>0</v>
      </c>
      <c r="D320" s="48">
        <v>0</v>
      </c>
      <c r="E320" s="48" t="s">
        <v>114</v>
      </c>
      <c r="F320" s="48" t="s">
        <v>74</v>
      </c>
      <c r="G320" s="48" t="s">
        <v>95</v>
      </c>
      <c r="H320" s="69">
        <f t="shared" si="4"/>
        <v>43922</v>
      </c>
    </row>
    <row r="321" spans="1:8" x14ac:dyDescent="0.25">
      <c r="A321" s="68">
        <v>43924</v>
      </c>
      <c r="B321" s="48">
        <v>4</v>
      </c>
      <c r="C321" s="48">
        <v>0</v>
      </c>
      <c r="D321" s="48">
        <v>0</v>
      </c>
      <c r="E321" s="48" t="s">
        <v>112</v>
      </c>
      <c r="F321" s="48" t="s">
        <v>72</v>
      </c>
      <c r="G321" s="48" t="s">
        <v>94</v>
      </c>
      <c r="H321" s="69">
        <f t="shared" si="4"/>
        <v>43922</v>
      </c>
    </row>
    <row r="322" spans="1:8" x14ac:dyDescent="0.25">
      <c r="A322" s="68">
        <v>43924</v>
      </c>
      <c r="B322" s="48">
        <v>6</v>
      </c>
      <c r="C322" s="48">
        <v>0</v>
      </c>
      <c r="D322" s="48">
        <v>0</v>
      </c>
      <c r="E322" s="48" t="s">
        <v>112</v>
      </c>
      <c r="F322" s="48" t="s">
        <v>72</v>
      </c>
      <c r="G322" s="48" t="s">
        <v>337</v>
      </c>
      <c r="H322" s="69">
        <f t="shared" ref="H322:H385" si="5">DATE(YEAR(A322),MONTH(A322),1)</f>
        <v>43922</v>
      </c>
    </row>
    <row r="323" spans="1:8" x14ac:dyDescent="0.25">
      <c r="A323" s="68">
        <v>43924</v>
      </c>
      <c r="B323" s="48">
        <v>1</v>
      </c>
      <c r="C323" s="48">
        <v>0</v>
      </c>
      <c r="D323" s="48">
        <v>0</v>
      </c>
      <c r="E323" s="48" t="s">
        <v>112</v>
      </c>
      <c r="F323" s="48" t="s">
        <v>72</v>
      </c>
      <c r="G323" s="48" t="s">
        <v>347</v>
      </c>
      <c r="H323" s="69">
        <f t="shared" si="5"/>
        <v>43922</v>
      </c>
    </row>
    <row r="324" spans="1:8" x14ac:dyDescent="0.25">
      <c r="A324" s="68">
        <v>43924</v>
      </c>
      <c r="B324" s="48">
        <v>1</v>
      </c>
      <c r="C324" s="48">
        <v>0</v>
      </c>
      <c r="D324" s="48">
        <v>0</v>
      </c>
      <c r="E324" s="48" t="s">
        <v>112</v>
      </c>
      <c r="F324" s="48" t="s">
        <v>72</v>
      </c>
      <c r="G324" s="48" t="s">
        <v>342</v>
      </c>
      <c r="H324" s="69">
        <f t="shared" si="5"/>
        <v>43922</v>
      </c>
    </row>
    <row r="325" spans="1:8" x14ac:dyDescent="0.25">
      <c r="A325" s="68">
        <v>43924</v>
      </c>
      <c r="B325" s="48">
        <v>8</v>
      </c>
      <c r="C325" s="48">
        <v>0</v>
      </c>
      <c r="D325" s="48">
        <v>0</v>
      </c>
      <c r="E325" s="48" t="s">
        <v>112</v>
      </c>
      <c r="F325" s="48" t="s">
        <v>72</v>
      </c>
      <c r="G325" s="48" t="s">
        <v>399</v>
      </c>
      <c r="H325" s="69">
        <f t="shared" si="5"/>
        <v>43922</v>
      </c>
    </row>
    <row r="326" spans="1:8" x14ac:dyDescent="0.25">
      <c r="A326" s="68">
        <v>43924</v>
      </c>
      <c r="B326" s="48">
        <v>2</v>
      </c>
      <c r="C326" s="48">
        <v>1</v>
      </c>
      <c r="D326" s="48">
        <v>0</v>
      </c>
      <c r="E326" s="48" t="s">
        <v>112</v>
      </c>
      <c r="F326" s="48" t="s">
        <v>72</v>
      </c>
      <c r="G326" s="48" t="s">
        <v>354</v>
      </c>
      <c r="H326" s="69">
        <f t="shared" si="5"/>
        <v>43922</v>
      </c>
    </row>
    <row r="327" spans="1:8" x14ac:dyDescent="0.25">
      <c r="A327" s="68">
        <v>43924</v>
      </c>
      <c r="B327" s="48">
        <v>10</v>
      </c>
      <c r="C327" s="48">
        <v>1</v>
      </c>
      <c r="D327" s="48">
        <v>0</v>
      </c>
      <c r="E327" s="48" t="s">
        <v>112</v>
      </c>
      <c r="F327" s="48" t="s">
        <v>72</v>
      </c>
      <c r="G327" s="48" t="s">
        <v>96</v>
      </c>
      <c r="H327" s="69">
        <f t="shared" si="5"/>
        <v>43922</v>
      </c>
    </row>
    <row r="328" spans="1:8" x14ac:dyDescent="0.25">
      <c r="A328" s="68">
        <v>43924</v>
      </c>
      <c r="B328" s="48">
        <v>11</v>
      </c>
      <c r="C328" s="48">
        <v>0</v>
      </c>
      <c r="D328" s="48">
        <v>0</v>
      </c>
      <c r="E328" s="48" t="s">
        <v>112</v>
      </c>
      <c r="F328" s="48" t="s">
        <v>71</v>
      </c>
      <c r="G328" s="48" t="s">
        <v>92</v>
      </c>
      <c r="H328" s="69">
        <f t="shared" si="5"/>
        <v>43922</v>
      </c>
    </row>
    <row r="329" spans="1:8" x14ac:dyDescent="0.25">
      <c r="A329" s="68">
        <v>43924</v>
      </c>
      <c r="B329" s="48">
        <v>5</v>
      </c>
      <c r="C329" s="48">
        <v>0</v>
      </c>
      <c r="D329" s="48">
        <v>0</v>
      </c>
      <c r="E329" s="48" t="s">
        <v>112</v>
      </c>
      <c r="F329" s="48" t="s">
        <v>71</v>
      </c>
      <c r="G329" s="48" t="s">
        <v>350</v>
      </c>
      <c r="H329" s="69">
        <f t="shared" si="5"/>
        <v>43922</v>
      </c>
    </row>
    <row r="330" spans="1:8" x14ac:dyDescent="0.25">
      <c r="A330" s="68">
        <v>43924</v>
      </c>
      <c r="B330" s="48">
        <v>1</v>
      </c>
      <c r="C330" s="48">
        <v>0</v>
      </c>
      <c r="D330" s="48">
        <v>0</v>
      </c>
      <c r="E330" s="48" t="s">
        <v>112</v>
      </c>
      <c r="F330" s="48" t="s">
        <v>71</v>
      </c>
      <c r="G330" s="48" t="s">
        <v>371</v>
      </c>
      <c r="H330" s="69">
        <f t="shared" si="5"/>
        <v>43922</v>
      </c>
    </row>
    <row r="331" spans="1:8" x14ac:dyDescent="0.25">
      <c r="A331" s="68">
        <v>43924</v>
      </c>
      <c r="B331" s="48">
        <v>1</v>
      </c>
      <c r="C331" s="48">
        <v>0</v>
      </c>
      <c r="D331" s="48">
        <v>0</v>
      </c>
      <c r="E331" s="48" t="s">
        <v>112</v>
      </c>
      <c r="F331" s="48" t="s">
        <v>71</v>
      </c>
      <c r="G331" s="48" t="s">
        <v>364</v>
      </c>
      <c r="H331" s="69">
        <f t="shared" si="5"/>
        <v>43922</v>
      </c>
    </row>
    <row r="332" spans="1:8" x14ac:dyDescent="0.25">
      <c r="A332" s="68">
        <v>43924</v>
      </c>
      <c r="B332" s="48">
        <v>2</v>
      </c>
      <c r="C332" s="48">
        <v>0</v>
      </c>
      <c r="D332" s="48">
        <v>0</v>
      </c>
      <c r="E332" s="48" t="s">
        <v>112</v>
      </c>
      <c r="F332" s="48" t="s">
        <v>71</v>
      </c>
      <c r="G332" s="48" t="s">
        <v>346</v>
      </c>
      <c r="H332" s="69">
        <f t="shared" si="5"/>
        <v>43922</v>
      </c>
    </row>
    <row r="333" spans="1:8" x14ac:dyDescent="0.25">
      <c r="A333" s="68">
        <v>43924</v>
      </c>
      <c r="B333" s="48">
        <v>1</v>
      </c>
      <c r="C333" s="48">
        <v>0</v>
      </c>
      <c r="D333" s="48">
        <v>0</v>
      </c>
      <c r="E333" s="48" t="s">
        <v>112</v>
      </c>
      <c r="F333" s="48" t="s">
        <v>71</v>
      </c>
      <c r="G333" s="48" t="s">
        <v>419</v>
      </c>
      <c r="H333" s="69">
        <f t="shared" si="5"/>
        <v>43922</v>
      </c>
    </row>
    <row r="334" spans="1:8" x14ac:dyDescent="0.25">
      <c r="A334" s="68">
        <v>43924</v>
      </c>
      <c r="B334" s="48">
        <v>2</v>
      </c>
      <c r="C334" s="48">
        <v>0</v>
      </c>
      <c r="D334" s="48">
        <v>0</v>
      </c>
      <c r="E334" s="48" t="s">
        <v>112</v>
      </c>
      <c r="F334" s="48" t="s">
        <v>71</v>
      </c>
      <c r="G334" s="48" t="s">
        <v>362</v>
      </c>
      <c r="H334" s="69">
        <f t="shared" si="5"/>
        <v>43922</v>
      </c>
    </row>
    <row r="335" spans="1:8" x14ac:dyDescent="0.25">
      <c r="A335" s="68">
        <v>43924</v>
      </c>
      <c r="B335" s="48">
        <v>1</v>
      </c>
      <c r="C335" s="48">
        <v>0</v>
      </c>
      <c r="D335" s="48">
        <v>0</v>
      </c>
      <c r="E335" s="48" t="s">
        <v>112</v>
      </c>
      <c r="F335" s="48" t="s">
        <v>71</v>
      </c>
      <c r="G335" s="48" t="s">
        <v>369</v>
      </c>
      <c r="H335" s="69">
        <f t="shared" si="5"/>
        <v>43922</v>
      </c>
    </row>
    <row r="336" spans="1:8" x14ac:dyDescent="0.25">
      <c r="A336" s="68">
        <v>43924</v>
      </c>
      <c r="B336" s="48">
        <v>11</v>
      </c>
      <c r="C336" s="48">
        <v>0</v>
      </c>
      <c r="D336" s="48">
        <v>0</v>
      </c>
      <c r="E336" s="48" t="s">
        <v>112</v>
      </c>
      <c r="F336" s="48" t="s">
        <v>71</v>
      </c>
      <c r="G336" s="48" t="s">
        <v>372</v>
      </c>
      <c r="H336" s="69">
        <f t="shared" si="5"/>
        <v>43922</v>
      </c>
    </row>
    <row r="337" spans="1:8" x14ac:dyDescent="0.25">
      <c r="A337" s="68">
        <v>43924</v>
      </c>
      <c r="B337" s="48">
        <v>1</v>
      </c>
      <c r="C337" s="48">
        <v>0</v>
      </c>
      <c r="D337" s="48">
        <v>0</v>
      </c>
      <c r="E337" s="48" t="s">
        <v>112</v>
      </c>
      <c r="F337" s="48" t="s">
        <v>71</v>
      </c>
      <c r="G337" s="48" t="s">
        <v>378</v>
      </c>
      <c r="H337" s="69">
        <f t="shared" si="5"/>
        <v>43922</v>
      </c>
    </row>
    <row r="338" spans="1:8" x14ac:dyDescent="0.25">
      <c r="A338" s="68">
        <v>43924</v>
      </c>
      <c r="B338" s="48">
        <v>1</v>
      </c>
      <c r="C338" s="48">
        <v>0</v>
      </c>
      <c r="D338" s="48">
        <v>0</v>
      </c>
      <c r="E338" s="48" t="s">
        <v>112</v>
      </c>
      <c r="F338" s="48" t="s">
        <v>71</v>
      </c>
      <c r="G338" s="48" t="s">
        <v>397</v>
      </c>
      <c r="H338" s="69">
        <f t="shared" si="5"/>
        <v>43922</v>
      </c>
    </row>
    <row r="339" spans="1:8" x14ac:dyDescent="0.25">
      <c r="A339" s="68">
        <v>43924</v>
      </c>
      <c r="B339" s="48">
        <v>12</v>
      </c>
      <c r="C339" s="48">
        <v>0</v>
      </c>
      <c r="D339" s="48">
        <v>0</v>
      </c>
      <c r="E339" s="48" t="s">
        <v>116</v>
      </c>
      <c r="F339" s="48" t="s">
        <v>71</v>
      </c>
      <c r="G339" s="48" t="s">
        <v>340</v>
      </c>
      <c r="H339" s="69">
        <f t="shared" si="5"/>
        <v>43922</v>
      </c>
    </row>
    <row r="340" spans="1:8" x14ac:dyDescent="0.25">
      <c r="A340" s="68">
        <v>43924</v>
      </c>
      <c r="B340" s="48">
        <v>3</v>
      </c>
      <c r="C340" s="48">
        <v>0</v>
      </c>
      <c r="D340" s="48">
        <v>0</v>
      </c>
      <c r="E340" s="48" t="s">
        <v>116</v>
      </c>
      <c r="F340" s="48" t="s">
        <v>71</v>
      </c>
      <c r="G340" s="48" t="s">
        <v>97</v>
      </c>
      <c r="H340" s="69">
        <f t="shared" si="5"/>
        <v>43922</v>
      </c>
    </row>
    <row r="341" spans="1:8" x14ac:dyDescent="0.25">
      <c r="A341" s="68">
        <v>43924</v>
      </c>
      <c r="B341" s="48">
        <v>100</v>
      </c>
      <c r="C341" s="48">
        <v>0</v>
      </c>
      <c r="D341" s="48">
        <v>0</v>
      </c>
      <c r="E341" s="48" t="s">
        <v>116</v>
      </c>
      <c r="F341" s="48" t="s">
        <v>71</v>
      </c>
      <c r="G341" s="48" t="s">
        <v>100</v>
      </c>
      <c r="H341" s="69">
        <f t="shared" si="5"/>
        <v>43922</v>
      </c>
    </row>
    <row r="342" spans="1:8" x14ac:dyDescent="0.25">
      <c r="A342" s="68">
        <v>43924</v>
      </c>
      <c r="B342" s="48">
        <v>40</v>
      </c>
      <c r="C342" s="48">
        <v>3</v>
      </c>
      <c r="D342" s="48">
        <v>0</v>
      </c>
      <c r="E342" s="48" t="s">
        <v>112</v>
      </c>
      <c r="F342" s="48" t="s">
        <v>70</v>
      </c>
      <c r="G342" s="48" t="s">
        <v>91</v>
      </c>
      <c r="H342" s="69">
        <f t="shared" si="5"/>
        <v>43922</v>
      </c>
    </row>
    <row r="343" spans="1:8" x14ac:dyDescent="0.25">
      <c r="A343" s="68">
        <v>43925</v>
      </c>
      <c r="B343" s="48">
        <v>3</v>
      </c>
      <c r="C343" s="48">
        <v>0</v>
      </c>
      <c r="D343" s="48">
        <v>0</v>
      </c>
      <c r="E343" s="48" t="s">
        <v>114</v>
      </c>
      <c r="F343" s="48" t="s">
        <v>76</v>
      </c>
      <c r="G343" s="48" t="s">
        <v>339</v>
      </c>
      <c r="H343" s="69">
        <f t="shared" si="5"/>
        <v>43922</v>
      </c>
    </row>
    <row r="344" spans="1:8" x14ac:dyDescent="0.25">
      <c r="A344" s="68">
        <v>43925</v>
      </c>
      <c r="B344" s="48">
        <v>10</v>
      </c>
      <c r="C344" s="48">
        <v>0</v>
      </c>
      <c r="D344" s="48">
        <v>0</v>
      </c>
      <c r="E344" s="48" t="s">
        <v>114</v>
      </c>
      <c r="F344" s="48" t="s">
        <v>73</v>
      </c>
      <c r="G344" s="48" t="s">
        <v>93</v>
      </c>
      <c r="H344" s="69">
        <f t="shared" si="5"/>
        <v>43922</v>
      </c>
    </row>
    <row r="345" spans="1:8" x14ac:dyDescent="0.25">
      <c r="A345" s="68">
        <v>43925</v>
      </c>
      <c r="B345" s="48">
        <v>3</v>
      </c>
      <c r="C345" s="48">
        <v>0</v>
      </c>
      <c r="D345" s="48">
        <v>0</v>
      </c>
      <c r="E345" s="48" t="s">
        <v>112</v>
      </c>
      <c r="F345" s="48" t="s">
        <v>77</v>
      </c>
      <c r="G345" s="48" t="s">
        <v>343</v>
      </c>
      <c r="H345" s="69">
        <f t="shared" si="5"/>
        <v>43922</v>
      </c>
    </row>
    <row r="346" spans="1:8" x14ac:dyDescent="0.25">
      <c r="A346" s="68">
        <v>43925</v>
      </c>
      <c r="B346" s="48">
        <v>0</v>
      </c>
      <c r="C346" s="48">
        <v>0</v>
      </c>
      <c r="D346" s="48">
        <v>5</v>
      </c>
      <c r="E346" s="48" t="s">
        <v>114</v>
      </c>
      <c r="F346" s="48" t="s">
        <v>75</v>
      </c>
      <c r="G346" s="48" t="s">
        <v>368</v>
      </c>
      <c r="H346" s="69">
        <f t="shared" si="5"/>
        <v>43922</v>
      </c>
    </row>
    <row r="347" spans="1:8" x14ac:dyDescent="0.25">
      <c r="A347" s="68">
        <v>43925</v>
      </c>
      <c r="B347" s="48">
        <v>0</v>
      </c>
      <c r="C347" s="48">
        <v>0</v>
      </c>
      <c r="D347" s="48">
        <v>9</v>
      </c>
      <c r="E347" s="48" t="s">
        <v>114</v>
      </c>
      <c r="F347" s="48" t="s">
        <v>75</v>
      </c>
      <c r="G347" s="48" t="s">
        <v>361</v>
      </c>
      <c r="H347" s="69">
        <f t="shared" si="5"/>
        <v>43922</v>
      </c>
    </row>
    <row r="348" spans="1:8" x14ac:dyDescent="0.25">
      <c r="A348" s="68">
        <v>43925</v>
      </c>
      <c r="B348" s="48">
        <v>0</v>
      </c>
      <c r="C348" s="48">
        <v>0</v>
      </c>
      <c r="D348" s="48">
        <v>3</v>
      </c>
      <c r="E348" s="48" t="s">
        <v>114</v>
      </c>
      <c r="F348" s="48" t="s">
        <v>75</v>
      </c>
      <c r="G348" s="48" t="s">
        <v>393</v>
      </c>
      <c r="H348" s="69">
        <f t="shared" si="5"/>
        <v>43922</v>
      </c>
    </row>
    <row r="349" spans="1:8" x14ac:dyDescent="0.25">
      <c r="A349" s="68">
        <v>43925</v>
      </c>
      <c r="B349" s="48">
        <v>7</v>
      </c>
      <c r="C349" s="48">
        <v>0</v>
      </c>
      <c r="D349" s="48">
        <v>0</v>
      </c>
      <c r="E349" s="48" t="s">
        <v>112</v>
      </c>
      <c r="F349" s="48" t="s">
        <v>74</v>
      </c>
      <c r="G349" s="48" t="s">
        <v>95</v>
      </c>
      <c r="H349" s="69">
        <f t="shared" si="5"/>
        <v>43922</v>
      </c>
    </row>
    <row r="350" spans="1:8" x14ac:dyDescent="0.25">
      <c r="A350" s="68">
        <v>43925</v>
      </c>
      <c r="B350" s="48">
        <v>6</v>
      </c>
      <c r="C350" s="48">
        <v>3</v>
      </c>
      <c r="D350" s="48">
        <v>0</v>
      </c>
      <c r="E350" s="48" t="s">
        <v>112</v>
      </c>
      <c r="F350" s="48" t="s">
        <v>72</v>
      </c>
      <c r="G350" s="48" t="s">
        <v>94</v>
      </c>
      <c r="H350" s="69">
        <f t="shared" si="5"/>
        <v>43922</v>
      </c>
    </row>
    <row r="351" spans="1:8" x14ac:dyDescent="0.25">
      <c r="A351" s="68">
        <v>43925</v>
      </c>
      <c r="B351" s="48">
        <v>4</v>
      </c>
      <c r="C351" s="48">
        <v>0</v>
      </c>
      <c r="D351" s="48">
        <v>0</v>
      </c>
      <c r="E351" s="48" t="s">
        <v>112</v>
      </c>
      <c r="F351" s="48" t="s">
        <v>72</v>
      </c>
      <c r="G351" s="48" t="s">
        <v>365</v>
      </c>
      <c r="H351" s="69">
        <f t="shared" si="5"/>
        <v>43922</v>
      </c>
    </row>
    <row r="352" spans="1:8" x14ac:dyDescent="0.25">
      <c r="A352" s="68">
        <v>43925</v>
      </c>
      <c r="B352" s="48">
        <v>4</v>
      </c>
      <c r="C352" s="48">
        <v>0</v>
      </c>
      <c r="D352" s="48">
        <v>0</v>
      </c>
      <c r="E352" s="48" t="s">
        <v>112</v>
      </c>
      <c r="F352" s="48" t="s">
        <v>72</v>
      </c>
      <c r="G352" s="48" t="s">
        <v>347</v>
      </c>
      <c r="H352" s="69">
        <f t="shared" si="5"/>
        <v>43922</v>
      </c>
    </row>
    <row r="353" spans="1:8" x14ac:dyDescent="0.25">
      <c r="A353" s="68">
        <v>43925</v>
      </c>
      <c r="B353" s="48">
        <v>1</v>
      </c>
      <c r="C353" s="48">
        <v>0</v>
      </c>
      <c r="D353" s="48">
        <v>0</v>
      </c>
      <c r="E353" s="48" t="s">
        <v>112</v>
      </c>
      <c r="F353" s="48" t="s">
        <v>72</v>
      </c>
      <c r="G353" s="48" t="s">
        <v>351</v>
      </c>
      <c r="H353" s="69">
        <f t="shared" si="5"/>
        <v>43922</v>
      </c>
    </row>
    <row r="354" spans="1:8" x14ac:dyDescent="0.25">
      <c r="A354" s="68">
        <v>43925</v>
      </c>
      <c r="B354" s="48">
        <v>2</v>
      </c>
      <c r="C354" s="48">
        <v>0</v>
      </c>
      <c r="D354" s="48">
        <v>0</v>
      </c>
      <c r="E354" s="48" t="s">
        <v>112</v>
      </c>
      <c r="F354" s="48" t="s">
        <v>72</v>
      </c>
      <c r="G354" s="48" t="s">
        <v>342</v>
      </c>
      <c r="H354" s="69">
        <f t="shared" si="5"/>
        <v>43922</v>
      </c>
    </row>
    <row r="355" spans="1:8" x14ac:dyDescent="0.25">
      <c r="A355" s="68">
        <v>43925</v>
      </c>
      <c r="B355" s="48">
        <v>4</v>
      </c>
      <c r="C355" s="48">
        <v>0</v>
      </c>
      <c r="D355" s="48">
        <v>0</v>
      </c>
      <c r="E355" s="48" t="s">
        <v>112</v>
      </c>
      <c r="F355" s="48" t="s">
        <v>72</v>
      </c>
      <c r="G355" s="48" t="s">
        <v>408</v>
      </c>
      <c r="H355" s="69">
        <f t="shared" si="5"/>
        <v>43922</v>
      </c>
    </row>
    <row r="356" spans="1:8" x14ac:dyDescent="0.25">
      <c r="A356" s="68">
        <v>43925</v>
      </c>
      <c r="B356" s="48">
        <v>2</v>
      </c>
      <c r="C356" s="48">
        <v>0</v>
      </c>
      <c r="D356" s="48">
        <v>0</v>
      </c>
      <c r="E356" s="48" t="s">
        <v>112</v>
      </c>
      <c r="F356" s="48" t="s">
        <v>72</v>
      </c>
      <c r="G356" s="48" t="s">
        <v>338</v>
      </c>
      <c r="H356" s="69">
        <f t="shared" si="5"/>
        <v>43922</v>
      </c>
    </row>
    <row r="357" spans="1:8" x14ac:dyDescent="0.25">
      <c r="A357" s="68">
        <v>43925</v>
      </c>
      <c r="B357" s="48">
        <v>2</v>
      </c>
      <c r="C357" s="48">
        <v>0</v>
      </c>
      <c r="D357" s="48">
        <v>1</v>
      </c>
      <c r="E357" s="48" t="s">
        <v>112</v>
      </c>
      <c r="F357" s="48" t="s">
        <v>72</v>
      </c>
      <c r="G357" s="48" t="s">
        <v>353</v>
      </c>
      <c r="H357" s="69">
        <f t="shared" si="5"/>
        <v>43922</v>
      </c>
    </row>
    <row r="358" spans="1:8" x14ac:dyDescent="0.25">
      <c r="A358" s="68">
        <v>43925</v>
      </c>
      <c r="B358" s="48">
        <v>1</v>
      </c>
      <c r="C358" s="48">
        <v>0</v>
      </c>
      <c r="D358" s="48">
        <v>0</v>
      </c>
      <c r="E358" s="48" t="s">
        <v>112</v>
      </c>
      <c r="F358" s="48" t="s">
        <v>72</v>
      </c>
      <c r="G358" s="48" t="s">
        <v>429</v>
      </c>
      <c r="H358" s="69">
        <f t="shared" si="5"/>
        <v>43922</v>
      </c>
    </row>
    <row r="359" spans="1:8" x14ac:dyDescent="0.25">
      <c r="A359" s="68">
        <v>43925</v>
      </c>
      <c r="B359" s="48">
        <v>0</v>
      </c>
      <c r="C359" s="48">
        <v>0</v>
      </c>
      <c r="D359" s="48">
        <v>3</v>
      </c>
      <c r="E359" s="48" t="s">
        <v>118</v>
      </c>
      <c r="F359" s="48" t="s">
        <v>72</v>
      </c>
      <c r="G359" s="48" t="s">
        <v>351</v>
      </c>
      <c r="H359" s="69">
        <f t="shared" si="5"/>
        <v>43922</v>
      </c>
    </row>
    <row r="360" spans="1:8" x14ac:dyDescent="0.25">
      <c r="A360" s="68">
        <v>43925</v>
      </c>
      <c r="B360" s="48">
        <v>30</v>
      </c>
      <c r="C360" s="48">
        <v>1</v>
      </c>
      <c r="D360" s="48">
        <v>0</v>
      </c>
      <c r="E360" s="48" t="s">
        <v>112</v>
      </c>
      <c r="F360" s="48" t="s">
        <v>71</v>
      </c>
      <c r="G360" s="48" t="s">
        <v>92</v>
      </c>
      <c r="H360" s="69">
        <f t="shared" si="5"/>
        <v>43922</v>
      </c>
    </row>
    <row r="361" spans="1:8" x14ac:dyDescent="0.25">
      <c r="A361" s="68">
        <v>43925</v>
      </c>
      <c r="B361" s="48">
        <v>0</v>
      </c>
      <c r="C361" s="48">
        <v>0</v>
      </c>
      <c r="D361" s="48">
        <v>12</v>
      </c>
      <c r="E361" s="48" t="s">
        <v>112</v>
      </c>
      <c r="F361" s="48" t="s">
        <v>70</v>
      </c>
      <c r="G361" s="48" t="s">
        <v>91</v>
      </c>
      <c r="H361" s="69">
        <f t="shared" si="5"/>
        <v>43922</v>
      </c>
    </row>
    <row r="362" spans="1:8" x14ac:dyDescent="0.25">
      <c r="A362" s="68">
        <v>43926</v>
      </c>
      <c r="B362" s="48">
        <v>2</v>
      </c>
      <c r="C362" s="48">
        <v>0</v>
      </c>
      <c r="D362" s="48">
        <v>0</v>
      </c>
      <c r="E362" s="48" t="s">
        <v>112</v>
      </c>
      <c r="F362" s="48" t="s">
        <v>76</v>
      </c>
      <c r="G362" s="48" t="s">
        <v>416</v>
      </c>
      <c r="H362" s="69">
        <f t="shared" si="5"/>
        <v>43922</v>
      </c>
    </row>
    <row r="363" spans="1:8" x14ac:dyDescent="0.25">
      <c r="A363" s="68">
        <v>43926</v>
      </c>
      <c r="B363" s="48">
        <v>6</v>
      </c>
      <c r="C363" s="48">
        <v>0</v>
      </c>
      <c r="D363" s="48">
        <v>13</v>
      </c>
      <c r="E363" s="48" t="s">
        <v>114</v>
      </c>
      <c r="F363" s="48" t="s">
        <v>73</v>
      </c>
      <c r="G363" s="48" t="s">
        <v>93</v>
      </c>
      <c r="H363" s="69">
        <f t="shared" si="5"/>
        <v>43922</v>
      </c>
    </row>
    <row r="364" spans="1:8" x14ac:dyDescent="0.25">
      <c r="A364" s="68">
        <v>43926</v>
      </c>
      <c r="B364" s="48">
        <v>1</v>
      </c>
      <c r="C364" s="48">
        <v>0</v>
      </c>
      <c r="D364" s="48">
        <v>0</v>
      </c>
      <c r="E364" s="48" t="s">
        <v>112</v>
      </c>
      <c r="F364" s="48" t="s">
        <v>77</v>
      </c>
      <c r="G364" s="48" t="s">
        <v>344</v>
      </c>
      <c r="H364" s="69">
        <f t="shared" si="5"/>
        <v>43922</v>
      </c>
    </row>
    <row r="365" spans="1:8" x14ac:dyDescent="0.25">
      <c r="A365" s="68">
        <v>43926</v>
      </c>
      <c r="B365" s="48">
        <v>0</v>
      </c>
      <c r="C365" s="48">
        <v>0</v>
      </c>
      <c r="D365" s="48">
        <v>1</v>
      </c>
      <c r="E365" s="48" t="s">
        <v>112</v>
      </c>
      <c r="F365" s="48" t="s">
        <v>77</v>
      </c>
      <c r="G365" s="48" t="s">
        <v>359</v>
      </c>
      <c r="H365" s="69">
        <f t="shared" si="5"/>
        <v>43922</v>
      </c>
    </row>
    <row r="366" spans="1:8" x14ac:dyDescent="0.25">
      <c r="A366" s="68">
        <v>43926</v>
      </c>
      <c r="B366" s="48">
        <v>0</v>
      </c>
      <c r="C366" s="48">
        <v>0</v>
      </c>
      <c r="D366" s="48">
        <v>1</v>
      </c>
      <c r="E366" s="48" t="s">
        <v>112</v>
      </c>
      <c r="F366" s="48" t="s">
        <v>77</v>
      </c>
      <c r="G366" s="48" t="s">
        <v>420</v>
      </c>
      <c r="H366" s="69">
        <f t="shared" si="5"/>
        <v>43922</v>
      </c>
    </row>
    <row r="367" spans="1:8" x14ac:dyDescent="0.25">
      <c r="A367" s="68">
        <v>43926</v>
      </c>
      <c r="B367" s="48">
        <v>17</v>
      </c>
      <c r="C367" s="48">
        <v>0</v>
      </c>
      <c r="D367" s="48">
        <v>7</v>
      </c>
      <c r="E367" s="48" t="s">
        <v>116</v>
      </c>
      <c r="F367" s="48" t="s">
        <v>75</v>
      </c>
      <c r="G367" s="48" t="s">
        <v>103</v>
      </c>
      <c r="H367" s="69">
        <f t="shared" si="5"/>
        <v>43922</v>
      </c>
    </row>
    <row r="368" spans="1:8" x14ac:dyDescent="0.25">
      <c r="A368" s="68">
        <v>43926</v>
      </c>
      <c r="B368" s="48">
        <v>0</v>
      </c>
      <c r="C368" s="48">
        <v>0</v>
      </c>
      <c r="D368" s="48">
        <v>2</v>
      </c>
      <c r="E368" s="48" t="s">
        <v>118</v>
      </c>
      <c r="F368" s="48" t="s">
        <v>75</v>
      </c>
      <c r="G368" s="48" t="s">
        <v>404</v>
      </c>
      <c r="H368" s="69">
        <f t="shared" si="5"/>
        <v>43922</v>
      </c>
    </row>
    <row r="369" spans="1:8" x14ac:dyDescent="0.25">
      <c r="A369" s="68">
        <v>43926</v>
      </c>
      <c r="B369" s="48">
        <v>0</v>
      </c>
      <c r="C369" s="48">
        <v>0</v>
      </c>
      <c r="D369" s="48">
        <v>1</v>
      </c>
      <c r="E369" s="48" t="s">
        <v>128</v>
      </c>
      <c r="F369" s="48" t="s">
        <v>75</v>
      </c>
      <c r="G369" s="48" t="s">
        <v>404</v>
      </c>
      <c r="H369" s="69">
        <f t="shared" si="5"/>
        <v>43922</v>
      </c>
    </row>
    <row r="370" spans="1:8" x14ac:dyDescent="0.25">
      <c r="A370" s="68">
        <v>43926</v>
      </c>
      <c r="B370" s="48">
        <v>3</v>
      </c>
      <c r="C370" s="48">
        <v>0</v>
      </c>
      <c r="D370" s="48">
        <v>0</v>
      </c>
      <c r="E370" s="48" t="s">
        <v>112</v>
      </c>
      <c r="F370" s="48" t="s">
        <v>74</v>
      </c>
      <c r="G370" s="48" t="s">
        <v>95</v>
      </c>
      <c r="H370" s="69">
        <f t="shared" si="5"/>
        <v>43922</v>
      </c>
    </row>
    <row r="371" spans="1:8" x14ac:dyDescent="0.25">
      <c r="A371" s="68">
        <v>43926</v>
      </c>
      <c r="B371" s="48">
        <v>4</v>
      </c>
      <c r="C371" s="48">
        <v>2</v>
      </c>
      <c r="D371" s="48">
        <v>0</v>
      </c>
      <c r="E371" s="48" t="s">
        <v>112</v>
      </c>
      <c r="F371" s="48" t="s">
        <v>72</v>
      </c>
      <c r="G371" s="48" t="s">
        <v>96</v>
      </c>
      <c r="H371" s="69">
        <f t="shared" si="5"/>
        <v>43922</v>
      </c>
    </row>
    <row r="372" spans="1:8" x14ac:dyDescent="0.25">
      <c r="A372" s="68">
        <v>43926</v>
      </c>
      <c r="B372" s="48">
        <v>7</v>
      </c>
      <c r="C372" s="48">
        <v>0</v>
      </c>
      <c r="D372" s="48">
        <v>0</v>
      </c>
      <c r="E372" s="48" t="s">
        <v>112</v>
      </c>
      <c r="F372" s="48" t="s">
        <v>72</v>
      </c>
      <c r="G372" s="48" t="s">
        <v>94</v>
      </c>
      <c r="H372" s="69">
        <f t="shared" si="5"/>
        <v>43922</v>
      </c>
    </row>
    <row r="373" spans="1:8" x14ac:dyDescent="0.25">
      <c r="A373" s="68">
        <v>43926</v>
      </c>
      <c r="B373" s="48">
        <v>6</v>
      </c>
      <c r="C373" s="48">
        <v>0</v>
      </c>
      <c r="D373" s="48">
        <v>0</v>
      </c>
      <c r="E373" s="48" t="s">
        <v>112</v>
      </c>
      <c r="F373" s="48" t="s">
        <v>72</v>
      </c>
      <c r="G373" s="48" t="s">
        <v>338</v>
      </c>
      <c r="H373" s="69">
        <f t="shared" si="5"/>
        <v>43922</v>
      </c>
    </row>
    <row r="374" spans="1:8" x14ac:dyDescent="0.25">
      <c r="A374" s="68">
        <v>43926</v>
      </c>
      <c r="B374" s="48">
        <v>0</v>
      </c>
      <c r="C374" s="48">
        <v>0</v>
      </c>
      <c r="D374" s="48">
        <v>1</v>
      </c>
      <c r="E374" s="48" t="s">
        <v>112</v>
      </c>
      <c r="F374" s="48" t="s">
        <v>72</v>
      </c>
      <c r="G374" s="48" t="s">
        <v>410</v>
      </c>
      <c r="H374" s="69">
        <f t="shared" si="5"/>
        <v>43922</v>
      </c>
    </row>
    <row r="375" spans="1:8" x14ac:dyDescent="0.25">
      <c r="A375" s="68">
        <v>43926</v>
      </c>
      <c r="B375" s="48">
        <v>5</v>
      </c>
      <c r="C375" s="48">
        <v>0</v>
      </c>
      <c r="D375" s="48">
        <v>0</v>
      </c>
      <c r="E375" s="48" t="s">
        <v>112</v>
      </c>
      <c r="F375" s="48" t="s">
        <v>72</v>
      </c>
      <c r="G375" s="48" t="s">
        <v>337</v>
      </c>
      <c r="H375" s="69">
        <f t="shared" si="5"/>
        <v>43922</v>
      </c>
    </row>
    <row r="376" spans="1:8" x14ac:dyDescent="0.25">
      <c r="A376" s="68">
        <v>43926</v>
      </c>
      <c r="B376" s="48">
        <v>0</v>
      </c>
      <c r="C376" s="48">
        <v>0</v>
      </c>
      <c r="D376" s="48">
        <v>1</v>
      </c>
      <c r="E376" s="48" t="s">
        <v>112</v>
      </c>
      <c r="F376" s="48" t="s">
        <v>72</v>
      </c>
      <c r="G376" s="48" t="s">
        <v>341</v>
      </c>
      <c r="H376" s="69">
        <f t="shared" si="5"/>
        <v>43922</v>
      </c>
    </row>
    <row r="377" spans="1:8" x14ac:dyDescent="0.25">
      <c r="A377" s="68">
        <v>43926</v>
      </c>
      <c r="B377" s="48">
        <v>0</v>
      </c>
      <c r="C377" s="48">
        <v>0</v>
      </c>
      <c r="D377" s="48">
        <v>1</v>
      </c>
      <c r="E377" s="48" t="s">
        <v>112</v>
      </c>
      <c r="F377" s="48" t="s">
        <v>72</v>
      </c>
      <c r="G377" s="48" t="s">
        <v>335</v>
      </c>
      <c r="H377" s="69">
        <f t="shared" si="5"/>
        <v>43922</v>
      </c>
    </row>
    <row r="378" spans="1:8" x14ac:dyDescent="0.25">
      <c r="A378" s="68">
        <v>43926</v>
      </c>
      <c r="B378" s="48">
        <v>0</v>
      </c>
      <c r="C378" s="48">
        <v>0</v>
      </c>
      <c r="D378" s="48">
        <v>2</v>
      </c>
      <c r="E378" s="48" t="s">
        <v>112</v>
      </c>
      <c r="F378" s="48" t="s">
        <v>72</v>
      </c>
      <c r="G378" s="48" t="s">
        <v>342</v>
      </c>
      <c r="H378" s="69">
        <f t="shared" si="5"/>
        <v>43922</v>
      </c>
    </row>
    <row r="379" spans="1:8" x14ac:dyDescent="0.25">
      <c r="A379" s="68">
        <v>43926</v>
      </c>
      <c r="B379" s="48">
        <v>4</v>
      </c>
      <c r="C379" s="48">
        <v>0</v>
      </c>
      <c r="D379" s="48">
        <v>4</v>
      </c>
      <c r="E379" s="48" t="s">
        <v>112</v>
      </c>
      <c r="F379" s="48" t="s">
        <v>72</v>
      </c>
      <c r="G379" s="48" t="s">
        <v>347</v>
      </c>
      <c r="H379" s="69">
        <f t="shared" si="5"/>
        <v>43922</v>
      </c>
    </row>
    <row r="380" spans="1:8" x14ac:dyDescent="0.25">
      <c r="A380" s="68">
        <v>43926</v>
      </c>
      <c r="B380" s="48">
        <v>3</v>
      </c>
      <c r="C380" s="48">
        <v>0</v>
      </c>
      <c r="D380" s="48">
        <v>9</v>
      </c>
      <c r="E380" s="48" t="s">
        <v>112</v>
      </c>
      <c r="F380" s="48" t="s">
        <v>72</v>
      </c>
      <c r="G380" s="48" t="s">
        <v>102</v>
      </c>
      <c r="H380" s="69">
        <f t="shared" si="5"/>
        <v>43922</v>
      </c>
    </row>
    <row r="381" spans="1:8" x14ac:dyDescent="0.25">
      <c r="A381" s="68">
        <v>43926</v>
      </c>
      <c r="B381" s="48">
        <v>0</v>
      </c>
      <c r="C381" s="48">
        <v>0</v>
      </c>
      <c r="D381" s="48">
        <v>1</v>
      </c>
      <c r="E381" s="48" t="s">
        <v>112</v>
      </c>
      <c r="F381" s="48" t="s">
        <v>72</v>
      </c>
      <c r="G381" s="48" t="s">
        <v>101</v>
      </c>
      <c r="H381" s="69">
        <f t="shared" si="5"/>
        <v>43922</v>
      </c>
    </row>
    <row r="382" spans="1:8" x14ac:dyDescent="0.25">
      <c r="A382" s="68">
        <v>43926</v>
      </c>
      <c r="B382" s="48">
        <v>0</v>
      </c>
      <c r="C382" s="48">
        <v>0</v>
      </c>
      <c r="D382" s="48">
        <v>1</v>
      </c>
      <c r="E382" s="48" t="s">
        <v>112</v>
      </c>
      <c r="F382" s="48" t="s">
        <v>72</v>
      </c>
      <c r="G382" s="48" t="s">
        <v>354</v>
      </c>
      <c r="H382" s="69">
        <f t="shared" si="5"/>
        <v>43922</v>
      </c>
    </row>
    <row r="383" spans="1:8" x14ac:dyDescent="0.25">
      <c r="A383" s="68">
        <v>43926</v>
      </c>
      <c r="B383" s="48">
        <v>1</v>
      </c>
      <c r="C383" s="48">
        <v>0</v>
      </c>
      <c r="D383" s="48">
        <v>0</v>
      </c>
      <c r="E383" s="48" t="s">
        <v>112</v>
      </c>
      <c r="F383" s="48" t="s">
        <v>72</v>
      </c>
      <c r="G383" s="48" t="s">
        <v>365</v>
      </c>
      <c r="H383" s="69">
        <f t="shared" si="5"/>
        <v>43922</v>
      </c>
    </row>
    <row r="384" spans="1:8" x14ac:dyDescent="0.25">
      <c r="A384" s="68">
        <v>43926</v>
      </c>
      <c r="B384" s="48">
        <v>1</v>
      </c>
      <c r="C384" s="48">
        <v>0</v>
      </c>
      <c r="D384" s="48">
        <v>0</v>
      </c>
      <c r="E384" s="48" t="s">
        <v>112</v>
      </c>
      <c r="F384" s="48" t="s">
        <v>72</v>
      </c>
      <c r="G384" s="48" t="s">
        <v>356</v>
      </c>
      <c r="H384" s="69">
        <f t="shared" si="5"/>
        <v>43922</v>
      </c>
    </row>
    <row r="385" spans="1:8" x14ac:dyDescent="0.25">
      <c r="A385" s="68">
        <v>43926</v>
      </c>
      <c r="B385" s="48">
        <v>1</v>
      </c>
      <c r="C385" s="48">
        <v>0</v>
      </c>
      <c r="D385" s="48">
        <v>0</v>
      </c>
      <c r="E385" s="48" t="s">
        <v>112</v>
      </c>
      <c r="F385" s="48" t="s">
        <v>72</v>
      </c>
      <c r="G385" s="48" t="s">
        <v>352</v>
      </c>
      <c r="H385" s="69">
        <f t="shared" si="5"/>
        <v>43922</v>
      </c>
    </row>
    <row r="386" spans="1:8" x14ac:dyDescent="0.25">
      <c r="A386" s="68">
        <v>43926</v>
      </c>
      <c r="B386" s="48">
        <v>31</v>
      </c>
      <c r="C386" s="48">
        <v>0</v>
      </c>
      <c r="D386" s="48">
        <v>0</v>
      </c>
      <c r="E386" s="48" t="s">
        <v>112</v>
      </c>
      <c r="F386" s="48" t="s">
        <v>71</v>
      </c>
      <c r="G386" s="48" t="s">
        <v>92</v>
      </c>
      <c r="H386" s="69">
        <f t="shared" ref="H386:H449" si="6">DATE(YEAR(A386),MONTH(A386),1)</f>
        <v>43922</v>
      </c>
    </row>
    <row r="387" spans="1:8" x14ac:dyDescent="0.25">
      <c r="A387" s="68">
        <v>43926</v>
      </c>
      <c r="B387" s="48">
        <v>0</v>
      </c>
      <c r="C387" s="48">
        <v>0</v>
      </c>
      <c r="D387" s="48">
        <v>0</v>
      </c>
      <c r="E387" s="48" t="s">
        <v>112</v>
      </c>
      <c r="F387" s="48" t="s">
        <v>71</v>
      </c>
      <c r="G387" s="48" t="s">
        <v>370</v>
      </c>
      <c r="H387" s="69">
        <f t="shared" si="6"/>
        <v>43922</v>
      </c>
    </row>
    <row r="388" spans="1:8" x14ac:dyDescent="0.25">
      <c r="A388" s="68">
        <v>43926</v>
      </c>
      <c r="B388" s="48">
        <v>47</v>
      </c>
      <c r="C388" s="48">
        <v>0</v>
      </c>
      <c r="D388" s="48">
        <v>0</v>
      </c>
      <c r="E388" s="48" t="s">
        <v>118</v>
      </c>
      <c r="F388" s="48" t="s">
        <v>71</v>
      </c>
      <c r="G388" s="48" t="s">
        <v>100</v>
      </c>
      <c r="H388" s="69">
        <f t="shared" si="6"/>
        <v>43922</v>
      </c>
    </row>
    <row r="389" spans="1:8" x14ac:dyDescent="0.25">
      <c r="A389" s="68">
        <v>43926</v>
      </c>
      <c r="B389" s="48">
        <v>41</v>
      </c>
      <c r="C389" s="48">
        <v>1</v>
      </c>
      <c r="D389" s="48">
        <v>0</v>
      </c>
      <c r="E389" s="48" t="s">
        <v>112</v>
      </c>
      <c r="F389" s="48" t="s">
        <v>70</v>
      </c>
      <c r="G389" s="48" t="s">
        <v>91</v>
      </c>
      <c r="H389" s="69">
        <f t="shared" si="6"/>
        <v>43922</v>
      </c>
    </row>
    <row r="390" spans="1:8" x14ac:dyDescent="0.25">
      <c r="A390" s="68">
        <v>43927</v>
      </c>
      <c r="B390" s="48">
        <v>1</v>
      </c>
      <c r="C390" s="48">
        <v>0</v>
      </c>
      <c r="D390" s="48">
        <v>0</v>
      </c>
      <c r="E390" s="48" t="s">
        <v>112</v>
      </c>
      <c r="F390" s="48" t="s">
        <v>76</v>
      </c>
      <c r="G390" s="48" t="s">
        <v>339</v>
      </c>
      <c r="H390" s="69">
        <f t="shared" si="6"/>
        <v>43922</v>
      </c>
    </row>
    <row r="391" spans="1:8" x14ac:dyDescent="0.25">
      <c r="A391" s="68">
        <v>43927</v>
      </c>
      <c r="B391" s="48">
        <v>3</v>
      </c>
      <c r="C391" s="48">
        <v>0</v>
      </c>
      <c r="D391" s="48">
        <v>31</v>
      </c>
      <c r="E391" s="48" t="s">
        <v>112</v>
      </c>
      <c r="F391" s="48" t="s">
        <v>73</v>
      </c>
      <c r="G391" s="48" t="s">
        <v>93</v>
      </c>
      <c r="H391" s="69">
        <f t="shared" si="6"/>
        <v>43922</v>
      </c>
    </row>
    <row r="392" spans="1:8" x14ac:dyDescent="0.25">
      <c r="A392" s="68">
        <v>43927</v>
      </c>
      <c r="B392" s="48">
        <v>1</v>
      </c>
      <c r="C392" s="48">
        <v>0</v>
      </c>
      <c r="D392" s="48">
        <v>0</v>
      </c>
      <c r="E392" s="48" t="s">
        <v>112</v>
      </c>
      <c r="F392" s="48" t="s">
        <v>77</v>
      </c>
      <c r="G392" s="48" t="s">
        <v>343</v>
      </c>
      <c r="H392" s="69">
        <f t="shared" si="6"/>
        <v>43922</v>
      </c>
    </row>
    <row r="393" spans="1:8" x14ac:dyDescent="0.25">
      <c r="A393" s="68">
        <v>43927</v>
      </c>
      <c r="B393" s="48">
        <v>3</v>
      </c>
      <c r="C393" s="48">
        <v>0</v>
      </c>
      <c r="D393" s="48">
        <v>0</v>
      </c>
      <c r="E393" s="48" t="s">
        <v>112</v>
      </c>
      <c r="F393" s="48" t="s">
        <v>77</v>
      </c>
      <c r="G393" s="48" t="s">
        <v>411</v>
      </c>
      <c r="H393" s="69">
        <f t="shared" si="6"/>
        <v>43922</v>
      </c>
    </row>
    <row r="394" spans="1:8" x14ac:dyDescent="0.25">
      <c r="A394" s="68">
        <v>43927</v>
      </c>
      <c r="B394" s="48">
        <v>1</v>
      </c>
      <c r="C394" s="48">
        <v>0</v>
      </c>
      <c r="D394" s="48">
        <v>0</v>
      </c>
      <c r="E394" s="48" t="s">
        <v>112</v>
      </c>
      <c r="F394" s="48" t="s">
        <v>75</v>
      </c>
      <c r="G394" s="48" t="s">
        <v>103</v>
      </c>
      <c r="H394" s="69">
        <f t="shared" si="6"/>
        <v>43922</v>
      </c>
    </row>
    <row r="395" spans="1:8" x14ac:dyDescent="0.25">
      <c r="A395" s="68">
        <v>43927</v>
      </c>
      <c r="B395" s="48">
        <v>0</v>
      </c>
      <c r="C395" s="48">
        <v>0</v>
      </c>
      <c r="D395" s="48">
        <v>11</v>
      </c>
      <c r="E395" s="48" t="s">
        <v>112</v>
      </c>
      <c r="F395" s="48" t="s">
        <v>75</v>
      </c>
      <c r="G395" s="48" t="s">
        <v>390</v>
      </c>
      <c r="H395" s="69">
        <f t="shared" si="6"/>
        <v>43922</v>
      </c>
    </row>
    <row r="396" spans="1:8" x14ac:dyDescent="0.25">
      <c r="A396" s="68">
        <v>43927</v>
      </c>
      <c r="B396" s="48">
        <v>1</v>
      </c>
      <c r="C396" s="48">
        <v>0</v>
      </c>
      <c r="D396" s="48">
        <v>0</v>
      </c>
      <c r="E396" s="48" t="s">
        <v>112</v>
      </c>
      <c r="F396" s="48" t="s">
        <v>72</v>
      </c>
      <c r="G396" s="48" t="s">
        <v>337</v>
      </c>
      <c r="H396" s="69">
        <f t="shared" si="6"/>
        <v>43922</v>
      </c>
    </row>
    <row r="397" spans="1:8" x14ac:dyDescent="0.25">
      <c r="A397" s="68">
        <v>43927</v>
      </c>
      <c r="B397" s="48">
        <v>2</v>
      </c>
      <c r="C397" s="48">
        <v>0</v>
      </c>
      <c r="D397" s="48">
        <v>0</v>
      </c>
      <c r="E397" s="48" t="s">
        <v>112</v>
      </c>
      <c r="F397" s="48" t="s">
        <v>72</v>
      </c>
      <c r="G397" s="48" t="s">
        <v>365</v>
      </c>
      <c r="H397" s="69">
        <f t="shared" si="6"/>
        <v>43922</v>
      </c>
    </row>
    <row r="398" spans="1:8" x14ac:dyDescent="0.25">
      <c r="A398" s="68">
        <v>43927</v>
      </c>
      <c r="B398" s="48">
        <v>1</v>
      </c>
      <c r="C398" s="48">
        <v>0</v>
      </c>
      <c r="D398" s="48">
        <v>0</v>
      </c>
      <c r="E398" s="48" t="s">
        <v>112</v>
      </c>
      <c r="F398" s="48" t="s">
        <v>72</v>
      </c>
      <c r="G398" s="48" t="s">
        <v>347</v>
      </c>
      <c r="H398" s="69">
        <f t="shared" si="6"/>
        <v>43922</v>
      </c>
    </row>
    <row r="399" spans="1:8" x14ac:dyDescent="0.25">
      <c r="A399" s="68">
        <v>43927</v>
      </c>
      <c r="B399" s="48">
        <v>4</v>
      </c>
      <c r="C399" s="48">
        <v>0</v>
      </c>
      <c r="D399" s="48">
        <v>0</v>
      </c>
      <c r="E399" s="48" t="s">
        <v>112</v>
      </c>
      <c r="F399" s="48" t="s">
        <v>72</v>
      </c>
      <c r="G399" s="48" t="s">
        <v>341</v>
      </c>
      <c r="H399" s="69">
        <f t="shared" si="6"/>
        <v>43922</v>
      </c>
    </row>
    <row r="400" spans="1:8" x14ac:dyDescent="0.25">
      <c r="A400" s="68">
        <v>43927</v>
      </c>
      <c r="B400" s="48">
        <v>3</v>
      </c>
      <c r="C400" s="48">
        <v>0</v>
      </c>
      <c r="D400" s="48">
        <v>0</v>
      </c>
      <c r="E400" s="48" t="s">
        <v>118</v>
      </c>
      <c r="F400" s="48" t="s">
        <v>72</v>
      </c>
      <c r="G400" s="48" t="s">
        <v>351</v>
      </c>
      <c r="H400" s="69">
        <f t="shared" si="6"/>
        <v>43922</v>
      </c>
    </row>
    <row r="401" spans="1:8" x14ac:dyDescent="0.25">
      <c r="A401" s="68">
        <v>43927</v>
      </c>
      <c r="B401" s="48">
        <v>1</v>
      </c>
      <c r="C401" s="48">
        <v>0</v>
      </c>
      <c r="D401" s="48">
        <v>0</v>
      </c>
      <c r="E401" s="48" t="s">
        <v>112</v>
      </c>
      <c r="F401" s="48" t="s">
        <v>72</v>
      </c>
      <c r="G401" s="48" t="s">
        <v>351</v>
      </c>
      <c r="H401" s="69">
        <f t="shared" si="6"/>
        <v>43922</v>
      </c>
    </row>
    <row r="402" spans="1:8" x14ac:dyDescent="0.25">
      <c r="A402" s="68">
        <v>43927</v>
      </c>
      <c r="B402" s="48">
        <v>6</v>
      </c>
      <c r="C402" s="48">
        <v>0</v>
      </c>
      <c r="D402" s="48">
        <v>1</v>
      </c>
      <c r="E402" s="48" t="s">
        <v>112</v>
      </c>
      <c r="F402" s="48" t="s">
        <v>72</v>
      </c>
      <c r="G402" s="48" t="s">
        <v>335</v>
      </c>
      <c r="H402" s="69">
        <f t="shared" si="6"/>
        <v>43922</v>
      </c>
    </row>
    <row r="403" spans="1:8" x14ac:dyDescent="0.25">
      <c r="A403" s="68">
        <v>43927</v>
      </c>
      <c r="B403" s="48">
        <v>14</v>
      </c>
      <c r="C403" s="48">
        <v>0</v>
      </c>
      <c r="D403" s="48">
        <v>0</v>
      </c>
      <c r="E403" s="48" t="s">
        <v>112</v>
      </c>
      <c r="F403" s="48" t="s">
        <v>72</v>
      </c>
      <c r="G403" s="48" t="s">
        <v>342</v>
      </c>
      <c r="H403" s="69">
        <f t="shared" si="6"/>
        <v>43922</v>
      </c>
    </row>
    <row r="404" spans="1:8" x14ac:dyDescent="0.25">
      <c r="A404" s="68">
        <v>43927</v>
      </c>
      <c r="B404" s="48">
        <v>1</v>
      </c>
      <c r="C404" s="48">
        <v>0</v>
      </c>
      <c r="D404" s="48">
        <v>0</v>
      </c>
      <c r="E404" s="48" t="s">
        <v>112</v>
      </c>
      <c r="F404" s="48" t="s">
        <v>72</v>
      </c>
      <c r="G404" s="48" t="s">
        <v>352</v>
      </c>
      <c r="H404" s="69">
        <f t="shared" si="6"/>
        <v>43922</v>
      </c>
    </row>
    <row r="405" spans="1:8" x14ac:dyDescent="0.25">
      <c r="A405" s="68">
        <v>43927</v>
      </c>
      <c r="B405" s="48">
        <v>15</v>
      </c>
      <c r="C405" s="48">
        <v>0</v>
      </c>
      <c r="D405" s="48">
        <v>1</v>
      </c>
      <c r="E405" s="48" t="s">
        <v>112</v>
      </c>
      <c r="F405" s="48" t="s">
        <v>72</v>
      </c>
      <c r="G405" s="48" t="s">
        <v>358</v>
      </c>
      <c r="H405" s="69">
        <f t="shared" si="6"/>
        <v>43922</v>
      </c>
    </row>
    <row r="406" spans="1:8" x14ac:dyDescent="0.25">
      <c r="A406" s="68">
        <v>43927</v>
      </c>
      <c r="B406" s="48">
        <v>1</v>
      </c>
      <c r="C406" s="48">
        <v>0</v>
      </c>
      <c r="D406" s="48">
        <v>0</v>
      </c>
      <c r="E406" s="48" t="s">
        <v>112</v>
      </c>
      <c r="F406" s="48" t="s">
        <v>72</v>
      </c>
      <c r="G406" s="48" t="s">
        <v>354</v>
      </c>
      <c r="H406" s="69">
        <f t="shared" si="6"/>
        <v>43922</v>
      </c>
    </row>
    <row r="407" spans="1:8" x14ac:dyDescent="0.25">
      <c r="A407" s="68">
        <v>43927</v>
      </c>
      <c r="B407" s="48">
        <v>9</v>
      </c>
      <c r="C407" s="48">
        <v>0</v>
      </c>
      <c r="D407" s="48">
        <v>0</v>
      </c>
      <c r="E407" s="48" t="s">
        <v>112</v>
      </c>
      <c r="F407" s="48" t="s">
        <v>72</v>
      </c>
      <c r="G407" s="48" t="s">
        <v>102</v>
      </c>
      <c r="H407" s="69">
        <f t="shared" si="6"/>
        <v>43922</v>
      </c>
    </row>
    <row r="408" spans="1:8" x14ac:dyDescent="0.25">
      <c r="A408" s="68">
        <v>43927</v>
      </c>
      <c r="B408" s="48">
        <v>1</v>
      </c>
      <c r="C408" s="48">
        <v>0</v>
      </c>
      <c r="D408" s="48">
        <v>0</v>
      </c>
      <c r="E408" s="48" t="s">
        <v>112</v>
      </c>
      <c r="F408" s="48" t="s">
        <v>72</v>
      </c>
      <c r="G408" s="48" t="s">
        <v>400</v>
      </c>
      <c r="H408" s="69">
        <f t="shared" si="6"/>
        <v>43922</v>
      </c>
    </row>
    <row r="409" spans="1:8" x14ac:dyDescent="0.25">
      <c r="A409" s="68">
        <v>43927</v>
      </c>
      <c r="B409" s="48">
        <v>24</v>
      </c>
      <c r="C409" s="48">
        <v>0</v>
      </c>
      <c r="D409" s="48">
        <v>0</v>
      </c>
      <c r="E409" s="48" t="s">
        <v>112</v>
      </c>
      <c r="F409" s="48" t="s">
        <v>72</v>
      </c>
      <c r="G409" s="48" t="s">
        <v>94</v>
      </c>
      <c r="H409" s="69">
        <f t="shared" si="6"/>
        <v>43922</v>
      </c>
    </row>
    <row r="410" spans="1:8" x14ac:dyDescent="0.25">
      <c r="A410" s="68">
        <v>43927</v>
      </c>
      <c r="B410" s="48">
        <v>2</v>
      </c>
      <c r="C410" s="48">
        <v>0</v>
      </c>
      <c r="D410" s="48">
        <v>1</v>
      </c>
      <c r="E410" s="48" t="s">
        <v>112</v>
      </c>
      <c r="F410" s="48" t="s">
        <v>72</v>
      </c>
      <c r="G410" s="48" t="s">
        <v>355</v>
      </c>
      <c r="H410" s="69">
        <f t="shared" si="6"/>
        <v>43922</v>
      </c>
    </row>
    <row r="411" spans="1:8" x14ac:dyDescent="0.25">
      <c r="A411" s="68">
        <v>43927</v>
      </c>
      <c r="B411" s="48">
        <v>7</v>
      </c>
      <c r="C411" s="48">
        <v>0</v>
      </c>
      <c r="D411" s="48">
        <v>0</v>
      </c>
      <c r="E411" s="48" t="s">
        <v>112</v>
      </c>
      <c r="F411" s="48" t="s">
        <v>72</v>
      </c>
      <c r="G411" s="48" t="s">
        <v>96</v>
      </c>
      <c r="H411" s="69">
        <f t="shared" si="6"/>
        <v>43922</v>
      </c>
    </row>
    <row r="412" spans="1:8" x14ac:dyDescent="0.25">
      <c r="A412" s="68">
        <v>43927</v>
      </c>
      <c r="B412" s="48">
        <v>20</v>
      </c>
      <c r="C412" s="48">
        <v>3</v>
      </c>
      <c r="D412" s="48">
        <v>0</v>
      </c>
      <c r="E412" s="48" t="s">
        <v>112</v>
      </c>
      <c r="F412" s="48" t="s">
        <v>71</v>
      </c>
      <c r="G412" s="48" t="s">
        <v>92</v>
      </c>
      <c r="H412" s="69">
        <f t="shared" si="6"/>
        <v>43922</v>
      </c>
    </row>
    <row r="413" spans="1:8" x14ac:dyDescent="0.25">
      <c r="A413" s="68">
        <v>43927</v>
      </c>
      <c r="B413" s="48">
        <v>77</v>
      </c>
      <c r="C413" s="48">
        <v>0</v>
      </c>
      <c r="D413" s="48">
        <v>0</v>
      </c>
      <c r="E413" s="48" t="s">
        <v>120</v>
      </c>
      <c r="F413" s="48" t="s">
        <v>71</v>
      </c>
      <c r="G413" s="48" t="s">
        <v>92</v>
      </c>
      <c r="H413" s="69">
        <f t="shared" si="6"/>
        <v>43922</v>
      </c>
    </row>
    <row r="414" spans="1:8" x14ac:dyDescent="0.25">
      <c r="A414" s="68">
        <v>43927</v>
      </c>
      <c r="B414" s="48">
        <v>51</v>
      </c>
      <c r="C414" s="48">
        <v>2</v>
      </c>
      <c r="D414" s="48">
        <v>0</v>
      </c>
      <c r="E414" s="48" t="s">
        <v>112</v>
      </c>
      <c r="F414" s="48" t="s">
        <v>70</v>
      </c>
      <c r="G414" s="48" t="s">
        <v>91</v>
      </c>
      <c r="H414" s="69">
        <f t="shared" si="6"/>
        <v>43922</v>
      </c>
    </row>
    <row r="415" spans="1:8" x14ac:dyDescent="0.25">
      <c r="A415" s="68">
        <v>43927</v>
      </c>
      <c r="B415" s="48">
        <v>0</v>
      </c>
      <c r="C415" s="48">
        <v>0</v>
      </c>
      <c r="D415" s="48">
        <v>130</v>
      </c>
      <c r="E415" s="48" t="s">
        <v>118</v>
      </c>
      <c r="F415" s="48" t="s">
        <v>70</v>
      </c>
      <c r="G415" s="48" t="s">
        <v>98</v>
      </c>
      <c r="H415" s="69">
        <f t="shared" si="6"/>
        <v>43922</v>
      </c>
    </row>
    <row r="416" spans="1:8" x14ac:dyDescent="0.25">
      <c r="A416" s="68">
        <v>43928</v>
      </c>
      <c r="B416" s="48">
        <v>3</v>
      </c>
      <c r="C416" s="48">
        <v>0</v>
      </c>
      <c r="D416" s="48">
        <v>0</v>
      </c>
      <c r="E416" s="48" t="s">
        <v>112</v>
      </c>
      <c r="F416" s="48" t="s">
        <v>76</v>
      </c>
      <c r="G416" s="48" t="s">
        <v>339</v>
      </c>
      <c r="H416" s="69">
        <f t="shared" si="6"/>
        <v>43922</v>
      </c>
    </row>
    <row r="417" spans="1:8" x14ac:dyDescent="0.25">
      <c r="A417" s="68">
        <v>43928</v>
      </c>
      <c r="B417" s="48">
        <v>12</v>
      </c>
      <c r="C417" s="48">
        <v>0</v>
      </c>
      <c r="D417" s="48">
        <v>3</v>
      </c>
      <c r="E417" s="48" t="s">
        <v>112</v>
      </c>
      <c r="F417" s="48" t="s">
        <v>73</v>
      </c>
      <c r="G417" s="48" t="s">
        <v>93</v>
      </c>
      <c r="H417" s="69">
        <f t="shared" si="6"/>
        <v>43922</v>
      </c>
    </row>
    <row r="418" spans="1:8" x14ac:dyDescent="0.25">
      <c r="A418" s="68">
        <v>43928</v>
      </c>
      <c r="B418" s="48">
        <v>1</v>
      </c>
      <c r="C418" s="48">
        <v>0</v>
      </c>
      <c r="D418" s="48">
        <v>0</v>
      </c>
      <c r="E418" s="48" t="s">
        <v>112</v>
      </c>
      <c r="F418" s="48" t="s">
        <v>77</v>
      </c>
      <c r="G418" s="48" t="s">
        <v>344</v>
      </c>
      <c r="H418" s="69">
        <f t="shared" si="6"/>
        <v>43922</v>
      </c>
    </row>
    <row r="419" spans="1:8" x14ac:dyDescent="0.25">
      <c r="A419" s="68">
        <v>43928</v>
      </c>
      <c r="B419" s="48">
        <v>1</v>
      </c>
      <c r="C419" s="48">
        <v>0</v>
      </c>
      <c r="D419" s="48">
        <v>0</v>
      </c>
      <c r="E419" s="48" t="s">
        <v>112</v>
      </c>
      <c r="F419" s="48" t="s">
        <v>77</v>
      </c>
      <c r="G419" s="48" t="s">
        <v>343</v>
      </c>
      <c r="H419" s="69">
        <f t="shared" si="6"/>
        <v>43922</v>
      </c>
    </row>
    <row r="420" spans="1:8" x14ac:dyDescent="0.25">
      <c r="A420" s="68">
        <v>43928</v>
      </c>
      <c r="B420" s="48">
        <v>0</v>
      </c>
      <c r="C420" s="48">
        <v>0</v>
      </c>
      <c r="D420" s="48">
        <v>1</v>
      </c>
      <c r="E420" s="48" t="s">
        <v>112</v>
      </c>
      <c r="F420" s="48" t="s">
        <v>77</v>
      </c>
      <c r="G420" s="48" t="s">
        <v>359</v>
      </c>
      <c r="H420" s="69">
        <f t="shared" si="6"/>
        <v>43922</v>
      </c>
    </row>
    <row r="421" spans="1:8" x14ac:dyDescent="0.25">
      <c r="A421" s="68">
        <v>43928</v>
      </c>
      <c r="B421" s="48">
        <v>0</v>
      </c>
      <c r="C421" s="48">
        <v>0</v>
      </c>
      <c r="D421" s="48">
        <v>28</v>
      </c>
      <c r="E421" s="48" t="s">
        <v>112</v>
      </c>
      <c r="F421" s="48" t="s">
        <v>75</v>
      </c>
      <c r="G421" s="48" t="s">
        <v>368</v>
      </c>
      <c r="H421" s="69">
        <f t="shared" si="6"/>
        <v>43922</v>
      </c>
    </row>
    <row r="422" spans="1:8" x14ac:dyDescent="0.25">
      <c r="A422" s="68">
        <v>43928</v>
      </c>
      <c r="B422" s="48">
        <v>1</v>
      </c>
      <c r="C422" s="48">
        <v>0</v>
      </c>
      <c r="D422" s="48">
        <v>2</v>
      </c>
      <c r="E422" s="48" t="s">
        <v>112</v>
      </c>
      <c r="F422" s="48" t="s">
        <v>75</v>
      </c>
      <c r="G422" s="48" t="s">
        <v>404</v>
      </c>
      <c r="H422" s="69">
        <f t="shared" si="6"/>
        <v>43922</v>
      </c>
    </row>
    <row r="423" spans="1:8" x14ac:dyDescent="0.25">
      <c r="A423" s="68">
        <v>43928</v>
      </c>
      <c r="B423" s="48">
        <v>1</v>
      </c>
      <c r="C423" s="48">
        <v>1</v>
      </c>
      <c r="D423" s="48">
        <v>0</v>
      </c>
      <c r="E423" s="48" t="s">
        <v>112</v>
      </c>
      <c r="F423" s="48" t="s">
        <v>74</v>
      </c>
      <c r="G423" s="48" t="s">
        <v>95</v>
      </c>
      <c r="H423" s="69">
        <f t="shared" si="6"/>
        <v>43922</v>
      </c>
    </row>
    <row r="424" spans="1:8" x14ac:dyDescent="0.25">
      <c r="A424" s="68">
        <v>43928</v>
      </c>
      <c r="B424" s="48">
        <v>0</v>
      </c>
      <c r="C424" s="48">
        <v>0</v>
      </c>
      <c r="D424" s="48">
        <v>1</v>
      </c>
      <c r="E424" s="48" t="s">
        <v>118</v>
      </c>
      <c r="F424" s="48" t="s">
        <v>72</v>
      </c>
      <c r="G424" s="48" t="s">
        <v>94</v>
      </c>
      <c r="H424" s="69">
        <f t="shared" si="6"/>
        <v>43922</v>
      </c>
    </row>
    <row r="425" spans="1:8" x14ac:dyDescent="0.25">
      <c r="A425" s="68">
        <v>43928</v>
      </c>
      <c r="B425" s="48">
        <v>7</v>
      </c>
      <c r="C425" s="48">
        <v>1</v>
      </c>
      <c r="D425" s="48">
        <v>4</v>
      </c>
      <c r="E425" s="48" t="s">
        <v>112</v>
      </c>
      <c r="F425" s="48" t="s">
        <v>72</v>
      </c>
      <c r="G425" s="48" t="s">
        <v>94</v>
      </c>
      <c r="H425" s="69">
        <f t="shared" si="6"/>
        <v>43922</v>
      </c>
    </row>
    <row r="426" spans="1:8" x14ac:dyDescent="0.25">
      <c r="A426" s="68">
        <v>43928</v>
      </c>
      <c r="B426" s="48">
        <v>2</v>
      </c>
      <c r="C426" s="48">
        <v>0</v>
      </c>
      <c r="D426" s="48">
        <v>0</v>
      </c>
      <c r="E426" s="48" t="s">
        <v>112</v>
      </c>
      <c r="F426" s="48" t="s">
        <v>72</v>
      </c>
      <c r="G426" s="48" t="s">
        <v>337</v>
      </c>
      <c r="H426" s="69">
        <f t="shared" si="6"/>
        <v>43922</v>
      </c>
    </row>
    <row r="427" spans="1:8" x14ac:dyDescent="0.25">
      <c r="A427" s="68">
        <v>43928</v>
      </c>
      <c r="B427" s="48">
        <v>1</v>
      </c>
      <c r="C427" s="48">
        <v>0</v>
      </c>
      <c r="D427" s="48">
        <v>0</v>
      </c>
      <c r="E427" s="48" t="s">
        <v>112</v>
      </c>
      <c r="F427" s="48" t="s">
        <v>72</v>
      </c>
      <c r="G427" s="48" t="s">
        <v>365</v>
      </c>
      <c r="H427" s="69">
        <f t="shared" si="6"/>
        <v>43922</v>
      </c>
    </row>
    <row r="428" spans="1:8" x14ac:dyDescent="0.25">
      <c r="A428" s="68">
        <v>43928</v>
      </c>
      <c r="B428" s="48">
        <v>2</v>
      </c>
      <c r="C428" s="48">
        <v>0</v>
      </c>
      <c r="D428" s="48">
        <v>0</v>
      </c>
      <c r="E428" s="48" t="s">
        <v>112</v>
      </c>
      <c r="F428" s="48" t="s">
        <v>72</v>
      </c>
      <c r="G428" s="48" t="s">
        <v>341</v>
      </c>
      <c r="H428" s="69">
        <f t="shared" si="6"/>
        <v>43922</v>
      </c>
    </row>
    <row r="429" spans="1:8" x14ac:dyDescent="0.25">
      <c r="A429" s="68">
        <v>43928</v>
      </c>
      <c r="B429" s="48">
        <v>3</v>
      </c>
      <c r="C429" s="48">
        <v>0</v>
      </c>
      <c r="D429" s="48">
        <v>0</v>
      </c>
      <c r="E429" s="48" t="s">
        <v>112</v>
      </c>
      <c r="F429" s="48" t="s">
        <v>72</v>
      </c>
      <c r="G429" s="48" t="s">
        <v>342</v>
      </c>
      <c r="H429" s="69">
        <f t="shared" si="6"/>
        <v>43922</v>
      </c>
    </row>
    <row r="430" spans="1:8" x14ac:dyDescent="0.25">
      <c r="A430" s="68">
        <v>43928</v>
      </c>
      <c r="B430" s="48">
        <v>2</v>
      </c>
      <c r="C430" s="48">
        <v>0</v>
      </c>
      <c r="D430" s="48">
        <v>0</v>
      </c>
      <c r="E430" s="48" t="s">
        <v>112</v>
      </c>
      <c r="F430" s="48" t="s">
        <v>72</v>
      </c>
      <c r="G430" s="48" t="s">
        <v>352</v>
      </c>
      <c r="H430" s="69">
        <f t="shared" si="6"/>
        <v>43922</v>
      </c>
    </row>
    <row r="431" spans="1:8" x14ac:dyDescent="0.25">
      <c r="A431" s="68">
        <v>43928</v>
      </c>
      <c r="B431" s="48">
        <v>3</v>
      </c>
      <c r="C431" s="48">
        <v>0</v>
      </c>
      <c r="D431" s="48">
        <v>0</v>
      </c>
      <c r="E431" s="48" t="s">
        <v>112</v>
      </c>
      <c r="F431" s="48" t="s">
        <v>72</v>
      </c>
      <c r="G431" s="48" t="s">
        <v>410</v>
      </c>
      <c r="H431" s="69">
        <f t="shared" si="6"/>
        <v>43922</v>
      </c>
    </row>
    <row r="432" spans="1:8" x14ac:dyDescent="0.25">
      <c r="A432" s="68">
        <v>43928</v>
      </c>
      <c r="B432" s="48">
        <v>2</v>
      </c>
      <c r="C432" s="48">
        <v>0</v>
      </c>
      <c r="D432" s="48">
        <v>0</v>
      </c>
      <c r="E432" s="48" t="s">
        <v>112</v>
      </c>
      <c r="F432" s="48" t="s">
        <v>72</v>
      </c>
      <c r="G432" s="48" t="s">
        <v>353</v>
      </c>
      <c r="H432" s="69">
        <f t="shared" si="6"/>
        <v>43922</v>
      </c>
    </row>
    <row r="433" spans="1:8" x14ac:dyDescent="0.25">
      <c r="A433" s="68">
        <v>43928</v>
      </c>
      <c r="B433" s="48">
        <v>1</v>
      </c>
      <c r="C433" s="48">
        <v>0</v>
      </c>
      <c r="D433" s="48">
        <v>0</v>
      </c>
      <c r="E433" s="48" t="s">
        <v>112</v>
      </c>
      <c r="F433" s="48" t="s">
        <v>72</v>
      </c>
      <c r="G433" s="48" t="s">
        <v>96</v>
      </c>
      <c r="H433" s="69">
        <f t="shared" si="6"/>
        <v>43922</v>
      </c>
    </row>
    <row r="434" spans="1:8" x14ac:dyDescent="0.25">
      <c r="A434" s="68">
        <v>43928</v>
      </c>
      <c r="B434" s="48">
        <v>0</v>
      </c>
      <c r="C434" s="48">
        <v>0</v>
      </c>
      <c r="D434" s="48">
        <v>0</v>
      </c>
      <c r="E434" s="48" t="s">
        <v>116</v>
      </c>
      <c r="F434" s="48" t="s">
        <v>71</v>
      </c>
      <c r="G434" s="48" t="s">
        <v>100</v>
      </c>
      <c r="H434" s="69">
        <f t="shared" si="6"/>
        <v>43922</v>
      </c>
    </row>
    <row r="435" spans="1:8" x14ac:dyDescent="0.25">
      <c r="A435" s="68">
        <v>43928</v>
      </c>
      <c r="B435" s="48">
        <v>54</v>
      </c>
      <c r="C435" s="48">
        <v>1</v>
      </c>
      <c r="D435" s="48">
        <v>16</v>
      </c>
      <c r="E435" s="48" t="s">
        <v>112</v>
      </c>
      <c r="F435" s="48" t="s">
        <v>70</v>
      </c>
      <c r="G435" s="48" t="s">
        <v>91</v>
      </c>
      <c r="H435" s="69">
        <f t="shared" si="6"/>
        <v>43922</v>
      </c>
    </row>
    <row r="436" spans="1:8" x14ac:dyDescent="0.25">
      <c r="A436" s="68">
        <v>43928</v>
      </c>
      <c r="B436" s="48">
        <v>11</v>
      </c>
      <c r="C436" s="48">
        <v>0</v>
      </c>
      <c r="D436" s="48">
        <v>27</v>
      </c>
      <c r="E436" s="48" t="s">
        <v>112</v>
      </c>
      <c r="F436" s="48" t="s">
        <v>70</v>
      </c>
      <c r="G436" s="48" t="s">
        <v>91</v>
      </c>
      <c r="H436" s="69">
        <f t="shared" si="6"/>
        <v>43922</v>
      </c>
    </row>
    <row r="437" spans="1:8" x14ac:dyDescent="0.25">
      <c r="A437" s="68">
        <v>43929</v>
      </c>
      <c r="B437" s="48">
        <v>10</v>
      </c>
      <c r="C437" s="48">
        <v>0</v>
      </c>
      <c r="D437" s="48">
        <v>0</v>
      </c>
      <c r="E437" s="48" t="s">
        <v>112</v>
      </c>
      <c r="F437" s="48" t="s">
        <v>76</v>
      </c>
      <c r="G437" s="48" t="s">
        <v>339</v>
      </c>
      <c r="H437" s="69">
        <f t="shared" si="6"/>
        <v>43922</v>
      </c>
    </row>
    <row r="438" spans="1:8" x14ac:dyDescent="0.25">
      <c r="A438" s="68">
        <v>43929</v>
      </c>
      <c r="B438" s="48">
        <v>8</v>
      </c>
      <c r="C438" s="48">
        <v>1</v>
      </c>
      <c r="D438" s="48">
        <v>10</v>
      </c>
      <c r="E438" s="48" t="s">
        <v>112</v>
      </c>
      <c r="F438" s="48" t="s">
        <v>73</v>
      </c>
      <c r="G438" s="48" t="s">
        <v>93</v>
      </c>
      <c r="H438" s="69">
        <f t="shared" si="6"/>
        <v>43922</v>
      </c>
    </row>
    <row r="439" spans="1:8" x14ac:dyDescent="0.25">
      <c r="A439" s="68">
        <v>43929</v>
      </c>
      <c r="B439" s="48">
        <v>2</v>
      </c>
      <c r="C439" s="48">
        <v>0</v>
      </c>
      <c r="D439" s="48">
        <v>0</v>
      </c>
      <c r="E439" s="48" t="s">
        <v>112</v>
      </c>
      <c r="F439" s="48" t="s">
        <v>77</v>
      </c>
      <c r="G439" s="48" t="s">
        <v>343</v>
      </c>
      <c r="H439" s="69">
        <f t="shared" si="6"/>
        <v>43922</v>
      </c>
    </row>
    <row r="440" spans="1:8" x14ac:dyDescent="0.25">
      <c r="A440" s="68">
        <v>43929</v>
      </c>
      <c r="B440" s="48">
        <v>4</v>
      </c>
      <c r="C440" s="48">
        <v>0</v>
      </c>
      <c r="D440" s="48">
        <v>0</v>
      </c>
      <c r="E440" s="48" t="s">
        <v>112</v>
      </c>
      <c r="F440" s="48" t="s">
        <v>77</v>
      </c>
      <c r="G440" s="48" t="s">
        <v>359</v>
      </c>
      <c r="H440" s="69">
        <f t="shared" si="6"/>
        <v>43922</v>
      </c>
    </row>
    <row r="441" spans="1:8" x14ac:dyDescent="0.25">
      <c r="A441" s="68">
        <v>43929</v>
      </c>
      <c r="B441" s="48">
        <v>1</v>
      </c>
      <c r="C441" s="48">
        <v>0</v>
      </c>
      <c r="D441" s="48">
        <v>20</v>
      </c>
      <c r="E441" s="48" t="s">
        <v>112</v>
      </c>
      <c r="F441" s="48" t="s">
        <v>75</v>
      </c>
      <c r="G441" s="48" t="s">
        <v>361</v>
      </c>
      <c r="H441" s="69">
        <f t="shared" si="6"/>
        <v>43922</v>
      </c>
    </row>
    <row r="442" spans="1:8" x14ac:dyDescent="0.25">
      <c r="A442" s="68">
        <v>43929</v>
      </c>
      <c r="B442" s="48">
        <v>0</v>
      </c>
      <c r="C442" s="48">
        <v>0</v>
      </c>
      <c r="D442" s="48">
        <v>0</v>
      </c>
      <c r="E442" s="48" t="s">
        <v>112</v>
      </c>
      <c r="F442" s="48" t="s">
        <v>72</v>
      </c>
      <c r="G442" s="48" t="s">
        <v>94</v>
      </c>
      <c r="H442" s="69">
        <f t="shared" si="6"/>
        <v>43922</v>
      </c>
    </row>
    <row r="443" spans="1:8" x14ac:dyDescent="0.25">
      <c r="A443" s="68">
        <v>43929</v>
      </c>
      <c r="B443" s="48">
        <v>0</v>
      </c>
      <c r="C443" s="48">
        <v>1</v>
      </c>
      <c r="D443" s="48">
        <v>0</v>
      </c>
      <c r="E443" s="48" t="s">
        <v>112</v>
      </c>
      <c r="F443" s="48" t="s">
        <v>72</v>
      </c>
      <c r="G443" s="48" t="s">
        <v>353</v>
      </c>
      <c r="H443" s="69">
        <f t="shared" si="6"/>
        <v>43922</v>
      </c>
    </row>
    <row r="444" spans="1:8" x14ac:dyDescent="0.25">
      <c r="A444" s="68">
        <v>43929</v>
      </c>
      <c r="B444" s="48">
        <v>2</v>
      </c>
      <c r="C444" s="48">
        <v>1</v>
      </c>
      <c r="D444" s="48">
        <v>0</v>
      </c>
      <c r="E444" s="48" t="s">
        <v>112</v>
      </c>
      <c r="F444" s="48" t="s">
        <v>72</v>
      </c>
      <c r="G444" s="48" t="s">
        <v>358</v>
      </c>
      <c r="H444" s="69">
        <f t="shared" si="6"/>
        <v>43922</v>
      </c>
    </row>
    <row r="445" spans="1:8" x14ac:dyDescent="0.25">
      <c r="A445" s="68">
        <v>43929</v>
      </c>
      <c r="B445" s="48">
        <v>12</v>
      </c>
      <c r="C445" s="48">
        <v>0</v>
      </c>
      <c r="D445" s="48">
        <v>1</v>
      </c>
      <c r="E445" s="48" t="s">
        <v>112</v>
      </c>
      <c r="F445" s="48" t="s">
        <v>72</v>
      </c>
      <c r="G445" s="48" t="s">
        <v>347</v>
      </c>
      <c r="H445" s="69">
        <f t="shared" si="6"/>
        <v>43922</v>
      </c>
    </row>
    <row r="446" spans="1:8" x14ac:dyDescent="0.25">
      <c r="A446" s="68">
        <v>43929</v>
      </c>
      <c r="B446" s="48">
        <v>3</v>
      </c>
      <c r="C446" s="48">
        <v>0</v>
      </c>
      <c r="D446" s="48">
        <v>1</v>
      </c>
      <c r="E446" s="48" t="s">
        <v>112</v>
      </c>
      <c r="F446" s="48" t="s">
        <v>72</v>
      </c>
      <c r="G446" s="48" t="s">
        <v>341</v>
      </c>
      <c r="H446" s="69">
        <f t="shared" si="6"/>
        <v>43922</v>
      </c>
    </row>
    <row r="447" spans="1:8" x14ac:dyDescent="0.25">
      <c r="A447" s="68">
        <v>43929</v>
      </c>
      <c r="B447" s="48">
        <v>2</v>
      </c>
      <c r="C447" s="48">
        <v>0</v>
      </c>
      <c r="D447" s="48">
        <v>0</v>
      </c>
      <c r="E447" s="48" t="s">
        <v>112</v>
      </c>
      <c r="F447" s="48" t="s">
        <v>72</v>
      </c>
      <c r="G447" s="48" t="s">
        <v>342</v>
      </c>
      <c r="H447" s="69">
        <f t="shared" si="6"/>
        <v>43922</v>
      </c>
    </row>
    <row r="448" spans="1:8" x14ac:dyDescent="0.25">
      <c r="A448" s="68">
        <v>43929</v>
      </c>
      <c r="B448" s="48">
        <v>5</v>
      </c>
      <c r="C448" s="48">
        <v>0</v>
      </c>
      <c r="D448" s="48">
        <v>0</v>
      </c>
      <c r="E448" s="48" t="s">
        <v>112</v>
      </c>
      <c r="F448" s="48" t="s">
        <v>72</v>
      </c>
      <c r="G448" s="48" t="s">
        <v>338</v>
      </c>
      <c r="H448" s="69">
        <f t="shared" si="6"/>
        <v>43922</v>
      </c>
    </row>
    <row r="449" spans="1:8" x14ac:dyDescent="0.25">
      <c r="A449" s="68">
        <v>43929</v>
      </c>
      <c r="B449" s="48">
        <v>1</v>
      </c>
      <c r="C449" s="48">
        <v>0</v>
      </c>
      <c r="D449" s="48">
        <v>0</v>
      </c>
      <c r="E449" s="48" t="s">
        <v>112</v>
      </c>
      <c r="F449" s="48" t="s">
        <v>72</v>
      </c>
      <c r="G449" s="48" t="s">
        <v>429</v>
      </c>
      <c r="H449" s="69">
        <f t="shared" si="6"/>
        <v>43922</v>
      </c>
    </row>
    <row r="450" spans="1:8" x14ac:dyDescent="0.25">
      <c r="A450" s="68">
        <v>43929</v>
      </c>
      <c r="B450" s="48">
        <v>0</v>
      </c>
      <c r="C450" s="48">
        <v>0</v>
      </c>
      <c r="D450" s="48">
        <v>48</v>
      </c>
      <c r="E450" s="48" t="s">
        <v>118</v>
      </c>
      <c r="F450" s="48" t="s">
        <v>72</v>
      </c>
      <c r="G450" s="48" t="s">
        <v>351</v>
      </c>
      <c r="H450" s="69">
        <f t="shared" ref="H450:H513" si="7">DATE(YEAR(A450),MONTH(A450),1)</f>
        <v>43922</v>
      </c>
    </row>
    <row r="451" spans="1:8" x14ac:dyDescent="0.25">
      <c r="A451" s="68">
        <v>43929</v>
      </c>
      <c r="B451" s="48">
        <v>0</v>
      </c>
      <c r="C451" s="48">
        <v>0</v>
      </c>
      <c r="D451" s="48">
        <v>1</v>
      </c>
      <c r="E451" s="48" t="s">
        <v>112</v>
      </c>
      <c r="F451" s="48" t="s">
        <v>72</v>
      </c>
      <c r="G451" s="48" t="s">
        <v>354</v>
      </c>
      <c r="H451" s="69">
        <f t="shared" si="7"/>
        <v>43922</v>
      </c>
    </row>
    <row r="452" spans="1:8" x14ac:dyDescent="0.25">
      <c r="A452" s="68">
        <v>43929</v>
      </c>
      <c r="B452" s="48">
        <v>49</v>
      </c>
      <c r="C452" s="48">
        <v>2</v>
      </c>
      <c r="D452" s="48">
        <v>0</v>
      </c>
      <c r="E452" s="48" t="s">
        <v>112</v>
      </c>
      <c r="F452" s="48" t="s">
        <v>71</v>
      </c>
      <c r="G452" s="48" t="s">
        <v>92</v>
      </c>
      <c r="H452" s="69">
        <f t="shared" si="7"/>
        <v>43922</v>
      </c>
    </row>
    <row r="453" spans="1:8" x14ac:dyDescent="0.25">
      <c r="A453" s="68">
        <v>43929</v>
      </c>
      <c r="B453" s="48">
        <v>2</v>
      </c>
      <c r="C453" s="48">
        <v>0</v>
      </c>
      <c r="D453" s="48">
        <v>0</v>
      </c>
      <c r="E453" s="48" t="s">
        <v>112</v>
      </c>
      <c r="F453" s="48" t="s">
        <v>71</v>
      </c>
      <c r="G453" s="48" t="s">
        <v>97</v>
      </c>
      <c r="H453" s="69">
        <f t="shared" si="7"/>
        <v>43922</v>
      </c>
    </row>
    <row r="454" spans="1:8" x14ac:dyDescent="0.25">
      <c r="A454" s="68">
        <v>43929</v>
      </c>
      <c r="B454" s="48">
        <v>3</v>
      </c>
      <c r="C454" s="48">
        <v>0</v>
      </c>
      <c r="D454" s="48">
        <v>0</v>
      </c>
      <c r="E454" s="48" t="s">
        <v>112</v>
      </c>
      <c r="F454" s="48" t="s">
        <v>71</v>
      </c>
      <c r="G454" s="48" t="s">
        <v>350</v>
      </c>
      <c r="H454" s="69">
        <f t="shared" si="7"/>
        <v>43922</v>
      </c>
    </row>
    <row r="455" spans="1:8" x14ac:dyDescent="0.25">
      <c r="A455" s="68">
        <v>43929</v>
      </c>
      <c r="B455" s="48">
        <v>1</v>
      </c>
      <c r="C455" s="48">
        <v>0</v>
      </c>
      <c r="D455" s="48">
        <v>0</v>
      </c>
      <c r="E455" s="48" t="s">
        <v>112</v>
      </c>
      <c r="F455" s="48" t="s">
        <v>71</v>
      </c>
      <c r="G455" s="48" t="s">
        <v>371</v>
      </c>
      <c r="H455" s="69">
        <f t="shared" si="7"/>
        <v>43922</v>
      </c>
    </row>
    <row r="456" spans="1:8" x14ac:dyDescent="0.25">
      <c r="A456" s="68">
        <v>43929</v>
      </c>
      <c r="B456" s="48">
        <v>15</v>
      </c>
      <c r="C456" s="48">
        <v>0</v>
      </c>
      <c r="D456" s="48">
        <v>0</v>
      </c>
      <c r="E456" s="48" t="s">
        <v>112</v>
      </c>
      <c r="F456" s="48" t="s">
        <v>71</v>
      </c>
      <c r="G456" s="48" t="s">
        <v>364</v>
      </c>
      <c r="H456" s="69">
        <f t="shared" si="7"/>
        <v>43922</v>
      </c>
    </row>
    <row r="457" spans="1:8" x14ac:dyDescent="0.25">
      <c r="A457" s="68">
        <v>43929</v>
      </c>
      <c r="B457" s="48">
        <v>8</v>
      </c>
      <c r="C457" s="48">
        <v>0</v>
      </c>
      <c r="D457" s="48">
        <v>0</v>
      </c>
      <c r="E457" s="48" t="s">
        <v>112</v>
      </c>
      <c r="F457" s="48" t="s">
        <v>71</v>
      </c>
      <c r="G457" s="48" t="s">
        <v>346</v>
      </c>
      <c r="H457" s="69">
        <f t="shared" si="7"/>
        <v>43922</v>
      </c>
    </row>
    <row r="458" spans="1:8" x14ac:dyDescent="0.25">
      <c r="A458" s="68">
        <v>43929</v>
      </c>
      <c r="B458" s="48">
        <v>12</v>
      </c>
      <c r="C458" s="48">
        <v>0</v>
      </c>
      <c r="D458" s="48">
        <v>0</v>
      </c>
      <c r="E458" s="48" t="s">
        <v>112</v>
      </c>
      <c r="F458" s="48" t="s">
        <v>71</v>
      </c>
      <c r="G458" s="48" t="s">
        <v>370</v>
      </c>
      <c r="H458" s="69">
        <f t="shared" si="7"/>
        <v>43922</v>
      </c>
    </row>
    <row r="459" spans="1:8" x14ac:dyDescent="0.25">
      <c r="A459" s="68">
        <v>43929</v>
      </c>
      <c r="B459" s="48">
        <v>7</v>
      </c>
      <c r="C459" s="48">
        <v>0</v>
      </c>
      <c r="D459" s="48">
        <v>0</v>
      </c>
      <c r="E459" s="48" t="s">
        <v>112</v>
      </c>
      <c r="F459" s="48" t="s">
        <v>71</v>
      </c>
      <c r="G459" s="48" t="s">
        <v>419</v>
      </c>
      <c r="H459" s="69">
        <f t="shared" si="7"/>
        <v>43922</v>
      </c>
    </row>
    <row r="460" spans="1:8" x14ac:dyDescent="0.25">
      <c r="A460" s="68">
        <v>43929</v>
      </c>
      <c r="B460" s="48">
        <v>1</v>
      </c>
      <c r="C460" s="48">
        <v>0</v>
      </c>
      <c r="D460" s="48">
        <v>0</v>
      </c>
      <c r="E460" s="48" t="s">
        <v>112</v>
      </c>
      <c r="F460" s="48" t="s">
        <v>71</v>
      </c>
      <c r="G460" s="48" t="s">
        <v>392</v>
      </c>
      <c r="H460" s="69">
        <f t="shared" si="7"/>
        <v>43922</v>
      </c>
    </row>
    <row r="461" spans="1:8" x14ac:dyDescent="0.25">
      <c r="A461" s="68">
        <v>43929</v>
      </c>
      <c r="B461" s="48">
        <v>7</v>
      </c>
      <c r="C461" s="48">
        <v>0</v>
      </c>
      <c r="D461" s="48">
        <v>0</v>
      </c>
      <c r="E461" s="48" t="s">
        <v>112</v>
      </c>
      <c r="F461" s="48" t="s">
        <v>71</v>
      </c>
      <c r="G461" s="48" t="s">
        <v>403</v>
      </c>
      <c r="H461" s="69">
        <f t="shared" si="7"/>
        <v>43922</v>
      </c>
    </row>
    <row r="462" spans="1:8" x14ac:dyDescent="0.25">
      <c r="A462" s="68">
        <v>43929</v>
      </c>
      <c r="B462" s="48">
        <v>4</v>
      </c>
      <c r="C462" s="48">
        <v>0</v>
      </c>
      <c r="D462" s="48">
        <v>0</v>
      </c>
      <c r="E462" s="48" t="s">
        <v>112</v>
      </c>
      <c r="F462" s="48" t="s">
        <v>71</v>
      </c>
      <c r="G462" s="48" t="s">
        <v>391</v>
      </c>
      <c r="H462" s="69">
        <f t="shared" si="7"/>
        <v>43922</v>
      </c>
    </row>
    <row r="463" spans="1:8" x14ac:dyDescent="0.25">
      <c r="A463" s="68">
        <v>43929</v>
      </c>
      <c r="B463" s="48">
        <v>0</v>
      </c>
      <c r="C463" s="48">
        <v>0</v>
      </c>
      <c r="D463" s="48">
        <v>2</v>
      </c>
      <c r="E463" s="48" t="s">
        <v>112</v>
      </c>
      <c r="F463" s="48" t="s">
        <v>71</v>
      </c>
      <c r="G463" s="48" t="s">
        <v>362</v>
      </c>
      <c r="H463" s="69">
        <f t="shared" si="7"/>
        <v>43922</v>
      </c>
    </row>
    <row r="464" spans="1:8" x14ac:dyDescent="0.25">
      <c r="A464" s="68">
        <v>43929</v>
      </c>
      <c r="B464" s="48">
        <v>0</v>
      </c>
      <c r="C464" s="48">
        <v>0</v>
      </c>
      <c r="D464" s="48">
        <v>4</v>
      </c>
      <c r="E464" s="48" t="s">
        <v>112</v>
      </c>
      <c r="F464" s="48" t="s">
        <v>71</v>
      </c>
      <c r="G464" s="48" t="s">
        <v>348</v>
      </c>
      <c r="H464" s="69">
        <f t="shared" si="7"/>
        <v>43922</v>
      </c>
    </row>
    <row r="465" spans="1:8" x14ac:dyDescent="0.25">
      <c r="A465" s="68">
        <v>43929</v>
      </c>
      <c r="B465" s="48">
        <v>17</v>
      </c>
      <c r="C465" s="48">
        <v>0</v>
      </c>
      <c r="D465" s="48">
        <v>0</v>
      </c>
      <c r="E465" s="48" t="s">
        <v>112</v>
      </c>
      <c r="F465" s="48" t="s">
        <v>71</v>
      </c>
      <c r="G465" s="48" t="s">
        <v>369</v>
      </c>
      <c r="H465" s="69">
        <f t="shared" si="7"/>
        <v>43922</v>
      </c>
    </row>
    <row r="466" spans="1:8" x14ac:dyDescent="0.25">
      <c r="A466" s="68">
        <v>43929</v>
      </c>
      <c r="B466" s="48">
        <v>6</v>
      </c>
      <c r="C466" s="48">
        <v>0</v>
      </c>
      <c r="D466" s="48">
        <v>0</v>
      </c>
      <c r="E466" s="48" t="s">
        <v>112</v>
      </c>
      <c r="F466" s="48" t="s">
        <v>71</v>
      </c>
      <c r="G466" s="48" t="s">
        <v>401</v>
      </c>
      <c r="H466" s="69">
        <f t="shared" si="7"/>
        <v>43922</v>
      </c>
    </row>
    <row r="467" spans="1:8" x14ac:dyDescent="0.25">
      <c r="A467" s="68">
        <v>43929</v>
      </c>
      <c r="B467" s="48">
        <v>13</v>
      </c>
      <c r="C467" s="48">
        <v>0</v>
      </c>
      <c r="D467" s="48">
        <v>0</v>
      </c>
      <c r="E467" s="48" t="s">
        <v>112</v>
      </c>
      <c r="F467" s="48" t="s">
        <v>71</v>
      </c>
      <c r="G467" s="48" t="s">
        <v>340</v>
      </c>
      <c r="H467" s="69">
        <f t="shared" si="7"/>
        <v>43922</v>
      </c>
    </row>
    <row r="468" spans="1:8" x14ac:dyDescent="0.25">
      <c r="A468" s="68">
        <v>43929</v>
      </c>
      <c r="B468" s="48">
        <v>1</v>
      </c>
      <c r="C468" s="48">
        <v>0</v>
      </c>
      <c r="D468" s="48">
        <v>0</v>
      </c>
      <c r="E468" s="48" t="s">
        <v>112</v>
      </c>
      <c r="F468" s="48" t="s">
        <v>71</v>
      </c>
      <c r="G468" s="48" t="s">
        <v>382</v>
      </c>
      <c r="H468" s="69">
        <f t="shared" si="7"/>
        <v>43922</v>
      </c>
    </row>
    <row r="469" spans="1:8" x14ac:dyDescent="0.25">
      <c r="A469" s="68">
        <v>43929</v>
      </c>
      <c r="B469" s="48">
        <v>0</v>
      </c>
      <c r="C469" s="48">
        <v>0</v>
      </c>
      <c r="D469" s="48">
        <v>6</v>
      </c>
      <c r="E469" s="48" t="s">
        <v>112</v>
      </c>
      <c r="F469" s="48" t="s">
        <v>71</v>
      </c>
      <c r="G469" s="48" t="s">
        <v>372</v>
      </c>
      <c r="H469" s="69">
        <f t="shared" si="7"/>
        <v>43922</v>
      </c>
    </row>
    <row r="470" spans="1:8" x14ac:dyDescent="0.25">
      <c r="A470" s="68">
        <v>43929</v>
      </c>
      <c r="B470" s="48">
        <v>1</v>
      </c>
      <c r="C470" s="48">
        <v>0</v>
      </c>
      <c r="D470" s="48">
        <v>0</v>
      </c>
      <c r="E470" s="48" t="s">
        <v>112</v>
      </c>
      <c r="F470" s="48" t="s">
        <v>71</v>
      </c>
      <c r="G470" s="48" t="s">
        <v>432</v>
      </c>
      <c r="H470" s="69">
        <f t="shared" si="7"/>
        <v>43922</v>
      </c>
    </row>
    <row r="471" spans="1:8" x14ac:dyDescent="0.25">
      <c r="A471" s="68">
        <v>43929</v>
      </c>
      <c r="B471" s="48">
        <v>1</v>
      </c>
      <c r="C471" s="48">
        <v>0</v>
      </c>
      <c r="D471" s="48">
        <v>0</v>
      </c>
      <c r="E471" s="48" t="s">
        <v>112</v>
      </c>
      <c r="F471" s="48" t="s">
        <v>71</v>
      </c>
      <c r="G471" s="48" t="s">
        <v>378</v>
      </c>
      <c r="H471" s="69">
        <f t="shared" si="7"/>
        <v>43922</v>
      </c>
    </row>
    <row r="472" spans="1:8" x14ac:dyDescent="0.25">
      <c r="A472" s="68">
        <v>43929</v>
      </c>
      <c r="B472" s="48">
        <v>8</v>
      </c>
      <c r="C472" s="48">
        <v>0</v>
      </c>
      <c r="D472" s="48">
        <v>0</v>
      </c>
      <c r="E472" s="48" t="s">
        <v>112</v>
      </c>
      <c r="F472" s="48" t="s">
        <v>71</v>
      </c>
      <c r="G472" s="48" t="s">
        <v>412</v>
      </c>
      <c r="H472" s="69">
        <f t="shared" si="7"/>
        <v>43922</v>
      </c>
    </row>
    <row r="473" spans="1:8" x14ac:dyDescent="0.25">
      <c r="A473" s="68">
        <v>43929</v>
      </c>
      <c r="B473" s="48">
        <v>1</v>
      </c>
      <c r="C473" s="48">
        <v>0</v>
      </c>
      <c r="D473" s="48">
        <v>0</v>
      </c>
      <c r="E473" s="48" t="s">
        <v>112</v>
      </c>
      <c r="F473" s="48" t="s">
        <v>71</v>
      </c>
      <c r="G473" s="48" t="s">
        <v>366</v>
      </c>
      <c r="H473" s="69">
        <f t="shared" si="7"/>
        <v>43922</v>
      </c>
    </row>
    <row r="474" spans="1:8" x14ac:dyDescent="0.25">
      <c r="A474" s="68">
        <v>43929</v>
      </c>
      <c r="B474" s="48">
        <v>2</v>
      </c>
      <c r="C474" s="48">
        <v>0</v>
      </c>
      <c r="D474" s="48">
        <v>0</v>
      </c>
      <c r="E474" s="48" t="s">
        <v>112</v>
      </c>
      <c r="F474" s="48" t="s">
        <v>71</v>
      </c>
      <c r="G474" s="48" t="s">
        <v>421</v>
      </c>
      <c r="H474" s="69">
        <f t="shared" si="7"/>
        <v>43922</v>
      </c>
    </row>
    <row r="475" spans="1:8" x14ac:dyDescent="0.25">
      <c r="A475" s="68">
        <v>43929</v>
      </c>
      <c r="B475" s="48">
        <v>50</v>
      </c>
      <c r="C475" s="48">
        <v>1</v>
      </c>
      <c r="D475" s="48">
        <v>1</v>
      </c>
      <c r="E475" s="48" t="s">
        <v>112</v>
      </c>
      <c r="F475" s="48" t="s">
        <v>70</v>
      </c>
      <c r="G475" s="48" t="s">
        <v>91</v>
      </c>
      <c r="H475" s="69">
        <f t="shared" si="7"/>
        <v>43922</v>
      </c>
    </row>
    <row r="476" spans="1:8" x14ac:dyDescent="0.25">
      <c r="A476" s="68">
        <v>43929</v>
      </c>
      <c r="B476" s="48">
        <v>6</v>
      </c>
      <c r="C476" s="48">
        <v>0</v>
      </c>
      <c r="D476" s="48">
        <v>0</v>
      </c>
      <c r="E476" s="48" t="s">
        <v>112</v>
      </c>
      <c r="F476" s="48" t="s">
        <v>70</v>
      </c>
      <c r="G476" s="48" t="s">
        <v>104</v>
      </c>
      <c r="H476" s="69">
        <f t="shared" si="7"/>
        <v>43922</v>
      </c>
    </row>
    <row r="477" spans="1:8" x14ac:dyDescent="0.25">
      <c r="A477" s="68">
        <v>43929</v>
      </c>
      <c r="B477" s="48">
        <v>2</v>
      </c>
      <c r="C477" s="48">
        <v>0</v>
      </c>
      <c r="D477" s="48">
        <v>0</v>
      </c>
      <c r="E477" s="48" t="s">
        <v>112</v>
      </c>
      <c r="F477" s="48" t="s">
        <v>70</v>
      </c>
      <c r="G477" s="48" t="s">
        <v>363</v>
      </c>
      <c r="H477" s="69">
        <f t="shared" si="7"/>
        <v>43922</v>
      </c>
    </row>
    <row r="478" spans="1:8" x14ac:dyDescent="0.25">
      <c r="A478" s="68">
        <v>43929</v>
      </c>
      <c r="B478" s="48">
        <v>1</v>
      </c>
      <c r="C478" s="48">
        <v>0</v>
      </c>
      <c r="D478" s="48">
        <v>0</v>
      </c>
      <c r="E478" s="48" t="s">
        <v>112</v>
      </c>
      <c r="F478" s="48" t="s">
        <v>70</v>
      </c>
      <c r="G478" s="48" t="s">
        <v>377</v>
      </c>
      <c r="H478" s="69">
        <f t="shared" si="7"/>
        <v>43922</v>
      </c>
    </row>
    <row r="479" spans="1:8" x14ac:dyDescent="0.25">
      <c r="A479" s="68">
        <v>43929</v>
      </c>
      <c r="B479" s="48">
        <v>7</v>
      </c>
      <c r="C479" s="48">
        <v>0</v>
      </c>
      <c r="D479" s="48">
        <v>0</v>
      </c>
      <c r="E479" s="48" t="s">
        <v>112</v>
      </c>
      <c r="F479" s="48" t="s">
        <v>70</v>
      </c>
      <c r="G479" s="48" t="s">
        <v>349</v>
      </c>
      <c r="H479" s="69">
        <f t="shared" si="7"/>
        <v>43922</v>
      </c>
    </row>
    <row r="480" spans="1:8" x14ac:dyDescent="0.25">
      <c r="A480" s="68">
        <v>43929</v>
      </c>
      <c r="B480" s="48">
        <v>4</v>
      </c>
      <c r="C480" s="48">
        <v>0</v>
      </c>
      <c r="D480" s="48">
        <v>0</v>
      </c>
      <c r="E480" s="48" t="s">
        <v>112</v>
      </c>
      <c r="F480" s="48" t="s">
        <v>70</v>
      </c>
      <c r="G480" s="48" t="s">
        <v>385</v>
      </c>
      <c r="H480" s="69">
        <f t="shared" si="7"/>
        <v>43922</v>
      </c>
    </row>
    <row r="481" spans="1:8" x14ac:dyDescent="0.25">
      <c r="A481" s="68">
        <v>43929</v>
      </c>
      <c r="B481" s="48">
        <v>1</v>
      </c>
      <c r="C481" s="48">
        <v>0</v>
      </c>
      <c r="D481" s="48">
        <v>0</v>
      </c>
      <c r="E481" s="48" t="s">
        <v>112</v>
      </c>
      <c r="F481" s="48" t="s">
        <v>70</v>
      </c>
      <c r="G481" s="48" t="s">
        <v>388</v>
      </c>
      <c r="H481" s="69">
        <f t="shared" si="7"/>
        <v>43922</v>
      </c>
    </row>
    <row r="482" spans="1:8" x14ac:dyDescent="0.25">
      <c r="A482" s="68">
        <v>43929</v>
      </c>
      <c r="B482" s="48">
        <v>1</v>
      </c>
      <c r="C482" s="48">
        <v>0</v>
      </c>
      <c r="D482" s="48">
        <v>0</v>
      </c>
      <c r="E482" s="48" t="s">
        <v>112</v>
      </c>
      <c r="F482" s="48" t="s">
        <v>70</v>
      </c>
      <c r="G482" s="48" t="s">
        <v>374</v>
      </c>
      <c r="H482" s="69">
        <f t="shared" si="7"/>
        <v>43922</v>
      </c>
    </row>
    <row r="483" spans="1:8" x14ac:dyDescent="0.25">
      <c r="A483" s="68">
        <v>43929</v>
      </c>
      <c r="B483" s="48">
        <v>12</v>
      </c>
      <c r="C483" s="48">
        <v>0</v>
      </c>
      <c r="D483" s="48">
        <v>0</v>
      </c>
      <c r="E483" s="48" t="s">
        <v>112</v>
      </c>
      <c r="F483" s="48" t="s">
        <v>70</v>
      </c>
      <c r="G483" s="48" t="s">
        <v>386</v>
      </c>
      <c r="H483" s="69">
        <f t="shared" si="7"/>
        <v>43922</v>
      </c>
    </row>
    <row r="484" spans="1:8" x14ac:dyDescent="0.25">
      <c r="A484" s="68">
        <v>43929</v>
      </c>
      <c r="B484" s="48">
        <v>2</v>
      </c>
      <c r="C484" s="48">
        <v>0</v>
      </c>
      <c r="D484" s="48">
        <v>0</v>
      </c>
      <c r="E484" s="48" t="s">
        <v>112</v>
      </c>
      <c r="F484" s="48" t="s">
        <v>70</v>
      </c>
      <c r="G484" s="48" t="s">
        <v>105</v>
      </c>
      <c r="H484" s="69">
        <f t="shared" si="7"/>
        <v>43922</v>
      </c>
    </row>
    <row r="485" spans="1:8" x14ac:dyDescent="0.25">
      <c r="A485" s="68">
        <v>43929</v>
      </c>
      <c r="B485" s="48">
        <v>42</v>
      </c>
      <c r="C485" s="48">
        <v>1</v>
      </c>
      <c r="D485" s="48">
        <v>0</v>
      </c>
      <c r="E485" s="48" t="s">
        <v>116</v>
      </c>
      <c r="F485" s="48" t="s">
        <v>70</v>
      </c>
      <c r="G485" s="48" t="s">
        <v>99</v>
      </c>
      <c r="H485" s="69">
        <f t="shared" si="7"/>
        <v>43922</v>
      </c>
    </row>
    <row r="486" spans="1:8" x14ac:dyDescent="0.25">
      <c r="A486" s="68">
        <v>43929</v>
      </c>
      <c r="B486" s="48">
        <v>0</v>
      </c>
      <c r="C486" s="48">
        <v>0</v>
      </c>
      <c r="D486" s="48">
        <v>18</v>
      </c>
      <c r="E486" s="48" t="s">
        <v>118</v>
      </c>
      <c r="F486" s="48" t="s">
        <v>70</v>
      </c>
      <c r="G486" s="48" t="s">
        <v>98</v>
      </c>
      <c r="H486" s="69">
        <f t="shared" si="7"/>
        <v>43922</v>
      </c>
    </row>
    <row r="487" spans="1:8" x14ac:dyDescent="0.25">
      <c r="A487" s="68">
        <v>43930</v>
      </c>
      <c r="B487" s="48">
        <v>5</v>
      </c>
      <c r="C487" s="48">
        <v>0</v>
      </c>
      <c r="D487" s="48">
        <v>0</v>
      </c>
      <c r="E487" s="48" t="s">
        <v>112</v>
      </c>
      <c r="F487" s="48" t="s">
        <v>76</v>
      </c>
      <c r="G487" s="48" t="s">
        <v>339</v>
      </c>
      <c r="H487" s="69">
        <f t="shared" si="7"/>
        <v>43922</v>
      </c>
    </row>
    <row r="488" spans="1:8" x14ac:dyDescent="0.25">
      <c r="A488" s="68">
        <v>43930</v>
      </c>
      <c r="B488" s="48">
        <v>7</v>
      </c>
      <c r="C488" s="48">
        <v>0</v>
      </c>
      <c r="D488" s="48">
        <v>0</v>
      </c>
      <c r="E488" s="48" t="s">
        <v>112</v>
      </c>
      <c r="F488" s="48" t="s">
        <v>73</v>
      </c>
      <c r="G488" s="48" t="s">
        <v>93</v>
      </c>
      <c r="H488" s="69">
        <f t="shared" si="7"/>
        <v>43922</v>
      </c>
    </row>
    <row r="489" spans="1:8" x14ac:dyDescent="0.25">
      <c r="A489" s="68">
        <v>43930</v>
      </c>
      <c r="B489" s="48">
        <v>1</v>
      </c>
      <c r="C489" s="48">
        <v>0</v>
      </c>
      <c r="D489" s="48">
        <v>0</v>
      </c>
      <c r="E489" s="48" t="s">
        <v>112</v>
      </c>
      <c r="F489" s="48" t="s">
        <v>77</v>
      </c>
      <c r="G489" s="48" t="s">
        <v>411</v>
      </c>
      <c r="H489" s="69">
        <f t="shared" si="7"/>
        <v>43922</v>
      </c>
    </row>
    <row r="490" spans="1:8" x14ac:dyDescent="0.25">
      <c r="A490" s="68">
        <v>43930</v>
      </c>
      <c r="B490" s="48">
        <v>2</v>
      </c>
      <c r="C490" s="48">
        <v>0</v>
      </c>
      <c r="D490" s="48">
        <v>0</v>
      </c>
      <c r="E490" s="48" t="s">
        <v>112</v>
      </c>
      <c r="F490" s="48" t="s">
        <v>75</v>
      </c>
      <c r="G490" s="48" t="s">
        <v>404</v>
      </c>
      <c r="H490" s="69">
        <f t="shared" si="7"/>
        <v>43922</v>
      </c>
    </row>
    <row r="491" spans="1:8" x14ac:dyDescent="0.25">
      <c r="A491" s="68">
        <v>43930</v>
      </c>
      <c r="B491" s="48">
        <v>35</v>
      </c>
      <c r="C491" s="48">
        <v>0</v>
      </c>
      <c r="D491" s="48">
        <v>7</v>
      </c>
      <c r="E491" s="48" t="s">
        <v>112</v>
      </c>
      <c r="F491" s="48" t="s">
        <v>74</v>
      </c>
      <c r="G491" s="48" t="s">
        <v>95</v>
      </c>
      <c r="H491" s="69">
        <f t="shared" si="7"/>
        <v>43922</v>
      </c>
    </row>
    <row r="492" spans="1:8" x14ac:dyDescent="0.25">
      <c r="A492" s="68">
        <v>43930</v>
      </c>
      <c r="B492" s="48">
        <v>3</v>
      </c>
      <c r="C492" s="48">
        <v>0</v>
      </c>
      <c r="D492" s="48">
        <v>0</v>
      </c>
      <c r="E492" s="48" t="s">
        <v>112</v>
      </c>
      <c r="F492" s="48" t="s">
        <v>72</v>
      </c>
      <c r="G492" s="48" t="s">
        <v>337</v>
      </c>
      <c r="H492" s="69">
        <f t="shared" si="7"/>
        <v>43922</v>
      </c>
    </row>
    <row r="493" spans="1:8" x14ac:dyDescent="0.25">
      <c r="A493" s="68">
        <v>43930</v>
      </c>
      <c r="B493" s="48">
        <v>6</v>
      </c>
      <c r="C493" s="48">
        <v>0</v>
      </c>
      <c r="D493" s="48">
        <v>0</v>
      </c>
      <c r="E493" s="48" t="s">
        <v>112</v>
      </c>
      <c r="F493" s="48" t="s">
        <v>72</v>
      </c>
      <c r="G493" s="48" t="s">
        <v>347</v>
      </c>
      <c r="H493" s="69">
        <f t="shared" si="7"/>
        <v>43922</v>
      </c>
    </row>
    <row r="494" spans="1:8" x14ac:dyDescent="0.25">
      <c r="A494" s="68">
        <v>43930</v>
      </c>
      <c r="B494" s="48">
        <v>1</v>
      </c>
      <c r="C494" s="48">
        <v>0</v>
      </c>
      <c r="D494" s="48">
        <v>0</v>
      </c>
      <c r="E494" s="48" t="s">
        <v>112</v>
      </c>
      <c r="F494" s="48" t="s">
        <v>72</v>
      </c>
      <c r="G494" s="48" t="s">
        <v>341</v>
      </c>
      <c r="H494" s="69">
        <f t="shared" si="7"/>
        <v>43922</v>
      </c>
    </row>
    <row r="495" spans="1:8" x14ac:dyDescent="0.25">
      <c r="A495" s="68">
        <v>43930</v>
      </c>
      <c r="B495" s="48">
        <v>10</v>
      </c>
      <c r="C495" s="48">
        <v>0</v>
      </c>
      <c r="D495" s="48">
        <v>0</v>
      </c>
      <c r="E495" s="48" t="s">
        <v>112</v>
      </c>
      <c r="F495" s="48" t="s">
        <v>72</v>
      </c>
      <c r="G495" s="48" t="s">
        <v>342</v>
      </c>
      <c r="H495" s="69">
        <f t="shared" si="7"/>
        <v>43922</v>
      </c>
    </row>
    <row r="496" spans="1:8" x14ac:dyDescent="0.25">
      <c r="A496" s="68">
        <v>43930</v>
      </c>
      <c r="B496" s="48">
        <v>4</v>
      </c>
      <c r="C496" s="48">
        <v>0</v>
      </c>
      <c r="D496" s="48">
        <v>0</v>
      </c>
      <c r="E496" s="48" t="s">
        <v>112</v>
      </c>
      <c r="F496" s="48" t="s">
        <v>72</v>
      </c>
      <c r="G496" s="48" t="s">
        <v>399</v>
      </c>
      <c r="H496" s="69">
        <f t="shared" si="7"/>
        <v>43922</v>
      </c>
    </row>
    <row r="497" spans="1:8" x14ac:dyDescent="0.25">
      <c r="A497" s="68">
        <v>43930</v>
      </c>
      <c r="B497" s="48">
        <v>1</v>
      </c>
      <c r="C497" s="48">
        <v>0</v>
      </c>
      <c r="D497" s="48">
        <v>0</v>
      </c>
      <c r="E497" s="48" t="s">
        <v>112</v>
      </c>
      <c r="F497" s="48" t="s">
        <v>72</v>
      </c>
      <c r="G497" s="48" t="s">
        <v>356</v>
      </c>
      <c r="H497" s="69">
        <f t="shared" si="7"/>
        <v>43922</v>
      </c>
    </row>
    <row r="498" spans="1:8" x14ac:dyDescent="0.25">
      <c r="A498" s="68">
        <v>43930</v>
      </c>
      <c r="B498" s="48">
        <v>6</v>
      </c>
      <c r="C498" s="48">
        <v>1</v>
      </c>
      <c r="D498" s="48">
        <v>0</v>
      </c>
      <c r="E498" s="48" t="s">
        <v>112</v>
      </c>
      <c r="F498" s="48" t="s">
        <v>72</v>
      </c>
      <c r="G498" s="48" t="s">
        <v>102</v>
      </c>
      <c r="H498" s="69">
        <f t="shared" si="7"/>
        <v>43922</v>
      </c>
    </row>
    <row r="499" spans="1:8" x14ac:dyDescent="0.25">
      <c r="A499" s="68">
        <v>43930</v>
      </c>
      <c r="B499" s="48">
        <v>1</v>
      </c>
      <c r="C499" s="48">
        <v>0</v>
      </c>
      <c r="D499" s="48">
        <v>0</v>
      </c>
      <c r="E499" s="48" t="s">
        <v>112</v>
      </c>
      <c r="F499" s="48" t="s">
        <v>72</v>
      </c>
      <c r="G499" s="48" t="s">
        <v>338</v>
      </c>
      <c r="H499" s="69">
        <f t="shared" si="7"/>
        <v>43922</v>
      </c>
    </row>
    <row r="500" spans="1:8" x14ac:dyDescent="0.25">
      <c r="A500" s="68">
        <v>43930</v>
      </c>
      <c r="B500" s="48">
        <v>1</v>
      </c>
      <c r="C500" s="48">
        <v>0</v>
      </c>
      <c r="D500" s="48">
        <v>0</v>
      </c>
      <c r="E500" s="48" t="s">
        <v>112</v>
      </c>
      <c r="F500" s="48" t="s">
        <v>72</v>
      </c>
      <c r="G500" s="48" t="s">
        <v>410</v>
      </c>
      <c r="H500" s="69">
        <f t="shared" si="7"/>
        <v>43922</v>
      </c>
    </row>
    <row r="501" spans="1:8" x14ac:dyDescent="0.25">
      <c r="A501" s="68">
        <v>43930</v>
      </c>
      <c r="B501" s="48">
        <v>15</v>
      </c>
      <c r="C501" s="48">
        <v>1</v>
      </c>
      <c r="D501" s="48">
        <v>0</v>
      </c>
      <c r="E501" s="48" t="s">
        <v>112</v>
      </c>
      <c r="F501" s="48" t="s">
        <v>72</v>
      </c>
      <c r="G501" s="48" t="s">
        <v>94</v>
      </c>
      <c r="H501" s="69">
        <f t="shared" si="7"/>
        <v>43922</v>
      </c>
    </row>
    <row r="502" spans="1:8" x14ac:dyDescent="0.25">
      <c r="A502" s="68">
        <v>43930</v>
      </c>
      <c r="B502" s="48">
        <v>2</v>
      </c>
      <c r="C502" s="48">
        <v>0</v>
      </c>
      <c r="D502" s="48">
        <v>0</v>
      </c>
      <c r="E502" s="48" t="s">
        <v>112</v>
      </c>
      <c r="F502" s="48" t="s">
        <v>72</v>
      </c>
      <c r="G502" s="48" t="s">
        <v>353</v>
      </c>
      <c r="H502" s="69">
        <f t="shared" si="7"/>
        <v>43922</v>
      </c>
    </row>
    <row r="503" spans="1:8" x14ac:dyDescent="0.25">
      <c r="A503" s="68">
        <v>43930</v>
      </c>
      <c r="B503" s="48">
        <v>1</v>
      </c>
      <c r="C503" s="48">
        <v>0</v>
      </c>
      <c r="D503" s="48">
        <v>0</v>
      </c>
      <c r="E503" s="48" t="s">
        <v>112</v>
      </c>
      <c r="F503" s="48" t="s">
        <v>72</v>
      </c>
      <c r="G503" s="48" t="s">
        <v>355</v>
      </c>
      <c r="H503" s="69">
        <f t="shared" si="7"/>
        <v>43922</v>
      </c>
    </row>
    <row r="504" spans="1:8" x14ac:dyDescent="0.25">
      <c r="A504" s="68">
        <v>43930</v>
      </c>
      <c r="B504" s="48">
        <v>7</v>
      </c>
      <c r="C504" s="48">
        <v>0</v>
      </c>
      <c r="D504" s="48">
        <v>0</v>
      </c>
      <c r="E504" s="48" t="s">
        <v>112</v>
      </c>
      <c r="F504" s="48" t="s">
        <v>72</v>
      </c>
      <c r="G504" s="48" t="s">
        <v>96</v>
      </c>
      <c r="H504" s="69">
        <f t="shared" si="7"/>
        <v>43922</v>
      </c>
    </row>
    <row r="505" spans="1:8" x14ac:dyDescent="0.25">
      <c r="A505" s="68">
        <v>43930</v>
      </c>
      <c r="B505" s="48">
        <v>0</v>
      </c>
      <c r="C505" s="48">
        <v>0</v>
      </c>
      <c r="D505" s="48">
        <v>5</v>
      </c>
      <c r="E505" s="48" t="s">
        <v>118</v>
      </c>
      <c r="F505" s="48" t="s">
        <v>71</v>
      </c>
      <c r="G505" s="48" t="s">
        <v>340</v>
      </c>
      <c r="H505" s="69">
        <f t="shared" si="7"/>
        <v>43922</v>
      </c>
    </row>
    <row r="506" spans="1:8" x14ac:dyDescent="0.25">
      <c r="A506" s="68">
        <v>43930</v>
      </c>
      <c r="B506" s="48">
        <v>213</v>
      </c>
      <c r="C506" s="48">
        <v>1</v>
      </c>
      <c r="D506" s="48">
        <v>0</v>
      </c>
      <c r="E506" s="48" t="s">
        <v>116</v>
      </c>
      <c r="F506" s="48" t="s">
        <v>71</v>
      </c>
      <c r="G506" s="48" t="s">
        <v>100</v>
      </c>
      <c r="H506" s="69">
        <f t="shared" si="7"/>
        <v>43922</v>
      </c>
    </row>
    <row r="507" spans="1:8" x14ac:dyDescent="0.25">
      <c r="A507" s="68">
        <v>43930</v>
      </c>
      <c r="B507" s="48">
        <v>18</v>
      </c>
      <c r="C507" s="48">
        <v>0</v>
      </c>
      <c r="D507" s="48">
        <v>0</v>
      </c>
      <c r="E507" s="48" t="s">
        <v>116</v>
      </c>
      <c r="F507" s="48" t="s">
        <v>71</v>
      </c>
      <c r="G507" s="48" t="s">
        <v>370</v>
      </c>
      <c r="H507" s="69">
        <f t="shared" si="7"/>
        <v>43922</v>
      </c>
    </row>
    <row r="508" spans="1:8" x14ac:dyDescent="0.25">
      <c r="A508" s="68">
        <v>43930</v>
      </c>
      <c r="B508" s="48">
        <v>366</v>
      </c>
      <c r="C508" s="48">
        <v>0</v>
      </c>
      <c r="D508" s="48">
        <v>0</v>
      </c>
      <c r="E508" s="48" t="s">
        <v>116</v>
      </c>
      <c r="F508" s="48" t="s">
        <v>71</v>
      </c>
      <c r="G508" s="48" t="s">
        <v>97</v>
      </c>
      <c r="H508" s="69">
        <f t="shared" si="7"/>
        <v>43922</v>
      </c>
    </row>
    <row r="509" spans="1:8" x14ac:dyDescent="0.25">
      <c r="A509" s="68">
        <v>43930</v>
      </c>
      <c r="B509" s="48">
        <v>23</v>
      </c>
      <c r="C509" s="48">
        <v>0</v>
      </c>
      <c r="D509" s="48">
        <v>0</v>
      </c>
      <c r="E509" s="48" t="s">
        <v>112</v>
      </c>
      <c r="F509" s="48" t="s">
        <v>71</v>
      </c>
      <c r="G509" s="48" t="s">
        <v>92</v>
      </c>
      <c r="H509" s="69">
        <f t="shared" si="7"/>
        <v>43922</v>
      </c>
    </row>
    <row r="510" spans="1:8" x14ac:dyDescent="0.25">
      <c r="A510" s="68">
        <v>43930</v>
      </c>
      <c r="B510" s="48">
        <v>1</v>
      </c>
      <c r="C510" s="48">
        <v>0</v>
      </c>
      <c r="D510" s="48">
        <v>0</v>
      </c>
      <c r="E510" s="48" t="s">
        <v>112</v>
      </c>
      <c r="F510" s="48" t="s">
        <v>71</v>
      </c>
      <c r="G510" s="48" t="s">
        <v>350</v>
      </c>
      <c r="H510" s="69">
        <f t="shared" si="7"/>
        <v>43922</v>
      </c>
    </row>
    <row r="511" spans="1:8" x14ac:dyDescent="0.25">
      <c r="A511" s="68">
        <v>43930</v>
      </c>
      <c r="B511" s="48">
        <v>0</v>
      </c>
      <c r="C511" s="48">
        <v>0</v>
      </c>
      <c r="D511" s="48">
        <v>1</v>
      </c>
      <c r="E511" s="48" t="s">
        <v>112</v>
      </c>
      <c r="F511" s="48" t="s">
        <v>71</v>
      </c>
      <c r="G511" s="48" t="s">
        <v>371</v>
      </c>
      <c r="H511" s="69">
        <f t="shared" si="7"/>
        <v>43922</v>
      </c>
    </row>
    <row r="512" spans="1:8" x14ac:dyDescent="0.25">
      <c r="A512" s="68">
        <v>43930</v>
      </c>
      <c r="B512" s="48">
        <v>0</v>
      </c>
      <c r="C512" s="48">
        <v>0</v>
      </c>
      <c r="D512" s="48">
        <v>1</v>
      </c>
      <c r="E512" s="48" t="s">
        <v>112</v>
      </c>
      <c r="F512" s="48" t="s">
        <v>71</v>
      </c>
      <c r="G512" s="48" t="s">
        <v>364</v>
      </c>
      <c r="H512" s="69">
        <f t="shared" si="7"/>
        <v>43922</v>
      </c>
    </row>
    <row r="513" spans="1:8" x14ac:dyDescent="0.25">
      <c r="A513" s="68">
        <v>43930</v>
      </c>
      <c r="B513" s="48">
        <v>1</v>
      </c>
      <c r="C513" s="48">
        <v>0</v>
      </c>
      <c r="D513" s="48">
        <v>0</v>
      </c>
      <c r="E513" s="48" t="s">
        <v>112</v>
      </c>
      <c r="F513" s="48" t="s">
        <v>71</v>
      </c>
      <c r="G513" s="48" t="s">
        <v>346</v>
      </c>
      <c r="H513" s="69">
        <f t="shared" si="7"/>
        <v>43922</v>
      </c>
    </row>
    <row r="514" spans="1:8" x14ac:dyDescent="0.25">
      <c r="A514" s="68">
        <v>43930</v>
      </c>
      <c r="B514" s="48">
        <v>4</v>
      </c>
      <c r="C514" s="48">
        <v>0</v>
      </c>
      <c r="D514" s="48">
        <v>0</v>
      </c>
      <c r="E514" s="48" t="s">
        <v>112</v>
      </c>
      <c r="F514" s="48" t="s">
        <v>71</v>
      </c>
      <c r="G514" s="48" t="s">
        <v>424</v>
      </c>
      <c r="H514" s="69">
        <f t="shared" ref="H514:H577" si="8">DATE(YEAR(A514),MONTH(A514),1)</f>
        <v>43922</v>
      </c>
    </row>
    <row r="515" spans="1:8" x14ac:dyDescent="0.25">
      <c r="A515" s="68">
        <v>43930</v>
      </c>
      <c r="B515" s="48">
        <v>6</v>
      </c>
      <c r="C515" s="48">
        <v>0</v>
      </c>
      <c r="D515" s="48">
        <v>0</v>
      </c>
      <c r="E515" s="48" t="s">
        <v>112</v>
      </c>
      <c r="F515" s="48" t="s">
        <v>71</v>
      </c>
      <c r="G515" s="48" t="s">
        <v>370</v>
      </c>
      <c r="H515" s="69">
        <f t="shared" si="8"/>
        <v>43922</v>
      </c>
    </row>
    <row r="516" spans="1:8" x14ac:dyDescent="0.25">
      <c r="A516" s="68">
        <v>43930</v>
      </c>
      <c r="B516" s="48">
        <v>0</v>
      </c>
      <c r="C516" s="48">
        <v>0</v>
      </c>
      <c r="D516" s="48">
        <v>7</v>
      </c>
      <c r="E516" s="48" t="s">
        <v>112</v>
      </c>
      <c r="F516" s="48" t="s">
        <v>71</v>
      </c>
      <c r="G516" s="48" t="s">
        <v>392</v>
      </c>
      <c r="H516" s="69">
        <f t="shared" si="8"/>
        <v>43922</v>
      </c>
    </row>
    <row r="517" spans="1:8" x14ac:dyDescent="0.25">
      <c r="A517" s="68">
        <v>43930</v>
      </c>
      <c r="B517" s="48">
        <v>0</v>
      </c>
      <c r="C517" s="48">
        <v>0</v>
      </c>
      <c r="D517" s="48">
        <v>1</v>
      </c>
      <c r="E517" s="48" t="s">
        <v>112</v>
      </c>
      <c r="F517" s="48" t="s">
        <v>71</v>
      </c>
      <c r="G517" s="48" t="s">
        <v>403</v>
      </c>
      <c r="H517" s="69">
        <f t="shared" si="8"/>
        <v>43922</v>
      </c>
    </row>
    <row r="518" spans="1:8" x14ac:dyDescent="0.25">
      <c r="A518" s="68">
        <v>43930</v>
      </c>
      <c r="B518" s="48">
        <v>2</v>
      </c>
      <c r="C518" s="48">
        <v>0</v>
      </c>
      <c r="D518" s="48">
        <v>0</v>
      </c>
      <c r="E518" s="48" t="s">
        <v>112</v>
      </c>
      <c r="F518" s="48" t="s">
        <v>71</v>
      </c>
      <c r="G518" s="48" t="s">
        <v>391</v>
      </c>
      <c r="H518" s="69">
        <f t="shared" si="8"/>
        <v>43922</v>
      </c>
    </row>
    <row r="519" spans="1:8" x14ac:dyDescent="0.25">
      <c r="A519" s="68">
        <v>43930</v>
      </c>
      <c r="B519" s="48">
        <v>17</v>
      </c>
      <c r="C519" s="48">
        <v>0</v>
      </c>
      <c r="D519" s="48">
        <v>0</v>
      </c>
      <c r="E519" s="48" t="s">
        <v>112</v>
      </c>
      <c r="F519" s="48" t="s">
        <v>71</v>
      </c>
      <c r="G519" s="48" t="s">
        <v>362</v>
      </c>
      <c r="H519" s="69">
        <f t="shared" si="8"/>
        <v>43922</v>
      </c>
    </row>
    <row r="520" spans="1:8" x14ac:dyDescent="0.25">
      <c r="A520" s="68">
        <v>43930</v>
      </c>
      <c r="B520" s="48">
        <v>2</v>
      </c>
      <c r="C520" s="48">
        <v>0</v>
      </c>
      <c r="D520" s="48">
        <v>0</v>
      </c>
      <c r="E520" s="48" t="s">
        <v>112</v>
      </c>
      <c r="F520" s="48" t="s">
        <v>71</v>
      </c>
      <c r="G520" s="48" t="s">
        <v>348</v>
      </c>
      <c r="H520" s="69">
        <f t="shared" si="8"/>
        <v>43922</v>
      </c>
    </row>
    <row r="521" spans="1:8" x14ac:dyDescent="0.25">
      <c r="A521" s="68">
        <v>43930</v>
      </c>
      <c r="B521" s="48">
        <v>1</v>
      </c>
      <c r="C521" s="48">
        <v>0</v>
      </c>
      <c r="D521" s="48">
        <v>0</v>
      </c>
      <c r="E521" s="48" t="s">
        <v>112</v>
      </c>
      <c r="F521" s="48" t="s">
        <v>71</v>
      </c>
      <c r="G521" s="48" t="s">
        <v>428</v>
      </c>
      <c r="H521" s="69">
        <f t="shared" si="8"/>
        <v>43922</v>
      </c>
    </row>
    <row r="522" spans="1:8" x14ac:dyDescent="0.25">
      <c r="A522" s="68">
        <v>43930</v>
      </c>
      <c r="B522" s="48">
        <v>8</v>
      </c>
      <c r="C522" s="48">
        <v>0</v>
      </c>
      <c r="D522" s="48">
        <v>0</v>
      </c>
      <c r="E522" s="48" t="s">
        <v>112</v>
      </c>
      <c r="F522" s="48" t="s">
        <v>71</v>
      </c>
      <c r="G522" s="48" t="s">
        <v>369</v>
      </c>
      <c r="H522" s="69">
        <f t="shared" si="8"/>
        <v>43922</v>
      </c>
    </row>
    <row r="523" spans="1:8" x14ac:dyDescent="0.25">
      <c r="A523" s="68">
        <v>43930</v>
      </c>
      <c r="B523" s="48">
        <v>0</v>
      </c>
      <c r="C523" s="48">
        <v>0</v>
      </c>
      <c r="D523" s="48">
        <v>4</v>
      </c>
      <c r="E523" s="48" t="s">
        <v>112</v>
      </c>
      <c r="F523" s="48" t="s">
        <v>71</v>
      </c>
      <c r="G523" s="48" t="s">
        <v>401</v>
      </c>
      <c r="H523" s="69">
        <f t="shared" si="8"/>
        <v>43922</v>
      </c>
    </row>
    <row r="524" spans="1:8" x14ac:dyDescent="0.25">
      <c r="A524" s="68">
        <v>43930</v>
      </c>
      <c r="B524" s="48">
        <v>6</v>
      </c>
      <c r="C524" s="48">
        <v>0</v>
      </c>
      <c r="D524" s="48">
        <v>0</v>
      </c>
      <c r="E524" s="48" t="s">
        <v>112</v>
      </c>
      <c r="F524" s="48" t="s">
        <v>71</v>
      </c>
      <c r="G524" s="48" t="s">
        <v>382</v>
      </c>
      <c r="H524" s="69">
        <f t="shared" si="8"/>
        <v>43922</v>
      </c>
    </row>
    <row r="525" spans="1:8" x14ac:dyDescent="0.25">
      <c r="A525" s="68">
        <v>43930</v>
      </c>
      <c r="B525" s="48">
        <v>2</v>
      </c>
      <c r="C525" s="48">
        <v>0</v>
      </c>
      <c r="D525" s="48">
        <v>0</v>
      </c>
      <c r="E525" s="48" t="s">
        <v>112</v>
      </c>
      <c r="F525" s="48" t="s">
        <v>71</v>
      </c>
      <c r="G525" s="48" t="s">
        <v>396</v>
      </c>
      <c r="H525" s="69">
        <f t="shared" si="8"/>
        <v>43922</v>
      </c>
    </row>
    <row r="526" spans="1:8" x14ac:dyDescent="0.25">
      <c r="A526" s="68">
        <v>43930</v>
      </c>
      <c r="B526" s="48">
        <v>2</v>
      </c>
      <c r="C526" s="48">
        <v>0</v>
      </c>
      <c r="D526" s="48">
        <v>0</v>
      </c>
      <c r="E526" s="48" t="s">
        <v>112</v>
      </c>
      <c r="F526" s="48" t="s">
        <v>71</v>
      </c>
      <c r="G526" s="48" t="s">
        <v>378</v>
      </c>
      <c r="H526" s="69">
        <f t="shared" si="8"/>
        <v>43922</v>
      </c>
    </row>
    <row r="527" spans="1:8" x14ac:dyDescent="0.25">
      <c r="A527" s="68">
        <v>43930</v>
      </c>
      <c r="B527" s="48">
        <v>2</v>
      </c>
      <c r="C527" s="48">
        <v>0</v>
      </c>
      <c r="D527" s="48">
        <v>0</v>
      </c>
      <c r="E527" s="48" t="s">
        <v>112</v>
      </c>
      <c r="F527" s="48" t="s">
        <v>71</v>
      </c>
      <c r="G527" s="48" t="s">
        <v>397</v>
      </c>
      <c r="H527" s="69">
        <f t="shared" si="8"/>
        <v>43922</v>
      </c>
    </row>
    <row r="528" spans="1:8" x14ac:dyDescent="0.25">
      <c r="A528" s="68">
        <v>43930</v>
      </c>
      <c r="B528" s="48">
        <v>0</v>
      </c>
      <c r="C528" s="48">
        <v>0</v>
      </c>
      <c r="D528" s="48">
        <v>18</v>
      </c>
      <c r="E528" s="48" t="s">
        <v>112</v>
      </c>
      <c r="F528" s="48" t="s">
        <v>70</v>
      </c>
      <c r="G528" s="48" t="s">
        <v>98</v>
      </c>
      <c r="H528" s="69">
        <f t="shared" si="8"/>
        <v>43922</v>
      </c>
    </row>
    <row r="529" spans="1:8" x14ac:dyDescent="0.25">
      <c r="A529" s="68">
        <v>43930</v>
      </c>
      <c r="B529" s="48">
        <v>92</v>
      </c>
      <c r="C529" s="48">
        <v>1</v>
      </c>
      <c r="D529" s="48">
        <v>0</v>
      </c>
      <c r="E529" s="48" t="s">
        <v>114</v>
      </c>
      <c r="F529" s="48" t="s">
        <v>70</v>
      </c>
      <c r="G529" s="48" t="s">
        <v>91</v>
      </c>
      <c r="H529" s="69">
        <f t="shared" si="8"/>
        <v>43922</v>
      </c>
    </row>
    <row r="530" spans="1:8" x14ac:dyDescent="0.25">
      <c r="A530" s="68">
        <v>43930</v>
      </c>
      <c r="B530" s="48">
        <v>0</v>
      </c>
      <c r="C530" s="48">
        <v>0</v>
      </c>
      <c r="D530" s="48">
        <v>69</v>
      </c>
      <c r="E530" s="48" t="s">
        <v>118</v>
      </c>
      <c r="F530" s="48" t="s">
        <v>70</v>
      </c>
      <c r="G530" s="48" t="s">
        <v>98</v>
      </c>
      <c r="H530" s="69">
        <f t="shared" si="8"/>
        <v>43922</v>
      </c>
    </row>
    <row r="531" spans="1:8" x14ac:dyDescent="0.25">
      <c r="A531" s="68">
        <v>43931</v>
      </c>
      <c r="B531" s="48">
        <v>0</v>
      </c>
      <c r="C531" s="48">
        <v>0</v>
      </c>
      <c r="D531" s="48">
        <v>0</v>
      </c>
      <c r="E531" s="48" t="s">
        <v>112</v>
      </c>
      <c r="F531" s="48" t="s">
        <v>76</v>
      </c>
      <c r="G531" s="48" t="s">
        <v>339</v>
      </c>
      <c r="H531" s="69">
        <f t="shared" si="8"/>
        <v>43922</v>
      </c>
    </row>
    <row r="532" spans="1:8" x14ac:dyDescent="0.25">
      <c r="A532" s="68">
        <v>43931</v>
      </c>
      <c r="B532" s="48">
        <v>1</v>
      </c>
      <c r="C532" s="48">
        <v>0</v>
      </c>
      <c r="D532" s="48">
        <v>13</v>
      </c>
      <c r="E532" s="48" t="s">
        <v>112</v>
      </c>
      <c r="F532" s="48" t="s">
        <v>73</v>
      </c>
      <c r="G532" s="48" t="s">
        <v>93</v>
      </c>
      <c r="H532" s="69">
        <f t="shared" si="8"/>
        <v>43922</v>
      </c>
    </row>
    <row r="533" spans="1:8" x14ac:dyDescent="0.25">
      <c r="A533" s="68">
        <v>43931</v>
      </c>
      <c r="B533" s="48">
        <v>3</v>
      </c>
      <c r="C533" s="48">
        <v>0</v>
      </c>
      <c r="D533" s="48">
        <v>3</v>
      </c>
      <c r="E533" s="48" t="s">
        <v>112</v>
      </c>
      <c r="F533" s="48" t="s">
        <v>77</v>
      </c>
      <c r="G533" s="48" t="s">
        <v>344</v>
      </c>
      <c r="H533" s="69">
        <f t="shared" si="8"/>
        <v>43922</v>
      </c>
    </row>
    <row r="534" spans="1:8" x14ac:dyDescent="0.25">
      <c r="A534" s="68">
        <v>43931</v>
      </c>
      <c r="B534" s="48">
        <v>0</v>
      </c>
      <c r="C534" s="48">
        <v>0</v>
      </c>
      <c r="D534" s="48">
        <v>14</v>
      </c>
      <c r="E534" s="48" t="s">
        <v>112</v>
      </c>
      <c r="F534" s="48" t="s">
        <v>75</v>
      </c>
      <c r="G534" s="48" t="s">
        <v>361</v>
      </c>
      <c r="H534" s="69">
        <f t="shared" si="8"/>
        <v>43922</v>
      </c>
    </row>
    <row r="535" spans="1:8" x14ac:dyDescent="0.25">
      <c r="A535" s="68">
        <v>43931</v>
      </c>
      <c r="B535" s="48">
        <v>0</v>
      </c>
      <c r="C535" s="48">
        <v>0</v>
      </c>
      <c r="D535" s="48">
        <v>0</v>
      </c>
      <c r="E535" s="48" t="s">
        <v>112</v>
      </c>
      <c r="F535" s="48" t="s">
        <v>72</v>
      </c>
      <c r="G535" s="48" t="s">
        <v>94</v>
      </c>
      <c r="H535" s="69">
        <f t="shared" si="8"/>
        <v>43922</v>
      </c>
    </row>
    <row r="536" spans="1:8" x14ac:dyDescent="0.25">
      <c r="A536" s="68">
        <v>43931</v>
      </c>
      <c r="B536" s="48">
        <v>3</v>
      </c>
      <c r="C536" s="48">
        <v>0</v>
      </c>
      <c r="D536" s="48">
        <v>0</v>
      </c>
      <c r="E536" s="48" t="s">
        <v>112</v>
      </c>
      <c r="F536" s="48" t="s">
        <v>72</v>
      </c>
      <c r="G536" s="48" t="s">
        <v>337</v>
      </c>
      <c r="H536" s="69">
        <f t="shared" si="8"/>
        <v>43922</v>
      </c>
    </row>
    <row r="537" spans="1:8" x14ac:dyDescent="0.25">
      <c r="A537" s="68">
        <v>43931</v>
      </c>
      <c r="B537" s="48">
        <v>5</v>
      </c>
      <c r="C537" s="48">
        <v>0</v>
      </c>
      <c r="D537" s="48">
        <v>0</v>
      </c>
      <c r="E537" s="48" t="s">
        <v>112</v>
      </c>
      <c r="F537" s="48" t="s">
        <v>72</v>
      </c>
      <c r="G537" s="48" t="s">
        <v>365</v>
      </c>
      <c r="H537" s="69">
        <f t="shared" si="8"/>
        <v>43922</v>
      </c>
    </row>
    <row r="538" spans="1:8" x14ac:dyDescent="0.25">
      <c r="A538" s="68">
        <v>43931</v>
      </c>
      <c r="B538" s="48">
        <v>4</v>
      </c>
      <c r="C538" s="48">
        <v>0</v>
      </c>
      <c r="D538" s="48">
        <v>1</v>
      </c>
      <c r="E538" s="48" t="s">
        <v>112</v>
      </c>
      <c r="F538" s="48" t="s">
        <v>72</v>
      </c>
      <c r="G538" s="48" t="s">
        <v>347</v>
      </c>
      <c r="H538" s="69">
        <f t="shared" si="8"/>
        <v>43922</v>
      </c>
    </row>
    <row r="539" spans="1:8" x14ac:dyDescent="0.25">
      <c r="A539" s="68">
        <v>43931</v>
      </c>
      <c r="B539" s="48">
        <v>3</v>
      </c>
      <c r="C539" s="48">
        <v>0</v>
      </c>
      <c r="D539" s="48">
        <v>0</v>
      </c>
      <c r="E539" s="48" t="s">
        <v>112</v>
      </c>
      <c r="F539" s="48" t="s">
        <v>72</v>
      </c>
      <c r="G539" s="48" t="s">
        <v>341</v>
      </c>
      <c r="H539" s="69">
        <f t="shared" si="8"/>
        <v>43922</v>
      </c>
    </row>
    <row r="540" spans="1:8" x14ac:dyDescent="0.25">
      <c r="A540" s="68">
        <v>43931</v>
      </c>
      <c r="B540" s="48">
        <v>0</v>
      </c>
      <c r="C540" s="48">
        <v>1</v>
      </c>
      <c r="D540" s="48">
        <v>0</v>
      </c>
      <c r="E540" s="48" t="s">
        <v>116</v>
      </c>
      <c r="F540" s="48" t="s">
        <v>72</v>
      </c>
      <c r="G540" s="48" t="s">
        <v>335</v>
      </c>
      <c r="H540" s="69">
        <f t="shared" si="8"/>
        <v>43922</v>
      </c>
    </row>
    <row r="541" spans="1:8" x14ac:dyDescent="0.25">
      <c r="A541" s="68">
        <v>43931</v>
      </c>
      <c r="B541" s="48">
        <v>1</v>
      </c>
      <c r="C541" s="48">
        <v>0</v>
      </c>
      <c r="D541" s="48">
        <v>0</v>
      </c>
      <c r="E541" s="48" t="s">
        <v>112</v>
      </c>
      <c r="F541" s="48" t="s">
        <v>72</v>
      </c>
      <c r="G541" s="48" t="s">
        <v>342</v>
      </c>
      <c r="H541" s="69">
        <f t="shared" si="8"/>
        <v>43922</v>
      </c>
    </row>
    <row r="542" spans="1:8" x14ac:dyDescent="0.25">
      <c r="A542" s="68">
        <v>43931</v>
      </c>
      <c r="B542" s="48">
        <v>1</v>
      </c>
      <c r="C542" s="48">
        <v>0</v>
      </c>
      <c r="D542" s="48">
        <v>1</v>
      </c>
      <c r="E542" s="48" t="s">
        <v>112</v>
      </c>
      <c r="F542" s="48" t="s">
        <v>72</v>
      </c>
      <c r="G542" s="48" t="s">
        <v>399</v>
      </c>
      <c r="H542" s="69">
        <f t="shared" si="8"/>
        <v>43922</v>
      </c>
    </row>
    <row r="543" spans="1:8" x14ac:dyDescent="0.25">
      <c r="A543" s="68">
        <v>43931</v>
      </c>
      <c r="B543" s="48">
        <v>1</v>
      </c>
      <c r="C543" s="48">
        <v>0</v>
      </c>
      <c r="D543" s="48">
        <v>0</v>
      </c>
      <c r="E543" s="48" t="s">
        <v>112</v>
      </c>
      <c r="F543" s="48" t="s">
        <v>72</v>
      </c>
      <c r="G543" s="48" t="s">
        <v>356</v>
      </c>
      <c r="H543" s="69">
        <f t="shared" si="8"/>
        <v>43922</v>
      </c>
    </row>
    <row r="544" spans="1:8" x14ac:dyDescent="0.25">
      <c r="A544" s="68">
        <v>43931</v>
      </c>
      <c r="B544" s="48">
        <v>0</v>
      </c>
      <c r="C544" s="48">
        <v>0</v>
      </c>
      <c r="D544" s="48">
        <v>1</v>
      </c>
      <c r="E544" s="48" t="s">
        <v>112</v>
      </c>
      <c r="F544" s="48" t="s">
        <v>72</v>
      </c>
      <c r="G544" s="48" t="s">
        <v>352</v>
      </c>
      <c r="H544" s="69">
        <f t="shared" si="8"/>
        <v>43922</v>
      </c>
    </row>
    <row r="545" spans="1:8" x14ac:dyDescent="0.25">
      <c r="A545" s="68">
        <v>43931</v>
      </c>
      <c r="B545" s="48">
        <v>2</v>
      </c>
      <c r="C545" s="48">
        <v>0</v>
      </c>
      <c r="D545" s="48">
        <v>1</v>
      </c>
      <c r="E545" s="48" t="s">
        <v>112</v>
      </c>
      <c r="F545" s="48" t="s">
        <v>72</v>
      </c>
      <c r="G545" s="48" t="s">
        <v>358</v>
      </c>
      <c r="H545" s="69">
        <f t="shared" si="8"/>
        <v>43922</v>
      </c>
    </row>
    <row r="546" spans="1:8" x14ac:dyDescent="0.25">
      <c r="A546" s="68">
        <v>43931</v>
      </c>
      <c r="B546" s="48">
        <v>2</v>
      </c>
      <c r="C546" s="48">
        <v>1</v>
      </c>
      <c r="D546" s="48">
        <v>0</v>
      </c>
      <c r="E546" s="48" t="s">
        <v>112</v>
      </c>
      <c r="F546" s="48" t="s">
        <v>72</v>
      </c>
      <c r="G546" s="48" t="s">
        <v>101</v>
      </c>
      <c r="H546" s="69">
        <f t="shared" si="8"/>
        <v>43922</v>
      </c>
    </row>
    <row r="547" spans="1:8" x14ac:dyDescent="0.25">
      <c r="A547" s="68">
        <v>43931</v>
      </c>
      <c r="B547" s="48">
        <v>1</v>
      </c>
      <c r="C547" s="48">
        <v>0</v>
      </c>
      <c r="D547" s="48">
        <v>0</v>
      </c>
      <c r="E547" s="48" t="s">
        <v>112</v>
      </c>
      <c r="F547" s="48" t="s">
        <v>72</v>
      </c>
      <c r="G547" s="48" t="s">
        <v>338</v>
      </c>
      <c r="H547" s="69">
        <f t="shared" si="8"/>
        <v>43922</v>
      </c>
    </row>
    <row r="548" spans="1:8" x14ac:dyDescent="0.25">
      <c r="A548" s="68">
        <v>43931</v>
      </c>
      <c r="B548" s="48">
        <v>8</v>
      </c>
      <c r="C548" s="48">
        <v>0</v>
      </c>
      <c r="D548" s="48">
        <v>0</v>
      </c>
      <c r="E548" s="48" t="s">
        <v>112</v>
      </c>
      <c r="F548" s="48" t="s">
        <v>72</v>
      </c>
      <c r="G548" s="48" t="s">
        <v>94</v>
      </c>
      <c r="H548" s="69">
        <f t="shared" si="8"/>
        <v>43922</v>
      </c>
    </row>
    <row r="549" spans="1:8" x14ac:dyDescent="0.25">
      <c r="A549" s="68">
        <v>43931</v>
      </c>
      <c r="B549" s="48">
        <v>3</v>
      </c>
      <c r="C549" s="48">
        <v>0</v>
      </c>
      <c r="D549" s="48">
        <v>0</v>
      </c>
      <c r="E549" s="48" t="s">
        <v>112</v>
      </c>
      <c r="F549" s="48" t="s">
        <v>72</v>
      </c>
      <c r="G549" s="48" t="s">
        <v>355</v>
      </c>
      <c r="H549" s="69">
        <f t="shared" si="8"/>
        <v>43922</v>
      </c>
    </row>
    <row r="550" spans="1:8" x14ac:dyDescent="0.25">
      <c r="A550" s="68">
        <v>43931</v>
      </c>
      <c r="B550" s="48">
        <v>2</v>
      </c>
      <c r="C550" s="48">
        <v>1</v>
      </c>
      <c r="D550" s="48">
        <v>2</v>
      </c>
      <c r="E550" s="48" t="s">
        <v>116</v>
      </c>
      <c r="F550" s="48" t="s">
        <v>72</v>
      </c>
      <c r="G550" s="48" t="s">
        <v>96</v>
      </c>
      <c r="H550" s="69">
        <f t="shared" si="8"/>
        <v>43922</v>
      </c>
    </row>
    <row r="551" spans="1:8" x14ac:dyDescent="0.25">
      <c r="A551" s="68">
        <v>43931</v>
      </c>
      <c r="B551" s="48">
        <v>0</v>
      </c>
      <c r="C551" s="48">
        <v>0</v>
      </c>
      <c r="D551" s="48">
        <v>1</v>
      </c>
      <c r="E551" s="48" t="s">
        <v>112</v>
      </c>
      <c r="F551" s="48" t="s">
        <v>72</v>
      </c>
      <c r="G551" s="48" t="s">
        <v>417</v>
      </c>
      <c r="H551" s="69">
        <f t="shared" si="8"/>
        <v>43922</v>
      </c>
    </row>
    <row r="552" spans="1:8" x14ac:dyDescent="0.25">
      <c r="A552" s="68">
        <v>43931</v>
      </c>
      <c r="B552" s="48">
        <v>0</v>
      </c>
      <c r="C552" s="48">
        <v>0</v>
      </c>
      <c r="D552" s="48">
        <v>2</v>
      </c>
      <c r="E552" s="48" t="s">
        <v>118</v>
      </c>
      <c r="F552" s="48" t="s">
        <v>72</v>
      </c>
      <c r="G552" s="48" t="s">
        <v>351</v>
      </c>
      <c r="H552" s="69">
        <f t="shared" si="8"/>
        <v>43922</v>
      </c>
    </row>
    <row r="553" spans="1:8" x14ac:dyDescent="0.25">
      <c r="A553" s="68">
        <v>43931</v>
      </c>
      <c r="B553" s="48">
        <v>12</v>
      </c>
      <c r="C553" s="48">
        <v>0</v>
      </c>
      <c r="D553" s="48">
        <v>0</v>
      </c>
      <c r="E553" s="48" t="s">
        <v>120</v>
      </c>
      <c r="F553" s="48" t="s">
        <v>71</v>
      </c>
      <c r="G553" s="48" t="s">
        <v>92</v>
      </c>
      <c r="H553" s="69">
        <f t="shared" si="8"/>
        <v>43922</v>
      </c>
    </row>
    <row r="554" spans="1:8" x14ac:dyDescent="0.25">
      <c r="A554" s="68">
        <v>43931</v>
      </c>
      <c r="B554" s="48">
        <v>10</v>
      </c>
      <c r="C554" s="48">
        <v>0</v>
      </c>
      <c r="D554" s="48">
        <v>0</v>
      </c>
      <c r="E554" s="48" t="s">
        <v>112</v>
      </c>
      <c r="F554" s="48" t="s">
        <v>71</v>
      </c>
      <c r="G554" s="48" t="s">
        <v>92</v>
      </c>
      <c r="H554" s="69">
        <f t="shared" si="8"/>
        <v>43922</v>
      </c>
    </row>
    <row r="555" spans="1:8" x14ac:dyDescent="0.25">
      <c r="A555" s="68">
        <v>43931</v>
      </c>
      <c r="B555" s="48">
        <v>1</v>
      </c>
      <c r="C555" s="48">
        <v>0</v>
      </c>
      <c r="D555" s="48">
        <v>0</v>
      </c>
      <c r="E555" s="48" t="s">
        <v>112</v>
      </c>
      <c r="F555" s="48" t="s">
        <v>71</v>
      </c>
      <c r="G555" s="48" t="s">
        <v>370</v>
      </c>
      <c r="H555" s="69">
        <f t="shared" si="8"/>
        <v>43922</v>
      </c>
    </row>
    <row r="556" spans="1:8" x14ac:dyDescent="0.25">
      <c r="A556" s="68">
        <v>43931</v>
      </c>
      <c r="B556" s="48">
        <v>0</v>
      </c>
      <c r="C556" s="48">
        <v>0</v>
      </c>
      <c r="D556" s="48">
        <v>5</v>
      </c>
      <c r="E556" s="48" t="s">
        <v>112</v>
      </c>
      <c r="F556" s="48" t="s">
        <v>71</v>
      </c>
      <c r="G556" s="48" t="s">
        <v>395</v>
      </c>
      <c r="H556" s="69">
        <f t="shared" si="8"/>
        <v>43922</v>
      </c>
    </row>
    <row r="557" spans="1:8" x14ac:dyDescent="0.25">
      <c r="A557" s="68">
        <v>43931</v>
      </c>
      <c r="B557" s="48">
        <v>7</v>
      </c>
      <c r="C557" s="48">
        <v>0</v>
      </c>
      <c r="D557" s="48">
        <v>0</v>
      </c>
      <c r="E557" s="48" t="s">
        <v>112</v>
      </c>
      <c r="F557" s="48" t="s">
        <v>71</v>
      </c>
      <c r="G557" s="48" t="s">
        <v>397</v>
      </c>
      <c r="H557" s="69">
        <f t="shared" si="8"/>
        <v>43922</v>
      </c>
    </row>
    <row r="558" spans="1:8" x14ac:dyDescent="0.25">
      <c r="A558" s="68">
        <v>43931</v>
      </c>
      <c r="B558" s="48">
        <v>85</v>
      </c>
      <c r="C558" s="48">
        <v>1</v>
      </c>
      <c r="D558" s="48">
        <v>9</v>
      </c>
      <c r="E558" s="48" t="s">
        <v>112</v>
      </c>
      <c r="F558" s="48" t="s">
        <v>70</v>
      </c>
      <c r="G558" s="48" t="s">
        <v>91</v>
      </c>
      <c r="H558" s="69">
        <f t="shared" si="8"/>
        <v>43922</v>
      </c>
    </row>
    <row r="559" spans="1:8" x14ac:dyDescent="0.25">
      <c r="A559" s="68">
        <v>43931</v>
      </c>
      <c r="B559" s="48">
        <v>1</v>
      </c>
      <c r="C559" s="48">
        <v>0</v>
      </c>
      <c r="D559" s="48">
        <v>0</v>
      </c>
      <c r="E559" s="48" t="s">
        <v>112</v>
      </c>
      <c r="F559" s="48" t="s">
        <v>70</v>
      </c>
      <c r="G559" s="48" t="s">
        <v>349</v>
      </c>
      <c r="H559" s="69">
        <f t="shared" si="8"/>
        <v>43922</v>
      </c>
    </row>
    <row r="560" spans="1:8" x14ac:dyDescent="0.25">
      <c r="A560" s="68">
        <v>43932</v>
      </c>
      <c r="B560" s="48">
        <v>1</v>
      </c>
      <c r="C560" s="48">
        <v>0</v>
      </c>
      <c r="D560" s="48">
        <v>0</v>
      </c>
      <c r="E560" s="48" t="s">
        <v>112</v>
      </c>
      <c r="F560" s="48" t="s">
        <v>76</v>
      </c>
      <c r="G560" s="48" t="s">
        <v>339</v>
      </c>
      <c r="H560" s="69">
        <f t="shared" si="8"/>
        <v>43922</v>
      </c>
    </row>
    <row r="561" spans="1:8" x14ac:dyDescent="0.25">
      <c r="A561" s="68">
        <v>43932</v>
      </c>
      <c r="B561" s="48">
        <v>8</v>
      </c>
      <c r="C561" s="48">
        <v>0</v>
      </c>
      <c r="D561" s="48">
        <v>6</v>
      </c>
      <c r="E561" s="48" t="s">
        <v>112</v>
      </c>
      <c r="F561" s="48" t="s">
        <v>73</v>
      </c>
      <c r="G561" s="48" t="s">
        <v>93</v>
      </c>
      <c r="H561" s="69">
        <f t="shared" si="8"/>
        <v>43922</v>
      </c>
    </row>
    <row r="562" spans="1:8" x14ac:dyDescent="0.25">
      <c r="A562" s="68">
        <v>43932</v>
      </c>
      <c r="B562" s="48">
        <v>1</v>
      </c>
      <c r="C562" s="48">
        <v>0</v>
      </c>
      <c r="D562" s="48">
        <v>10</v>
      </c>
      <c r="E562" s="48" t="s">
        <v>112</v>
      </c>
      <c r="F562" s="48" t="s">
        <v>75</v>
      </c>
      <c r="G562" s="48" t="s">
        <v>103</v>
      </c>
      <c r="H562" s="69">
        <f t="shared" si="8"/>
        <v>43922</v>
      </c>
    </row>
    <row r="563" spans="1:8" x14ac:dyDescent="0.25">
      <c r="A563" s="68">
        <v>43932</v>
      </c>
      <c r="B563" s="48">
        <v>0</v>
      </c>
      <c r="C563" s="48">
        <v>0</v>
      </c>
      <c r="D563" s="48">
        <v>11</v>
      </c>
      <c r="E563" s="48" t="s">
        <v>112</v>
      </c>
      <c r="F563" s="48" t="s">
        <v>75</v>
      </c>
      <c r="G563" s="48" t="s">
        <v>361</v>
      </c>
      <c r="H563" s="69">
        <f t="shared" si="8"/>
        <v>43922</v>
      </c>
    </row>
    <row r="564" spans="1:8" x14ac:dyDescent="0.25">
      <c r="A564" s="68">
        <v>43932</v>
      </c>
      <c r="B564" s="48">
        <v>5</v>
      </c>
      <c r="C564" s="48">
        <v>4</v>
      </c>
      <c r="D564" s="48">
        <v>1</v>
      </c>
      <c r="E564" s="48" t="s">
        <v>112</v>
      </c>
      <c r="F564" s="48" t="s">
        <v>72</v>
      </c>
      <c r="G564" s="48" t="s">
        <v>94</v>
      </c>
      <c r="H564" s="69">
        <f t="shared" si="8"/>
        <v>43922</v>
      </c>
    </row>
    <row r="565" spans="1:8" x14ac:dyDescent="0.25">
      <c r="A565" s="68">
        <v>43932</v>
      </c>
      <c r="B565" s="48">
        <v>5</v>
      </c>
      <c r="C565" s="48">
        <v>1</v>
      </c>
      <c r="D565" s="48">
        <v>0</v>
      </c>
      <c r="E565" s="48" t="s">
        <v>112</v>
      </c>
      <c r="F565" s="48" t="s">
        <v>72</v>
      </c>
      <c r="G565" s="48" t="s">
        <v>358</v>
      </c>
      <c r="H565" s="69">
        <f t="shared" si="8"/>
        <v>43922</v>
      </c>
    </row>
    <row r="566" spans="1:8" x14ac:dyDescent="0.25">
      <c r="A566" s="68">
        <v>43932</v>
      </c>
      <c r="B566" s="48">
        <v>3</v>
      </c>
      <c r="C566" s="48">
        <v>1</v>
      </c>
      <c r="D566" s="48">
        <v>0</v>
      </c>
      <c r="E566" s="48" t="s">
        <v>112</v>
      </c>
      <c r="F566" s="48" t="s">
        <v>72</v>
      </c>
      <c r="G566" s="48" t="s">
        <v>338</v>
      </c>
      <c r="H566" s="69">
        <f t="shared" si="8"/>
        <v>43922</v>
      </c>
    </row>
    <row r="567" spans="1:8" x14ac:dyDescent="0.25">
      <c r="A567" s="68">
        <v>43932</v>
      </c>
      <c r="B567" s="48">
        <v>1</v>
      </c>
      <c r="C567" s="48">
        <v>0</v>
      </c>
      <c r="D567" s="48">
        <v>4</v>
      </c>
      <c r="E567" s="48" t="s">
        <v>112</v>
      </c>
      <c r="F567" s="48" t="s">
        <v>72</v>
      </c>
      <c r="G567" s="48" t="s">
        <v>337</v>
      </c>
      <c r="H567" s="69">
        <f t="shared" si="8"/>
        <v>43922</v>
      </c>
    </row>
    <row r="568" spans="1:8" x14ac:dyDescent="0.25">
      <c r="A568" s="68">
        <v>43932</v>
      </c>
      <c r="B568" s="48">
        <v>5</v>
      </c>
      <c r="C568" s="48">
        <v>0</v>
      </c>
      <c r="D568" s="48">
        <v>0</v>
      </c>
      <c r="E568" s="48" t="s">
        <v>112</v>
      </c>
      <c r="F568" s="48" t="s">
        <v>72</v>
      </c>
      <c r="G568" s="48" t="s">
        <v>347</v>
      </c>
      <c r="H568" s="69">
        <f t="shared" si="8"/>
        <v>43922</v>
      </c>
    </row>
    <row r="569" spans="1:8" x14ac:dyDescent="0.25">
      <c r="A569" s="68">
        <v>43932</v>
      </c>
      <c r="B569" s="48">
        <v>3</v>
      </c>
      <c r="C569" s="48">
        <v>0</v>
      </c>
      <c r="D569" s="48">
        <v>0</v>
      </c>
      <c r="E569" s="48" t="s">
        <v>112</v>
      </c>
      <c r="F569" s="48" t="s">
        <v>72</v>
      </c>
      <c r="G569" s="48" t="s">
        <v>335</v>
      </c>
      <c r="H569" s="69">
        <f t="shared" si="8"/>
        <v>43922</v>
      </c>
    </row>
    <row r="570" spans="1:8" x14ac:dyDescent="0.25">
      <c r="A570" s="68">
        <v>43932</v>
      </c>
      <c r="B570" s="48">
        <v>6</v>
      </c>
      <c r="C570" s="48">
        <v>0</v>
      </c>
      <c r="D570" s="48">
        <v>0</v>
      </c>
      <c r="E570" s="48" t="s">
        <v>112</v>
      </c>
      <c r="F570" s="48" t="s">
        <v>72</v>
      </c>
      <c r="G570" s="48" t="s">
        <v>342</v>
      </c>
      <c r="H570" s="69">
        <f t="shared" si="8"/>
        <v>43922</v>
      </c>
    </row>
    <row r="571" spans="1:8" x14ac:dyDescent="0.25">
      <c r="A571" s="68">
        <v>43932</v>
      </c>
      <c r="B571" s="48">
        <v>6</v>
      </c>
      <c r="C571" s="48">
        <v>0</v>
      </c>
      <c r="D571" s="48">
        <v>0</v>
      </c>
      <c r="E571" s="48" t="s">
        <v>112</v>
      </c>
      <c r="F571" s="48" t="s">
        <v>72</v>
      </c>
      <c r="G571" s="48" t="s">
        <v>354</v>
      </c>
      <c r="H571" s="69">
        <f t="shared" si="8"/>
        <v>43922</v>
      </c>
    </row>
    <row r="572" spans="1:8" x14ac:dyDescent="0.25">
      <c r="A572" s="68">
        <v>43932</v>
      </c>
      <c r="B572" s="48">
        <v>5</v>
      </c>
      <c r="C572" s="48">
        <v>0</v>
      </c>
      <c r="D572" s="48">
        <v>0</v>
      </c>
      <c r="E572" s="48" t="s">
        <v>112</v>
      </c>
      <c r="F572" s="48" t="s">
        <v>72</v>
      </c>
      <c r="G572" s="48" t="s">
        <v>102</v>
      </c>
      <c r="H572" s="69">
        <f t="shared" si="8"/>
        <v>43922</v>
      </c>
    </row>
    <row r="573" spans="1:8" x14ac:dyDescent="0.25">
      <c r="A573" s="68">
        <v>43932</v>
      </c>
      <c r="B573" s="48">
        <v>4</v>
      </c>
      <c r="C573" s="48">
        <v>0</v>
      </c>
      <c r="D573" s="48">
        <v>0</v>
      </c>
      <c r="E573" s="48" t="s">
        <v>112</v>
      </c>
      <c r="F573" s="48" t="s">
        <v>72</v>
      </c>
      <c r="G573" s="48" t="s">
        <v>353</v>
      </c>
      <c r="H573" s="69">
        <f t="shared" si="8"/>
        <v>43922</v>
      </c>
    </row>
    <row r="574" spans="1:8" x14ac:dyDescent="0.25">
      <c r="A574" s="68">
        <v>43932</v>
      </c>
      <c r="B574" s="48">
        <v>2</v>
      </c>
      <c r="C574" s="48">
        <v>0</v>
      </c>
      <c r="D574" s="48">
        <v>2</v>
      </c>
      <c r="E574" s="48" t="s">
        <v>112</v>
      </c>
      <c r="F574" s="48" t="s">
        <v>72</v>
      </c>
      <c r="G574" s="48" t="s">
        <v>96</v>
      </c>
      <c r="H574" s="69">
        <f t="shared" si="8"/>
        <v>43922</v>
      </c>
    </row>
    <row r="575" spans="1:8" x14ac:dyDescent="0.25">
      <c r="A575" s="68">
        <v>43932</v>
      </c>
      <c r="B575" s="48">
        <v>0</v>
      </c>
      <c r="C575" s="48">
        <v>0</v>
      </c>
      <c r="D575" s="48">
        <v>1</v>
      </c>
      <c r="E575" s="48" t="s">
        <v>112</v>
      </c>
      <c r="F575" s="48" t="s">
        <v>72</v>
      </c>
      <c r="G575" s="48" t="s">
        <v>351</v>
      </c>
      <c r="H575" s="69">
        <f t="shared" si="8"/>
        <v>43922</v>
      </c>
    </row>
    <row r="576" spans="1:8" x14ac:dyDescent="0.25">
      <c r="A576" s="68">
        <v>43932</v>
      </c>
      <c r="B576" s="48">
        <v>29</v>
      </c>
      <c r="C576" s="48">
        <v>3</v>
      </c>
      <c r="D576" s="48">
        <v>0</v>
      </c>
      <c r="E576" s="48" t="s">
        <v>112</v>
      </c>
      <c r="F576" s="48" t="s">
        <v>71</v>
      </c>
      <c r="G576" s="48" t="s">
        <v>92</v>
      </c>
      <c r="H576" s="69">
        <f t="shared" si="8"/>
        <v>43922</v>
      </c>
    </row>
    <row r="577" spans="1:8" x14ac:dyDescent="0.25">
      <c r="A577" s="68">
        <v>43932</v>
      </c>
      <c r="B577" s="48">
        <v>1</v>
      </c>
      <c r="C577" s="48">
        <v>0</v>
      </c>
      <c r="D577" s="48">
        <v>0</v>
      </c>
      <c r="E577" s="48" t="s">
        <v>116</v>
      </c>
      <c r="F577" s="48" t="s">
        <v>71</v>
      </c>
      <c r="G577" s="48" t="s">
        <v>340</v>
      </c>
      <c r="H577" s="69">
        <f t="shared" si="8"/>
        <v>43922</v>
      </c>
    </row>
    <row r="578" spans="1:8" x14ac:dyDescent="0.25">
      <c r="A578" s="68">
        <v>43932</v>
      </c>
      <c r="B578" s="48">
        <v>30</v>
      </c>
      <c r="C578" s="48">
        <v>0</v>
      </c>
      <c r="D578" s="48">
        <v>0</v>
      </c>
      <c r="E578" s="48" t="s">
        <v>112</v>
      </c>
      <c r="F578" s="48" t="s">
        <v>71</v>
      </c>
      <c r="G578" s="48" t="s">
        <v>350</v>
      </c>
      <c r="H578" s="69">
        <f t="shared" ref="H578:H641" si="9">DATE(YEAR(A578),MONTH(A578),1)</f>
        <v>43922</v>
      </c>
    </row>
    <row r="579" spans="1:8" x14ac:dyDescent="0.25">
      <c r="A579" s="68">
        <v>43932</v>
      </c>
      <c r="B579" s="48">
        <v>7</v>
      </c>
      <c r="C579" s="48">
        <v>0</v>
      </c>
      <c r="D579" s="48">
        <v>0</v>
      </c>
      <c r="E579" s="48" t="s">
        <v>116</v>
      </c>
      <c r="F579" s="48" t="s">
        <v>71</v>
      </c>
      <c r="G579" s="48" t="s">
        <v>100</v>
      </c>
      <c r="H579" s="69">
        <f t="shared" si="9"/>
        <v>43922</v>
      </c>
    </row>
    <row r="580" spans="1:8" x14ac:dyDescent="0.25">
      <c r="A580" s="68">
        <v>43932</v>
      </c>
      <c r="B580" s="48">
        <v>5</v>
      </c>
      <c r="C580" s="48">
        <v>0</v>
      </c>
      <c r="D580" s="48">
        <v>0</v>
      </c>
      <c r="E580" s="48" t="s">
        <v>112</v>
      </c>
      <c r="F580" s="48" t="s">
        <v>71</v>
      </c>
      <c r="G580" s="48" t="s">
        <v>346</v>
      </c>
      <c r="H580" s="69">
        <f t="shared" si="9"/>
        <v>43922</v>
      </c>
    </row>
    <row r="581" spans="1:8" x14ac:dyDescent="0.25">
      <c r="A581" s="68">
        <v>43932</v>
      </c>
      <c r="B581" s="48">
        <v>3</v>
      </c>
      <c r="C581" s="48">
        <v>0</v>
      </c>
      <c r="D581" s="48">
        <v>0</v>
      </c>
      <c r="E581" s="48" t="s">
        <v>112</v>
      </c>
      <c r="F581" s="48" t="s">
        <v>71</v>
      </c>
      <c r="G581" s="48" t="s">
        <v>395</v>
      </c>
      <c r="H581" s="69">
        <f t="shared" si="9"/>
        <v>43922</v>
      </c>
    </row>
    <row r="582" spans="1:8" x14ac:dyDescent="0.25">
      <c r="A582" s="68">
        <v>43932</v>
      </c>
      <c r="B582" s="48">
        <v>16</v>
      </c>
      <c r="C582" s="48">
        <v>0</v>
      </c>
      <c r="D582" s="48">
        <v>0</v>
      </c>
      <c r="E582" s="48" t="s">
        <v>112</v>
      </c>
      <c r="F582" s="48" t="s">
        <v>71</v>
      </c>
      <c r="G582" s="48" t="s">
        <v>389</v>
      </c>
      <c r="H582" s="69">
        <f t="shared" si="9"/>
        <v>43922</v>
      </c>
    </row>
    <row r="583" spans="1:8" x14ac:dyDescent="0.25">
      <c r="A583" s="68">
        <v>43932</v>
      </c>
      <c r="B583" s="48">
        <v>0</v>
      </c>
      <c r="C583" s="48">
        <v>0</v>
      </c>
      <c r="D583" s="48">
        <v>2</v>
      </c>
      <c r="E583" s="48" t="s">
        <v>112</v>
      </c>
      <c r="F583" s="48" t="s">
        <v>71</v>
      </c>
      <c r="G583" s="48" t="s">
        <v>371</v>
      </c>
      <c r="H583" s="69">
        <f t="shared" si="9"/>
        <v>43922</v>
      </c>
    </row>
    <row r="584" spans="1:8" x14ac:dyDescent="0.25">
      <c r="A584" s="68">
        <v>43932</v>
      </c>
      <c r="B584" s="48">
        <v>47</v>
      </c>
      <c r="C584" s="48">
        <v>0</v>
      </c>
      <c r="D584" s="48">
        <v>0</v>
      </c>
      <c r="E584" s="48" t="s">
        <v>114</v>
      </c>
      <c r="F584" s="48" t="s">
        <v>71</v>
      </c>
      <c r="G584" s="48" t="s">
        <v>375</v>
      </c>
      <c r="H584" s="69">
        <f t="shared" si="9"/>
        <v>43922</v>
      </c>
    </row>
    <row r="585" spans="1:8" x14ac:dyDescent="0.25">
      <c r="A585" s="68">
        <v>43932</v>
      </c>
      <c r="B585" s="48">
        <v>84</v>
      </c>
      <c r="C585" s="48">
        <v>6</v>
      </c>
      <c r="D585" s="48">
        <v>0</v>
      </c>
      <c r="E585" s="48" t="s">
        <v>112</v>
      </c>
      <c r="F585" s="48" t="s">
        <v>70</v>
      </c>
      <c r="G585" s="48" t="s">
        <v>91</v>
      </c>
      <c r="H585" s="69">
        <f t="shared" si="9"/>
        <v>43922</v>
      </c>
    </row>
    <row r="586" spans="1:8" x14ac:dyDescent="0.25">
      <c r="A586" s="68">
        <v>43932</v>
      </c>
      <c r="B586" s="48">
        <v>3</v>
      </c>
      <c r="C586" s="48">
        <v>0</v>
      </c>
      <c r="D586" s="48">
        <v>0</v>
      </c>
      <c r="E586" s="48" t="s">
        <v>112</v>
      </c>
      <c r="F586" s="48" t="s">
        <v>70</v>
      </c>
      <c r="G586" s="48" t="s">
        <v>104</v>
      </c>
      <c r="H586" s="69">
        <f t="shared" si="9"/>
        <v>43922</v>
      </c>
    </row>
    <row r="587" spans="1:8" x14ac:dyDescent="0.25">
      <c r="A587" s="68">
        <v>43932</v>
      </c>
      <c r="B587" s="48">
        <v>17</v>
      </c>
      <c r="C587" s="48">
        <v>0</v>
      </c>
      <c r="D587" s="48">
        <v>0</v>
      </c>
      <c r="E587" s="48" t="s">
        <v>112</v>
      </c>
      <c r="F587" s="48" t="s">
        <v>70</v>
      </c>
      <c r="G587" s="48" t="s">
        <v>99</v>
      </c>
      <c r="H587" s="69">
        <f t="shared" si="9"/>
        <v>43922</v>
      </c>
    </row>
    <row r="588" spans="1:8" x14ac:dyDescent="0.25">
      <c r="A588" s="68">
        <v>43933</v>
      </c>
      <c r="B588" s="48">
        <v>6</v>
      </c>
      <c r="C588" s="48">
        <v>0</v>
      </c>
      <c r="D588" s="48">
        <v>1</v>
      </c>
      <c r="E588" s="48" t="s">
        <v>112</v>
      </c>
      <c r="F588" s="48" t="s">
        <v>76</v>
      </c>
      <c r="G588" s="48" t="s">
        <v>339</v>
      </c>
      <c r="H588" s="69">
        <f t="shared" si="9"/>
        <v>43922</v>
      </c>
    </row>
    <row r="589" spans="1:8" x14ac:dyDescent="0.25">
      <c r="A589" s="68">
        <v>43933</v>
      </c>
      <c r="B589" s="48">
        <v>8</v>
      </c>
      <c r="C589" s="48">
        <v>0</v>
      </c>
      <c r="D589" s="48">
        <v>0</v>
      </c>
      <c r="E589" s="48" t="s">
        <v>112</v>
      </c>
      <c r="F589" s="48" t="s">
        <v>73</v>
      </c>
      <c r="G589" s="48" t="s">
        <v>93</v>
      </c>
      <c r="H589" s="69">
        <f t="shared" si="9"/>
        <v>43922</v>
      </c>
    </row>
    <row r="590" spans="1:8" x14ac:dyDescent="0.25">
      <c r="A590" s="68">
        <v>43933</v>
      </c>
      <c r="B590" s="48">
        <v>2</v>
      </c>
      <c r="C590" s="48">
        <v>0</v>
      </c>
      <c r="D590" s="48">
        <v>0</v>
      </c>
      <c r="E590" s="48" t="s">
        <v>112</v>
      </c>
      <c r="F590" s="48" t="s">
        <v>77</v>
      </c>
      <c r="G590" s="48" t="s">
        <v>359</v>
      </c>
      <c r="H590" s="69">
        <f t="shared" si="9"/>
        <v>43922</v>
      </c>
    </row>
    <row r="591" spans="1:8" x14ac:dyDescent="0.25">
      <c r="A591" s="68">
        <v>43933</v>
      </c>
      <c r="B591" s="48">
        <v>1</v>
      </c>
      <c r="C591" s="48">
        <v>0</v>
      </c>
      <c r="D591" s="48">
        <v>0</v>
      </c>
      <c r="E591" s="48" t="s">
        <v>112</v>
      </c>
      <c r="F591" s="48" t="s">
        <v>77</v>
      </c>
      <c r="G591" s="48" t="s">
        <v>420</v>
      </c>
      <c r="H591" s="69">
        <f t="shared" si="9"/>
        <v>43922</v>
      </c>
    </row>
    <row r="592" spans="1:8" x14ac:dyDescent="0.25">
      <c r="A592" s="68">
        <v>43933</v>
      </c>
      <c r="B592" s="48">
        <v>0</v>
      </c>
      <c r="C592" s="48">
        <v>0</v>
      </c>
      <c r="D592" s="48">
        <v>2</v>
      </c>
      <c r="E592" s="48" t="s">
        <v>112</v>
      </c>
      <c r="F592" s="48" t="s">
        <v>77</v>
      </c>
      <c r="G592" s="48" t="s">
        <v>411</v>
      </c>
      <c r="H592" s="69">
        <f t="shared" si="9"/>
        <v>43922</v>
      </c>
    </row>
    <row r="593" spans="1:8" x14ac:dyDescent="0.25">
      <c r="A593" s="68">
        <v>43933</v>
      </c>
      <c r="B593" s="48">
        <v>1</v>
      </c>
      <c r="C593" s="48">
        <v>0</v>
      </c>
      <c r="D593" s="48">
        <v>3</v>
      </c>
      <c r="E593" s="48" t="s">
        <v>112</v>
      </c>
      <c r="F593" s="48" t="s">
        <v>74</v>
      </c>
      <c r="G593" s="48" t="s">
        <v>95</v>
      </c>
      <c r="H593" s="69">
        <f t="shared" si="9"/>
        <v>43922</v>
      </c>
    </row>
    <row r="594" spans="1:8" x14ac:dyDescent="0.25">
      <c r="A594" s="68">
        <v>43933</v>
      </c>
      <c r="B594" s="48">
        <v>9</v>
      </c>
      <c r="C594" s="48">
        <v>1</v>
      </c>
      <c r="D594" s="48">
        <v>0</v>
      </c>
      <c r="E594" s="48" t="s">
        <v>112</v>
      </c>
      <c r="F594" s="48" t="s">
        <v>72</v>
      </c>
      <c r="G594" s="48" t="s">
        <v>94</v>
      </c>
      <c r="H594" s="69">
        <f t="shared" si="9"/>
        <v>43922</v>
      </c>
    </row>
    <row r="595" spans="1:8" x14ac:dyDescent="0.25">
      <c r="A595" s="68">
        <v>43933</v>
      </c>
      <c r="B595" s="48">
        <v>2</v>
      </c>
      <c r="C595" s="48">
        <v>1</v>
      </c>
      <c r="D595" s="48">
        <v>0</v>
      </c>
      <c r="E595" s="48" t="s">
        <v>112</v>
      </c>
      <c r="F595" s="48" t="s">
        <v>72</v>
      </c>
      <c r="G595" s="48" t="s">
        <v>102</v>
      </c>
      <c r="H595" s="69">
        <f t="shared" si="9"/>
        <v>43922</v>
      </c>
    </row>
    <row r="596" spans="1:8" x14ac:dyDescent="0.25">
      <c r="A596" s="68">
        <v>43933</v>
      </c>
      <c r="B596" s="48">
        <v>0</v>
      </c>
      <c r="C596" s="48">
        <v>1</v>
      </c>
      <c r="D596" s="48">
        <v>0</v>
      </c>
      <c r="E596" s="48" t="s">
        <v>112</v>
      </c>
      <c r="F596" s="48" t="s">
        <v>72</v>
      </c>
      <c r="G596" s="48" t="s">
        <v>355</v>
      </c>
      <c r="H596" s="69">
        <f t="shared" si="9"/>
        <v>43922</v>
      </c>
    </row>
    <row r="597" spans="1:8" x14ac:dyDescent="0.25">
      <c r="A597" s="68">
        <v>43933</v>
      </c>
      <c r="B597" s="48">
        <v>6</v>
      </c>
      <c r="C597" s="48">
        <v>0</v>
      </c>
      <c r="D597" s="48">
        <v>0</v>
      </c>
      <c r="E597" s="48" t="s">
        <v>112</v>
      </c>
      <c r="F597" s="48" t="s">
        <v>72</v>
      </c>
      <c r="G597" s="48" t="s">
        <v>347</v>
      </c>
      <c r="H597" s="69">
        <f t="shared" si="9"/>
        <v>43922</v>
      </c>
    </row>
    <row r="598" spans="1:8" x14ac:dyDescent="0.25">
      <c r="A598" s="68">
        <v>43933</v>
      </c>
      <c r="B598" s="48">
        <v>1</v>
      </c>
      <c r="C598" s="48">
        <v>0</v>
      </c>
      <c r="D598" s="48">
        <v>0</v>
      </c>
      <c r="E598" s="48" t="s">
        <v>112</v>
      </c>
      <c r="F598" s="48" t="s">
        <v>72</v>
      </c>
      <c r="G598" s="48" t="s">
        <v>342</v>
      </c>
      <c r="H598" s="69">
        <f t="shared" si="9"/>
        <v>43922</v>
      </c>
    </row>
    <row r="599" spans="1:8" x14ac:dyDescent="0.25">
      <c r="A599" s="68">
        <v>43933</v>
      </c>
      <c r="B599" s="48">
        <v>1</v>
      </c>
      <c r="C599" s="48">
        <v>0</v>
      </c>
      <c r="D599" s="48">
        <v>0</v>
      </c>
      <c r="E599" s="48" t="s">
        <v>112</v>
      </c>
      <c r="F599" s="48" t="s">
        <v>72</v>
      </c>
      <c r="G599" s="48" t="s">
        <v>399</v>
      </c>
      <c r="H599" s="69">
        <f t="shared" si="9"/>
        <v>43922</v>
      </c>
    </row>
    <row r="600" spans="1:8" x14ac:dyDescent="0.25">
      <c r="A600" s="68">
        <v>43933</v>
      </c>
      <c r="B600" s="48">
        <v>4</v>
      </c>
      <c r="C600" s="48">
        <v>0</v>
      </c>
      <c r="D600" s="48">
        <v>0</v>
      </c>
      <c r="E600" s="48" t="s">
        <v>112</v>
      </c>
      <c r="F600" s="48" t="s">
        <v>72</v>
      </c>
      <c r="G600" s="48" t="s">
        <v>352</v>
      </c>
      <c r="H600" s="69">
        <f t="shared" si="9"/>
        <v>43922</v>
      </c>
    </row>
    <row r="601" spans="1:8" x14ac:dyDescent="0.25">
      <c r="A601" s="68">
        <v>43933</v>
      </c>
      <c r="B601" s="48">
        <v>4</v>
      </c>
      <c r="C601" s="48">
        <v>0</v>
      </c>
      <c r="D601" s="48">
        <v>0</v>
      </c>
      <c r="E601" s="48" t="s">
        <v>112</v>
      </c>
      <c r="F601" s="48" t="s">
        <v>72</v>
      </c>
      <c r="G601" s="48" t="s">
        <v>358</v>
      </c>
      <c r="H601" s="69">
        <f t="shared" si="9"/>
        <v>43922</v>
      </c>
    </row>
    <row r="602" spans="1:8" x14ac:dyDescent="0.25">
      <c r="A602" s="68">
        <v>43933</v>
      </c>
      <c r="B602" s="48">
        <v>3</v>
      </c>
      <c r="C602" s="48">
        <v>0</v>
      </c>
      <c r="D602" s="48">
        <v>0</v>
      </c>
      <c r="E602" s="48" t="s">
        <v>112</v>
      </c>
      <c r="F602" s="48" t="s">
        <v>72</v>
      </c>
      <c r="G602" s="48" t="s">
        <v>101</v>
      </c>
      <c r="H602" s="69">
        <f t="shared" si="9"/>
        <v>43922</v>
      </c>
    </row>
    <row r="603" spans="1:8" x14ac:dyDescent="0.25">
      <c r="A603" s="68">
        <v>43933</v>
      </c>
      <c r="B603" s="48">
        <v>10</v>
      </c>
      <c r="C603" s="48">
        <v>0</v>
      </c>
      <c r="D603" s="48">
        <v>0</v>
      </c>
      <c r="E603" s="48" t="s">
        <v>112</v>
      </c>
      <c r="F603" s="48" t="s">
        <v>72</v>
      </c>
      <c r="G603" s="48" t="s">
        <v>354</v>
      </c>
      <c r="H603" s="69">
        <f t="shared" si="9"/>
        <v>43922</v>
      </c>
    </row>
    <row r="604" spans="1:8" x14ac:dyDescent="0.25">
      <c r="A604" s="68">
        <v>43933</v>
      </c>
      <c r="B604" s="48">
        <v>2</v>
      </c>
      <c r="C604" s="48">
        <v>0</v>
      </c>
      <c r="D604" s="48">
        <v>0</v>
      </c>
      <c r="E604" s="48" t="s">
        <v>112</v>
      </c>
      <c r="F604" s="48" t="s">
        <v>72</v>
      </c>
      <c r="G604" s="48" t="s">
        <v>338</v>
      </c>
      <c r="H604" s="69">
        <f t="shared" si="9"/>
        <v>43922</v>
      </c>
    </row>
    <row r="605" spans="1:8" x14ac:dyDescent="0.25">
      <c r="A605" s="68">
        <v>43933</v>
      </c>
      <c r="B605" s="48">
        <v>2</v>
      </c>
      <c r="C605" s="48">
        <v>0</v>
      </c>
      <c r="D605" s="48">
        <v>1</v>
      </c>
      <c r="E605" s="48" t="s">
        <v>112</v>
      </c>
      <c r="F605" s="48" t="s">
        <v>72</v>
      </c>
      <c r="G605" s="48" t="s">
        <v>96</v>
      </c>
      <c r="H605" s="69">
        <f t="shared" si="9"/>
        <v>43922</v>
      </c>
    </row>
    <row r="606" spans="1:8" x14ac:dyDescent="0.25">
      <c r="A606" s="68">
        <v>43933</v>
      </c>
      <c r="B606" s="48">
        <v>32</v>
      </c>
      <c r="C606" s="48">
        <v>2</v>
      </c>
      <c r="D606" s="48">
        <v>25</v>
      </c>
      <c r="E606" s="48" t="s">
        <v>112</v>
      </c>
      <c r="F606" s="48" t="s">
        <v>71</v>
      </c>
      <c r="G606" s="48" t="s">
        <v>92</v>
      </c>
      <c r="H606" s="69">
        <f t="shared" si="9"/>
        <v>43922</v>
      </c>
    </row>
    <row r="607" spans="1:8" x14ac:dyDescent="0.25">
      <c r="A607" s="68">
        <v>43933</v>
      </c>
      <c r="B607" s="48">
        <v>19</v>
      </c>
      <c r="C607" s="48">
        <v>0</v>
      </c>
      <c r="D607" s="48">
        <v>0</v>
      </c>
      <c r="E607" s="48" t="s">
        <v>112</v>
      </c>
      <c r="F607" s="48" t="s">
        <v>71</v>
      </c>
      <c r="G607" s="48" t="s">
        <v>97</v>
      </c>
      <c r="H607" s="69">
        <f t="shared" si="9"/>
        <v>43922</v>
      </c>
    </row>
    <row r="608" spans="1:8" x14ac:dyDescent="0.25">
      <c r="A608" s="68">
        <v>43933</v>
      </c>
      <c r="B608" s="48">
        <v>0</v>
      </c>
      <c r="C608" s="48">
        <v>0</v>
      </c>
      <c r="D608" s="48">
        <v>175</v>
      </c>
      <c r="E608" s="48" t="s">
        <v>118</v>
      </c>
      <c r="F608" s="48" t="s">
        <v>71</v>
      </c>
      <c r="G608" s="48" t="s">
        <v>340</v>
      </c>
      <c r="H608" s="69">
        <f t="shared" si="9"/>
        <v>43922</v>
      </c>
    </row>
    <row r="609" spans="1:8" x14ac:dyDescent="0.25">
      <c r="A609" s="68">
        <v>43933</v>
      </c>
      <c r="B609" s="48">
        <v>6</v>
      </c>
      <c r="C609" s="48">
        <v>0</v>
      </c>
      <c r="D609" s="48">
        <v>0</v>
      </c>
      <c r="E609" s="48" t="s">
        <v>112</v>
      </c>
      <c r="F609" s="48" t="s">
        <v>71</v>
      </c>
      <c r="G609" s="48" t="s">
        <v>350</v>
      </c>
      <c r="H609" s="69">
        <f t="shared" si="9"/>
        <v>43922</v>
      </c>
    </row>
    <row r="610" spans="1:8" x14ac:dyDescent="0.25">
      <c r="A610" s="68">
        <v>43933</v>
      </c>
      <c r="B610" s="48">
        <v>2</v>
      </c>
      <c r="C610" s="48">
        <v>0</v>
      </c>
      <c r="D610" s="48">
        <v>0</v>
      </c>
      <c r="E610" s="48" t="s">
        <v>112</v>
      </c>
      <c r="F610" s="48" t="s">
        <v>71</v>
      </c>
      <c r="G610" s="48" t="s">
        <v>346</v>
      </c>
      <c r="H610" s="69">
        <f t="shared" si="9"/>
        <v>43922</v>
      </c>
    </row>
    <row r="611" spans="1:8" x14ac:dyDescent="0.25">
      <c r="A611" s="68">
        <v>43933</v>
      </c>
      <c r="B611" s="48">
        <v>3</v>
      </c>
      <c r="C611" s="48">
        <v>0</v>
      </c>
      <c r="D611" s="48">
        <v>0</v>
      </c>
      <c r="E611" s="48" t="s">
        <v>112</v>
      </c>
      <c r="F611" s="48" t="s">
        <v>71</v>
      </c>
      <c r="G611" s="48" t="s">
        <v>370</v>
      </c>
      <c r="H611" s="69">
        <f t="shared" si="9"/>
        <v>43922</v>
      </c>
    </row>
    <row r="612" spans="1:8" x14ac:dyDescent="0.25">
      <c r="A612" s="68">
        <v>43933</v>
      </c>
      <c r="B612" s="48">
        <v>19</v>
      </c>
      <c r="C612" s="48">
        <v>0</v>
      </c>
      <c r="D612" s="48">
        <v>0</v>
      </c>
      <c r="E612" s="48" t="s">
        <v>112</v>
      </c>
      <c r="F612" s="48" t="s">
        <v>71</v>
      </c>
      <c r="G612" s="48" t="s">
        <v>362</v>
      </c>
      <c r="H612" s="69">
        <f t="shared" si="9"/>
        <v>43922</v>
      </c>
    </row>
    <row r="613" spans="1:8" x14ac:dyDescent="0.25">
      <c r="A613" s="68">
        <v>43933</v>
      </c>
      <c r="B613" s="48">
        <v>6</v>
      </c>
      <c r="C613" s="48">
        <v>0</v>
      </c>
      <c r="D613" s="48">
        <v>0</v>
      </c>
      <c r="E613" s="48" t="s">
        <v>112</v>
      </c>
      <c r="F613" s="48" t="s">
        <v>71</v>
      </c>
      <c r="G613" s="48" t="s">
        <v>372</v>
      </c>
      <c r="H613" s="69">
        <f t="shared" si="9"/>
        <v>43922</v>
      </c>
    </row>
    <row r="614" spans="1:8" x14ac:dyDescent="0.25">
      <c r="A614" s="68">
        <v>43933</v>
      </c>
      <c r="B614" s="48">
        <v>1</v>
      </c>
      <c r="C614" s="48">
        <v>0</v>
      </c>
      <c r="D614" s="48">
        <v>0</v>
      </c>
      <c r="E614" s="48" t="s">
        <v>112</v>
      </c>
      <c r="F614" s="48" t="s">
        <v>71</v>
      </c>
      <c r="G614" s="48" t="s">
        <v>396</v>
      </c>
      <c r="H614" s="69">
        <f t="shared" si="9"/>
        <v>43922</v>
      </c>
    </row>
    <row r="615" spans="1:8" x14ac:dyDescent="0.25">
      <c r="A615" s="68">
        <v>43933</v>
      </c>
      <c r="B615" s="48">
        <v>1</v>
      </c>
      <c r="C615" s="48">
        <v>0</v>
      </c>
      <c r="D615" s="48">
        <v>0</v>
      </c>
      <c r="E615" s="48" t="s">
        <v>112</v>
      </c>
      <c r="F615" s="48" t="s">
        <v>71</v>
      </c>
      <c r="G615" s="48" t="s">
        <v>378</v>
      </c>
      <c r="H615" s="69">
        <f t="shared" si="9"/>
        <v>43922</v>
      </c>
    </row>
    <row r="616" spans="1:8" x14ac:dyDescent="0.25">
      <c r="A616" s="68">
        <v>43933</v>
      </c>
      <c r="B616" s="48">
        <v>9</v>
      </c>
      <c r="C616" s="48">
        <v>0</v>
      </c>
      <c r="D616" s="48">
        <v>0</v>
      </c>
      <c r="E616" s="48" t="s">
        <v>120</v>
      </c>
      <c r="F616" s="48" t="s">
        <v>71</v>
      </c>
      <c r="G616" s="48" t="s">
        <v>92</v>
      </c>
      <c r="H616" s="69">
        <f t="shared" si="9"/>
        <v>43922</v>
      </c>
    </row>
    <row r="617" spans="1:8" x14ac:dyDescent="0.25">
      <c r="A617" s="68">
        <v>43933</v>
      </c>
      <c r="B617" s="48">
        <v>79</v>
      </c>
      <c r="C617" s="48">
        <v>2</v>
      </c>
      <c r="D617" s="48">
        <v>18</v>
      </c>
      <c r="E617" s="48" t="s">
        <v>114</v>
      </c>
      <c r="F617" s="48" t="s">
        <v>70</v>
      </c>
      <c r="G617" s="48" t="s">
        <v>91</v>
      </c>
      <c r="H617" s="69">
        <f t="shared" si="9"/>
        <v>43922</v>
      </c>
    </row>
    <row r="618" spans="1:8" x14ac:dyDescent="0.25">
      <c r="A618" s="68">
        <v>43933</v>
      </c>
      <c r="B618" s="48">
        <v>14</v>
      </c>
      <c r="C618" s="48">
        <v>0</v>
      </c>
      <c r="D618" s="48">
        <v>0</v>
      </c>
      <c r="E618" s="48" t="s">
        <v>114</v>
      </c>
      <c r="F618" s="48" t="s">
        <v>70</v>
      </c>
      <c r="G618" s="48" t="s">
        <v>336</v>
      </c>
      <c r="H618" s="69">
        <f t="shared" si="9"/>
        <v>43922</v>
      </c>
    </row>
    <row r="619" spans="1:8" x14ac:dyDescent="0.25">
      <c r="A619" s="68">
        <v>43934</v>
      </c>
      <c r="B619" s="48">
        <v>3</v>
      </c>
      <c r="C619" s="48">
        <v>0</v>
      </c>
      <c r="D619" s="48">
        <v>0</v>
      </c>
      <c r="E619" s="48" t="s">
        <v>112</v>
      </c>
      <c r="F619" s="48" t="s">
        <v>76</v>
      </c>
      <c r="G619" s="48" t="s">
        <v>339</v>
      </c>
      <c r="H619" s="69">
        <f t="shared" si="9"/>
        <v>43922</v>
      </c>
    </row>
    <row r="620" spans="1:8" x14ac:dyDescent="0.25">
      <c r="A620" s="68">
        <v>43934</v>
      </c>
      <c r="B620" s="48">
        <v>1</v>
      </c>
      <c r="C620" s="48">
        <v>0</v>
      </c>
      <c r="D620" s="48">
        <v>0</v>
      </c>
      <c r="E620" s="48" t="s">
        <v>112</v>
      </c>
      <c r="F620" s="48" t="s">
        <v>73</v>
      </c>
      <c r="G620" s="48" t="s">
        <v>93</v>
      </c>
      <c r="H620" s="69">
        <f t="shared" si="9"/>
        <v>43922</v>
      </c>
    </row>
    <row r="621" spans="1:8" x14ac:dyDescent="0.25">
      <c r="A621" s="68">
        <v>43934</v>
      </c>
      <c r="B621" s="48">
        <v>9</v>
      </c>
      <c r="C621" s="48">
        <v>0</v>
      </c>
      <c r="D621" s="48">
        <v>0</v>
      </c>
      <c r="E621" s="48" t="s">
        <v>112</v>
      </c>
      <c r="F621" s="48" t="s">
        <v>77</v>
      </c>
      <c r="G621" s="48" t="s">
        <v>359</v>
      </c>
      <c r="H621" s="69">
        <f t="shared" si="9"/>
        <v>43922</v>
      </c>
    </row>
    <row r="622" spans="1:8" x14ac:dyDescent="0.25">
      <c r="A622" s="68">
        <v>43934</v>
      </c>
      <c r="B622" s="48">
        <v>1</v>
      </c>
      <c r="C622" s="48">
        <v>0</v>
      </c>
      <c r="D622" s="48">
        <v>0</v>
      </c>
      <c r="E622" s="48" t="s">
        <v>112</v>
      </c>
      <c r="F622" s="48" t="s">
        <v>77</v>
      </c>
      <c r="G622" s="48" t="s">
        <v>400</v>
      </c>
      <c r="H622" s="69">
        <f t="shared" si="9"/>
        <v>43922</v>
      </c>
    </row>
    <row r="623" spans="1:8" x14ac:dyDescent="0.25">
      <c r="A623" s="68">
        <v>43934</v>
      </c>
      <c r="B623" s="48">
        <v>0</v>
      </c>
      <c r="C623" s="48">
        <v>0</v>
      </c>
      <c r="D623" s="48">
        <v>1</v>
      </c>
      <c r="E623" s="48" t="s">
        <v>112</v>
      </c>
      <c r="F623" s="48" t="s">
        <v>77</v>
      </c>
      <c r="G623" s="48" t="s">
        <v>344</v>
      </c>
      <c r="H623" s="69">
        <f t="shared" si="9"/>
        <v>43922</v>
      </c>
    </row>
    <row r="624" spans="1:8" x14ac:dyDescent="0.25">
      <c r="A624" s="68">
        <v>43934</v>
      </c>
      <c r="B624" s="48">
        <v>12</v>
      </c>
      <c r="C624" s="48">
        <v>0</v>
      </c>
      <c r="D624" s="48">
        <v>0</v>
      </c>
      <c r="E624" s="48" t="s">
        <v>112</v>
      </c>
      <c r="F624" s="48" t="s">
        <v>74</v>
      </c>
      <c r="G624" s="48" t="s">
        <v>95</v>
      </c>
      <c r="H624" s="69">
        <f t="shared" si="9"/>
        <v>43922</v>
      </c>
    </row>
    <row r="625" spans="1:8" x14ac:dyDescent="0.25">
      <c r="A625" s="68">
        <v>43934</v>
      </c>
      <c r="B625" s="48">
        <v>0</v>
      </c>
      <c r="C625" s="48">
        <v>1</v>
      </c>
      <c r="D625" s="48">
        <v>0</v>
      </c>
      <c r="E625" s="48" t="s">
        <v>112</v>
      </c>
      <c r="F625" s="48" t="s">
        <v>72</v>
      </c>
      <c r="G625" s="48" t="s">
        <v>94</v>
      </c>
      <c r="H625" s="69">
        <f t="shared" si="9"/>
        <v>43922</v>
      </c>
    </row>
    <row r="626" spans="1:8" x14ac:dyDescent="0.25">
      <c r="A626" s="68">
        <v>43934</v>
      </c>
      <c r="B626" s="48">
        <v>1</v>
      </c>
      <c r="C626" s="48">
        <v>1</v>
      </c>
      <c r="D626" s="48">
        <v>1</v>
      </c>
      <c r="E626" s="48" t="s">
        <v>112</v>
      </c>
      <c r="F626" s="48" t="s">
        <v>72</v>
      </c>
      <c r="G626" s="48" t="s">
        <v>337</v>
      </c>
      <c r="H626" s="69">
        <f t="shared" si="9"/>
        <v>43922</v>
      </c>
    </row>
    <row r="627" spans="1:8" x14ac:dyDescent="0.25">
      <c r="A627" s="68">
        <v>43934</v>
      </c>
      <c r="B627" s="48">
        <v>5</v>
      </c>
      <c r="C627" s="48">
        <v>0</v>
      </c>
      <c r="D627" s="48">
        <v>0</v>
      </c>
      <c r="E627" s="48" t="s">
        <v>112</v>
      </c>
      <c r="F627" s="48" t="s">
        <v>72</v>
      </c>
      <c r="G627" s="48" t="s">
        <v>341</v>
      </c>
      <c r="H627" s="69">
        <f t="shared" si="9"/>
        <v>43922</v>
      </c>
    </row>
    <row r="628" spans="1:8" x14ac:dyDescent="0.25">
      <c r="A628" s="68">
        <v>43934</v>
      </c>
      <c r="B628" s="48">
        <v>3</v>
      </c>
      <c r="C628" s="48">
        <v>0</v>
      </c>
      <c r="D628" s="48">
        <v>2</v>
      </c>
      <c r="E628" s="48" t="s">
        <v>112</v>
      </c>
      <c r="F628" s="48" t="s">
        <v>72</v>
      </c>
      <c r="G628" s="48" t="s">
        <v>358</v>
      </c>
      <c r="H628" s="69">
        <f t="shared" si="9"/>
        <v>43922</v>
      </c>
    </row>
    <row r="629" spans="1:8" x14ac:dyDescent="0.25">
      <c r="A629" s="68">
        <v>43934</v>
      </c>
      <c r="B629" s="48">
        <v>2</v>
      </c>
      <c r="C629" s="48">
        <v>0</v>
      </c>
      <c r="D629" s="48">
        <v>0</v>
      </c>
      <c r="E629" s="48" t="s">
        <v>112</v>
      </c>
      <c r="F629" s="48" t="s">
        <v>72</v>
      </c>
      <c r="G629" s="48" t="s">
        <v>101</v>
      </c>
      <c r="H629" s="69">
        <f t="shared" si="9"/>
        <v>43922</v>
      </c>
    </row>
    <row r="630" spans="1:8" x14ac:dyDescent="0.25">
      <c r="A630" s="68">
        <v>43934</v>
      </c>
      <c r="B630" s="48">
        <v>1</v>
      </c>
      <c r="C630" s="48">
        <v>0</v>
      </c>
      <c r="D630" s="48">
        <v>0</v>
      </c>
      <c r="E630" s="48" t="s">
        <v>112</v>
      </c>
      <c r="F630" s="48" t="s">
        <v>72</v>
      </c>
      <c r="G630" s="48" t="s">
        <v>338</v>
      </c>
      <c r="H630" s="69">
        <f t="shared" si="9"/>
        <v>43922</v>
      </c>
    </row>
    <row r="631" spans="1:8" x14ac:dyDescent="0.25">
      <c r="A631" s="68">
        <v>43934</v>
      </c>
      <c r="B631" s="48">
        <v>31</v>
      </c>
      <c r="C631" s="48">
        <v>0</v>
      </c>
      <c r="D631" s="48">
        <v>0</v>
      </c>
      <c r="E631" s="48" t="s">
        <v>112</v>
      </c>
      <c r="F631" s="48" t="s">
        <v>72</v>
      </c>
      <c r="G631" s="48" t="s">
        <v>94</v>
      </c>
      <c r="H631" s="69">
        <f t="shared" si="9"/>
        <v>43922</v>
      </c>
    </row>
    <row r="632" spans="1:8" x14ac:dyDescent="0.25">
      <c r="A632" s="68">
        <v>43934</v>
      </c>
      <c r="B632" s="48">
        <v>3</v>
      </c>
      <c r="C632" s="48">
        <v>0</v>
      </c>
      <c r="D632" s="48">
        <v>0</v>
      </c>
      <c r="E632" s="48" t="s">
        <v>112</v>
      </c>
      <c r="F632" s="48" t="s">
        <v>72</v>
      </c>
      <c r="G632" s="48" t="s">
        <v>96</v>
      </c>
      <c r="H632" s="69">
        <f t="shared" si="9"/>
        <v>43922</v>
      </c>
    </row>
    <row r="633" spans="1:8" x14ac:dyDescent="0.25">
      <c r="A633" s="68">
        <v>43934</v>
      </c>
      <c r="B633" s="48">
        <v>0</v>
      </c>
      <c r="C633" s="48">
        <v>0</v>
      </c>
      <c r="D633" s="48">
        <v>1</v>
      </c>
      <c r="E633" s="48" t="s">
        <v>112</v>
      </c>
      <c r="F633" s="48" t="s">
        <v>72</v>
      </c>
      <c r="G633" s="48" t="s">
        <v>355</v>
      </c>
      <c r="H633" s="69">
        <f t="shared" si="9"/>
        <v>43922</v>
      </c>
    </row>
    <row r="634" spans="1:8" x14ac:dyDescent="0.25">
      <c r="A634" s="68">
        <v>43934</v>
      </c>
      <c r="B634" s="48">
        <v>0</v>
      </c>
      <c r="C634" s="48">
        <v>0</v>
      </c>
      <c r="D634" s="48">
        <v>0</v>
      </c>
      <c r="E634" s="48" t="s">
        <v>112</v>
      </c>
      <c r="F634" s="48" t="s">
        <v>72</v>
      </c>
      <c r="G634" s="48" t="s">
        <v>408</v>
      </c>
      <c r="H634" s="69">
        <f t="shared" si="9"/>
        <v>43922</v>
      </c>
    </row>
    <row r="635" spans="1:8" x14ac:dyDescent="0.25">
      <c r="A635" s="68">
        <v>43934</v>
      </c>
      <c r="B635" s="48">
        <v>0</v>
      </c>
      <c r="C635" s="48">
        <v>0</v>
      </c>
      <c r="D635" s="48">
        <v>2</v>
      </c>
      <c r="E635" s="48" t="s">
        <v>112</v>
      </c>
      <c r="F635" s="48" t="s">
        <v>72</v>
      </c>
      <c r="G635" s="48" t="s">
        <v>335</v>
      </c>
      <c r="H635" s="69">
        <f t="shared" si="9"/>
        <v>43922</v>
      </c>
    </row>
    <row r="636" spans="1:8" x14ac:dyDescent="0.25">
      <c r="A636" s="68">
        <v>43934</v>
      </c>
      <c r="B636" s="48">
        <v>0</v>
      </c>
      <c r="C636" s="48">
        <v>0</v>
      </c>
      <c r="D636" s="48">
        <v>1</v>
      </c>
      <c r="E636" s="48" t="s">
        <v>112</v>
      </c>
      <c r="F636" s="48" t="s">
        <v>72</v>
      </c>
      <c r="G636" s="48" t="s">
        <v>365</v>
      </c>
      <c r="H636" s="69">
        <f t="shared" si="9"/>
        <v>43922</v>
      </c>
    </row>
    <row r="637" spans="1:8" x14ac:dyDescent="0.25">
      <c r="A637" s="68">
        <v>43934</v>
      </c>
      <c r="B637" s="48">
        <v>0</v>
      </c>
      <c r="C637" s="48">
        <v>1</v>
      </c>
      <c r="D637" s="48">
        <v>0</v>
      </c>
      <c r="E637" s="48" t="s">
        <v>114</v>
      </c>
      <c r="F637" s="48" t="s">
        <v>71</v>
      </c>
      <c r="G637" s="48" t="s">
        <v>92</v>
      </c>
      <c r="H637" s="69">
        <f t="shared" si="9"/>
        <v>43922</v>
      </c>
    </row>
    <row r="638" spans="1:8" x14ac:dyDescent="0.25">
      <c r="A638" s="68">
        <v>43934</v>
      </c>
      <c r="B638" s="48">
        <v>0</v>
      </c>
      <c r="C638" s="48">
        <v>0</v>
      </c>
      <c r="D638" s="48">
        <v>0</v>
      </c>
      <c r="E638" s="48" t="s">
        <v>116</v>
      </c>
      <c r="F638" s="48" t="s">
        <v>71</v>
      </c>
      <c r="G638" s="48" t="s">
        <v>340</v>
      </c>
      <c r="H638" s="69">
        <f t="shared" si="9"/>
        <v>43922</v>
      </c>
    </row>
    <row r="639" spans="1:8" x14ac:dyDescent="0.25">
      <c r="A639" s="68">
        <v>43934</v>
      </c>
      <c r="B639" s="48">
        <v>60</v>
      </c>
      <c r="C639" s="48">
        <v>0</v>
      </c>
      <c r="D639" s="48">
        <v>0</v>
      </c>
      <c r="E639" s="48" t="s">
        <v>112</v>
      </c>
      <c r="F639" s="48" t="s">
        <v>71</v>
      </c>
      <c r="G639" s="48" t="s">
        <v>97</v>
      </c>
      <c r="H639" s="69">
        <f t="shared" si="9"/>
        <v>43922</v>
      </c>
    </row>
    <row r="640" spans="1:8" x14ac:dyDescent="0.25">
      <c r="A640" s="68">
        <v>43934</v>
      </c>
      <c r="B640" s="48">
        <v>39</v>
      </c>
      <c r="C640" s="48">
        <v>1</v>
      </c>
      <c r="D640" s="48">
        <v>30</v>
      </c>
      <c r="E640" s="48" t="s">
        <v>114</v>
      </c>
      <c r="F640" s="48" t="s">
        <v>70</v>
      </c>
      <c r="G640" s="48" t="s">
        <v>91</v>
      </c>
      <c r="H640" s="69">
        <f t="shared" si="9"/>
        <v>43922</v>
      </c>
    </row>
    <row r="641" spans="1:8" x14ac:dyDescent="0.25">
      <c r="A641" s="68">
        <v>43934</v>
      </c>
      <c r="B641" s="48">
        <v>1</v>
      </c>
      <c r="C641" s="48">
        <v>0</v>
      </c>
      <c r="D641" s="48">
        <v>0</v>
      </c>
      <c r="E641" s="48" t="s">
        <v>112</v>
      </c>
      <c r="F641" s="48" t="s">
        <v>70</v>
      </c>
      <c r="G641" s="48" t="s">
        <v>388</v>
      </c>
      <c r="H641" s="69">
        <f t="shared" si="9"/>
        <v>43922</v>
      </c>
    </row>
    <row r="642" spans="1:8" x14ac:dyDescent="0.25">
      <c r="A642" s="68">
        <v>43934</v>
      </c>
      <c r="B642" s="48">
        <v>1</v>
      </c>
      <c r="C642" s="48">
        <v>0</v>
      </c>
      <c r="D642" s="48">
        <v>0</v>
      </c>
      <c r="E642" s="48" t="s">
        <v>112</v>
      </c>
      <c r="F642" s="48" t="s">
        <v>70</v>
      </c>
      <c r="G642" s="48" t="s">
        <v>374</v>
      </c>
      <c r="H642" s="69">
        <f t="shared" ref="H642:H705" si="10">DATE(YEAR(A642),MONTH(A642),1)</f>
        <v>43922</v>
      </c>
    </row>
    <row r="643" spans="1:8" x14ac:dyDescent="0.25">
      <c r="A643" s="68">
        <v>43935</v>
      </c>
      <c r="B643" s="48">
        <v>17</v>
      </c>
      <c r="C643" s="48">
        <v>0</v>
      </c>
      <c r="D643" s="48">
        <v>0</v>
      </c>
      <c r="E643" s="48" t="s">
        <v>112</v>
      </c>
      <c r="F643" s="48" t="s">
        <v>73</v>
      </c>
      <c r="G643" s="48" t="s">
        <v>93</v>
      </c>
      <c r="H643" s="69">
        <f t="shared" si="10"/>
        <v>43922</v>
      </c>
    </row>
    <row r="644" spans="1:8" x14ac:dyDescent="0.25">
      <c r="A644" s="68">
        <v>43935</v>
      </c>
      <c r="B644" s="48">
        <v>1</v>
      </c>
      <c r="C644" s="48">
        <v>0</v>
      </c>
      <c r="D644" s="48">
        <v>0</v>
      </c>
      <c r="E644" s="48" t="s">
        <v>112</v>
      </c>
      <c r="F644" s="48" t="s">
        <v>77</v>
      </c>
      <c r="G644" s="48" t="s">
        <v>343</v>
      </c>
      <c r="H644" s="69">
        <f t="shared" si="10"/>
        <v>43922</v>
      </c>
    </row>
    <row r="645" spans="1:8" x14ac:dyDescent="0.25">
      <c r="A645" s="68">
        <v>43935</v>
      </c>
      <c r="B645" s="48">
        <v>1</v>
      </c>
      <c r="C645" s="48">
        <v>0</v>
      </c>
      <c r="D645" s="48">
        <v>0</v>
      </c>
      <c r="E645" s="48" t="s">
        <v>112</v>
      </c>
      <c r="F645" s="48" t="s">
        <v>77</v>
      </c>
      <c r="G645" s="48" t="s">
        <v>411</v>
      </c>
      <c r="H645" s="69">
        <f t="shared" si="10"/>
        <v>43922</v>
      </c>
    </row>
    <row r="646" spans="1:8" x14ac:dyDescent="0.25">
      <c r="A646" s="68">
        <v>43935</v>
      </c>
      <c r="B646" s="48">
        <v>10</v>
      </c>
      <c r="C646" s="48">
        <v>0</v>
      </c>
      <c r="D646" s="48">
        <v>6</v>
      </c>
      <c r="E646" s="48" t="s">
        <v>112</v>
      </c>
      <c r="F646" s="48" t="s">
        <v>75</v>
      </c>
      <c r="G646" s="48" t="s">
        <v>390</v>
      </c>
      <c r="H646" s="69">
        <f t="shared" si="10"/>
        <v>43922</v>
      </c>
    </row>
    <row r="647" spans="1:8" x14ac:dyDescent="0.25">
      <c r="A647" s="68">
        <v>43935</v>
      </c>
      <c r="B647" s="48">
        <v>0</v>
      </c>
      <c r="C647" s="48">
        <v>0</v>
      </c>
      <c r="D647" s="48">
        <v>5</v>
      </c>
      <c r="E647" s="48" t="s">
        <v>112</v>
      </c>
      <c r="F647" s="48" t="s">
        <v>75</v>
      </c>
      <c r="G647" s="48" t="s">
        <v>404</v>
      </c>
      <c r="H647" s="69">
        <f t="shared" si="10"/>
        <v>43922</v>
      </c>
    </row>
    <row r="648" spans="1:8" x14ac:dyDescent="0.25">
      <c r="A648" s="68">
        <v>43935</v>
      </c>
      <c r="B648" s="48">
        <v>0</v>
      </c>
      <c r="C648" s="48">
        <v>0</v>
      </c>
      <c r="D648" s="48">
        <v>11</v>
      </c>
      <c r="E648" s="48" t="s">
        <v>112</v>
      </c>
      <c r="F648" s="48" t="s">
        <v>75</v>
      </c>
      <c r="G648" s="48" t="s">
        <v>368</v>
      </c>
      <c r="H648" s="69">
        <f t="shared" si="10"/>
        <v>43922</v>
      </c>
    </row>
    <row r="649" spans="1:8" x14ac:dyDescent="0.25">
      <c r="A649" s="68">
        <v>43935</v>
      </c>
      <c r="B649" s="48">
        <v>0</v>
      </c>
      <c r="C649" s="48">
        <v>0</v>
      </c>
      <c r="D649" s="48">
        <v>2</v>
      </c>
      <c r="E649" s="48" t="s">
        <v>112</v>
      </c>
      <c r="F649" s="48" t="s">
        <v>75</v>
      </c>
      <c r="G649" s="48" t="s">
        <v>393</v>
      </c>
      <c r="H649" s="69">
        <f t="shared" si="10"/>
        <v>43922</v>
      </c>
    </row>
    <row r="650" spans="1:8" x14ac:dyDescent="0.25">
      <c r="A650" s="68">
        <v>43935</v>
      </c>
      <c r="B650" s="48">
        <v>22</v>
      </c>
      <c r="C650" s="48">
        <v>3</v>
      </c>
      <c r="D650" s="48">
        <v>0</v>
      </c>
      <c r="E650" s="48" t="s">
        <v>114</v>
      </c>
      <c r="F650" s="48" t="s">
        <v>72</v>
      </c>
      <c r="G650" s="48" t="s">
        <v>94</v>
      </c>
      <c r="H650" s="69">
        <f t="shared" si="10"/>
        <v>43922</v>
      </c>
    </row>
    <row r="651" spans="1:8" x14ac:dyDescent="0.25">
      <c r="A651" s="68">
        <v>43935</v>
      </c>
      <c r="B651" s="48">
        <v>4</v>
      </c>
      <c r="C651" s="48">
        <v>0</v>
      </c>
      <c r="D651" s="48">
        <v>0</v>
      </c>
      <c r="E651" s="48" t="s">
        <v>114</v>
      </c>
      <c r="F651" s="48" t="s">
        <v>72</v>
      </c>
      <c r="G651" s="48" t="s">
        <v>351</v>
      </c>
      <c r="H651" s="69">
        <f t="shared" si="10"/>
        <v>43922</v>
      </c>
    </row>
    <row r="652" spans="1:8" x14ac:dyDescent="0.25">
      <c r="A652" s="68">
        <v>43935</v>
      </c>
      <c r="B652" s="48">
        <v>5</v>
      </c>
      <c r="C652" s="48">
        <v>0</v>
      </c>
      <c r="D652" s="48">
        <v>0</v>
      </c>
      <c r="E652" s="48" t="s">
        <v>112</v>
      </c>
      <c r="F652" s="48" t="s">
        <v>72</v>
      </c>
      <c r="G652" s="48" t="s">
        <v>365</v>
      </c>
      <c r="H652" s="69">
        <f t="shared" si="10"/>
        <v>43922</v>
      </c>
    </row>
    <row r="653" spans="1:8" x14ac:dyDescent="0.25">
      <c r="A653" s="68">
        <v>43935</v>
      </c>
      <c r="B653" s="48">
        <v>7</v>
      </c>
      <c r="C653" s="48">
        <v>0</v>
      </c>
      <c r="D653" s="48">
        <v>1</v>
      </c>
      <c r="E653" s="48" t="s">
        <v>112</v>
      </c>
      <c r="F653" s="48" t="s">
        <v>72</v>
      </c>
      <c r="G653" s="48" t="s">
        <v>347</v>
      </c>
      <c r="H653" s="69">
        <f t="shared" si="10"/>
        <v>43922</v>
      </c>
    </row>
    <row r="654" spans="1:8" x14ac:dyDescent="0.25">
      <c r="A654" s="68">
        <v>43935</v>
      </c>
      <c r="B654" s="48">
        <v>4</v>
      </c>
      <c r="C654" s="48">
        <v>0</v>
      </c>
      <c r="D654" s="48">
        <v>2</v>
      </c>
      <c r="E654" s="48" t="s">
        <v>112</v>
      </c>
      <c r="F654" s="48" t="s">
        <v>72</v>
      </c>
      <c r="G654" s="48" t="s">
        <v>341</v>
      </c>
      <c r="H654" s="69">
        <f t="shared" si="10"/>
        <v>43922</v>
      </c>
    </row>
    <row r="655" spans="1:8" x14ac:dyDescent="0.25">
      <c r="A655" s="68">
        <v>43935</v>
      </c>
      <c r="B655" s="48">
        <v>11</v>
      </c>
      <c r="C655" s="48">
        <v>0</v>
      </c>
      <c r="D655" s="48">
        <v>7</v>
      </c>
      <c r="E655" s="48" t="s">
        <v>112</v>
      </c>
      <c r="F655" s="48" t="s">
        <v>72</v>
      </c>
      <c r="G655" s="48" t="s">
        <v>342</v>
      </c>
      <c r="H655" s="69">
        <f t="shared" si="10"/>
        <v>43922</v>
      </c>
    </row>
    <row r="656" spans="1:8" x14ac:dyDescent="0.25">
      <c r="A656" s="68">
        <v>43935</v>
      </c>
      <c r="B656" s="48">
        <v>3</v>
      </c>
      <c r="C656" s="48">
        <v>0</v>
      </c>
      <c r="D656" s="48">
        <v>0</v>
      </c>
      <c r="E656" s="48" t="s">
        <v>112</v>
      </c>
      <c r="F656" s="48" t="s">
        <v>72</v>
      </c>
      <c r="G656" s="48" t="s">
        <v>399</v>
      </c>
      <c r="H656" s="69">
        <f t="shared" si="10"/>
        <v>43922</v>
      </c>
    </row>
    <row r="657" spans="1:8" x14ac:dyDescent="0.25">
      <c r="A657" s="68">
        <v>43935</v>
      </c>
      <c r="B657" s="48">
        <v>1</v>
      </c>
      <c r="C657" s="48">
        <v>0</v>
      </c>
      <c r="D657" s="48">
        <v>5</v>
      </c>
      <c r="E657" s="48" t="s">
        <v>112</v>
      </c>
      <c r="F657" s="48" t="s">
        <v>72</v>
      </c>
      <c r="G657" s="48" t="s">
        <v>358</v>
      </c>
      <c r="H657" s="69">
        <f t="shared" si="10"/>
        <v>43922</v>
      </c>
    </row>
    <row r="658" spans="1:8" x14ac:dyDescent="0.25">
      <c r="A658" s="68">
        <v>43935</v>
      </c>
      <c r="B658" s="48">
        <v>4</v>
      </c>
      <c r="C658" s="48">
        <v>0</v>
      </c>
      <c r="D658" s="48">
        <v>0</v>
      </c>
      <c r="E658" s="48" t="s">
        <v>112</v>
      </c>
      <c r="F658" s="48" t="s">
        <v>72</v>
      </c>
      <c r="G658" s="48" t="s">
        <v>338</v>
      </c>
      <c r="H658" s="69">
        <f t="shared" si="10"/>
        <v>43922</v>
      </c>
    </row>
    <row r="659" spans="1:8" x14ac:dyDescent="0.25">
      <c r="A659" s="68">
        <v>43935</v>
      </c>
      <c r="B659" s="48">
        <v>2</v>
      </c>
      <c r="C659" s="48">
        <v>0</v>
      </c>
      <c r="D659" s="48">
        <v>0</v>
      </c>
      <c r="E659" s="48" t="s">
        <v>112</v>
      </c>
      <c r="F659" s="48" t="s">
        <v>72</v>
      </c>
      <c r="G659" s="48" t="s">
        <v>353</v>
      </c>
      <c r="H659" s="69">
        <f t="shared" si="10"/>
        <v>43922</v>
      </c>
    </row>
    <row r="660" spans="1:8" x14ac:dyDescent="0.25">
      <c r="A660" s="68">
        <v>43935</v>
      </c>
      <c r="B660" s="48">
        <v>0</v>
      </c>
      <c r="C660" s="48">
        <v>0</v>
      </c>
      <c r="D660" s="48">
        <v>3</v>
      </c>
      <c r="E660" s="48" t="s">
        <v>112</v>
      </c>
      <c r="F660" s="48" t="s">
        <v>72</v>
      </c>
      <c r="G660" s="48" t="s">
        <v>337</v>
      </c>
      <c r="H660" s="69">
        <f t="shared" si="10"/>
        <v>43922</v>
      </c>
    </row>
    <row r="661" spans="1:8" x14ac:dyDescent="0.25">
      <c r="A661" s="68">
        <v>43935</v>
      </c>
      <c r="B661" s="48">
        <v>0</v>
      </c>
      <c r="C661" s="48">
        <v>0</v>
      </c>
      <c r="D661" s="48">
        <v>3</v>
      </c>
      <c r="E661" s="48" t="s">
        <v>112</v>
      </c>
      <c r="F661" s="48" t="s">
        <v>72</v>
      </c>
      <c r="G661" s="48" t="s">
        <v>96</v>
      </c>
      <c r="H661" s="69">
        <f t="shared" si="10"/>
        <v>43922</v>
      </c>
    </row>
    <row r="662" spans="1:8" x14ac:dyDescent="0.25">
      <c r="A662" s="68">
        <v>43935</v>
      </c>
      <c r="B662" s="48">
        <v>0</v>
      </c>
      <c r="C662" s="48">
        <v>0</v>
      </c>
      <c r="D662" s="48">
        <v>4</v>
      </c>
      <c r="E662" s="48" t="s">
        <v>112</v>
      </c>
      <c r="F662" s="48" t="s">
        <v>72</v>
      </c>
      <c r="G662" s="48" t="s">
        <v>335</v>
      </c>
      <c r="H662" s="69">
        <f t="shared" si="10"/>
        <v>43922</v>
      </c>
    </row>
    <row r="663" spans="1:8" x14ac:dyDescent="0.25">
      <c r="A663" s="68">
        <v>43935</v>
      </c>
      <c r="B663" s="48">
        <v>0</v>
      </c>
      <c r="C663" s="48">
        <v>0</v>
      </c>
      <c r="D663" s="48">
        <v>3</v>
      </c>
      <c r="E663" s="48" t="s">
        <v>112</v>
      </c>
      <c r="F663" s="48" t="s">
        <v>72</v>
      </c>
      <c r="G663" s="48" t="s">
        <v>356</v>
      </c>
      <c r="H663" s="69">
        <f t="shared" si="10"/>
        <v>43922</v>
      </c>
    </row>
    <row r="664" spans="1:8" x14ac:dyDescent="0.25">
      <c r="A664" s="68">
        <v>43935</v>
      </c>
      <c r="B664" s="48">
        <v>35</v>
      </c>
      <c r="C664" s="48">
        <v>4</v>
      </c>
      <c r="D664" s="48">
        <v>0</v>
      </c>
      <c r="E664" s="48" t="s">
        <v>114</v>
      </c>
      <c r="F664" s="48" t="s">
        <v>71</v>
      </c>
      <c r="G664" s="48" t="s">
        <v>92</v>
      </c>
      <c r="H664" s="69">
        <f t="shared" si="10"/>
        <v>43922</v>
      </c>
    </row>
    <row r="665" spans="1:8" x14ac:dyDescent="0.25">
      <c r="A665" s="68">
        <v>43935</v>
      </c>
      <c r="B665" s="48">
        <v>45</v>
      </c>
      <c r="C665" s="48">
        <v>0</v>
      </c>
      <c r="D665" s="48">
        <v>0</v>
      </c>
      <c r="E665" s="48" t="s">
        <v>112</v>
      </c>
      <c r="F665" s="48" t="s">
        <v>71</v>
      </c>
      <c r="G665" s="48" t="s">
        <v>97</v>
      </c>
      <c r="H665" s="69">
        <f t="shared" si="10"/>
        <v>43922</v>
      </c>
    </row>
    <row r="666" spans="1:8" x14ac:dyDescent="0.25">
      <c r="A666" s="68">
        <v>43935</v>
      </c>
      <c r="B666" s="48">
        <v>13</v>
      </c>
      <c r="C666" s="48">
        <v>0</v>
      </c>
      <c r="D666" s="48">
        <v>0</v>
      </c>
      <c r="E666" s="48" t="s">
        <v>112</v>
      </c>
      <c r="F666" s="48" t="s">
        <v>71</v>
      </c>
      <c r="G666" s="48" t="s">
        <v>350</v>
      </c>
      <c r="H666" s="69">
        <f t="shared" si="10"/>
        <v>43922</v>
      </c>
    </row>
    <row r="667" spans="1:8" x14ac:dyDescent="0.25">
      <c r="A667" s="68">
        <v>43935</v>
      </c>
      <c r="B667" s="48">
        <v>44</v>
      </c>
      <c r="C667" s="48">
        <v>0</v>
      </c>
      <c r="D667" s="48">
        <v>0</v>
      </c>
      <c r="E667" s="48" t="s">
        <v>112</v>
      </c>
      <c r="F667" s="48" t="s">
        <v>71</v>
      </c>
      <c r="G667" s="48" t="s">
        <v>371</v>
      </c>
      <c r="H667" s="69">
        <f t="shared" si="10"/>
        <v>43922</v>
      </c>
    </row>
    <row r="668" spans="1:8" x14ac:dyDescent="0.25">
      <c r="A668" s="68">
        <v>43935</v>
      </c>
      <c r="B668" s="48">
        <v>2</v>
      </c>
      <c r="C668" s="48">
        <v>0</v>
      </c>
      <c r="D668" s="48">
        <v>0</v>
      </c>
      <c r="E668" s="48" t="s">
        <v>112</v>
      </c>
      <c r="F668" s="48" t="s">
        <v>71</v>
      </c>
      <c r="G668" s="48" t="s">
        <v>364</v>
      </c>
      <c r="H668" s="69">
        <f t="shared" si="10"/>
        <v>43922</v>
      </c>
    </row>
    <row r="669" spans="1:8" x14ac:dyDescent="0.25">
      <c r="A669" s="68">
        <v>43935</v>
      </c>
      <c r="B669" s="48">
        <v>22</v>
      </c>
      <c r="C669" s="48">
        <v>0</v>
      </c>
      <c r="D669" s="48">
        <v>0</v>
      </c>
      <c r="E669" s="48" t="s">
        <v>112</v>
      </c>
      <c r="F669" s="48" t="s">
        <v>71</v>
      </c>
      <c r="G669" s="48" t="s">
        <v>346</v>
      </c>
      <c r="H669" s="69">
        <f t="shared" si="10"/>
        <v>43922</v>
      </c>
    </row>
    <row r="670" spans="1:8" x14ac:dyDescent="0.25">
      <c r="A670" s="68">
        <v>43935</v>
      </c>
      <c r="B670" s="48">
        <v>7</v>
      </c>
      <c r="C670" s="48">
        <v>0</v>
      </c>
      <c r="D670" s="48">
        <v>0</v>
      </c>
      <c r="E670" s="48" t="s">
        <v>112</v>
      </c>
      <c r="F670" s="48" t="s">
        <v>71</v>
      </c>
      <c r="G670" s="48" t="s">
        <v>370</v>
      </c>
      <c r="H670" s="69">
        <f t="shared" si="10"/>
        <v>43922</v>
      </c>
    </row>
    <row r="671" spans="1:8" x14ac:dyDescent="0.25">
      <c r="A671" s="68">
        <v>43935</v>
      </c>
      <c r="B671" s="48">
        <v>11</v>
      </c>
      <c r="C671" s="48">
        <v>0</v>
      </c>
      <c r="D671" s="48">
        <v>0</v>
      </c>
      <c r="E671" s="48" t="s">
        <v>112</v>
      </c>
      <c r="F671" s="48" t="s">
        <v>71</v>
      </c>
      <c r="G671" s="48" t="s">
        <v>392</v>
      </c>
      <c r="H671" s="69">
        <f t="shared" si="10"/>
        <v>43922</v>
      </c>
    </row>
    <row r="672" spans="1:8" x14ac:dyDescent="0.25">
      <c r="A672" s="68">
        <v>43935</v>
      </c>
      <c r="B672" s="48">
        <v>8</v>
      </c>
      <c r="C672" s="48">
        <v>0</v>
      </c>
      <c r="D672" s="48">
        <v>0</v>
      </c>
      <c r="E672" s="48" t="s">
        <v>112</v>
      </c>
      <c r="F672" s="48" t="s">
        <v>71</v>
      </c>
      <c r="G672" s="48" t="s">
        <v>403</v>
      </c>
      <c r="H672" s="69">
        <f t="shared" si="10"/>
        <v>43922</v>
      </c>
    </row>
    <row r="673" spans="1:8" x14ac:dyDescent="0.25">
      <c r="A673" s="68">
        <v>43935</v>
      </c>
      <c r="B673" s="48">
        <v>15</v>
      </c>
      <c r="C673" s="48">
        <v>0</v>
      </c>
      <c r="D673" s="48">
        <v>0</v>
      </c>
      <c r="E673" s="48" t="s">
        <v>112</v>
      </c>
      <c r="F673" s="48" t="s">
        <v>71</v>
      </c>
      <c r="G673" s="48" t="s">
        <v>391</v>
      </c>
      <c r="H673" s="69">
        <f t="shared" si="10"/>
        <v>43922</v>
      </c>
    </row>
    <row r="674" spans="1:8" x14ac:dyDescent="0.25">
      <c r="A674" s="68">
        <v>43935</v>
      </c>
      <c r="B674" s="48">
        <v>5</v>
      </c>
      <c r="C674" s="48">
        <v>0</v>
      </c>
      <c r="D674" s="48">
        <v>0</v>
      </c>
      <c r="E674" s="48" t="s">
        <v>112</v>
      </c>
      <c r="F674" s="48" t="s">
        <v>71</v>
      </c>
      <c r="G674" s="48" t="s">
        <v>362</v>
      </c>
      <c r="H674" s="69">
        <f t="shared" si="10"/>
        <v>43922</v>
      </c>
    </row>
    <row r="675" spans="1:8" x14ac:dyDescent="0.25">
      <c r="A675" s="68">
        <v>43935</v>
      </c>
      <c r="B675" s="48">
        <v>36</v>
      </c>
      <c r="C675" s="48">
        <v>0</v>
      </c>
      <c r="D675" s="48">
        <v>0</v>
      </c>
      <c r="E675" s="48" t="s">
        <v>112</v>
      </c>
      <c r="F675" s="48" t="s">
        <v>71</v>
      </c>
      <c r="G675" s="48" t="s">
        <v>348</v>
      </c>
      <c r="H675" s="69">
        <f t="shared" si="10"/>
        <v>43922</v>
      </c>
    </row>
    <row r="676" spans="1:8" x14ac:dyDescent="0.25">
      <c r="A676" s="68">
        <v>43935</v>
      </c>
      <c r="B676" s="48">
        <v>7</v>
      </c>
      <c r="C676" s="48">
        <v>0</v>
      </c>
      <c r="D676" s="48">
        <v>0</v>
      </c>
      <c r="E676" s="48" t="s">
        <v>112</v>
      </c>
      <c r="F676" s="48" t="s">
        <v>71</v>
      </c>
      <c r="G676" s="48" t="s">
        <v>418</v>
      </c>
      <c r="H676" s="69">
        <f t="shared" si="10"/>
        <v>43922</v>
      </c>
    </row>
    <row r="677" spans="1:8" x14ac:dyDescent="0.25">
      <c r="A677" s="68">
        <v>43935</v>
      </c>
      <c r="B677" s="48">
        <v>9</v>
      </c>
      <c r="C677" s="48">
        <v>0</v>
      </c>
      <c r="D677" s="48">
        <v>0</v>
      </c>
      <c r="E677" s="48" t="s">
        <v>112</v>
      </c>
      <c r="F677" s="48" t="s">
        <v>71</v>
      </c>
      <c r="G677" s="48" t="s">
        <v>413</v>
      </c>
      <c r="H677" s="69">
        <f t="shared" si="10"/>
        <v>43922</v>
      </c>
    </row>
    <row r="678" spans="1:8" x14ac:dyDescent="0.25">
      <c r="A678" s="68">
        <v>43935</v>
      </c>
      <c r="B678" s="48">
        <v>22</v>
      </c>
      <c r="C678" s="48">
        <v>0</v>
      </c>
      <c r="D678" s="48">
        <v>0</v>
      </c>
      <c r="E678" s="48" t="s">
        <v>112</v>
      </c>
      <c r="F678" s="48" t="s">
        <v>71</v>
      </c>
      <c r="G678" s="48" t="s">
        <v>369</v>
      </c>
      <c r="H678" s="69">
        <f t="shared" si="10"/>
        <v>43922</v>
      </c>
    </row>
    <row r="679" spans="1:8" x14ac:dyDescent="0.25">
      <c r="A679" s="68">
        <v>43935</v>
      </c>
      <c r="B679" s="48">
        <v>5</v>
      </c>
      <c r="C679" s="48">
        <v>0</v>
      </c>
      <c r="D679" s="48">
        <v>0</v>
      </c>
      <c r="E679" s="48" t="s">
        <v>112</v>
      </c>
      <c r="F679" s="48" t="s">
        <v>71</v>
      </c>
      <c r="G679" s="48" t="s">
        <v>401</v>
      </c>
      <c r="H679" s="69">
        <f t="shared" si="10"/>
        <v>43922</v>
      </c>
    </row>
    <row r="680" spans="1:8" x14ac:dyDescent="0.25">
      <c r="A680" s="68">
        <v>43935</v>
      </c>
      <c r="B680" s="48">
        <v>35</v>
      </c>
      <c r="C680" s="48">
        <v>0</v>
      </c>
      <c r="D680" s="48">
        <v>0</v>
      </c>
      <c r="E680" s="48" t="s">
        <v>112</v>
      </c>
      <c r="F680" s="48" t="s">
        <v>71</v>
      </c>
      <c r="G680" s="48" t="s">
        <v>382</v>
      </c>
      <c r="H680" s="69">
        <f t="shared" si="10"/>
        <v>43922</v>
      </c>
    </row>
    <row r="681" spans="1:8" x14ac:dyDescent="0.25">
      <c r="A681" s="68">
        <v>43935</v>
      </c>
      <c r="B681" s="48">
        <v>52</v>
      </c>
      <c r="C681" s="48">
        <v>0</v>
      </c>
      <c r="D681" s="48">
        <v>0</v>
      </c>
      <c r="E681" s="48" t="s">
        <v>112</v>
      </c>
      <c r="F681" s="48" t="s">
        <v>71</v>
      </c>
      <c r="G681" s="48" t="s">
        <v>376</v>
      </c>
      <c r="H681" s="69">
        <f t="shared" si="10"/>
        <v>43922</v>
      </c>
    </row>
    <row r="682" spans="1:8" x14ac:dyDescent="0.25">
      <c r="A682" s="68">
        <v>43935</v>
      </c>
      <c r="B682" s="48">
        <v>2</v>
      </c>
      <c r="C682" s="48">
        <v>0</v>
      </c>
      <c r="D682" s="48">
        <v>0</v>
      </c>
      <c r="E682" s="48" t="s">
        <v>112</v>
      </c>
      <c r="F682" s="48" t="s">
        <v>71</v>
      </c>
      <c r="G682" s="48" t="s">
        <v>395</v>
      </c>
      <c r="H682" s="69">
        <f t="shared" si="10"/>
        <v>43922</v>
      </c>
    </row>
    <row r="683" spans="1:8" x14ac:dyDescent="0.25">
      <c r="A683" s="68">
        <v>43935</v>
      </c>
      <c r="B683" s="48">
        <v>47</v>
      </c>
      <c r="C683" s="48">
        <v>0</v>
      </c>
      <c r="D683" s="48">
        <v>0</v>
      </c>
      <c r="E683" s="48" t="s">
        <v>112</v>
      </c>
      <c r="F683" s="48" t="s">
        <v>71</v>
      </c>
      <c r="G683" s="48" t="s">
        <v>372</v>
      </c>
      <c r="H683" s="69">
        <f t="shared" si="10"/>
        <v>43922</v>
      </c>
    </row>
    <row r="684" spans="1:8" x14ac:dyDescent="0.25">
      <c r="A684" s="68">
        <v>43935</v>
      </c>
      <c r="B684" s="48">
        <v>2</v>
      </c>
      <c r="C684" s="48">
        <v>0</v>
      </c>
      <c r="D684" s="48">
        <v>0</v>
      </c>
      <c r="E684" s="48" t="s">
        <v>112</v>
      </c>
      <c r="F684" s="48" t="s">
        <v>71</v>
      </c>
      <c r="G684" s="48" t="s">
        <v>396</v>
      </c>
      <c r="H684" s="69">
        <f t="shared" si="10"/>
        <v>43922</v>
      </c>
    </row>
    <row r="685" spans="1:8" x14ac:dyDescent="0.25">
      <c r="A685" s="68">
        <v>43935</v>
      </c>
      <c r="B685" s="48">
        <v>11</v>
      </c>
      <c r="C685" s="48">
        <v>0</v>
      </c>
      <c r="D685" s="48">
        <v>0</v>
      </c>
      <c r="E685" s="48" t="s">
        <v>112</v>
      </c>
      <c r="F685" s="48" t="s">
        <v>71</v>
      </c>
      <c r="G685" s="48" t="s">
        <v>389</v>
      </c>
      <c r="H685" s="69">
        <f t="shared" si="10"/>
        <v>43922</v>
      </c>
    </row>
    <row r="686" spans="1:8" x14ac:dyDescent="0.25">
      <c r="A686" s="68">
        <v>43935</v>
      </c>
      <c r="B686" s="48">
        <v>2</v>
      </c>
      <c r="C686" s="48">
        <v>0</v>
      </c>
      <c r="D686" s="48">
        <v>0</v>
      </c>
      <c r="E686" s="48" t="s">
        <v>112</v>
      </c>
      <c r="F686" s="48" t="s">
        <v>71</v>
      </c>
      <c r="G686" s="48" t="s">
        <v>422</v>
      </c>
      <c r="H686" s="69">
        <f t="shared" si="10"/>
        <v>43922</v>
      </c>
    </row>
    <row r="687" spans="1:8" x14ac:dyDescent="0.25">
      <c r="A687" s="68">
        <v>43935</v>
      </c>
      <c r="B687" s="48">
        <v>8</v>
      </c>
      <c r="C687" s="48">
        <v>0</v>
      </c>
      <c r="D687" s="48">
        <v>0</v>
      </c>
      <c r="E687" s="48" t="s">
        <v>112</v>
      </c>
      <c r="F687" s="48" t="s">
        <v>71</v>
      </c>
      <c r="G687" s="48" t="s">
        <v>397</v>
      </c>
      <c r="H687" s="69">
        <f t="shared" si="10"/>
        <v>43922</v>
      </c>
    </row>
    <row r="688" spans="1:8" x14ac:dyDescent="0.25">
      <c r="A688" s="68">
        <v>43935</v>
      </c>
      <c r="B688" s="48">
        <v>1</v>
      </c>
      <c r="C688" s="48">
        <v>0</v>
      </c>
      <c r="D688" s="48">
        <v>0</v>
      </c>
      <c r="E688" s="48" t="s">
        <v>112</v>
      </c>
      <c r="F688" s="48" t="s">
        <v>71</v>
      </c>
      <c r="G688" s="48" t="s">
        <v>434</v>
      </c>
      <c r="H688" s="69">
        <f t="shared" si="10"/>
        <v>43922</v>
      </c>
    </row>
    <row r="689" spans="1:8" x14ac:dyDescent="0.25">
      <c r="A689" s="68">
        <v>43935</v>
      </c>
      <c r="B689" s="48">
        <v>14</v>
      </c>
      <c r="C689" s="48">
        <v>0</v>
      </c>
      <c r="D689" s="48">
        <v>0</v>
      </c>
      <c r="E689" s="48" t="s">
        <v>112</v>
      </c>
      <c r="F689" s="48" t="s">
        <v>71</v>
      </c>
      <c r="G689" s="48" t="s">
        <v>375</v>
      </c>
      <c r="H689" s="69">
        <f t="shared" si="10"/>
        <v>43922</v>
      </c>
    </row>
    <row r="690" spans="1:8" x14ac:dyDescent="0.25">
      <c r="A690" s="68">
        <v>43935</v>
      </c>
      <c r="B690" s="48">
        <v>10</v>
      </c>
      <c r="C690" s="48">
        <v>0</v>
      </c>
      <c r="D690" s="48">
        <v>0</v>
      </c>
      <c r="E690" s="48" t="s">
        <v>116</v>
      </c>
      <c r="F690" s="48" t="s">
        <v>71</v>
      </c>
      <c r="G690" s="48" t="s">
        <v>100</v>
      </c>
      <c r="H690" s="69">
        <f t="shared" si="10"/>
        <v>43922</v>
      </c>
    </row>
    <row r="691" spans="1:8" x14ac:dyDescent="0.25">
      <c r="A691" s="68">
        <v>43935</v>
      </c>
      <c r="B691" s="48">
        <v>66</v>
      </c>
      <c r="C691" s="48">
        <v>3</v>
      </c>
      <c r="D691" s="48">
        <v>0</v>
      </c>
      <c r="E691" s="48" t="s">
        <v>112</v>
      </c>
      <c r="F691" s="48" t="s">
        <v>70</v>
      </c>
      <c r="G691" s="48" t="s">
        <v>91</v>
      </c>
      <c r="H691" s="69">
        <f t="shared" si="10"/>
        <v>43922</v>
      </c>
    </row>
    <row r="692" spans="1:8" x14ac:dyDescent="0.25">
      <c r="A692" s="68">
        <v>43935</v>
      </c>
      <c r="B692" s="48">
        <v>0</v>
      </c>
      <c r="C692" s="48">
        <v>1</v>
      </c>
      <c r="D692" s="48">
        <v>3</v>
      </c>
      <c r="E692" s="48" t="s">
        <v>112</v>
      </c>
      <c r="F692" s="48" t="s">
        <v>70</v>
      </c>
      <c r="G692" s="48" t="s">
        <v>99</v>
      </c>
      <c r="H692" s="69">
        <f t="shared" si="10"/>
        <v>43922</v>
      </c>
    </row>
    <row r="693" spans="1:8" x14ac:dyDescent="0.25">
      <c r="A693" s="68">
        <v>43935</v>
      </c>
      <c r="B693" s="48">
        <v>0</v>
      </c>
      <c r="C693" s="48">
        <v>0</v>
      </c>
      <c r="D693" s="48">
        <v>1</v>
      </c>
      <c r="E693" s="48" t="s">
        <v>118</v>
      </c>
      <c r="F693" s="48" t="s">
        <v>70</v>
      </c>
      <c r="G693" s="48" t="s">
        <v>98</v>
      </c>
      <c r="H693" s="69">
        <f t="shared" si="10"/>
        <v>43922</v>
      </c>
    </row>
    <row r="694" spans="1:8" x14ac:dyDescent="0.25">
      <c r="A694" s="68">
        <v>43936</v>
      </c>
      <c r="B694" s="48">
        <v>3</v>
      </c>
      <c r="C694" s="48">
        <v>0</v>
      </c>
      <c r="D694" s="48">
        <v>0</v>
      </c>
      <c r="E694" s="48" t="s">
        <v>114</v>
      </c>
      <c r="F694" s="48" t="s">
        <v>76</v>
      </c>
      <c r="G694" s="48" t="s">
        <v>339</v>
      </c>
      <c r="H694" s="69">
        <f t="shared" si="10"/>
        <v>43922</v>
      </c>
    </row>
    <row r="695" spans="1:8" x14ac:dyDescent="0.25">
      <c r="A695" s="68">
        <v>43936</v>
      </c>
      <c r="B695" s="48">
        <v>33</v>
      </c>
      <c r="C695" s="48">
        <v>1</v>
      </c>
      <c r="D695" s="48">
        <v>13</v>
      </c>
      <c r="E695" s="48" t="s">
        <v>114</v>
      </c>
      <c r="F695" s="48" t="s">
        <v>73</v>
      </c>
      <c r="G695" s="48" t="s">
        <v>93</v>
      </c>
      <c r="H695" s="69">
        <f t="shared" si="10"/>
        <v>43922</v>
      </c>
    </row>
    <row r="696" spans="1:8" x14ac:dyDescent="0.25">
      <c r="A696" s="68">
        <v>43936</v>
      </c>
      <c r="B696" s="48">
        <v>0</v>
      </c>
      <c r="C696" s="48">
        <v>0</v>
      </c>
      <c r="D696" s="48">
        <v>1</v>
      </c>
      <c r="E696" s="48" t="s">
        <v>112</v>
      </c>
      <c r="F696" s="48" t="s">
        <v>77</v>
      </c>
      <c r="G696" s="48" t="s">
        <v>343</v>
      </c>
      <c r="H696" s="69">
        <f t="shared" si="10"/>
        <v>43922</v>
      </c>
    </row>
    <row r="697" spans="1:8" x14ac:dyDescent="0.25">
      <c r="A697" s="68">
        <v>43936</v>
      </c>
      <c r="B697" s="48">
        <v>0</v>
      </c>
      <c r="C697" s="48">
        <v>0</v>
      </c>
      <c r="D697" s="48">
        <v>19</v>
      </c>
      <c r="E697" s="48" t="s">
        <v>112</v>
      </c>
      <c r="F697" s="48" t="s">
        <v>75</v>
      </c>
      <c r="G697" s="48" t="s">
        <v>368</v>
      </c>
      <c r="H697" s="69">
        <f t="shared" si="10"/>
        <v>43922</v>
      </c>
    </row>
    <row r="698" spans="1:8" x14ac:dyDescent="0.25">
      <c r="A698" s="68">
        <v>43936</v>
      </c>
      <c r="B698" s="48">
        <v>3</v>
      </c>
      <c r="C698" s="48">
        <v>0</v>
      </c>
      <c r="D698" s="48">
        <v>0</v>
      </c>
      <c r="E698" s="48" t="s">
        <v>112</v>
      </c>
      <c r="F698" s="48" t="s">
        <v>75</v>
      </c>
      <c r="G698" s="48" t="s">
        <v>398</v>
      </c>
      <c r="H698" s="69">
        <f t="shared" si="10"/>
        <v>43922</v>
      </c>
    </row>
    <row r="699" spans="1:8" x14ac:dyDescent="0.25">
      <c r="A699" s="68">
        <v>43936</v>
      </c>
      <c r="B699" s="48">
        <v>2</v>
      </c>
      <c r="C699" s="48">
        <v>0</v>
      </c>
      <c r="D699" s="48">
        <v>0</v>
      </c>
      <c r="E699" s="48" t="s">
        <v>112</v>
      </c>
      <c r="F699" s="48" t="s">
        <v>75</v>
      </c>
      <c r="G699" s="48" t="s">
        <v>361</v>
      </c>
      <c r="H699" s="69">
        <f t="shared" si="10"/>
        <v>43922</v>
      </c>
    </row>
    <row r="700" spans="1:8" x14ac:dyDescent="0.25">
      <c r="A700" s="68">
        <v>43936</v>
      </c>
      <c r="B700" s="48">
        <v>6</v>
      </c>
      <c r="C700" s="48">
        <v>0</v>
      </c>
      <c r="D700" s="48">
        <v>2</v>
      </c>
      <c r="E700" s="48" t="s">
        <v>112</v>
      </c>
      <c r="F700" s="48" t="s">
        <v>75</v>
      </c>
      <c r="G700" s="48" t="s">
        <v>373</v>
      </c>
      <c r="H700" s="69">
        <f t="shared" si="10"/>
        <v>43922</v>
      </c>
    </row>
    <row r="701" spans="1:8" x14ac:dyDescent="0.25">
      <c r="A701" s="68">
        <v>43936</v>
      </c>
      <c r="B701" s="48">
        <v>0</v>
      </c>
      <c r="C701" s="48">
        <v>0</v>
      </c>
      <c r="D701" s="48">
        <v>1</v>
      </c>
      <c r="E701" s="48" t="s">
        <v>112</v>
      </c>
      <c r="F701" s="48" t="s">
        <v>75</v>
      </c>
      <c r="G701" s="48" t="s">
        <v>361</v>
      </c>
      <c r="H701" s="69">
        <f t="shared" si="10"/>
        <v>43922</v>
      </c>
    </row>
    <row r="702" spans="1:8" x14ac:dyDescent="0.25">
      <c r="A702" s="68">
        <v>43936</v>
      </c>
      <c r="B702" s="48">
        <v>9</v>
      </c>
      <c r="C702" s="48">
        <v>0</v>
      </c>
      <c r="D702" s="48">
        <v>0</v>
      </c>
      <c r="E702" s="48" t="s">
        <v>112</v>
      </c>
      <c r="F702" s="48" t="s">
        <v>74</v>
      </c>
      <c r="G702" s="48" t="s">
        <v>95</v>
      </c>
      <c r="H702" s="69">
        <f t="shared" si="10"/>
        <v>43922</v>
      </c>
    </row>
    <row r="703" spans="1:8" x14ac:dyDescent="0.25">
      <c r="A703" s="68">
        <v>43936</v>
      </c>
      <c r="B703" s="48">
        <v>38</v>
      </c>
      <c r="C703" s="48">
        <v>4</v>
      </c>
      <c r="D703" s="48">
        <v>0</v>
      </c>
      <c r="E703" s="48" t="s">
        <v>112</v>
      </c>
      <c r="F703" s="48" t="s">
        <v>72</v>
      </c>
      <c r="G703" s="48" t="s">
        <v>94</v>
      </c>
      <c r="H703" s="69">
        <f t="shared" si="10"/>
        <v>43922</v>
      </c>
    </row>
    <row r="704" spans="1:8" x14ac:dyDescent="0.25">
      <c r="A704" s="68">
        <v>43936</v>
      </c>
      <c r="B704" s="48">
        <v>0</v>
      </c>
      <c r="C704" s="48">
        <v>0</v>
      </c>
      <c r="D704" s="48">
        <v>3</v>
      </c>
      <c r="E704" s="48" t="s">
        <v>118</v>
      </c>
      <c r="F704" s="48" t="s">
        <v>72</v>
      </c>
      <c r="G704" s="48" t="s">
        <v>94</v>
      </c>
      <c r="H704" s="69">
        <f t="shared" si="10"/>
        <v>43922</v>
      </c>
    </row>
    <row r="705" spans="1:8" x14ac:dyDescent="0.25">
      <c r="A705" s="68">
        <v>43936</v>
      </c>
      <c r="B705" s="48">
        <v>1</v>
      </c>
      <c r="C705" s="48">
        <v>0</v>
      </c>
      <c r="D705" s="48">
        <v>0</v>
      </c>
      <c r="E705" s="48" t="s">
        <v>112</v>
      </c>
      <c r="F705" s="48" t="s">
        <v>72</v>
      </c>
      <c r="G705" s="48" t="s">
        <v>347</v>
      </c>
      <c r="H705" s="69">
        <f t="shared" si="10"/>
        <v>43922</v>
      </c>
    </row>
    <row r="706" spans="1:8" x14ac:dyDescent="0.25">
      <c r="A706" s="68">
        <v>43936</v>
      </c>
      <c r="B706" s="48">
        <v>7</v>
      </c>
      <c r="C706" s="48">
        <v>0</v>
      </c>
      <c r="D706" s="48">
        <v>0</v>
      </c>
      <c r="E706" s="48" t="s">
        <v>112</v>
      </c>
      <c r="F706" s="48" t="s">
        <v>72</v>
      </c>
      <c r="G706" s="48" t="s">
        <v>351</v>
      </c>
      <c r="H706" s="69">
        <f t="shared" ref="H706:H769" si="11">DATE(YEAR(A706),MONTH(A706),1)</f>
        <v>43922</v>
      </c>
    </row>
    <row r="707" spans="1:8" x14ac:dyDescent="0.25">
      <c r="A707" s="68">
        <v>43936</v>
      </c>
      <c r="B707" s="48">
        <v>1</v>
      </c>
      <c r="C707" s="48">
        <v>0</v>
      </c>
      <c r="D707" s="48">
        <v>1</v>
      </c>
      <c r="E707" s="48" t="s">
        <v>112</v>
      </c>
      <c r="F707" s="48" t="s">
        <v>72</v>
      </c>
      <c r="G707" s="48" t="s">
        <v>358</v>
      </c>
      <c r="H707" s="69">
        <f t="shared" si="11"/>
        <v>43922</v>
      </c>
    </row>
    <row r="708" spans="1:8" x14ac:dyDescent="0.25">
      <c r="A708" s="68">
        <v>43936</v>
      </c>
      <c r="B708" s="48">
        <v>2</v>
      </c>
      <c r="C708" s="48">
        <v>0</v>
      </c>
      <c r="D708" s="48">
        <v>0</v>
      </c>
      <c r="E708" s="48" t="s">
        <v>112</v>
      </c>
      <c r="F708" s="48" t="s">
        <v>72</v>
      </c>
      <c r="G708" s="48" t="s">
        <v>410</v>
      </c>
      <c r="H708" s="69">
        <f t="shared" si="11"/>
        <v>43922</v>
      </c>
    </row>
    <row r="709" spans="1:8" x14ac:dyDescent="0.25">
      <c r="A709" s="68">
        <v>43936</v>
      </c>
      <c r="B709" s="48">
        <v>1</v>
      </c>
      <c r="C709" s="48">
        <v>0</v>
      </c>
      <c r="D709" s="48">
        <v>3</v>
      </c>
      <c r="E709" s="48" t="s">
        <v>112</v>
      </c>
      <c r="F709" s="48" t="s">
        <v>72</v>
      </c>
      <c r="G709" s="48" t="s">
        <v>96</v>
      </c>
      <c r="H709" s="69">
        <f t="shared" si="11"/>
        <v>43922</v>
      </c>
    </row>
    <row r="710" spans="1:8" x14ac:dyDescent="0.25">
      <c r="A710" s="68">
        <v>43936</v>
      </c>
      <c r="B710" s="48">
        <v>0</v>
      </c>
      <c r="C710" s="48">
        <v>0</v>
      </c>
      <c r="D710" s="48">
        <v>1</v>
      </c>
      <c r="E710" s="48" t="s">
        <v>112</v>
      </c>
      <c r="F710" s="48" t="s">
        <v>72</v>
      </c>
      <c r="G710" s="48" t="s">
        <v>102</v>
      </c>
      <c r="H710" s="69">
        <f t="shared" si="11"/>
        <v>43922</v>
      </c>
    </row>
    <row r="711" spans="1:8" x14ac:dyDescent="0.25">
      <c r="A711" s="68">
        <v>43936</v>
      </c>
      <c r="B711" s="48">
        <v>0</v>
      </c>
      <c r="C711" s="48">
        <v>0</v>
      </c>
      <c r="D711" s="48">
        <v>2</v>
      </c>
      <c r="E711" s="48" t="s">
        <v>112</v>
      </c>
      <c r="F711" s="48" t="s">
        <v>72</v>
      </c>
      <c r="G711" s="48" t="s">
        <v>354</v>
      </c>
      <c r="H711" s="69">
        <f t="shared" si="11"/>
        <v>43922</v>
      </c>
    </row>
    <row r="712" spans="1:8" x14ac:dyDescent="0.25">
      <c r="A712" s="68">
        <v>43936</v>
      </c>
      <c r="B712" s="48">
        <v>0</v>
      </c>
      <c r="C712" s="48">
        <v>0</v>
      </c>
      <c r="D712" s="48">
        <v>2</v>
      </c>
      <c r="E712" s="48" t="s">
        <v>112</v>
      </c>
      <c r="F712" s="48" t="s">
        <v>72</v>
      </c>
      <c r="G712" s="48" t="s">
        <v>342</v>
      </c>
      <c r="H712" s="69">
        <f t="shared" si="11"/>
        <v>43922</v>
      </c>
    </row>
    <row r="713" spans="1:8" x14ac:dyDescent="0.25">
      <c r="A713" s="68">
        <v>43936</v>
      </c>
      <c r="B713" s="48">
        <v>0</v>
      </c>
      <c r="C713" s="48">
        <v>0</v>
      </c>
      <c r="D713" s="48">
        <v>1</v>
      </c>
      <c r="E713" s="48" t="s">
        <v>112</v>
      </c>
      <c r="F713" s="48" t="s">
        <v>72</v>
      </c>
      <c r="G713" s="48" t="s">
        <v>337</v>
      </c>
      <c r="H713" s="69">
        <f t="shared" si="11"/>
        <v>43922</v>
      </c>
    </row>
    <row r="714" spans="1:8" x14ac:dyDescent="0.25">
      <c r="A714" s="68">
        <v>43936</v>
      </c>
      <c r="B714" s="48">
        <v>20</v>
      </c>
      <c r="C714" s="48">
        <v>0</v>
      </c>
      <c r="D714" s="48">
        <v>0</v>
      </c>
      <c r="E714" s="48" t="s">
        <v>112</v>
      </c>
      <c r="F714" s="48" t="s">
        <v>71</v>
      </c>
      <c r="G714" s="48" t="s">
        <v>346</v>
      </c>
      <c r="H714" s="69">
        <f t="shared" si="11"/>
        <v>43922</v>
      </c>
    </row>
    <row r="715" spans="1:8" x14ac:dyDescent="0.25">
      <c r="A715" s="68">
        <v>43936</v>
      </c>
      <c r="B715" s="48">
        <v>10</v>
      </c>
      <c r="C715" s="48">
        <v>0</v>
      </c>
      <c r="D715" s="48">
        <v>0</v>
      </c>
      <c r="E715" s="48" t="s">
        <v>112</v>
      </c>
      <c r="F715" s="48" t="s">
        <v>71</v>
      </c>
      <c r="G715" s="48" t="s">
        <v>364</v>
      </c>
      <c r="H715" s="69">
        <f t="shared" si="11"/>
        <v>43922</v>
      </c>
    </row>
    <row r="716" spans="1:8" x14ac:dyDescent="0.25">
      <c r="A716" s="68">
        <v>43936</v>
      </c>
      <c r="B716" s="48">
        <v>0</v>
      </c>
      <c r="C716" s="48">
        <v>0</v>
      </c>
      <c r="D716" s="48">
        <v>28</v>
      </c>
      <c r="E716" s="48" t="s">
        <v>112</v>
      </c>
      <c r="F716" s="48" t="s">
        <v>71</v>
      </c>
      <c r="G716" s="48" t="s">
        <v>92</v>
      </c>
      <c r="H716" s="69">
        <f t="shared" si="11"/>
        <v>43922</v>
      </c>
    </row>
    <row r="717" spans="1:8" x14ac:dyDescent="0.25">
      <c r="A717" s="68">
        <v>43936</v>
      </c>
      <c r="B717" s="48">
        <v>0</v>
      </c>
      <c r="C717" s="48">
        <v>0</v>
      </c>
      <c r="D717" s="48">
        <v>1</v>
      </c>
      <c r="E717" s="48" t="s">
        <v>112</v>
      </c>
      <c r="F717" s="48" t="s">
        <v>71</v>
      </c>
      <c r="G717" s="48" t="s">
        <v>424</v>
      </c>
      <c r="H717" s="69">
        <f t="shared" si="11"/>
        <v>43922</v>
      </c>
    </row>
    <row r="718" spans="1:8" x14ac:dyDescent="0.25">
      <c r="A718" s="68">
        <v>43936</v>
      </c>
      <c r="B718" s="48">
        <v>24</v>
      </c>
      <c r="C718" s="48">
        <v>0</v>
      </c>
      <c r="D718" s="48">
        <v>0</v>
      </c>
      <c r="E718" s="48" t="s">
        <v>112</v>
      </c>
      <c r="F718" s="48" t="s">
        <v>71</v>
      </c>
      <c r="G718" s="48" t="s">
        <v>92</v>
      </c>
      <c r="H718" s="69">
        <f t="shared" si="11"/>
        <v>43922</v>
      </c>
    </row>
    <row r="719" spans="1:8" x14ac:dyDescent="0.25">
      <c r="A719" s="68">
        <v>43936</v>
      </c>
      <c r="B719" s="48">
        <v>3</v>
      </c>
      <c r="C719" s="48">
        <v>0</v>
      </c>
      <c r="D719" s="48">
        <v>0</v>
      </c>
      <c r="E719" s="48" t="s">
        <v>112</v>
      </c>
      <c r="F719" s="48" t="s">
        <v>71</v>
      </c>
      <c r="G719" s="48" t="s">
        <v>392</v>
      </c>
      <c r="H719" s="69">
        <f t="shared" si="11"/>
        <v>43922</v>
      </c>
    </row>
    <row r="720" spans="1:8" x14ac:dyDescent="0.25">
      <c r="A720" s="68">
        <v>43936</v>
      </c>
      <c r="B720" s="48">
        <v>1</v>
      </c>
      <c r="C720" s="48">
        <v>0</v>
      </c>
      <c r="D720" s="48">
        <v>0</v>
      </c>
      <c r="E720" s="48" t="s">
        <v>112</v>
      </c>
      <c r="F720" s="48" t="s">
        <v>71</v>
      </c>
      <c r="G720" s="48" t="s">
        <v>428</v>
      </c>
      <c r="H720" s="69">
        <f t="shared" si="11"/>
        <v>43922</v>
      </c>
    </row>
    <row r="721" spans="1:8" x14ac:dyDescent="0.25">
      <c r="A721" s="68">
        <v>43936</v>
      </c>
      <c r="B721" s="48">
        <v>7</v>
      </c>
      <c r="C721" s="48">
        <v>0</v>
      </c>
      <c r="D721" s="48">
        <v>0</v>
      </c>
      <c r="E721" s="48" t="s">
        <v>112</v>
      </c>
      <c r="F721" s="48" t="s">
        <v>71</v>
      </c>
      <c r="G721" s="48" t="s">
        <v>391</v>
      </c>
      <c r="H721" s="69">
        <f t="shared" si="11"/>
        <v>43922</v>
      </c>
    </row>
    <row r="722" spans="1:8" x14ac:dyDescent="0.25">
      <c r="A722" s="68">
        <v>43936</v>
      </c>
      <c r="B722" s="48">
        <v>1</v>
      </c>
      <c r="C722" s="48">
        <v>0</v>
      </c>
      <c r="D722" s="48">
        <v>0</v>
      </c>
      <c r="E722" s="48" t="s">
        <v>112</v>
      </c>
      <c r="F722" s="48" t="s">
        <v>70</v>
      </c>
      <c r="G722" s="48" t="s">
        <v>104</v>
      </c>
      <c r="H722" s="69">
        <f t="shared" si="11"/>
        <v>43922</v>
      </c>
    </row>
    <row r="723" spans="1:8" x14ac:dyDescent="0.25">
      <c r="A723" s="68">
        <v>43936</v>
      </c>
      <c r="B723" s="48">
        <v>7</v>
      </c>
      <c r="C723" s="48">
        <v>0</v>
      </c>
      <c r="D723" s="48">
        <v>0</v>
      </c>
      <c r="E723" s="48" t="s">
        <v>112</v>
      </c>
      <c r="F723" s="48" t="s">
        <v>70</v>
      </c>
      <c r="G723" s="48" t="s">
        <v>385</v>
      </c>
      <c r="H723" s="69">
        <f t="shared" si="11"/>
        <v>43922</v>
      </c>
    </row>
    <row r="724" spans="1:8" x14ac:dyDescent="0.25">
      <c r="A724" s="68">
        <v>43936</v>
      </c>
      <c r="B724" s="48">
        <v>28</v>
      </c>
      <c r="C724" s="48">
        <v>0</v>
      </c>
      <c r="D724" s="48">
        <v>0</v>
      </c>
      <c r="E724" s="48" t="s">
        <v>112</v>
      </c>
      <c r="F724" s="48" t="s">
        <v>70</v>
      </c>
      <c r="G724" s="48" t="s">
        <v>349</v>
      </c>
      <c r="H724" s="69">
        <f t="shared" si="11"/>
        <v>43922</v>
      </c>
    </row>
    <row r="725" spans="1:8" x14ac:dyDescent="0.25">
      <c r="A725" s="68">
        <v>43936</v>
      </c>
      <c r="B725" s="48">
        <v>20</v>
      </c>
      <c r="C725" s="48">
        <v>0</v>
      </c>
      <c r="D725" s="48">
        <v>104</v>
      </c>
      <c r="E725" s="48" t="s">
        <v>116</v>
      </c>
      <c r="F725" s="48" t="s">
        <v>70</v>
      </c>
      <c r="G725" s="48" t="s">
        <v>99</v>
      </c>
      <c r="H725" s="69">
        <f t="shared" si="11"/>
        <v>43922</v>
      </c>
    </row>
    <row r="726" spans="1:8" x14ac:dyDescent="0.25">
      <c r="A726" s="68">
        <v>43936</v>
      </c>
      <c r="B726" s="48">
        <v>94</v>
      </c>
      <c r="C726" s="48">
        <v>5</v>
      </c>
      <c r="D726" s="48">
        <v>27</v>
      </c>
      <c r="E726" s="48" t="s">
        <v>112</v>
      </c>
      <c r="F726" s="48" t="s">
        <v>70</v>
      </c>
      <c r="G726" s="48" t="s">
        <v>91</v>
      </c>
      <c r="H726" s="69">
        <f t="shared" si="11"/>
        <v>43922</v>
      </c>
    </row>
    <row r="727" spans="1:8" x14ac:dyDescent="0.25">
      <c r="A727" s="68">
        <v>43936</v>
      </c>
      <c r="B727" s="48">
        <v>0</v>
      </c>
      <c r="C727" s="48">
        <v>1</v>
      </c>
      <c r="D727" s="48">
        <v>0</v>
      </c>
      <c r="E727" s="48" t="s">
        <v>118</v>
      </c>
      <c r="F727" s="48" t="s">
        <v>70</v>
      </c>
      <c r="G727" s="48" t="s">
        <v>98</v>
      </c>
      <c r="H727" s="69">
        <f t="shared" si="11"/>
        <v>43922</v>
      </c>
    </row>
    <row r="728" spans="1:8" x14ac:dyDescent="0.25">
      <c r="A728" s="68">
        <v>43937</v>
      </c>
      <c r="B728" s="48">
        <v>24</v>
      </c>
      <c r="C728" s="48">
        <v>2</v>
      </c>
      <c r="D728" s="48">
        <v>59</v>
      </c>
      <c r="E728" s="48" t="s">
        <v>112</v>
      </c>
      <c r="F728" s="48" t="s">
        <v>73</v>
      </c>
      <c r="G728" s="48" t="s">
        <v>93</v>
      </c>
      <c r="H728" s="69">
        <f t="shared" si="11"/>
        <v>43922</v>
      </c>
    </row>
    <row r="729" spans="1:8" x14ac:dyDescent="0.25">
      <c r="A729" s="68">
        <v>43937</v>
      </c>
      <c r="B729" s="48">
        <v>2</v>
      </c>
      <c r="C729" s="48">
        <v>0</v>
      </c>
      <c r="D729" s="48">
        <v>0</v>
      </c>
      <c r="E729" s="48" t="s">
        <v>112</v>
      </c>
      <c r="F729" s="48" t="s">
        <v>77</v>
      </c>
      <c r="G729" s="48" t="s">
        <v>359</v>
      </c>
      <c r="H729" s="69">
        <f t="shared" si="11"/>
        <v>43922</v>
      </c>
    </row>
    <row r="730" spans="1:8" x14ac:dyDescent="0.25">
      <c r="A730" s="68">
        <v>43937</v>
      </c>
      <c r="B730" s="48">
        <v>0</v>
      </c>
      <c r="C730" s="48">
        <v>0</v>
      </c>
      <c r="D730" s="48">
        <v>1</v>
      </c>
      <c r="E730" s="48" t="s">
        <v>112</v>
      </c>
      <c r="F730" s="48" t="s">
        <v>77</v>
      </c>
      <c r="G730" s="48" t="s">
        <v>344</v>
      </c>
      <c r="H730" s="69">
        <f t="shared" si="11"/>
        <v>43922</v>
      </c>
    </row>
    <row r="731" spans="1:8" x14ac:dyDescent="0.25">
      <c r="A731" s="68">
        <v>43937</v>
      </c>
      <c r="B731" s="48">
        <v>8</v>
      </c>
      <c r="C731" s="48">
        <v>0</v>
      </c>
      <c r="D731" s="48">
        <v>6</v>
      </c>
      <c r="E731" s="48" t="s">
        <v>114</v>
      </c>
      <c r="F731" s="48" t="s">
        <v>75</v>
      </c>
      <c r="G731" s="48" t="s">
        <v>103</v>
      </c>
      <c r="H731" s="69">
        <f t="shared" si="11"/>
        <v>43922</v>
      </c>
    </row>
    <row r="732" spans="1:8" x14ac:dyDescent="0.25">
      <c r="A732" s="68">
        <v>43937</v>
      </c>
      <c r="B732" s="48">
        <v>5</v>
      </c>
      <c r="C732" s="48">
        <v>0</v>
      </c>
      <c r="D732" s="48">
        <v>0</v>
      </c>
      <c r="E732" s="48" t="s">
        <v>112</v>
      </c>
      <c r="F732" s="48" t="s">
        <v>74</v>
      </c>
      <c r="G732" s="48" t="s">
        <v>95</v>
      </c>
      <c r="H732" s="69">
        <f t="shared" si="11"/>
        <v>43922</v>
      </c>
    </row>
    <row r="733" spans="1:8" x14ac:dyDescent="0.25">
      <c r="A733" s="68">
        <v>43937</v>
      </c>
      <c r="B733" s="48">
        <v>22</v>
      </c>
      <c r="C733" s="48">
        <v>2</v>
      </c>
      <c r="D733" s="48">
        <v>1</v>
      </c>
      <c r="E733" s="48" t="s">
        <v>112</v>
      </c>
      <c r="F733" s="48" t="s">
        <v>72</v>
      </c>
      <c r="G733" s="48" t="s">
        <v>94</v>
      </c>
      <c r="H733" s="69">
        <f t="shared" si="11"/>
        <v>43922</v>
      </c>
    </row>
    <row r="734" spans="1:8" x14ac:dyDescent="0.25">
      <c r="A734" s="68">
        <v>43937</v>
      </c>
      <c r="B734" s="48">
        <v>1</v>
      </c>
      <c r="C734" s="48">
        <v>1</v>
      </c>
      <c r="D734" s="48">
        <v>4</v>
      </c>
      <c r="E734" s="48" t="s">
        <v>112</v>
      </c>
      <c r="F734" s="48" t="s">
        <v>72</v>
      </c>
      <c r="G734" s="48" t="s">
        <v>338</v>
      </c>
      <c r="H734" s="69">
        <f t="shared" si="11"/>
        <v>43922</v>
      </c>
    </row>
    <row r="735" spans="1:8" x14ac:dyDescent="0.25">
      <c r="A735" s="68">
        <v>43937</v>
      </c>
      <c r="B735" s="48">
        <v>7</v>
      </c>
      <c r="C735" s="48">
        <v>0</v>
      </c>
      <c r="D735" s="48">
        <v>0</v>
      </c>
      <c r="E735" s="48" t="s">
        <v>112</v>
      </c>
      <c r="F735" s="48" t="s">
        <v>72</v>
      </c>
      <c r="G735" s="48" t="s">
        <v>347</v>
      </c>
      <c r="H735" s="69">
        <f t="shared" si="11"/>
        <v>43922</v>
      </c>
    </row>
    <row r="736" spans="1:8" x14ac:dyDescent="0.25">
      <c r="A736" s="68">
        <v>43937</v>
      </c>
      <c r="B736" s="48">
        <v>2</v>
      </c>
      <c r="C736" s="48">
        <v>0</v>
      </c>
      <c r="D736" s="48">
        <v>0</v>
      </c>
      <c r="E736" s="48" t="s">
        <v>112</v>
      </c>
      <c r="F736" s="48" t="s">
        <v>72</v>
      </c>
      <c r="G736" s="48" t="s">
        <v>335</v>
      </c>
      <c r="H736" s="69">
        <f t="shared" si="11"/>
        <v>43922</v>
      </c>
    </row>
    <row r="737" spans="1:8" x14ac:dyDescent="0.25">
      <c r="A737" s="68">
        <v>43937</v>
      </c>
      <c r="B737" s="48">
        <v>3</v>
      </c>
      <c r="C737" s="48">
        <v>0</v>
      </c>
      <c r="D737" s="48">
        <v>0</v>
      </c>
      <c r="E737" s="48" t="s">
        <v>112</v>
      </c>
      <c r="F737" s="48" t="s">
        <v>72</v>
      </c>
      <c r="G737" s="48" t="s">
        <v>342</v>
      </c>
      <c r="H737" s="69">
        <f t="shared" si="11"/>
        <v>43922</v>
      </c>
    </row>
    <row r="738" spans="1:8" x14ac:dyDescent="0.25">
      <c r="A738" s="68">
        <v>43937</v>
      </c>
      <c r="B738" s="48">
        <v>1</v>
      </c>
      <c r="C738" s="48">
        <v>0</v>
      </c>
      <c r="D738" s="48">
        <v>0</v>
      </c>
      <c r="E738" s="48" t="s">
        <v>112</v>
      </c>
      <c r="F738" s="48" t="s">
        <v>72</v>
      </c>
      <c r="G738" s="48" t="s">
        <v>356</v>
      </c>
      <c r="H738" s="69">
        <f t="shared" si="11"/>
        <v>43922</v>
      </c>
    </row>
    <row r="739" spans="1:8" x14ac:dyDescent="0.25">
      <c r="A739" s="68">
        <v>43937</v>
      </c>
      <c r="B739" s="48">
        <v>2</v>
      </c>
      <c r="C739" s="48">
        <v>0</v>
      </c>
      <c r="D739" s="48">
        <v>3</v>
      </c>
      <c r="E739" s="48" t="s">
        <v>112</v>
      </c>
      <c r="F739" s="48" t="s">
        <v>72</v>
      </c>
      <c r="G739" s="48" t="s">
        <v>358</v>
      </c>
      <c r="H739" s="69">
        <f t="shared" si="11"/>
        <v>43922</v>
      </c>
    </row>
    <row r="740" spans="1:8" x14ac:dyDescent="0.25">
      <c r="A740" s="68">
        <v>43937</v>
      </c>
      <c r="B740" s="48">
        <v>4</v>
      </c>
      <c r="C740" s="48">
        <v>0</v>
      </c>
      <c r="D740" s="48">
        <v>0</v>
      </c>
      <c r="E740" s="48" t="s">
        <v>112</v>
      </c>
      <c r="F740" s="48" t="s">
        <v>72</v>
      </c>
      <c r="G740" s="48" t="s">
        <v>101</v>
      </c>
      <c r="H740" s="69">
        <f t="shared" si="11"/>
        <v>43922</v>
      </c>
    </row>
    <row r="741" spans="1:8" x14ac:dyDescent="0.25">
      <c r="A741" s="68">
        <v>43937</v>
      </c>
      <c r="B741" s="48">
        <v>5</v>
      </c>
      <c r="C741" s="48">
        <v>0</v>
      </c>
      <c r="D741" s="48">
        <v>0</v>
      </c>
      <c r="E741" s="48" t="s">
        <v>112</v>
      </c>
      <c r="F741" s="48" t="s">
        <v>72</v>
      </c>
      <c r="G741" s="48" t="s">
        <v>354</v>
      </c>
      <c r="H741" s="69">
        <f t="shared" si="11"/>
        <v>43922</v>
      </c>
    </row>
    <row r="742" spans="1:8" x14ac:dyDescent="0.25">
      <c r="A742" s="68">
        <v>43937</v>
      </c>
      <c r="B742" s="48">
        <v>1</v>
      </c>
      <c r="C742" s="48">
        <v>0</v>
      </c>
      <c r="D742" s="48">
        <v>0</v>
      </c>
      <c r="E742" s="48" t="s">
        <v>112</v>
      </c>
      <c r="F742" s="48" t="s">
        <v>72</v>
      </c>
      <c r="G742" s="48" t="s">
        <v>102</v>
      </c>
      <c r="H742" s="69">
        <f t="shared" si="11"/>
        <v>43922</v>
      </c>
    </row>
    <row r="743" spans="1:8" x14ac:dyDescent="0.25">
      <c r="A743" s="68">
        <v>43937</v>
      </c>
      <c r="B743" s="48">
        <v>1</v>
      </c>
      <c r="C743" s="48">
        <v>0</v>
      </c>
      <c r="D743" s="48">
        <v>0</v>
      </c>
      <c r="E743" s="48" t="s">
        <v>112</v>
      </c>
      <c r="F743" s="48" t="s">
        <v>72</v>
      </c>
      <c r="G743" s="48" t="s">
        <v>353</v>
      </c>
      <c r="H743" s="69">
        <f t="shared" si="11"/>
        <v>43922</v>
      </c>
    </row>
    <row r="744" spans="1:8" x14ac:dyDescent="0.25">
      <c r="A744" s="68">
        <v>43937</v>
      </c>
      <c r="B744" s="48">
        <v>7</v>
      </c>
      <c r="C744" s="48">
        <v>0</v>
      </c>
      <c r="D744" s="48">
        <v>0</v>
      </c>
      <c r="E744" s="48" t="s">
        <v>112</v>
      </c>
      <c r="F744" s="48" t="s">
        <v>72</v>
      </c>
      <c r="G744" s="48" t="s">
        <v>96</v>
      </c>
      <c r="H744" s="69">
        <f t="shared" si="11"/>
        <v>43922</v>
      </c>
    </row>
    <row r="745" spans="1:8" x14ac:dyDescent="0.25">
      <c r="A745" s="68">
        <v>43937</v>
      </c>
      <c r="B745" s="48">
        <v>0</v>
      </c>
      <c r="C745" s="48">
        <v>0</v>
      </c>
      <c r="D745" s="48">
        <v>2</v>
      </c>
      <c r="E745" s="48" t="s">
        <v>112</v>
      </c>
      <c r="F745" s="48" t="s">
        <v>72</v>
      </c>
      <c r="G745" s="48" t="s">
        <v>365</v>
      </c>
      <c r="H745" s="69">
        <f t="shared" si="11"/>
        <v>43922</v>
      </c>
    </row>
    <row r="746" spans="1:8" x14ac:dyDescent="0.25">
      <c r="A746" s="68">
        <v>43937</v>
      </c>
      <c r="B746" s="48">
        <v>0</v>
      </c>
      <c r="C746" s="48">
        <v>0</v>
      </c>
      <c r="D746" s="48">
        <v>3</v>
      </c>
      <c r="E746" s="48" t="s">
        <v>112</v>
      </c>
      <c r="F746" s="48" t="s">
        <v>72</v>
      </c>
      <c r="G746" s="48" t="s">
        <v>408</v>
      </c>
      <c r="H746" s="69">
        <f t="shared" si="11"/>
        <v>43922</v>
      </c>
    </row>
    <row r="747" spans="1:8" x14ac:dyDescent="0.25">
      <c r="A747" s="68">
        <v>43937</v>
      </c>
      <c r="B747" s="48">
        <v>21</v>
      </c>
      <c r="C747" s="48">
        <v>0</v>
      </c>
      <c r="D747" s="48">
        <v>0</v>
      </c>
      <c r="E747" s="48" t="s">
        <v>112</v>
      </c>
      <c r="F747" s="48" t="s">
        <v>71</v>
      </c>
      <c r="G747" s="48" t="s">
        <v>346</v>
      </c>
      <c r="H747" s="69">
        <f t="shared" si="11"/>
        <v>43922</v>
      </c>
    </row>
    <row r="748" spans="1:8" x14ac:dyDescent="0.25">
      <c r="A748" s="68">
        <v>43937</v>
      </c>
      <c r="B748" s="48">
        <v>10</v>
      </c>
      <c r="C748" s="48">
        <v>0</v>
      </c>
      <c r="D748" s="48">
        <v>0</v>
      </c>
      <c r="E748" s="48" t="s">
        <v>112</v>
      </c>
      <c r="F748" s="48" t="s">
        <v>71</v>
      </c>
      <c r="G748" s="48" t="s">
        <v>364</v>
      </c>
      <c r="H748" s="69">
        <f t="shared" si="11"/>
        <v>43922</v>
      </c>
    </row>
    <row r="749" spans="1:8" x14ac:dyDescent="0.25">
      <c r="A749" s="68">
        <v>43937</v>
      </c>
      <c r="B749" s="48">
        <v>9</v>
      </c>
      <c r="C749" s="48">
        <v>0</v>
      </c>
      <c r="D749" s="48">
        <v>0</v>
      </c>
      <c r="E749" s="48" t="s">
        <v>112</v>
      </c>
      <c r="F749" s="48" t="s">
        <v>71</v>
      </c>
      <c r="G749" s="48" t="s">
        <v>97</v>
      </c>
      <c r="H749" s="69">
        <f t="shared" si="11"/>
        <v>43922</v>
      </c>
    </row>
    <row r="750" spans="1:8" x14ac:dyDescent="0.25">
      <c r="A750" s="68">
        <v>43937</v>
      </c>
      <c r="B750" s="48">
        <v>4</v>
      </c>
      <c r="C750" s="48">
        <v>0</v>
      </c>
      <c r="D750" s="48">
        <v>0</v>
      </c>
      <c r="E750" s="48" t="s">
        <v>112</v>
      </c>
      <c r="F750" s="48" t="s">
        <v>71</v>
      </c>
      <c r="G750" s="48" t="s">
        <v>350</v>
      </c>
      <c r="H750" s="69">
        <f t="shared" si="11"/>
        <v>43922</v>
      </c>
    </row>
    <row r="751" spans="1:8" x14ac:dyDescent="0.25">
      <c r="A751" s="68">
        <v>43937</v>
      </c>
      <c r="B751" s="48">
        <v>0</v>
      </c>
      <c r="C751" s="48">
        <v>7</v>
      </c>
      <c r="D751" s="48">
        <v>112</v>
      </c>
      <c r="E751" s="48" t="s">
        <v>114</v>
      </c>
      <c r="F751" s="48" t="s">
        <v>71</v>
      </c>
      <c r="G751" s="48" t="s">
        <v>92</v>
      </c>
      <c r="H751" s="69">
        <f t="shared" si="11"/>
        <v>43922</v>
      </c>
    </row>
    <row r="752" spans="1:8" x14ac:dyDescent="0.25">
      <c r="A752" s="68">
        <v>43937</v>
      </c>
      <c r="B752" s="48">
        <v>24</v>
      </c>
      <c r="C752" s="48">
        <v>0</v>
      </c>
      <c r="D752" s="48">
        <v>0</v>
      </c>
      <c r="E752" s="48" t="s">
        <v>112</v>
      </c>
      <c r="F752" s="48" t="s">
        <v>71</v>
      </c>
      <c r="G752" s="48" t="s">
        <v>92</v>
      </c>
      <c r="H752" s="69">
        <f t="shared" si="11"/>
        <v>43922</v>
      </c>
    </row>
    <row r="753" spans="1:8" x14ac:dyDescent="0.25">
      <c r="A753" s="68">
        <v>43937</v>
      </c>
      <c r="B753" s="48">
        <v>8</v>
      </c>
      <c r="C753" s="48">
        <v>0</v>
      </c>
      <c r="D753" s="48">
        <v>0</v>
      </c>
      <c r="E753" s="48" t="s">
        <v>112</v>
      </c>
      <c r="F753" s="48" t="s">
        <v>71</v>
      </c>
      <c r="G753" s="48" t="s">
        <v>370</v>
      </c>
      <c r="H753" s="69">
        <f t="shared" si="11"/>
        <v>43922</v>
      </c>
    </row>
    <row r="754" spans="1:8" x14ac:dyDescent="0.25">
      <c r="A754" s="68">
        <v>43937</v>
      </c>
      <c r="B754" s="48">
        <v>1</v>
      </c>
      <c r="C754" s="48">
        <v>0</v>
      </c>
      <c r="D754" s="48">
        <v>0</v>
      </c>
      <c r="E754" s="48" t="s">
        <v>112</v>
      </c>
      <c r="F754" s="48" t="s">
        <v>71</v>
      </c>
      <c r="G754" s="48" t="s">
        <v>340</v>
      </c>
      <c r="H754" s="69">
        <f t="shared" si="11"/>
        <v>43922</v>
      </c>
    </row>
    <row r="755" spans="1:8" x14ac:dyDescent="0.25">
      <c r="A755" s="68">
        <v>43937</v>
      </c>
      <c r="B755" s="48">
        <v>21</v>
      </c>
      <c r="C755" s="48">
        <v>0</v>
      </c>
      <c r="D755" s="48">
        <v>0</v>
      </c>
      <c r="E755" s="48" t="s">
        <v>112</v>
      </c>
      <c r="F755" s="48" t="s">
        <v>71</v>
      </c>
      <c r="G755" s="48" t="s">
        <v>362</v>
      </c>
      <c r="H755" s="69">
        <f t="shared" si="11"/>
        <v>43922</v>
      </c>
    </row>
    <row r="756" spans="1:8" x14ac:dyDescent="0.25">
      <c r="A756" s="68">
        <v>43937</v>
      </c>
      <c r="B756" s="48">
        <v>86</v>
      </c>
      <c r="C756" s="48">
        <v>0</v>
      </c>
      <c r="D756" s="48">
        <v>0</v>
      </c>
      <c r="E756" s="48" t="s">
        <v>114</v>
      </c>
      <c r="F756" s="48" t="s">
        <v>71</v>
      </c>
      <c r="G756" s="48" t="s">
        <v>348</v>
      </c>
      <c r="H756" s="69">
        <f t="shared" si="11"/>
        <v>43922</v>
      </c>
    </row>
    <row r="757" spans="1:8" x14ac:dyDescent="0.25">
      <c r="A757" s="68">
        <v>43937</v>
      </c>
      <c r="B757" s="48">
        <v>3</v>
      </c>
      <c r="C757" s="48">
        <v>0</v>
      </c>
      <c r="D757" s="48">
        <v>0</v>
      </c>
      <c r="E757" s="48" t="s">
        <v>112</v>
      </c>
      <c r="F757" s="48" t="s">
        <v>71</v>
      </c>
      <c r="G757" s="48" t="s">
        <v>369</v>
      </c>
      <c r="H757" s="69">
        <f t="shared" si="11"/>
        <v>43922</v>
      </c>
    </row>
    <row r="758" spans="1:8" x14ac:dyDescent="0.25">
      <c r="A758" s="68">
        <v>43937</v>
      </c>
      <c r="B758" s="48">
        <v>3</v>
      </c>
      <c r="C758" s="48">
        <v>0</v>
      </c>
      <c r="D758" s="48">
        <v>0</v>
      </c>
      <c r="E758" s="48" t="s">
        <v>112</v>
      </c>
      <c r="F758" s="48" t="s">
        <v>71</v>
      </c>
      <c r="G758" s="48" t="s">
        <v>401</v>
      </c>
      <c r="H758" s="69">
        <f t="shared" si="11"/>
        <v>43922</v>
      </c>
    </row>
    <row r="759" spans="1:8" x14ac:dyDescent="0.25">
      <c r="A759" s="68">
        <v>43937</v>
      </c>
      <c r="B759" s="48">
        <v>48</v>
      </c>
      <c r="C759" s="48">
        <v>0</v>
      </c>
      <c r="D759" s="48">
        <v>0</v>
      </c>
      <c r="E759" s="48" t="s">
        <v>114</v>
      </c>
      <c r="F759" s="48" t="s">
        <v>71</v>
      </c>
      <c r="G759" s="48" t="s">
        <v>378</v>
      </c>
      <c r="H759" s="69">
        <f t="shared" si="11"/>
        <v>43922</v>
      </c>
    </row>
    <row r="760" spans="1:8" x14ac:dyDescent="0.25">
      <c r="A760" s="68">
        <v>43937</v>
      </c>
      <c r="B760" s="48">
        <v>4</v>
      </c>
      <c r="C760" s="48">
        <v>0</v>
      </c>
      <c r="D760" s="48">
        <v>0</v>
      </c>
      <c r="E760" s="48" t="s">
        <v>112</v>
      </c>
      <c r="F760" s="48" t="s">
        <v>71</v>
      </c>
      <c r="G760" s="48" t="s">
        <v>397</v>
      </c>
      <c r="H760" s="69">
        <f t="shared" si="11"/>
        <v>43922</v>
      </c>
    </row>
    <row r="761" spans="1:8" x14ac:dyDescent="0.25">
      <c r="A761" s="68">
        <v>43937</v>
      </c>
      <c r="B761" s="48">
        <v>1</v>
      </c>
      <c r="C761" s="48">
        <v>0</v>
      </c>
      <c r="D761" s="48">
        <v>0</v>
      </c>
      <c r="E761" s="48" t="s">
        <v>112</v>
      </c>
      <c r="F761" s="48" t="s">
        <v>71</v>
      </c>
      <c r="G761" s="48" t="s">
        <v>375</v>
      </c>
      <c r="H761" s="69">
        <f t="shared" si="11"/>
        <v>43922</v>
      </c>
    </row>
    <row r="762" spans="1:8" x14ac:dyDescent="0.25">
      <c r="A762" s="68">
        <v>43937</v>
      </c>
      <c r="B762" s="48">
        <v>10</v>
      </c>
      <c r="C762" s="48">
        <v>0</v>
      </c>
      <c r="D762" s="48">
        <v>0</v>
      </c>
      <c r="E762" s="48" t="s">
        <v>116</v>
      </c>
      <c r="F762" s="48" t="s">
        <v>71</v>
      </c>
      <c r="G762" s="48" t="s">
        <v>97</v>
      </c>
      <c r="H762" s="69">
        <f t="shared" si="11"/>
        <v>43922</v>
      </c>
    </row>
    <row r="763" spans="1:8" x14ac:dyDescent="0.25">
      <c r="A763" s="68">
        <v>43937</v>
      </c>
      <c r="B763" s="48">
        <v>21</v>
      </c>
      <c r="C763" s="48">
        <v>0</v>
      </c>
      <c r="D763" s="48">
        <v>0</v>
      </c>
      <c r="E763" s="48" t="s">
        <v>112</v>
      </c>
      <c r="F763" s="48" t="s">
        <v>71</v>
      </c>
      <c r="G763" s="48" t="s">
        <v>396</v>
      </c>
      <c r="H763" s="69">
        <f t="shared" si="11"/>
        <v>43922</v>
      </c>
    </row>
    <row r="764" spans="1:8" x14ac:dyDescent="0.25">
      <c r="A764" s="68">
        <v>43937</v>
      </c>
      <c r="B764" s="48">
        <v>70</v>
      </c>
      <c r="C764" s="48">
        <v>4</v>
      </c>
      <c r="D764" s="48">
        <v>16</v>
      </c>
      <c r="E764" s="48" t="s">
        <v>112</v>
      </c>
      <c r="F764" s="48" t="s">
        <v>70</v>
      </c>
      <c r="G764" s="48" t="s">
        <v>91</v>
      </c>
      <c r="H764" s="69">
        <f t="shared" si="11"/>
        <v>43922</v>
      </c>
    </row>
    <row r="765" spans="1:8" x14ac:dyDescent="0.25">
      <c r="A765" s="68">
        <v>43937</v>
      </c>
      <c r="B765" s="48">
        <v>1</v>
      </c>
      <c r="C765" s="48">
        <v>0</v>
      </c>
      <c r="D765" s="48">
        <v>0</v>
      </c>
      <c r="E765" s="48" t="s">
        <v>112</v>
      </c>
      <c r="F765" s="48" t="s">
        <v>70</v>
      </c>
      <c r="G765" s="48" t="s">
        <v>99</v>
      </c>
      <c r="H765" s="69">
        <f t="shared" si="11"/>
        <v>43922</v>
      </c>
    </row>
    <row r="766" spans="1:8" x14ac:dyDescent="0.25">
      <c r="A766" s="68">
        <v>43937</v>
      </c>
      <c r="B766" s="48">
        <v>10</v>
      </c>
      <c r="C766" s="48">
        <v>0</v>
      </c>
      <c r="D766" s="48">
        <v>0</v>
      </c>
      <c r="E766" s="48" t="s">
        <v>112</v>
      </c>
      <c r="F766" s="48" t="s">
        <v>70</v>
      </c>
      <c r="G766" s="48" t="s">
        <v>379</v>
      </c>
      <c r="H766" s="69">
        <f t="shared" si="11"/>
        <v>43922</v>
      </c>
    </row>
    <row r="767" spans="1:8" x14ac:dyDescent="0.25">
      <c r="A767" s="68">
        <v>43937</v>
      </c>
      <c r="B767" s="48">
        <v>3</v>
      </c>
      <c r="C767" s="48">
        <v>0</v>
      </c>
      <c r="D767" s="48">
        <v>0</v>
      </c>
      <c r="E767" s="48" t="s">
        <v>112</v>
      </c>
      <c r="F767" s="48" t="s">
        <v>70</v>
      </c>
      <c r="G767" s="48" t="s">
        <v>345</v>
      </c>
      <c r="H767" s="69">
        <f t="shared" si="11"/>
        <v>43922</v>
      </c>
    </row>
    <row r="768" spans="1:8" x14ac:dyDescent="0.25">
      <c r="A768" s="68">
        <v>43937</v>
      </c>
      <c r="B768" s="48">
        <v>0</v>
      </c>
      <c r="C768" s="48">
        <v>0</v>
      </c>
      <c r="D768" s="48">
        <v>0</v>
      </c>
      <c r="E768" s="48" t="s">
        <v>114</v>
      </c>
      <c r="F768" s="48" t="s">
        <v>70</v>
      </c>
      <c r="G768" s="48" t="s">
        <v>336</v>
      </c>
      <c r="H768" s="69">
        <f t="shared" si="11"/>
        <v>43922</v>
      </c>
    </row>
    <row r="769" spans="1:8" x14ac:dyDescent="0.25">
      <c r="A769" s="68">
        <v>43937</v>
      </c>
      <c r="B769" s="48">
        <v>52</v>
      </c>
      <c r="C769" s="48">
        <v>0</v>
      </c>
      <c r="D769" s="48">
        <v>0</v>
      </c>
      <c r="E769" s="48" t="s">
        <v>114</v>
      </c>
      <c r="F769" s="48" t="s">
        <v>70</v>
      </c>
      <c r="G769" s="48" t="s">
        <v>98</v>
      </c>
      <c r="H769" s="69">
        <f t="shared" si="11"/>
        <v>43922</v>
      </c>
    </row>
    <row r="770" spans="1:8" x14ac:dyDescent="0.25">
      <c r="A770" s="68">
        <v>43937</v>
      </c>
      <c r="B770" s="48">
        <v>96</v>
      </c>
      <c r="C770" s="48">
        <v>0</v>
      </c>
      <c r="D770" s="48">
        <v>0</v>
      </c>
      <c r="E770" s="48" t="s">
        <v>114</v>
      </c>
      <c r="F770" s="48" t="s">
        <v>70</v>
      </c>
      <c r="G770" s="48" t="s">
        <v>105</v>
      </c>
      <c r="H770" s="69">
        <f t="shared" ref="H770:H833" si="12">DATE(YEAR(A770),MONTH(A770),1)</f>
        <v>43922</v>
      </c>
    </row>
    <row r="771" spans="1:8" x14ac:dyDescent="0.25">
      <c r="A771" s="68">
        <v>43937</v>
      </c>
      <c r="B771" s="48">
        <v>4</v>
      </c>
      <c r="C771" s="48">
        <v>0</v>
      </c>
      <c r="D771" s="48">
        <v>0</v>
      </c>
      <c r="E771" s="48" t="s">
        <v>112</v>
      </c>
      <c r="F771" s="48" t="s">
        <v>70</v>
      </c>
      <c r="G771" s="48" t="s">
        <v>415</v>
      </c>
      <c r="H771" s="69">
        <f t="shared" si="12"/>
        <v>43922</v>
      </c>
    </row>
    <row r="772" spans="1:8" x14ac:dyDescent="0.25">
      <c r="A772" s="68">
        <v>43937</v>
      </c>
      <c r="B772" s="48">
        <v>1</v>
      </c>
      <c r="C772" s="48">
        <v>0</v>
      </c>
      <c r="D772" s="48">
        <v>0</v>
      </c>
      <c r="E772" s="48" t="s">
        <v>112</v>
      </c>
      <c r="F772" s="48" t="s">
        <v>70</v>
      </c>
      <c r="G772" s="48" t="s">
        <v>386</v>
      </c>
      <c r="H772" s="69">
        <f t="shared" si="12"/>
        <v>43922</v>
      </c>
    </row>
    <row r="773" spans="1:8" x14ac:dyDescent="0.25">
      <c r="A773" s="68">
        <v>43937</v>
      </c>
      <c r="B773" s="48">
        <v>12</v>
      </c>
      <c r="C773" s="48">
        <v>0</v>
      </c>
      <c r="D773" s="48">
        <v>0</v>
      </c>
      <c r="E773" s="48" t="s">
        <v>112</v>
      </c>
      <c r="F773" s="48" t="s">
        <v>70</v>
      </c>
      <c r="G773" s="48" t="s">
        <v>374</v>
      </c>
      <c r="H773" s="69">
        <f t="shared" si="12"/>
        <v>43922</v>
      </c>
    </row>
    <row r="774" spans="1:8" x14ac:dyDescent="0.25">
      <c r="A774" s="68">
        <v>43937</v>
      </c>
      <c r="B774" s="48">
        <v>5</v>
      </c>
      <c r="C774" s="48">
        <v>0</v>
      </c>
      <c r="D774" s="48">
        <v>0</v>
      </c>
      <c r="E774" s="48" t="s">
        <v>112</v>
      </c>
      <c r="F774" s="48" t="s">
        <v>70</v>
      </c>
      <c r="G774" s="48" t="s">
        <v>388</v>
      </c>
      <c r="H774" s="69">
        <f t="shared" si="12"/>
        <v>43922</v>
      </c>
    </row>
    <row r="775" spans="1:8" x14ac:dyDescent="0.25">
      <c r="A775" s="68">
        <v>43937</v>
      </c>
      <c r="B775" s="48">
        <v>3</v>
      </c>
      <c r="C775" s="48">
        <v>0</v>
      </c>
      <c r="D775" s="48">
        <v>0</v>
      </c>
      <c r="E775" s="48" t="s">
        <v>112</v>
      </c>
      <c r="F775" s="48" t="s">
        <v>70</v>
      </c>
      <c r="G775" s="48" t="s">
        <v>385</v>
      </c>
      <c r="H775" s="69">
        <f t="shared" si="12"/>
        <v>43922</v>
      </c>
    </row>
    <row r="776" spans="1:8" x14ac:dyDescent="0.25">
      <c r="A776" s="68">
        <v>43937</v>
      </c>
      <c r="B776" s="48">
        <v>2</v>
      </c>
      <c r="C776" s="48">
        <v>0</v>
      </c>
      <c r="D776" s="48">
        <v>0</v>
      </c>
      <c r="E776" s="48" t="s">
        <v>112</v>
      </c>
      <c r="F776" s="48" t="s">
        <v>70</v>
      </c>
      <c r="G776" s="48" t="s">
        <v>377</v>
      </c>
      <c r="H776" s="69">
        <f t="shared" si="12"/>
        <v>43922</v>
      </c>
    </row>
    <row r="777" spans="1:8" x14ac:dyDescent="0.25">
      <c r="A777" s="68">
        <v>43937</v>
      </c>
      <c r="B777" s="48">
        <v>2</v>
      </c>
      <c r="C777" s="48">
        <v>0</v>
      </c>
      <c r="D777" s="48">
        <v>0</v>
      </c>
      <c r="E777" s="48" t="s">
        <v>112</v>
      </c>
      <c r="F777" s="48" t="s">
        <v>70</v>
      </c>
      <c r="G777" s="48" t="s">
        <v>363</v>
      </c>
      <c r="H777" s="69">
        <f t="shared" si="12"/>
        <v>43922</v>
      </c>
    </row>
    <row r="778" spans="1:8" x14ac:dyDescent="0.25">
      <c r="A778" s="68">
        <v>43937</v>
      </c>
      <c r="B778" s="48">
        <v>53</v>
      </c>
      <c r="C778" s="48">
        <v>0</v>
      </c>
      <c r="D778" s="48">
        <v>0</v>
      </c>
      <c r="E778" s="48" t="s">
        <v>114</v>
      </c>
      <c r="F778" s="48" t="s">
        <v>70</v>
      </c>
      <c r="G778" s="48" t="s">
        <v>349</v>
      </c>
      <c r="H778" s="69">
        <f t="shared" si="12"/>
        <v>43922</v>
      </c>
    </row>
    <row r="779" spans="1:8" x14ac:dyDescent="0.25">
      <c r="A779" s="68">
        <v>43938</v>
      </c>
      <c r="B779" s="48">
        <v>2</v>
      </c>
      <c r="C779" s="48">
        <v>0</v>
      </c>
      <c r="D779" s="48">
        <v>0</v>
      </c>
      <c r="E779" s="48" t="s">
        <v>112</v>
      </c>
      <c r="F779" s="48" t="s">
        <v>76</v>
      </c>
      <c r="G779" s="48" t="s">
        <v>339</v>
      </c>
      <c r="H779" s="69">
        <f t="shared" si="12"/>
        <v>43922</v>
      </c>
    </row>
    <row r="780" spans="1:8" x14ac:dyDescent="0.25">
      <c r="A780" s="68">
        <v>43938</v>
      </c>
      <c r="B780" s="48">
        <v>6</v>
      </c>
      <c r="C780" s="48">
        <v>0</v>
      </c>
      <c r="D780" s="48">
        <v>0</v>
      </c>
      <c r="E780" s="48" t="s">
        <v>114</v>
      </c>
      <c r="F780" s="48" t="s">
        <v>73</v>
      </c>
      <c r="G780" s="48" t="s">
        <v>93</v>
      </c>
      <c r="H780" s="69">
        <f t="shared" si="12"/>
        <v>43922</v>
      </c>
    </row>
    <row r="781" spans="1:8" x14ac:dyDescent="0.25">
      <c r="A781" s="68">
        <v>43938</v>
      </c>
      <c r="B781" s="48">
        <v>41</v>
      </c>
      <c r="C781" s="48">
        <v>0</v>
      </c>
      <c r="D781" s="48">
        <v>0</v>
      </c>
      <c r="E781" s="48" t="s">
        <v>112</v>
      </c>
      <c r="F781" s="48" t="s">
        <v>73</v>
      </c>
      <c r="G781" s="48" t="s">
        <v>93</v>
      </c>
      <c r="H781" s="69">
        <f t="shared" si="12"/>
        <v>43922</v>
      </c>
    </row>
    <row r="782" spans="1:8" x14ac:dyDescent="0.25">
      <c r="A782" s="68">
        <v>43938</v>
      </c>
      <c r="B782" s="48">
        <v>5</v>
      </c>
      <c r="C782" s="48">
        <v>0</v>
      </c>
      <c r="D782" s="48">
        <v>9</v>
      </c>
      <c r="E782" s="48" t="s">
        <v>112</v>
      </c>
      <c r="F782" s="48" t="s">
        <v>75</v>
      </c>
      <c r="G782" s="48" t="s">
        <v>103</v>
      </c>
      <c r="H782" s="69">
        <f t="shared" si="12"/>
        <v>43922</v>
      </c>
    </row>
    <row r="783" spans="1:8" x14ac:dyDescent="0.25">
      <c r="A783" s="68">
        <v>43938</v>
      </c>
      <c r="B783" s="48">
        <v>9</v>
      </c>
      <c r="C783" s="48">
        <v>0</v>
      </c>
      <c r="D783" s="48">
        <v>0</v>
      </c>
      <c r="E783" s="48" t="s">
        <v>112</v>
      </c>
      <c r="F783" s="48" t="s">
        <v>74</v>
      </c>
      <c r="G783" s="48" t="s">
        <v>95</v>
      </c>
      <c r="H783" s="69">
        <f t="shared" si="12"/>
        <v>43922</v>
      </c>
    </row>
    <row r="784" spans="1:8" x14ac:dyDescent="0.25">
      <c r="A784" s="68">
        <v>43938</v>
      </c>
      <c r="B784" s="48">
        <v>24</v>
      </c>
      <c r="C784" s="48">
        <v>2</v>
      </c>
      <c r="D784" s="48">
        <v>0</v>
      </c>
      <c r="E784" s="48" t="s">
        <v>112</v>
      </c>
      <c r="F784" s="48" t="s">
        <v>71</v>
      </c>
      <c r="G784" s="48" t="s">
        <v>92</v>
      </c>
      <c r="H784" s="69">
        <f t="shared" si="12"/>
        <v>43922</v>
      </c>
    </row>
    <row r="785" spans="1:8" x14ac:dyDescent="0.25">
      <c r="A785" s="68">
        <v>43938</v>
      </c>
      <c r="B785" s="48">
        <v>20</v>
      </c>
      <c r="C785" s="48">
        <v>0</v>
      </c>
      <c r="D785" s="48">
        <v>0</v>
      </c>
      <c r="E785" s="48" t="s">
        <v>112</v>
      </c>
      <c r="F785" s="48" t="s">
        <v>71</v>
      </c>
      <c r="G785" s="48" t="s">
        <v>346</v>
      </c>
      <c r="H785" s="69">
        <f t="shared" si="12"/>
        <v>43922</v>
      </c>
    </row>
    <row r="786" spans="1:8" x14ac:dyDescent="0.25">
      <c r="A786" s="68">
        <v>43938</v>
      </c>
      <c r="B786" s="48">
        <v>10</v>
      </c>
      <c r="C786" s="48">
        <v>0</v>
      </c>
      <c r="D786" s="48">
        <v>0</v>
      </c>
      <c r="E786" s="48" t="s">
        <v>112</v>
      </c>
      <c r="F786" s="48" t="s">
        <v>71</v>
      </c>
      <c r="G786" s="48" t="s">
        <v>364</v>
      </c>
      <c r="H786" s="69">
        <f t="shared" si="12"/>
        <v>43922</v>
      </c>
    </row>
    <row r="787" spans="1:8" x14ac:dyDescent="0.25">
      <c r="A787" s="68">
        <v>43938</v>
      </c>
      <c r="B787" s="48">
        <v>9</v>
      </c>
      <c r="C787" s="48">
        <v>0</v>
      </c>
      <c r="D787" s="48">
        <v>0</v>
      </c>
      <c r="E787" s="48" t="s">
        <v>112</v>
      </c>
      <c r="F787" s="48" t="s">
        <v>71</v>
      </c>
      <c r="G787" s="48" t="s">
        <v>97</v>
      </c>
      <c r="H787" s="69">
        <f t="shared" si="12"/>
        <v>43922</v>
      </c>
    </row>
    <row r="788" spans="1:8" x14ac:dyDescent="0.25">
      <c r="A788" s="68">
        <v>43938</v>
      </c>
      <c r="B788" s="48">
        <v>4</v>
      </c>
      <c r="C788" s="48">
        <v>0</v>
      </c>
      <c r="D788" s="48">
        <v>0</v>
      </c>
      <c r="E788" s="48" t="s">
        <v>112</v>
      </c>
      <c r="F788" s="48" t="s">
        <v>71</v>
      </c>
      <c r="G788" s="48" t="s">
        <v>350</v>
      </c>
      <c r="H788" s="69">
        <f t="shared" si="12"/>
        <v>43922</v>
      </c>
    </row>
    <row r="789" spans="1:8" x14ac:dyDescent="0.25">
      <c r="A789" s="68">
        <v>43938</v>
      </c>
      <c r="B789" s="48">
        <v>8</v>
      </c>
      <c r="C789" s="48">
        <v>0</v>
      </c>
      <c r="D789" s="48">
        <v>0</v>
      </c>
      <c r="E789" s="48" t="s">
        <v>112</v>
      </c>
      <c r="F789" s="48" t="s">
        <v>71</v>
      </c>
      <c r="G789" s="48" t="s">
        <v>370</v>
      </c>
      <c r="H789" s="69">
        <f t="shared" si="12"/>
        <v>43922</v>
      </c>
    </row>
    <row r="790" spans="1:8" x14ac:dyDescent="0.25">
      <c r="A790" s="68">
        <v>43938</v>
      </c>
      <c r="B790" s="48">
        <v>20</v>
      </c>
      <c r="C790" s="48">
        <v>0</v>
      </c>
      <c r="D790" s="48">
        <v>0</v>
      </c>
      <c r="E790" s="48" t="s">
        <v>112</v>
      </c>
      <c r="F790" s="48" t="s">
        <v>71</v>
      </c>
      <c r="G790" s="48" t="s">
        <v>362</v>
      </c>
      <c r="H790" s="69">
        <f t="shared" si="12"/>
        <v>43922</v>
      </c>
    </row>
    <row r="791" spans="1:8" x14ac:dyDescent="0.25">
      <c r="A791" s="68">
        <v>43938</v>
      </c>
      <c r="B791" s="48">
        <v>3</v>
      </c>
      <c r="C791" s="48">
        <v>0</v>
      </c>
      <c r="D791" s="48">
        <v>0</v>
      </c>
      <c r="E791" s="48" t="s">
        <v>112</v>
      </c>
      <c r="F791" s="48" t="s">
        <v>71</v>
      </c>
      <c r="G791" s="48" t="s">
        <v>369</v>
      </c>
      <c r="H791" s="69">
        <f t="shared" si="12"/>
        <v>43922</v>
      </c>
    </row>
    <row r="792" spans="1:8" x14ac:dyDescent="0.25">
      <c r="A792" s="68">
        <v>43938</v>
      </c>
      <c r="B792" s="48">
        <v>4</v>
      </c>
      <c r="C792" s="48">
        <v>0</v>
      </c>
      <c r="D792" s="48">
        <v>0</v>
      </c>
      <c r="E792" s="48" t="s">
        <v>112</v>
      </c>
      <c r="F792" s="48" t="s">
        <v>71</v>
      </c>
      <c r="G792" s="48" t="s">
        <v>401</v>
      </c>
      <c r="H792" s="69">
        <f t="shared" si="12"/>
        <v>43922</v>
      </c>
    </row>
    <row r="793" spans="1:8" x14ac:dyDescent="0.25">
      <c r="A793" s="68">
        <v>43938</v>
      </c>
      <c r="B793" s="48">
        <v>95</v>
      </c>
      <c r="C793" s="48">
        <v>0</v>
      </c>
      <c r="D793" s="48">
        <v>0</v>
      </c>
      <c r="E793" s="48" t="s">
        <v>116</v>
      </c>
      <c r="F793" s="48" t="s">
        <v>71</v>
      </c>
      <c r="G793" s="48" t="s">
        <v>97</v>
      </c>
      <c r="H793" s="69">
        <f t="shared" si="12"/>
        <v>43922</v>
      </c>
    </row>
    <row r="794" spans="1:8" x14ac:dyDescent="0.25">
      <c r="A794" s="68">
        <v>43938</v>
      </c>
      <c r="B794" s="48">
        <v>9</v>
      </c>
      <c r="C794" s="48">
        <v>0</v>
      </c>
      <c r="D794" s="48">
        <v>0</v>
      </c>
      <c r="E794" s="48" t="s">
        <v>112</v>
      </c>
      <c r="F794" s="48" t="s">
        <v>71</v>
      </c>
      <c r="G794" s="48" t="s">
        <v>376</v>
      </c>
      <c r="H794" s="69">
        <f t="shared" si="12"/>
        <v>43922</v>
      </c>
    </row>
    <row r="795" spans="1:8" x14ac:dyDescent="0.25">
      <c r="A795" s="68">
        <v>43938</v>
      </c>
      <c r="B795" s="48">
        <v>2</v>
      </c>
      <c r="C795" s="48">
        <v>0</v>
      </c>
      <c r="D795" s="48">
        <v>0</v>
      </c>
      <c r="E795" s="48" t="s">
        <v>112</v>
      </c>
      <c r="F795" s="48" t="s">
        <v>71</v>
      </c>
      <c r="G795" s="48" t="s">
        <v>395</v>
      </c>
      <c r="H795" s="69">
        <f t="shared" si="12"/>
        <v>43922</v>
      </c>
    </row>
    <row r="796" spans="1:8" x14ac:dyDescent="0.25">
      <c r="A796" s="68">
        <v>43938</v>
      </c>
      <c r="B796" s="48">
        <v>1</v>
      </c>
      <c r="C796" s="48">
        <v>0</v>
      </c>
      <c r="D796" s="48">
        <v>0</v>
      </c>
      <c r="E796" s="48" t="s">
        <v>112</v>
      </c>
      <c r="F796" s="48" t="s">
        <v>71</v>
      </c>
      <c r="G796" s="48" t="s">
        <v>412</v>
      </c>
      <c r="H796" s="69">
        <f t="shared" si="12"/>
        <v>43922</v>
      </c>
    </row>
    <row r="797" spans="1:8" x14ac:dyDescent="0.25">
      <c r="A797" s="68">
        <v>43938</v>
      </c>
      <c r="B797" s="48">
        <v>4</v>
      </c>
      <c r="C797" s="48">
        <v>0</v>
      </c>
      <c r="D797" s="48">
        <v>0</v>
      </c>
      <c r="E797" s="48" t="s">
        <v>112</v>
      </c>
      <c r="F797" s="48" t="s">
        <v>71</v>
      </c>
      <c r="G797" s="48" t="s">
        <v>389</v>
      </c>
      <c r="H797" s="69">
        <f t="shared" si="12"/>
        <v>43922</v>
      </c>
    </row>
    <row r="798" spans="1:8" x14ac:dyDescent="0.25">
      <c r="A798" s="68">
        <v>43938</v>
      </c>
      <c r="B798" s="48">
        <v>123</v>
      </c>
      <c r="C798" s="48">
        <v>2</v>
      </c>
      <c r="D798" s="48">
        <v>3</v>
      </c>
      <c r="E798" s="48" t="s">
        <v>114</v>
      </c>
      <c r="F798" s="48" t="s">
        <v>70</v>
      </c>
      <c r="G798" s="48" t="s">
        <v>91</v>
      </c>
      <c r="H798" s="69">
        <f t="shared" si="12"/>
        <v>43922</v>
      </c>
    </row>
    <row r="799" spans="1:8" x14ac:dyDescent="0.25">
      <c r="A799" s="68">
        <v>43938</v>
      </c>
      <c r="B799" s="48">
        <v>0</v>
      </c>
      <c r="C799" s="48">
        <v>0</v>
      </c>
      <c r="D799" s="48">
        <v>2</v>
      </c>
      <c r="E799" s="48" t="s">
        <v>112</v>
      </c>
      <c r="F799" s="48" t="s">
        <v>70</v>
      </c>
      <c r="G799" s="48" t="s">
        <v>104</v>
      </c>
      <c r="H799" s="69">
        <f t="shared" si="12"/>
        <v>43922</v>
      </c>
    </row>
    <row r="800" spans="1:8" x14ac:dyDescent="0.25">
      <c r="A800" s="68">
        <v>43938</v>
      </c>
      <c r="B800" s="48">
        <v>1</v>
      </c>
      <c r="C800" s="48">
        <v>0</v>
      </c>
      <c r="D800" s="48">
        <v>0</v>
      </c>
      <c r="E800" s="48" t="s">
        <v>112</v>
      </c>
      <c r="F800" s="48" t="s">
        <v>70</v>
      </c>
      <c r="G800" s="48" t="s">
        <v>377</v>
      </c>
      <c r="H800" s="69">
        <f t="shared" si="12"/>
        <v>43922</v>
      </c>
    </row>
    <row r="801" spans="1:8" x14ac:dyDescent="0.25">
      <c r="A801" s="68">
        <v>43938</v>
      </c>
      <c r="B801" s="48">
        <v>1</v>
      </c>
      <c r="C801" s="48">
        <v>0</v>
      </c>
      <c r="D801" s="48">
        <v>0</v>
      </c>
      <c r="E801" s="48" t="s">
        <v>112</v>
      </c>
      <c r="F801" s="48" t="s">
        <v>70</v>
      </c>
      <c r="G801" s="48" t="s">
        <v>385</v>
      </c>
      <c r="H801" s="69">
        <f t="shared" si="12"/>
        <v>43922</v>
      </c>
    </row>
    <row r="802" spans="1:8" x14ac:dyDescent="0.25">
      <c r="A802" s="68">
        <v>43938</v>
      </c>
      <c r="B802" s="48">
        <v>2</v>
      </c>
      <c r="C802" s="48">
        <v>0</v>
      </c>
      <c r="D802" s="48">
        <v>0</v>
      </c>
      <c r="E802" s="48" t="s">
        <v>112</v>
      </c>
      <c r="F802" s="48" t="s">
        <v>70</v>
      </c>
      <c r="G802" s="48" t="s">
        <v>388</v>
      </c>
      <c r="H802" s="69">
        <f t="shared" si="12"/>
        <v>43922</v>
      </c>
    </row>
    <row r="803" spans="1:8" x14ac:dyDescent="0.25">
      <c r="A803" s="68">
        <v>43938</v>
      </c>
      <c r="B803" s="48">
        <v>1</v>
      </c>
      <c r="C803" s="48">
        <v>0</v>
      </c>
      <c r="D803" s="48">
        <v>0</v>
      </c>
      <c r="E803" s="48" t="s">
        <v>112</v>
      </c>
      <c r="F803" s="48" t="s">
        <v>70</v>
      </c>
      <c r="G803" s="48" t="s">
        <v>374</v>
      </c>
      <c r="H803" s="69">
        <f t="shared" si="12"/>
        <v>43922</v>
      </c>
    </row>
    <row r="804" spans="1:8" x14ac:dyDescent="0.25">
      <c r="A804" s="68">
        <v>43938</v>
      </c>
      <c r="B804" s="48">
        <v>6</v>
      </c>
      <c r="C804" s="48">
        <v>0</v>
      </c>
      <c r="D804" s="48">
        <v>0</v>
      </c>
      <c r="E804" s="48" t="s">
        <v>112</v>
      </c>
      <c r="F804" s="48" t="s">
        <v>70</v>
      </c>
      <c r="G804" s="48" t="s">
        <v>386</v>
      </c>
      <c r="H804" s="69">
        <f t="shared" si="12"/>
        <v>43922</v>
      </c>
    </row>
    <row r="805" spans="1:8" x14ac:dyDescent="0.25">
      <c r="A805" s="68">
        <v>43938</v>
      </c>
      <c r="B805" s="48">
        <v>28</v>
      </c>
      <c r="C805" s="48">
        <v>0</v>
      </c>
      <c r="D805" s="48">
        <v>0</v>
      </c>
      <c r="E805" s="48" t="s">
        <v>114</v>
      </c>
      <c r="F805" s="48" t="s">
        <v>70</v>
      </c>
      <c r="G805" s="48" t="s">
        <v>105</v>
      </c>
      <c r="H805" s="69">
        <f t="shared" si="12"/>
        <v>43922</v>
      </c>
    </row>
    <row r="806" spans="1:8" x14ac:dyDescent="0.25">
      <c r="A806" s="68">
        <v>43938</v>
      </c>
      <c r="B806" s="48">
        <v>73</v>
      </c>
      <c r="C806" s="48">
        <v>0</v>
      </c>
      <c r="D806" s="48">
        <v>0</v>
      </c>
      <c r="E806" s="48" t="s">
        <v>114</v>
      </c>
      <c r="F806" s="48" t="s">
        <v>70</v>
      </c>
      <c r="G806" s="48" t="s">
        <v>336</v>
      </c>
      <c r="H806" s="69">
        <f t="shared" si="12"/>
        <v>43922</v>
      </c>
    </row>
    <row r="807" spans="1:8" x14ac:dyDescent="0.25">
      <c r="A807" s="68">
        <v>43938</v>
      </c>
      <c r="B807" s="48">
        <v>1</v>
      </c>
      <c r="C807" s="48">
        <v>0</v>
      </c>
      <c r="D807" s="48">
        <v>0</v>
      </c>
      <c r="E807" s="48" t="s">
        <v>112</v>
      </c>
      <c r="F807" s="48" t="s">
        <v>70</v>
      </c>
      <c r="G807" s="48" t="s">
        <v>414</v>
      </c>
      <c r="H807" s="69">
        <f t="shared" si="12"/>
        <v>43922</v>
      </c>
    </row>
    <row r="808" spans="1:8" x14ac:dyDescent="0.25">
      <c r="A808" s="68">
        <v>43939</v>
      </c>
      <c r="B808" s="48">
        <v>8</v>
      </c>
      <c r="C808" s="48">
        <v>0</v>
      </c>
      <c r="D808" s="48">
        <v>0</v>
      </c>
      <c r="E808" s="48" t="s">
        <v>112</v>
      </c>
      <c r="F808" s="48" t="s">
        <v>73</v>
      </c>
      <c r="G808" s="48" t="s">
        <v>93</v>
      </c>
      <c r="H808" s="69">
        <f t="shared" si="12"/>
        <v>43922</v>
      </c>
    </row>
    <row r="809" spans="1:8" x14ac:dyDescent="0.25">
      <c r="A809" s="68">
        <v>43939</v>
      </c>
      <c r="B809" s="48">
        <v>7</v>
      </c>
      <c r="C809" s="48">
        <v>0</v>
      </c>
      <c r="D809" s="48">
        <v>1</v>
      </c>
      <c r="E809" s="48" t="s">
        <v>112</v>
      </c>
      <c r="F809" s="48" t="s">
        <v>75</v>
      </c>
      <c r="G809" s="48" t="s">
        <v>103</v>
      </c>
      <c r="H809" s="69">
        <f t="shared" si="12"/>
        <v>43922</v>
      </c>
    </row>
    <row r="810" spans="1:8" x14ac:dyDescent="0.25">
      <c r="A810" s="68">
        <v>43939</v>
      </c>
      <c r="B810" s="48">
        <v>9</v>
      </c>
      <c r="C810" s="48">
        <v>1</v>
      </c>
      <c r="D810" s="48">
        <v>2</v>
      </c>
      <c r="E810" s="48" t="s">
        <v>112</v>
      </c>
      <c r="F810" s="48" t="s">
        <v>74</v>
      </c>
      <c r="G810" s="48" t="s">
        <v>95</v>
      </c>
      <c r="H810" s="69">
        <f t="shared" si="12"/>
        <v>43922</v>
      </c>
    </row>
    <row r="811" spans="1:8" x14ac:dyDescent="0.25">
      <c r="A811" s="68">
        <v>43939</v>
      </c>
      <c r="B811" s="48">
        <v>43</v>
      </c>
      <c r="C811" s="48">
        <v>5</v>
      </c>
      <c r="D811" s="48">
        <v>0</v>
      </c>
      <c r="E811" s="48" t="s">
        <v>114</v>
      </c>
      <c r="F811" s="48" t="s">
        <v>72</v>
      </c>
      <c r="G811" s="48" t="s">
        <v>94</v>
      </c>
      <c r="H811" s="69">
        <f t="shared" si="12"/>
        <v>43922</v>
      </c>
    </row>
    <row r="812" spans="1:8" x14ac:dyDescent="0.25">
      <c r="A812" s="68">
        <v>43939</v>
      </c>
      <c r="B812" s="48">
        <v>41</v>
      </c>
      <c r="C812" s="48">
        <v>0</v>
      </c>
      <c r="D812" s="48">
        <v>0</v>
      </c>
      <c r="E812" s="48" t="s">
        <v>121</v>
      </c>
      <c r="F812" s="48" t="s">
        <v>72</v>
      </c>
      <c r="G812" s="48" t="s">
        <v>94</v>
      </c>
      <c r="H812" s="69">
        <f t="shared" si="12"/>
        <v>43922</v>
      </c>
    </row>
    <row r="813" spans="1:8" x14ac:dyDescent="0.25">
      <c r="A813" s="68">
        <v>43939</v>
      </c>
      <c r="B813" s="48">
        <v>2</v>
      </c>
      <c r="C813" s="48">
        <v>0</v>
      </c>
      <c r="D813" s="48">
        <v>25</v>
      </c>
      <c r="E813" s="48" t="s">
        <v>127</v>
      </c>
      <c r="F813" s="48" t="s">
        <v>71</v>
      </c>
      <c r="G813" s="48" t="s">
        <v>92</v>
      </c>
      <c r="H813" s="69">
        <f t="shared" si="12"/>
        <v>43922</v>
      </c>
    </row>
    <row r="814" spans="1:8" x14ac:dyDescent="0.25">
      <c r="A814" s="68">
        <v>43939</v>
      </c>
      <c r="B814" s="48">
        <v>5</v>
      </c>
      <c r="C814" s="48">
        <v>4</v>
      </c>
      <c r="D814" s="48">
        <v>0</v>
      </c>
      <c r="E814" s="48" t="s">
        <v>112</v>
      </c>
      <c r="F814" s="48" t="s">
        <v>71</v>
      </c>
      <c r="G814" s="48" t="s">
        <v>92</v>
      </c>
      <c r="H814" s="69">
        <f t="shared" si="12"/>
        <v>43922</v>
      </c>
    </row>
    <row r="815" spans="1:8" x14ac:dyDescent="0.25">
      <c r="A815" s="68">
        <v>43939</v>
      </c>
      <c r="B815" s="48">
        <v>2</v>
      </c>
      <c r="C815" s="48">
        <v>0</v>
      </c>
      <c r="D815" s="48">
        <v>0</v>
      </c>
      <c r="E815" s="48" t="s">
        <v>112</v>
      </c>
      <c r="F815" s="48" t="s">
        <v>71</v>
      </c>
      <c r="G815" s="48" t="s">
        <v>340</v>
      </c>
      <c r="H815" s="69">
        <f t="shared" si="12"/>
        <v>43922</v>
      </c>
    </row>
    <row r="816" spans="1:8" x14ac:dyDescent="0.25">
      <c r="A816" s="68">
        <v>43939</v>
      </c>
      <c r="B816" s="48">
        <v>7</v>
      </c>
      <c r="C816" s="48">
        <v>0</v>
      </c>
      <c r="D816" s="48">
        <v>0</v>
      </c>
      <c r="E816" s="48" t="s">
        <v>112</v>
      </c>
      <c r="F816" s="48" t="s">
        <v>71</v>
      </c>
      <c r="G816" s="48" t="s">
        <v>350</v>
      </c>
      <c r="H816" s="69">
        <f t="shared" si="12"/>
        <v>43922</v>
      </c>
    </row>
    <row r="817" spans="1:8" x14ac:dyDescent="0.25">
      <c r="A817" s="68">
        <v>43939</v>
      </c>
      <c r="B817" s="48">
        <v>1</v>
      </c>
      <c r="C817" s="48">
        <v>0</v>
      </c>
      <c r="D817" s="48">
        <v>0</v>
      </c>
      <c r="E817" s="48" t="s">
        <v>112</v>
      </c>
      <c r="F817" s="48" t="s">
        <v>71</v>
      </c>
      <c r="G817" s="48" t="s">
        <v>346</v>
      </c>
      <c r="H817" s="69">
        <f t="shared" si="12"/>
        <v>43922</v>
      </c>
    </row>
    <row r="818" spans="1:8" x14ac:dyDescent="0.25">
      <c r="A818" s="68">
        <v>43939</v>
      </c>
      <c r="B818" s="48">
        <v>1</v>
      </c>
      <c r="C818" s="48">
        <v>0</v>
      </c>
      <c r="D818" s="48">
        <v>0</v>
      </c>
      <c r="E818" s="48" t="s">
        <v>112</v>
      </c>
      <c r="F818" s="48" t="s">
        <v>71</v>
      </c>
      <c r="G818" s="48" t="s">
        <v>424</v>
      </c>
      <c r="H818" s="69">
        <f t="shared" si="12"/>
        <v>43922</v>
      </c>
    </row>
    <row r="819" spans="1:8" x14ac:dyDescent="0.25">
      <c r="A819" s="68">
        <v>43939</v>
      </c>
      <c r="B819" s="48">
        <v>1</v>
      </c>
      <c r="C819" s="48">
        <v>0</v>
      </c>
      <c r="D819" s="48">
        <v>0</v>
      </c>
      <c r="E819" s="48" t="s">
        <v>112</v>
      </c>
      <c r="F819" s="48" t="s">
        <v>71</v>
      </c>
      <c r="G819" s="48" t="s">
        <v>405</v>
      </c>
      <c r="H819" s="69">
        <f t="shared" si="12"/>
        <v>43922</v>
      </c>
    </row>
    <row r="820" spans="1:8" x14ac:dyDescent="0.25">
      <c r="A820" s="68">
        <v>43939</v>
      </c>
      <c r="B820" s="48">
        <v>138</v>
      </c>
      <c r="C820" s="48">
        <v>1</v>
      </c>
      <c r="D820" s="48">
        <v>11</v>
      </c>
      <c r="E820" s="48" t="s">
        <v>114</v>
      </c>
      <c r="F820" s="48" t="s">
        <v>70</v>
      </c>
      <c r="G820" s="48" t="s">
        <v>91</v>
      </c>
      <c r="H820" s="69">
        <f t="shared" si="12"/>
        <v>43922</v>
      </c>
    </row>
    <row r="821" spans="1:8" x14ac:dyDescent="0.25">
      <c r="A821" s="68">
        <v>43939</v>
      </c>
      <c r="B821" s="48">
        <v>1</v>
      </c>
      <c r="C821" s="48">
        <v>0</v>
      </c>
      <c r="D821" s="48">
        <v>0</v>
      </c>
      <c r="E821" s="48" t="s">
        <v>112</v>
      </c>
      <c r="F821" s="48" t="s">
        <v>70</v>
      </c>
      <c r="G821" s="48" t="s">
        <v>360</v>
      </c>
      <c r="H821" s="69">
        <f t="shared" si="12"/>
        <v>43922</v>
      </c>
    </row>
    <row r="822" spans="1:8" x14ac:dyDescent="0.25">
      <c r="A822" s="68">
        <v>43939</v>
      </c>
      <c r="B822" s="48">
        <v>9</v>
      </c>
      <c r="C822" s="48">
        <v>0</v>
      </c>
      <c r="D822" s="48">
        <v>0</v>
      </c>
      <c r="E822" s="48" t="s">
        <v>112</v>
      </c>
      <c r="F822" s="48" t="s">
        <v>70</v>
      </c>
      <c r="G822" s="48" t="s">
        <v>384</v>
      </c>
      <c r="H822" s="69">
        <f t="shared" si="12"/>
        <v>43922</v>
      </c>
    </row>
    <row r="823" spans="1:8" x14ac:dyDescent="0.25">
      <c r="A823" s="68">
        <v>43939</v>
      </c>
      <c r="B823" s="48">
        <v>6</v>
      </c>
      <c r="C823" s="48">
        <v>0</v>
      </c>
      <c r="D823" s="48">
        <v>0</v>
      </c>
      <c r="E823" s="48" t="s">
        <v>112</v>
      </c>
      <c r="F823" s="48" t="s">
        <v>70</v>
      </c>
      <c r="G823" s="48" t="s">
        <v>383</v>
      </c>
      <c r="H823" s="69">
        <f t="shared" si="12"/>
        <v>43922</v>
      </c>
    </row>
    <row r="824" spans="1:8" x14ac:dyDescent="0.25">
      <c r="A824" s="68">
        <v>43939</v>
      </c>
      <c r="B824" s="48">
        <v>4</v>
      </c>
      <c r="C824" s="48">
        <v>0</v>
      </c>
      <c r="D824" s="48">
        <v>0</v>
      </c>
      <c r="E824" s="48" t="s">
        <v>112</v>
      </c>
      <c r="F824" s="48" t="s">
        <v>70</v>
      </c>
      <c r="G824" s="48" t="s">
        <v>423</v>
      </c>
      <c r="H824" s="69">
        <f t="shared" si="12"/>
        <v>43922</v>
      </c>
    </row>
    <row r="825" spans="1:8" x14ac:dyDescent="0.25">
      <c r="A825" s="68">
        <v>43939</v>
      </c>
      <c r="B825" s="48">
        <v>0</v>
      </c>
      <c r="C825" s="48">
        <v>0</v>
      </c>
      <c r="D825" s="48">
        <v>0</v>
      </c>
      <c r="E825" s="48" t="s">
        <v>118</v>
      </c>
      <c r="F825" s="48" t="s">
        <v>70</v>
      </c>
      <c r="G825" s="48" t="s">
        <v>98</v>
      </c>
      <c r="H825" s="69">
        <f t="shared" si="12"/>
        <v>43922</v>
      </c>
    </row>
    <row r="826" spans="1:8" x14ac:dyDescent="0.25">
      <c r="A826" s="68">
        <v>43940</v>
      </c>
      <c r="B826" s="48">
        <v>1</v>
      </c>
      <c r="C826" s="48">
        <v>0</v>
      </c>
      <c r="D826" s="48">
        <v>0</v>
      </c>
      <c r="E826" s="48" t="s">
        <v>112</v>
      </c>
      <c r="F826" s="48" t="s">
        <v>76</v>
      </c>
      <c r="G826" s="48" t="s">
        <v>339</v>
      </c>
      <c r="H826" s="69">
        <f t="shared" si="12"/>
        <v>43922</v>
      </c>
    </row>
    <row r="827" spans="1:8" x14ac:dyDescent="0.25">
      <c r="A827" s="68">
        <v>43940</v>
      </c>
      <c r="B827" s="48">
        <v>56</v>
      </c>
      <c r="C827" s="48">
        <v>0</v>
      </c>
      <c r="D827" s="48">
        <v>0</v>
      </c>
      <c r="E827" s="48" t="s">
        <v>112</v>
      </c>
      <c r="F827" s="48" t="s">
        <v>73</v>
      </c>
      <c r="G827" s="48" t="s">
        <v>93</v>
      </c>
      <c r="H827" s="69">
        <f t="shared" si="12"/>
        <v>43922</v>
      </c>
    </row>
    <row r="828" spans="1:8" x14ac:dyDescent="0.25">
      <c r="A828" s="68">
        <v>43940</v>
      </c>
      <c r="B828" s="48">
        <v>0</v>
      </c>
      <c r="C828" s="48">
        <v>1</v>
      </c>
      <c r="D828" s="48">
        <v>0</v>
      </c>
      <c r="E828" s="48" t="s">
        <v>112</v>
      </c>
      <c r="F828" s="48" t="s">
        <v>77</v>
      </c>
      <c r="G828" s="48" t="s">
        <v>400</v>
      </c>
      <c r="H828" s="69">
        <f t="shared" si="12"/>
        <v>43922</v>
      </c>
    </row>
    <row r="829" spans="1:8" x14ac:dyDescent="0.25">
      <c r="A829" s="68">
        <v>43940</v>
      </c>
      <c r="B829" s="48">
        <v>6</v>
      </c>
      <c r="C829" s="48">
        <v>0</v>
      </c>
      <c r="D829" s="48">
        <v>1</v>
      </c>
      <c r="E829" s="48" t="s">
        <v>112</v>
      </c>
      <c r="F829" s="48" t="s">
        <v>75</v>
      </c>
      <c r="G829" s="48" t="s">
        <v>103</v>
      </c>
      <c r="H829" s="69">
        <f t="shared" si="12"/>
        <v>43922</v>
      </c>
    </row>
    <row r="830" spans="1:8" x14ac:dyDescent="0.25">
      <c r="A830" s="68">
        <v>43940</v>
      </c>
      <c r="B830" s="48">
        <v>8</v>
      </c>
      <c r="C830" s="48">
        <v>0</v>
      </c>
      <c r="D830" s="48">
        <v>0</v>
      </c>
      <c r="E830" s="48" t="s">
        <v>112</v>
      </c>
      <c r="F830" s="48" t="s">
        <v>74</v>
      </c>
      <c r="G830" s="48" t="s">
        <v>95</v>
      </c>
      <c r="H830" s="69">
        <f t="shared" si="12"/>
        <v>43922</v>
      </c>
    </row>
    <row r="831" spans="1:8" x14ac:dyDescent="0.25">
      <c r="A831" s="68">
        <v>43940</v>
      </c>
      <c r="B831" s="48">
        <v>60</v>
      </c>
      <c r="C831" s="48">
        <v>2</v>
      </c>
      <c r="D831" s="48">
        <v>0</v>
      </c>
      <c r="E831" s="48" t="s">
        <v>112</v>
      </c>
      <c r="F831" s="48" t="s">
        <v>72</v>
      </c>
      <c r="G831" s="48" t="s">
        <v>94</v>
      </c>
      <c r="H831" s="69">
        <f t="shared" si="12"/>
        <v>43922</v>
      </c>
    </row>
    <row r="832" spans="1:8" x14ac:dyDescent="0.25">
      <c r="A832" s="68">
        <v>43940</v>
      </c>
      <c r="B832" s="48">
        <v>0</v>
      </c>
      <c r="C832" s="48">
        <v>1</v>
      </c>
      <c r="D832" s="48">
        <v>0</v>
      </c>
      <c r="E832" s="48" t="s">
        <v>112</v>
      </c>
      <c r="F832" s="48" t="s">
        <v>72</v>
      </c>
      <c r="G832" s="48" t="s">
        <v>338</v>
      </c>
      <c r="H832" s="69">
        <f t="shared" si="12"/>
        <v>43922</v>
      </c>
    </row>
    <row r="833" spans="1:8" x14ac:dyDescent="0.25">
      <c r="A833" s="68">
        <v>43940</v>
      </c>
      <c r="B833" s="48">
        <v>0</v>
      </c>
      <c r="C833" s="48">
        <v>4</v>
      </c>
      <c r="D833" s="48">
        <v>0</v>
      </c>
      <c r="E833" s="48" t="s">
        <v>112</v>
      </c>
      <c r="F833" s="48" t="s">
        <v>72</v>
      </c>
      <c r="G833" s="48" t="s">
        <v>96</v>
      </c>
      <c r="H833" s="69">
        <f t="shared" si="12"/>
        <v>43922</v>
      </c>
    </row>
    <row r="834" spans="1:8" x14ac:dyDescent="0.25">
      <c r="A834" s="68">
        <v>43940</v>
      </c>
      <c r="B834" s="48">
        <v>0</v>
      </c>
      <c r="C834" s="48">
        <v>1</v>
      </c>
      <c r="D834" s="48">
        <v>0</v>
      </c>
      <c r="E834" s="48" t="s">
        <v>112</v>
      </c>
      <c r="F834" s="48" t="s">
        <v>72</v>
      </c>
      <c r="G834" s="48" t="s">
        <v>101</v>
      </c>
      <c r="H834" s="69">
        <f t="shared" ref="H834:H897" si="13">DATE(YEAR(A834),MONTH(A834),1)</f>
        <v>43922</v>
      </c>
    </row>
    <row r="835" spans="1:8" x14ac:dyDescent="0.25">
      <c r="A835" s="68">
        <v>43940</v>
      </c>
      <c r="B835" s="48">
        <v>0</v>
      </c>
      <c r="C835" s="48">
        <v>1</v>
      </c>
      <c r="D835" s="48">
        <v>0</v>
      </c>
      <c r="E835" s="48" t="s">
        <v>112</v>
      </c>
      <c r="F835" s="48" t="s">
        <v>72</v>
      </c>
      <c r="G835" s="48" t="s">
        <v>337</v>
      </c>
      <c r="H835" s="69">
        <f t="shared" si="13"/>
        <v>43922</v>
      </c>
    </row>
    <row r="836" spans="1:8" x14ac:dyDescent="0.25">
      <c r="A836" s="68">
        <v>43940</v>
      </c>
      <c r="B836" s="48">
        <v>0</v>
      </c>
      <c r="C836" s="48">
        <v>0</v>
      </c>
      <c r="D836" s="48">
        <v>5</v>
      </c>
      <c r="E836" s="48" t="s">
        <v>112</v>
      </c>
      <c r="F836" s="48" t="s">
        <v>72</v>
      </c>
      <c r="G836" s="48" t="s">
        <v>399</v>
      </c>
      <c r="H836" s="69">
        <f t="shared" si="13"/>
        <v>43922</v>
      </c>
    </row>
    <row r="837" spans="1:8" x14ac:dyDescent="0.25">
      <c r="A837" s="68">
        <v>43940</v>
      </c>
      <c r="B837" s="48">
        <v>0</v>
      </c>
      <c r="C837" s="48">
        <v>0</v>
      </c>
      <c r="D837" s="48">
        <v>3</v>
      </c>
      <c r="E837" s="48" t="s">
        <v>112</v>
      </c>
      <c r="F837" s="48" t="s">
        <v>72</v>
      </c>
      <c r="G837" s="48" t="s">
        <v>356</v>
      </c>
      <c r="H837" s="69">
        <f t="shared" si="13"/>
        <v>43922</v>
      </c>
    </row>
    <row r="838" spans="1:8" x14ac:dyDescent="0.25">
      <c r="A838" s="68">
        <v>43940</v>
      </c>
      <c r="B838" s="48">
        <v>0</v>
      </c>
      <c r="C838" s="48">
        <v>0</v>
      </c>
      <c r="D838" s="48">
        <v>2</v>
      </c>
      <c r="E838" s="48" t="s">
        <v>112</v>
      </c>
      <c r="F838" s="48" t="s">
        <v>72</v>
      </c>
      <c r="G838" s="48" t="s">
        <v>358</v>
      </c>
      <c r="H838" s="69">
        <f t="shared" si="13"/>
        <v>43922</v>
      </c>
    </row>
    <row r="839" spans="1:8" x14ac:dyDescent="0.25">
      <c r="A839" s="68">
        <v>43940</v>
      </c>
      <c r="B839" s="48">
        <v>0</v>
      </c>
      <c r="C839" s="48">
        <v>0</v>
      </c>
      <c r="D839" s="48">
        <v>1</v>
      </c>
      <c r="E839" s="48" t="s">
        <v>112</v>
      </c>
      <c r="F839" s="48" t="s">
        <v>72</v>
      </c>
      <c r="G839" s="48" t="s">
        <v>408</v>
      </c>
      <c r="H839" s="69">
        <f t="shared" si="13"/>
        <v>43922</v>
      </c>
    </row>
    <row r="840" spans="1:8" x14ac:dyDescent="0.25">
      <c r="A840" s="68">
        <v>43940</v>
      </c>
      <c r="B840" s="48">
        <v>0</v>
      </c>
      <c r="C840" s="48">
        <v>0</v>
      </c>
      <c r="D840" s="48">
        <v>4</v>
      </c>
      <c r="E840" s="48" t="s">
        <v>112</v>
      </c>
      <c r="F840" s="48" t="s">
        <v>72</v>
      </c>
      <c r="G840" s="48" t="s">
        <v>353</v>
      </c>
      <c r="H840" s="69">
        <f t="shared" si="13"/>
        <v>43922</v>
      </c>
    </row>
    <row r="841" spans="1:8" x14ac:dyDescent="0.25">
      <c r="A841" s="68">
        <v>43940</v>
      </c>
      <c r="B841" s="48">
        <v>0</v>
      </c>
      <c r="C841" s="48">
        <v>0</v>
      </c>
      <c r="D841" s="48">
        <v>3</v>
      </c>
      <c r="E841" s="48" t="s">
        <v>112</v>
      </c>
      <c r="F841" s="48" t="s">
        <v>72</v>
      </c>
      <c r="G841" s="48" t="s">
        <v>355</v>
      </c>
      <c r="H841" s="69">
        <f t="shared" si="13"/>
        <v>43922</v>
      </c>
    </row>
    <row r="842" spans="1:8" x14ac:dyDescent="0.25">
      <c r="A842" s="68">
        <v>43940</v>
      </c>
      <c r="B842" s="48">
        <v>0</v>
      </c>
      <c r="C842" s="48">
        <v>0</v>
      </c>
      <c r="D842" s="48">
        <v>8</v>
      </c>
      <c r="E842" s="48" t="s">
        <v>112</v>
      </c>
      <c r="F842" s="48" t="s">
        <v>72</v>
      </c>
      <c r="G842" s="48" t="s">
        <v>341</v>
      </c>
      <c r="H842" s="69">
        <f t="shared" si="13"/>
        <v>43922</v>
      </c>
    </row>
    <row r="843" spans="1:8" x14ac:dyDescent="0.25">
      <c r="A843" s="68">
        <v>43940</v>
      </c>
      <c r="B843" s="48">
        <v>0</v>
      </c>
      <c r="C843" s="48">
        <v>0</v>
      </c>
      <c r="D843" s="48">
        <v>15</v>
      </c>
      <c r="E843" s="48" t="s">
        <v>112</v>
      </c>
      <c r="F843" s="48" t="s">
        <v>72</v>
      </c>
      <c r="G843" s="48" t="s">
        <v>347</v>
      </c>
      <c r="H843" s="69">
        <f t="shared" si="13"/>
        <v>43922</v>
      </c>
    </row>
    <row r="844" spans="1:8" x14ac:dyDescent="0.25">
      <c r="A844" s="68">
        <v>43940</v>
      </c>
      <c r="B844" s="48">
        <v>0</v>
      </c>
      <c r="C844" s="48">
        <v>0</v>
      </c>
      <c r="D844" s="48">
        <v>4</v>
      </c>
      <c r="E844" s="48" t="s">
        <v>112</v>
      </c>
      <c r="F844" s="48" t="s">
        <v>72</v>
      </c>
      <c r="G844" s="48" t="s">
        <v>365</v>
      </c>
      <c r="H844" s="69">
        <f t="shared" si="13"/>
        <v>43922</v>
      </c>
    </row>
    <row r="845" spans="1:8" x14ac:dyDescent="0.25">
      <c r="A845" s="68">
        <v>43940</v>
      </c>
      <c r="B845" s="48">
        <v>0</v>
      </c>
      <c r="C845" s="48">
        <v>0</v>
      </c>
      <c r="D845" s="48">
        <v>29</v>
      </c>
      <c r="E845" s="48" t="s">
        <v>116</v>
      </c>
      <c r="F845" s="48" t="s">
        <v>71</v>
      </c>
      <c r="G845" s="48" t="s">
        <v>92</v>
      </c>
      <c r="H845" s="69">
        <f t="shared" si="13"/>
        <v>43922</v>
      </c>
    </row>
    <row r="846" spans="1:8" x14ac:dyDescent="0.25">
      <c r="A846" s="68">
        <v>43940</v>
      </c>
      <c r="B846" s="48">
        <v>3</v>
      </c>
      <c r="C846" s="48">
        <v>0</v>
      </c>
      <c r="D846" s="48">
        <v>0</v>
      </c>
      <c r="E846" s="48" t="s">
        <v>120</v>
      </c>
      <c r="F846" s="48" t="s">
        <v>71</v>
      </c>
      <c r="G846" s="48" t="s">
        <v>92</v>
      </c>
      <c r="H846" s="69">
        <f t="shared" si="13"/>
        <v>43922</v>
      </c>
    </row>
    <row r="847" spans="1:8" x14ac:dyDescent="0.25">
      <c r="A847" s="68">
        <v>43940</v>
      </c>
      <c r="B847" s="48">
        <v>36</v>
      </c>
      <c r="C847" s="48">
        <v>0</v>
      </c>
      <c r="D847" s="48">
        <v>0</v>
      </c>
      <c r="E847" s="48" t="s">
        <v>112</v>
      </c>
      <c r="F847" s="48" t="s">
        <v>71</v>
      </c>
      <c r="G847" s="48" t="s">
        <v>92</v>
      </c>
      <c r="H847" s="69">
        <f t="shared" si="13"/>
        <v>43922</v>
      </c>
    </row>
    <row r="848" spans="1:8" x14ac:dyDescent="0.25">
      <c r="A848" s="68">
        <v>43940</v>
      </c>
      <c r="B848" s="48">
        <v>3</v>
      </c>
      <c r="C848" s="48">
        <v>0</v>
      </c>
      <c r="D848" s="48">
        <v>0</v>
      </c>
      <c r="E848" s="48" t="s">
        <v>112</v>
      </c>
      <c r="F848" s="48" t="s">
        <v>71</v>
      </c>
      <c r="G848" s="48" t="s">
        <v>97</v>
      </c>
      <c r="H848" s="69">
        <f t="shared" si="13"/>
        <v>43922</v>
      </c>
    </row>
    <row r="849" spans="1:8" x14ac:dyDescent="0.25">
      <c r="A849" s="68">
        <v>43940</v>
      </c>
      <c r="B849" s="48">
        <v>0</v>
      </c>
      <c r="C849" s="48">
        <v>0</v>
      </c>
      <c r="D849" s="48">
        <v>4</v>
      </c>
      <c r="E849" s="48" t="s">
        <v>112</v>
      </c>
      <c r="F849" s="48" t="s">
        <v>71</v>
      </c>
      <c r="G849" s="48" t="s">
        <v>350</v>
      </c>
      <c r="H849" s="69">
        <f t="shared" si="13"/>
        <v>43922</v>
      </c>
    </row>
    <row r="850" spans="1:8" x14ac:dyDescent="0.25">
      <c r="A850" s="68">
        <v>43940</v>
      </c>
      <c r="B850" s="48">
        <v>15</v>
      </c>
      <c r="C850" s="48">
        <v>0</v>
      </c>
      <c r="D850" s="48">
        <v>0</v>
      </c>
      <c r="E850" s="48" t="s">
        <v>112</v>
      </c>
      <c r="F850" s="48" t="s">
        <v>71</v>
      </c>
      <c r="G850" s="48" t="s">
        <v>364</v>
      </c>
      <c r="H850" s="69">
        <f t="shared" si="13"/>
        <v>43922</v>
      </c>
    </row>
    <row r="851" spans="1:8" x14ac:dyDescent="0.25">
      <c r="A851" s="68">
        <v>43940</v>
      </c>
      <c r="B851" s="48">
        <v>32</v>
      </c>
      <c r="C851" s="48">
        <v>0</v>
      </c>
      <c r="D851" s="48">
        <v>0</v>
      </c>
      <c r="E851" s="48" t="s">
        <v>112</v>
      </c>
      <c r="F851" s="48" t="s">
        <v>71</v>
      </c>
      <c r="G851" s="48" t="s">
        <v>346</v>
      </c>
      <c r="H851" s="69">
        <f t="shared" si="13"/>
        <v>43922</v>
      </c>
    </row>
    <row r="852" spans="1:8" x14ac:dyDescent="0.25">
      <c r="A852" s="68">
        <v>43940</v>
      </c>
      <c r="B852" s="48">
        <v>1</v>
      </c>
      <c r="C852" s="48">
        <v>0</v>
      </c>
      <c r="D852" s="48">
        <v>0</v>
      </c>
      <c r="E852" s="48" t="s">
        <v>112</v>
      </c>
      <c r="F852" s="48" t="s">
        <v>71</v>
      </c>
      <c r="G852" s="48" t="s">
        <v>391</v>
      </c>
      <c r="H852" s="69">
        <f t="shared" si="13"/>
        <v>43922</v>
      </c>
    </row>
    <row r="853" spans="1:8" x14ac:dyDescent="0.25">
      <c r="A853" s="68">
        <v>43940</v>
      </c>
      <c r="B853" s="48">
        <v>2</v>
      </c>
      <c r="C853" s="48">
        <v>0</v>
      </c>
      <c r="D853" s="48">
        <v>0</v>
      </c>
      <c r="E853" s="48" t="s">
        <v>112</v>
      </c>
      <c r="F853" s="48" t="s">
        <v>71</v>
      </c>
      <c r="G853" s="48" t="s">
        <v>362</v>
      </c>
      <c r="H853" s="69">
        <f t="shared" si="13"/>
        <v>43922</v>
      </c>
    </row>
    <row r="854" spans="1:8" x14ac:dyDescent="0.25">
      <c r="A854" s="68">
        <v>43940</v>
      </c>
      <c r="B854" s="48">
        <v>29</v>
      </c>
      <c r="C854" s="48">
        <v>0</v>
      </c>
      <c r="D854" s="48">
        <v>0</v>
      </c>
      <c r="E854" s="48" t="s">
        <v>112</v>
      </c>
      <c r="F854" s="48" t="s">
        <v>71</v>
      </c>
      <c r="G854" s="48" t="s">
        <v>348</v>
      </c>
      <c r="H854" s="69">
        <f t="shared" si="13"/>
        <v>43922</v>
      </c>
    </row>
    <row r="855" spans="1:8" x14ac:dyDescent="0.25">
      <c r="A855" s="68">
        <v>43940</v>
      </c>
      <c r="B855" s="48">
        <v>13</v>
      </c>
      <c r="C855" s="48">
        <v>0</v>
      </c>
      <c r="D855" s="48">
        <v>0</v>
      </c>
      <c r="E855" s="48" t="s">
        <v>112</v>
      </c>
      <c r="F855" s="48" t="s">
        <v>71</v>
      </c>
      <c r="G855" s="48" t="s">
        <v>405</v>
      </c>
      <c r="H855" s="69">
        <f t="shared" si="13"/>
        <v>43922</v>
      </c>
    </row>
    <row r="856" spans="1:8" x14ac:dyDescent="0.25">
      <c r="A856" s="68">
        <v>43940</v>
      </c>
      <c r="B856" s="48">
        <v>1</v>
      </c>
      <c r="C856" s="48">
        <v>0</v>
      </c>
      <c r="D856" s="48">
        <v>0</v>
      </c>
      <c r="E856" s="48" t="s">
        <v>112</v>
      </c>
      <c r="F856" s="48" t="s">
        <v>71</v>
      </c>
      <c r="G856" s="48" t="s">
        <v>418</v>
      </c>
      <c r="H856" s="69">
        <f t="shared" si="13"/>
        <v>43922</v>
      </c>
    </row>
    <row r="857" spans="1:8" x14ac:dyDescent="0.25">
      <c r="A857" s="68">
        <v>43940</v>
      </c>
      <c r="B857" s="48">
        <v>23</v>
      </c>
      <c r="C857" s="48">
        <v>0</v>
      </c>
      <c r="D857" s="48">
        <v>0</v>
      </c>
      <c r="E857" s="48" t="s">
        <v>112</v>
      </c>
      <c r="F857" s="48" t="s">
        <v>71</v>
      </c>
      <c r="G857" s="48" t="s">
        <v>369</v>
      </c>
      <c r="H857" s="69">
        <f t="shared" si="13"/>
        <v>43922</v>
      </c>
    </row>
    <row r="858" spans="1:8" x14ac:dyDescent="0.25">
      <c r="A858" s="68">
        <v>43940</v>
      </c>
      <c r="B858" s="48">
        <v>0</v>
      </c>
      <c r="C858" s="48">
        <v>0</v>
      </c>
      <c r="D858" s="48">
        <v>1</v>
      </c>
      <c r="E858" s="48" t="s">
        <v>112</v>
      </c>
      <c r="F858" s="48" t="s">
        <v>71</v>
      </c>
      <c r="G858" s="48" t="s">
        <v>382</v>
      </c>
      <c r="H858" s="69">
        <f t="shared" si="13"/>
        <v>43922</v>
      </c>
    </row>
    <row r="859" spans="1:8" x14ac:dyDescent="0.25">
      <c r="A859" s="68">
        <v>43940</v>
      </c>
      <c r="B859" s="48">
        <v>7</v>
      </c>
      <c r="C859" s="48">
        <v>0</v>
      </c>
      <c r="D859" s="48">
        <v>0</v>
      </c>
      <c r="E859" s="48" t="s">
        <v>112</v>
      </c>
      <c r="F859" s="48" t="s">
        <v>71</v>
      </c>
      <c r="G859" s="48" t="s">
        <v>395</v>
      </c>
      <c r="H859" s="69">
        <f t="shared" si="13"/>
        <v>43922</v>
      </c>
    </row>
    <row r="860" spans="1:8" x14ac:dyDescent="0.25">
      <c r="A860" s="68">
        <v>43940</v>
      </c>
      <c r="B860" s="48">
        <v>0</v>
      </c>
      <c r="C860" s="48">
        <v>0</v>
      </c>
      <c r="D860" s="48">
        <v>4</v>
      </c>
      <c r="E860" s="48" t="s">
        <v>112</v>
      </c>
      <c r="F860" s="48" t="s">
        <v>71</v>
      </c>
      <c r="G860" s="48" t="s">
        <v>378</v>
      </c>
      <c r="H860" s="69">
        <f t="shared" si="13"/>
        <v>43922</v>
      </c>
    </row>
    <row r="861" spans="1:8" x14ac:dyDescent="0.25">
      <c r="A861" s="68">
        <v>43940</v>
      </c>
      <c r="B861" s="48">
        <v>76</v>
      </c>
      <c r="C861" s="48">
        <v>0</v>
      </c>
      <c r="D861" s="48">
        <v>0</v>
      </c>
      <c r="E861" s="48" t="s">
        <v>112</v>
      </c>
      <c r="F861" s="48" t="s">
        <v>71</v>
      </c>
      <c r="G861" s="48" t="s">
        <v>366</v>
      </c>
      <c r="H861" s="69">
        <f t="shared" si="13"/>
        <v>43922</v>
      </c>
    </row>
    <row r="862" spans="1:8" x14ac:dyDescent="0.25">
      <c r="A862" s="68">
        <v>43940</v>
      </c>
      <c r="B862" s="48">
        <v>5</v>
      </c>
      <c r="C862" s="48">
        <v>0</v>
      </c>
      <c r="D862" s="48">
        <v>0</v>
      </c>
      <c r="E862" s="48" t="s">
        <v>112</v>
      </c>
      <c r="F862" s="48" t="s">
        <v>71</v>
      </c>
      <c r="G862" s="48" t="s">
        <v>422</v>
      </c>
      <c r="H862" s="69">
        <f t="shared" si="13"/>
        <v>43922</v>
      </c>
    </row>
    <row r="863" spans="1:8" x14ac:dyDescent="0.25">
      <c r="A863" s="68">
        <v>43940</v>
      </c>
      <c r="B863" s="48">
        <v>5</v>
      </c>
      <c r="C863" s="48">
        <v>0</v>
      </c>
      <c r="D863" s="48">
        <v>0</v>
      </c>
      <c r="E863" s="48" t="s">
        <v>112</v>
      </c>
      <c r="F863" s="48" t="s">
        <v>71</v>
      </c>
      <c r="G863" s="48" t="s">
        <v>421</v>
      </c>
      <c r="H863" s="69">
        <f t="shared" si="13"/>
        <v>43922</v>
      </c>
    </row>
    <row r="864" spans="1:8" x14ac:dyDescent="0.25">
      <c r="A864" s="68">
        <v>43940</v>
      </c>
      <c r="B864" s="48">
        <v>3</v>
      </c>
      <c r="C864" s="48">
        <v>0</v>
      </c>
      <c r="D864" s="48">
        <v>0</v>
      </c>
      <c r="E864" s="48" t="s">
        <v>112</v>
      </c>
      <c r="F864" s="48" t="s">
        <v>71</v>
      </c>
      <c r="G864" s="48" t="s">
        <v>397</v>
      </c>
      <c r="H864" s="69">
        <f t="shared" si="13"/>
        <v>43922</v>
      </c>
    </row>
    <row r="865" spans="1:8" x14ac:dyDescent="0.25">
      <c r="A865" s="68">
        <v>43940</v>
      </c>
      <c r="B865" s="48">
        <v>1</v>
      </c>
      <c r="C865" s="48">
        <v>0</v>
      </c>
      <c r="D865" s="48">
        <v>0</v>
      </c>
      <c r="E865" s="48" t="s">
        <v>112</v>
      </c>
      <c r="F865" s="48" t="s">
        <v>71</v>
      </c>
      <c r="G865" s="48" t="s">
        <v>375</v>
      </c>
      <c r="H865" s="69">
        <f t="shared" si="13"/>
        <v>43922</v>
      </c>
    </row>
    <row r="866" spans="1:8" x14ac:dyDescent="0.25">
      <c r="A866" s="68">
        <v>43940</v>
      </c>
      <c r="B866" s="48">
        <v>182</v>
      </c>
      <c r="C866" s="48">
        <v>8</v>
      </c>
      <c r="D866" s="48">
        <v>0</v>
      </c>
      <c r="E866" s="48" t="s">
        <v>114</v>
      </c>
      <c r="F866" s="48" t="s">
        <v>70</v>
      </c>
      <c r="G866" s="48" t="s">
        <v>91</v>
      </c>
      <c r="H866" s="69">
        <f t="shared" si="13"/>
        <v>43922</v>
      </c>
    </row>
    <row r="867" spans="1:8" x14ac:dyDescent="0.25">
      <c r="A867" s="68">
        <v>43940</v>
      </c>
      <c r="B867" s="48">
        <v>3</v>
      </c>
      <c r="C867" s="48">
        <v>0</v>
      </c>
      <c r="D867" s="48">
        <v>0</v>
      </c>
      <c r="E867" s="48" t="s">
        <v>112</v>
      </c>
      <c r="F867" s="48" t="s">
        <v>70</v>
      </c>
      <c r="G867" s="48" t="s">
        <v>414</v>
      </c>
      <c r="H867" s="69">
        <f t="shared" si="13"/>
        <v>43922</v>
      </c>
    </row>
    <row r="868" spans="1:8" x14ac:dyDescent="0.25">
      <c r="A868" s="68">
        <v>43940</v>
      </c>
      <c r="B868" s="48">
        <v>2</v>
      </c>
      <c r="C868" s="48">
        <v>0</v>
      </c>
      <c r="D868" s="48">
        <v>0</v>
      </c>
      <c r="E868" s="48" t="s">
        <v>112</v>
      </c>
      <c r="F868" s="48" t="s">
        <v>70</v>
      </c>
      <c r="G868" s="48" t="s">
        <v>345</v>
      </c>
      <c r="H868" s="69">
        <f t="shared" si="13"/>
        <v>43922</v>
      </c>
    </row>
    <row r="869" spans="1:8" x14ac:dyDescent="0.25">
      <c r="A869" s="68">
        <v>43940</v>
      </c>
      <c r="B869" s="48">
        <v>10</v>
      </c>
      <c r="C869" s="48">
        <v>0</v>
      </c>
      <c r="D869" s="48">
        <v>0</v>
      </c>
      <c r="E869" s="48" t="s">
        <v>112</v>
      </c>
      <c r="F869" s="48" t="s">
        <v>70</v>
      </c>
      <c r="G869" s="48" t="s">
        <v>367</v>
      </c>
      <c r="H869" s="69">
        <f t="shared" si="13"/>
        <v>43922</v>
      </c>
    </row>
    <row r="870" spans="1:8" x14ac:dyDescent="0.25">
      <c r="A870" s="68">
        <v>43941</v>
      </c>
      <c r="B870" s="48">
        <v>33</v>
      </c>
      <c r="C870" s="48">
        <v>1</v>
      </c>
      <c r="D870" s="48">
        <v>0</v>
      </c>
      <c r="E870" s="48" t="s">
        <v>112</v>
      </c>
      <c r="F870" s="48" t="s">
        <v>73</v>
      </c>
      <c r="G870" s="48" t="s">
        <v>93</v>
      </c>
      <c r="H870" s="69">
        <f t="shared" si="13"/>
        <v>43922</v>
      </c>
    </row>
    <row r="871" spans="1:8" x14ac:dyDescent="0.25">
      <c r="A871" s="68">
        <v>43941</v>
      </c>
      <c r="B871" s="48">
        <v>18</v>
      </c>
      <c r="C871" s="48">
        <v>0</v>
      </c>
      <c r="D871" s="48">
        <v>0</v>
      </c>
      <c r="E871" s="48" t="s">
        <v>112</v>
      </c>
      <c r="F871" s="48" t="s">
        <v>75</v>
      </c>
      <c r="G871" s="48" t="s">
        <v>103</v>
      </c>
      <c r="H871" s="69">
        <f t="shared" si="13"/>
        <v>43922</v>
      </c>
    </row>
    <row r="872" spans="1:8" x14ac:dyDescent="0.25">
      <c r="A872" s="68">
        <v>43941</v>
      </c>
      <c r="B872" s="48">
        <v>10</v>
      </c>
      <c r="C872" s="48">
        <v>1</v>
      </c>
      <c r="D872" s="48">
        <v>0</v>
      </c>
      <c r="E872" s="48" t="s">
        <v>112</v>
      </c>
      <c r="F872" s="48" t="s">
        <v>74</v>
      </c>
      <c r="G872" s="48" t="s">
        <v>95</v>
      </c>
      <c r="H872" s="69">
        <f t="shared" si="13"/>
        <v>43922</v>
      </c>
    </row>
    <row r="873" spans="1:8" x14ac:dyDescent="0.25">
      <c r="A873" s="68">
        <v>43941</v>
      </c>
      <c r="B873" s="48">
        <v>98</v>
      </c>
      <c r="C873" s="48">
        <v>5</v>
      </c>
      <c r="D873" s="48">
        <v>11</v>
      </c>
      <c r="E873" s="48" t="s">
        <v>112</v>
      </c>
      <c r="F873" s="48" t="s">
        <v>72</v>
      </c>
      <c r="G873" s="48" t="s">
        <v>94</v>
      </c>
      <c r="H873" s="69">
        <f t="shared" si="13"/>
        <v>43922</v>
      </c>
    </row>
    <row r="874" spans="1:8" x14ac:dyDescent="0.25">
      <c r="A874" s="68">
        <v>43941</v>
      </c>
      <c r="B874" s="48">
        <v>0</v>
      </c>
      <c r="C874" s="48">
        <v>1</v>
      </c>
      <c r="D874" s="48">
        <v>0</v>
      </c>
      <c r="E874" s="48" t="s">
        <v>112</v>
      </c>
      <c r="F874" s="48" t="s">
        <v>72</v>
      </c>
      <c r="G874" s="48" t="s">
        <v>358</v>
      </c>
      <c r="H874" s="69">
        <f t="shared" si="13"/>
        <v>43922</v>
      </c>
    </row>
    <row r="875" spans="1:8" x14ac:dyDescent="0.25">
      <c r="A875" s="68">
        <v>43941</v>
      </c>
      <c r="B875" s="48">
        <v>0</v>
      </c>
      <c r="C875" s="48">
        <v>2</v>
      </c>
      <c r="D875" s="48">
        <v>0</v>
      </c>
      <c r="E875" s="48" t="s">
        <v>112</v>
      </c>
      <c r="F875" s="48" t="s">
        <v>72</v>
      </c>
      <c r="G875" s="48" t="s">
        <v>359</v>
      </c>
      <c r="H875" s="69">
        <f t="shared" si="13"/>
        <v>43922</v>
      </c>
    </row>
    <row r="876" spans="1:8" x14ac:dyDescent="0.25">
      <c r="A876" s="68">
        <v>43941</v>
      </c>
      <c r="B876" s="48">
        <v>0</v>
      </c>
      <c r="C876" s="48">
        <v>2</v>
      </c>
      <c r="D876" s="48">
        <v>0</v>
      </c>
      <c r="E876" s="48" t="s">
        <v>112</v>
      </c>
      <c r="F876" s="48" t="s">
        <v>72</v>
      </c>
      <c r="G876" s="48" t="s">
        <v>354</v>
      </c>
      <c r="H876" s="69">
        <f t="shared" si="13"/>
        <v>43922</v>
      </c>
    </row>
    <row r="877" spans="1:8" x14ac:dyDescent="0.25">
      <c r="A877" s="68">
        <v>43941</v>
      </c>
      <c r="B877" s="48">
        <v>0</v>
      </c>
      <c r="C877" s="48">
        <v>0</v>
      </c>
      <c r="D877" s="48">
        <v>4</v>
      </c>
      <c r="E877" s="48" t="s">
        <v>112</v>
      </c>
      <c r="F877" s="48" t="s">
        <v>72</v>
      </c>
      <c r="G877" s="48" t="s">
        <v>351</v>
      </c>
      <c r="H877" s="69">
        <f t="shared" si="13"/>
        <v>43922</v>
      </c>
    </row>
    <row r="878" spans="1:8" x14ac:dyDescent="0.25">
      <c r="A878" s="68">
        <v>43941</v>
      </c>
      <c r="B878" s="48">
        <v>0</v>
      </c>
      <c r="C878" s="48">
        <v>0</v>
      </c>
      <c r="D878" s="48">
        <v>15</v>
      </c>
      <c r="E878" s="48" t="s">
        <v>112</v>
      </c>
      <c r="F878" s="48" t="s">
        <v>72</v>
      </c>
      <c r="G878" s="48" t="s">
        <v>96</v>
      </c>
      <c r="H878" s="69">
        <f t="shared" si="13"/>
        <v>43922</v>
      </c>
    </row>
    <row r="879" spans="1:8" x14ac:dyDescent="0.25">
      <c r="A879" s="68">
        <v>43941</v>
      </c>
      <c r="B879" s="48">
        <v>0</v>
      </c>
      <c r="C879" s="48">
        <v>0</v>
      </c>
      <c r="D879" s="48">
        <v>17</v>
      </c>
      <c r="E879" s="48" t="s">
        <v>112</v>
      </c>
      <c r="F879" s="48" t="s">
        <v>72</v>
      </c>
      <c r="G879" s="48" t="s">
        <v>102</v>
      </c>
      <c r="H879" s="69">
        <f t="shared" si="13"/>
        <v>43922</v>
      </c>
    </row>
    <row r="880" spans="1:8" x14ac:dyDescent="0.25">
      <c r="A880" s="68">
        <v>43941</v>
      </c>
      <c r="B880" s="48">
        <v>0</v>
      </c>
      <c r="C880" s="48">
        <v>0</v>
      </c>
      <c r="D880" s="48">
        <v>5</v>
      </c>
      <c r="E880" s="48" t="s">
        <v>112</v>
      </c>
      <c r="F880" s="48" t="s">
        <v>72</v>
      </c>
      <c r="G880" s="48" t="s">
        <v>337</v>
      </c>
      <c r="H880" s="69">
        <f t="shared" si="13"/>
        <v>43922</v>
      </c>
    </row>
    <row r="881" spans="1:8" x14ac:dyDescent="0.25">
      <c r="A881" s="68">
        <v>43941</v>
      </c>
      <c r="B881" s="48">
        <v>334</v>
      </c>
      <c r="C881" s="48">
        <v>1</v>
      </c>
      <c r="D881" s="48">
        <v>0</v>
      </c>
      <c r="E881" s="48" t="s">
        <v>112</v>
      </c>
      <c r="F881" s="48" t="s">
        <v>71</v>
      </c>
      <c r="G881" s="48" t="s">
        <v>92</v>
      </c>
      <c r="H881" s="69">
        <f t="shared" si="13"/>
        <v>43922</v>
      </c>
    </row>
    <row r="882" spans="1:8" x14ac:dyDescent="0.25">
      <c r="A882" s="68">
        <v>43941</v>
      </c>
      <c r="B882" s="48">
        <v>150</v>
      </c>
      <c r="C882" s="48">
        <v>5</v>
      </c>
      <c r="D882" s="48">
        <v>10</v>
      </c>
      <c r="E882" s="48" t="s">
        <v>112</v>
      </c>
      <c r="F882" s="48" t="s">
        <v>70</v>
      </c>
      <c r="G882" s="48" t="s">
        <v>91</v>
      </c>
      <c r="H882" s="69">
        <f t="shared" si="13"/>
        <v>43922</v>
      </c>
    </row>
    <row r="883" spans="1:8" x14ac:dyDescent="0.25">
      <c r="A883" s="68">
        <v>43941</v>
      </c>
      <c r="B883" s="48">
        <v>57</v>
      </c>
      <c r="C883" s="48">
        <v>0</v>
      </c>
      <c r="D883" s="48">
        <v>0</v>
      </c>
      <c r="E883" s="48" t="s">
        <v>114</v>
      </c>
      <c r="F883" s="48" t="s">
        <v>70</v>
      </c>
      <c r="G883" s="48" t="s">
        <v>104</v>
      </c>
      <c r="H883" s="69">
        <f t="shared" si="13"/>
        <v>43922</v>
      </c>
    </row>
    <row r="884" spans="1:8" x14ac:dyDescent="0.25">
      <c r="A884" s="68">
        <v>43941</v>
      </c>
      <c r="B884" s="48">
        <v>6</v>
      </c>
      <c r="C884" s="48">
        <v>0</v>
      </c>
      <c r="D884" s="48">
        <v>0</v>
      </c>
      <c r="E884" s="48" t="s">
        <v>120</v>
      </c>
      <c r="F884" s="48" t="s">
        <v>70</v>
      </c>
      <c r="G884" s="48" t="s">
        <v>91</v>
      </c>
      <c r="H884" s="69">
        <f t="shared" si="13"/>
        <v>43922</v>
      </c>
    </row>
    <row r="885" spans="1:8" x14ac:dyDescent="0.25">
      <c r="A885" s="68">
        <v>43941</v>
      </c>
      <c r="B885" s="48">
        <v>1</v>
      </c>
      <c r="C885" s="48">
        <v>0</v>
      </c>
      <c r="D885" s="48">
        <v>0</v>
      </c>
      <c r="E885" s="48" t="s">
        <v>112</v>
      </c>
      <c r="F885" s="48" t="s">
        <v>70</v>
      </c>
      <c r="G885" s="48" t="s">
        <v>379</v>
      </c>
      <c r="H885" s="69">
        <f t="shared" si="13"/>
        <v>43922</v>
      </c>
    </row>
    <row r="886" spans="1:8" x14ac:dyDescent="0.25">
      <c r="A886" s="68">
        <v>43942</v>
      </c>
      <c r="B886" s="48">
        <v>1</v>
      </c>
      <c r="C886" s="48">
        <v>0</v>
      </c>
      <c r="D886" s="48">
        <v>0</v>
      </c>
      <c r="E886" s="48" t="s">
        <v>112</v>
      </c>
      <c r="F886" s="48" t="s">
        <v>76</v>
      </c>
      <c r="G886" s="48" t="s">
        <v>339</v>
      </c>
      <c r="H886" s="69">
        <f t="shared" si="13"/>
        <v>43922</v>
      </c>
    </row>
    <row r="887" spans="1:8" x14ac:dyDescent="0.25">
      <c r="A887" s="68">
        <v>43942</v>
      </c>
      <c r="B887" s="48">
        <v>31</v>
      </c>
      <c r="C887" s="48">
        <v>0</v>
      </c>
      <c r="D887" s="48">
        <v>0</v>
      </c>
      <c r="E887" s="48" t="s">
        <v>112</v>
      </c>
      <c r="F887" s="48" t="s">
        <v>73</v>
      </c>
      <c r="G887" s="48" t="s">
        <v>93</v>
      </c>
      <c r="H887" s="69">
        <f t="shared" si="13"/>
        <v>43922</v>
      </c>
    </row>
    <row r="888" spans="1:8" x14ac:dyDescent="0.25">
      <c r="A888" s="68">
        <v>43942</v>
      </c>
      <c r="B888" s="48">
        <v>1</v>
      </c>
      <c r="C888" s="48">
        <v>0</v>
      </c>
      <c r="D888" s="48">
        <v>4</v>
      </c>
      <c r="E888" s="48" t="s">
        <v>112</v>
      </c>
      <c r="F888" s="48" t="s">
        <v>77</v>
      </c>
      <c r="G888" s="48" t="s">
        <v>343</v>
      </c>
      <c r="H888" s="69">
        <f t="shared" si="13"/>
        <v>43922</v>
      </c>
    </row>
    <row r="889" spans="1:8" x14ac:dyDescent="0.25">
      <c r="A889" s="68">
        <v>43942</v>
      </c>
      <c r="B889" s="48">
        <v>5</v>
      </c>
      <c r="C889" s="48">
        <v>0</v>
      </c>
      <c r="D889" s="48">
        <v>0</v>
      </c>
      <c r="E889" s="48" t="s">
        <v>112</v>
      </c>
      <c r="F889" s="48" t="s">
        <v>77</v>
      </c>
      <c r="G889" s="48" t="s">
        <v>359</v>
      </c>
      <c r="H889" s="69">
        <f t="shared" si="13"/>
        <v>43922</v>
      </c>
    </row>
    <row r="890" spans="1:8" x14ac:dyDescent="0.25">
      <c r="A890" s="68">
        <v>43942</v>
      </c>
      <c r="B890" s="48">
        <v>1</v>
      </c>
      <c r="C890" s="48">
        <v>0</v>
      </c>
      <c r="D890" s="48">
        <v>0</v>
      </c>
      <c r="E890" s="48" t="s">
        <v>112</v>
      </c>
      <c r="F890" s="48" t="s">
        <v>77</v>
      </c>
      <c r="G890" s="48" t="s">
        <v>411</v>
      </c>
      <c r="H890" s="69">
        <f t="shared" si="13"/>
        <v>43922</v>
      </c>
    </row>
    <row r="891" spans="1:8" x14ac:dyDescent="0.25">
      <c r="A891" s="68">
        <v>43942</v>
      </c>
      <c r="B891" s="48">
        <v>2</v>
      </c>
      <c r="C891" s="48">
        <v>0</v>
      </c>
      <c r="D891" s="48">
        <v>3</v>
      </c>
      <c r="E891" s="48" t="s">
        <v>112</v>
      </c>
      <c r="F891" s="48" t="s">
        <v>75</v>
      </c>
      <c r="G891" s="48" t="s">
        <v>103</v>
      </c>
      <c r="H891" s="69">
        <f t="shared" si="13"/>
        <v>43922</v>
      </c>
    </row>
    <row r="892" spans="1:8" x14ac:dyDescent="0.25">
      <c r="A892" s="68">
        <v>43942</v>
      </c>
      <c r="B892" s="48">
        <v>4</v>
      </c>
      <c r="C892" s="48">
        <v>0</v>
      </c>
      <c r="D892" s="48">
        <v>0</v>
      </c>
      <c r="E892" s="48" t="s">
        <v>112</v>
      </c>
      <c r="F892" s="48" t="s">
        <v>74</v>
      </c>
      <c r="G892" s="48" t="s">
        <v>95</v>
      </c>
      <c r="H892" s="69">
        <f t="shared" si="13"/>
        <v>43922</v>
      </c>
    </row>
    <row r="893" spans="1:8" x14ac:dyDescent="0.25">
      <c r="A893" s="68">
        <v>43942</v>
      </c>
      <c r="B893" s="48">
        <v>0</v>
      </c>
      <c r="C893" s="48">
        <v>0</v>
      </c>
      <c r="D893" s="48">
        <v>0</v>
      </c>
      <c r="E893" s="48" t="s">
        <v>112</v>
      </c>
      <c r="F893" s="48" t="s">
        <v>72</v>
      </c>
      <c r="G893" s="48" t="s">
        <v>94</v>
      </c>
      <c r="H893" s="69">
        <f t="shared" si="13"/>
        <v>43922</v>
      </c>
    </row>
    <row r="894" spans="1:8" x14ac:dyDescent="0.25">
      <c r="A894" s="68">
        <v>43942</v>
      </c>
      <c r="B894" s="48">
        <v>69</v>
      </c>
      <c r="C894" s="48">
        <v>0</v>
      </c>
      <c r="D894" s="48">
        <v>1</v>
      </c>
      <c r="E894" s="48" t="s">
        <v>112</v>
      </c>
      <c r="F894" s="48" t="s">
        <v>72</v>
      </c>
      <c r="G894" s="48" t="s">
        <v>352</v>
      </c>
      <c r="H894" s="69">
        <f t="shared" si="13"/>
        <v>43922</v>
      </c>
    </row>
    <row r="895" spans="1:8" x14ac:dyDescent="0.25">
      <c r="A895" s="68">
        <v>43942</v>
      </c>
      <c r="B895" s="48">
        <v>0</v>
      </c>
      <c r="C895" s="48">
        <v>0</v>
      </c>
      <c r="D895" s="48">
        <v>7</v>
      </c>
      <c r="E895" s="48" t="s">
        <v>112</v>
      </c>
      <c r="F895" s="48" t="s">
        <v>72</v>
      </c>
      <c r="G895" s="48" t="s">
        <v>335</v>
      </c>
      <c r="H895" s="69">
        <f t="shared" si="13"/>
        <v>43922</v>
      </c>
    </row>
    <row r="896" spans="1:8" x14ac:dyDescent="0.25">
      <c r="A896" s="68">
        <v>43942</v>
      </c>
      <c r="B896" s="48">
        <v>0</v>
      </c>
      <c r="C896" s="48">
        <v>0</v>
      </c>
      <c r="D896" s="48">
        <v>8</v>
      </c>
      <c r="E896" s="48" t="s">
        <v>112</v>
      </c>
      <c r="F896" s="48" t="s">
        <v>72</v>
      </c>
      <c r="G896" s="48" t="s">
        <v>342</v>
      </c>
      <c r="H896" s="69">
        <f t="shared" si="13"/>
        <v>43922</v>
      </c>
    </row>
    <row r="897" spans="1:8" x14ac:dyDescent="0.25">
      <c r="A897" s="68">
        <v>43942</v>
      </c>
      <c r="B897" s="48">
        <v>26</v>
      </c>
      <c r="C897" s="48">
        <v>5</v>
      </c>
      <c r="D897" s="48">
        <v>2</v>
      </c>
      <c r="E897" s="48" t="s">
        <v>112</v>
      </c>
      <c r="F897" s="48" t="s">
        <v>72</v>
      </c>
      <c r="G897" s="48" t="s">
        <v>94</v>
      </c>
      <c r="H897" s="69">
        <f t="shared" si="13"/>
        <v>43922</v>
      </c>
    </row>
    <row r="898" spans="1:8" x14ac:dyDescent="0.25">
      <c r="A898" s="68">
        <v>43942</v>
      </c>
      <c r="B898" s="48">
        <v>2</v>
      </c>
      <c r="C898" s="48">
        <v>0</v>
      </c>
      <c r="D898" s="48">
        <v>0</v>
      </c>
      <c r="E898" s="48" t="s">
        <v>121</v>
      </c>
      <c r="F898" s="48" t="s">
        <v>72</v>
      </c>
      <c r="G898" s="48" t="s">
        <v>94</v>
      </c>
      <c r="H898" s="69">
        <f t="shared" ref="H898:H961" si="14">DATE(YEAR(A898),MONTH(A898),1)</f>
        <v>43922</v>
      </c>
    </row>
    <row r="899" spans="1:8" x14ac:dyDescent="0.25">
      <c r="A899" s="68">
        <v>43942</v>
      </c>
      <c r="B899" s="48">
        <v>4</v>
      </c>
      <c r="C899" s="48">
        <v>0</v>
      </c>
      <c r="D899" s="48">
        <v>0</v>
      </c>
      <c r="E899" s="48" t="s">
        <v>112</v>
      </c>
      <c r="F899" s="48" t="s">
        <v>72</v>
      </c>
      <c r="G899" s="48" t="s">
        <v>341</v>
      </c>
      <c r="H899" s="69">
        <f t="shared" si="14"/>
        <v>43922</v>
      </c>
    </row>
    <row r="900" spans="1:8" x14ac:dyDescent="0.25">
      <c r="A900" s="68">
        <v>43942</v>
      </c>
      <c r="B900" s="48">
        <v>1</v>
      </c>
      <c r="C900" s="48">
        <v>0</v>
      </c>
      <c r="D900" s="48">
        <v>9</v>
      </c>
      <c r="E900" s="48" t="s">
        <v>112</v>
      </c>
      <c r="F900" s="48" t="s">
        <v>72</v>
      </c>
      <c r="G900" s="48" t="s">
        <v>338</v>
      </c>
      <c r="H900" s="69">
        <f t="shared" si="14"/>
        <v>43922</v>
      </c>
    </row>
    <row r="901" spans="1:8" x14ac:dyDescent="0.25">
      <c r="A901" s="68">
        <v>43942</v>
      </c>
      <c r="B901" s="48">
        <v>8</v>
      </c>
      <c r="C901" s="48">
        <v>1</v>
      </c>
      <c r="D901" s="48">
        <v>0</v>
      </c>
      <c r="E901" s="48" t="s">
        <v>112</v>
      </c>
      <c r="F901" s="48" t="s">
        <v>72</v>
      </c>
      <c r="G901" s="48" t="s">
        <v>102</v>
      </c>
      <c r="H901" s="69">
        <f t="shared" si="14"/>
        <v>43922</v>
      </c>
    </row>
    <row r="902" spans="1:8" x14ac:dyDescent="0.25">
      <c r="A902" s="68">
        <v>43942</v>
      </c>
      <c r="B902" s="48">
        <v>0</v>
      </c>
      <c r="C902" s="48">
        <v>1</v>
      </c>
      <c r="D902" s="48">
        <v>0</v>
      </c>
      <c r="E902" s="48" t="s">
        <v>112</v>
      </c>
      <c r="F902" s="48" t="s">
        <v>72</v>
      </c>
      <c r="G902" s="48" t="s">
        <v>355</v>
      </c>
      <c r="H902" s="69">
        <f t="shared" si="14"/>
        <v>43922</v>
      </c>
    </row>
    <row r="903" spans="1:8" x14ac:dyDescent="0.25">
      <c r="A903" s="68">
        <v>43942</v>
      </c>
      <c r="B903" s="48">
        <v>2</v>
      </c>
      <c r="C903" s="48">
        <v>0</v>
      </c>
      <c r="D903" s="48">
        <v>0</v>
      </c>
      <c r="E903" s="48" t="s">
        <v>112</v>
      </c>
      <c r="F903" s="48" t="s">
        <v>72</v>
      </c>
      <c r="G903" s="48" t="s">
        <v>365</v>
      </c>
      <c r="H903" s="69">
        <f t="shared" si="14"/>
        <v>43922</v>
      </c>
    </row>
    <row r="904" spans="1:8" x14ac:dyDescent="0.25">
      <c r="A904" s="68">
        <v>43942</v>
      </c>
      <c r="B904" s="48">
        <v>1</v>
      </c>
      <c r="C904" s="48">
        <v>0</v>
      </c>
      <c r="D904" s="48">
        <v>0</v>
      </c>
      <c r="E904" s="48" t="s">
        <v>112</v>
      </c>
      <c r="F904" s="48" t="s">
        <v>72</v>
      </c>
      <c r="G904" s="48" t="s">
        <v>335</v>
      </c>
      <c r="H904" s="69">
        <f t="shared" si="14"/>
        <v>43922</v>
      </c>
    </row>
    <row r="905" spans="1:8" x14ac:dyDescent="0.25">
      <c r="A905" s="68">
        <v>43942</v>
      </c>
      <c r="B905" s="48">
        <v>2</v>
      </c>
      <c r="C905" s="48">
        <v>0</v>
      </c>
      <c r="D905" s="48">
        <v>0</v>
      </c>
      <c r="E905" s="48" t="s">
        <v>112</v>
      </c>
      <c r="F905" s="48" t="s">
        <v>72</v>
      </c>
      <c r="G905" s="48" t="s">
        <v>342</v>
      </c>
      <c r="H905" s="69">
        <f t="shared" si="14"/>
        <v>43922</v>
      </c>
    </row>
    <row r="906" spans="1:8" x14ac:dyDescent="0.25">
      <c r="A906" s="68">
        <v>43942</v>
      </c>
      <c r="B906" s="48">
        <v>11</v>
      </c>
      <c r="C906" s="48">
        <v>0</v>
      </c>
      <c r="D906" s="48">
        <v>0</v>
      </c>
      <c r="E906" s="48" t="s">
        <v>112</v>
      </c>
      <c r="F906" s="48" t="s">
        <v>72</v>
      </c>
      <c r="G906" s="48" t="s">
        <v>101</v>
      </c>
      <c r="H906" s="69">
        <f t="shared" si="14"/>
        <v>43922</v>
      </c>
    </row>
    <row r="907" spans="1:8" x14ac:dyDescent="0.25">
      <c r="A907" s="68">
        <v>43942</v>
      </c>
      <c r="B907" s="48">
        <v>2</v>
      </c>
      <c r="C907" s="48">
        <v>0</v>
      </c>
      <c r="D907" s="48">
        <v>0</v>
      </c>
      <c r="E907" s="48" t="s">
        <v>112</v>
      </c>
      <c r="F907" s="48" t="s">
        <v>72</v>
      </c>
      <c r="G907" s="48" t="s">
        <v>358</v>
      </c>
      <c r="H907" s="69">
        <f t="shared" si="14"/>
        <v>43922</v>
      </c>
    </row>
    <row r="908" spans="1:8" x14ac:dyDescent="0.25">
      <c r="A908" s="68">
        <v>43942</v>
      </c>
      <c r="B908" s="48">
        <v>1</v>
      </c>
      <c r="C908" s="48">
        <v>0</v>
      </c>
      <c r="D908" s="48">
        <v>0</v>
      </c>
      <c r="E908" s="48" t="s">
        <v>112</v>
      </c>
      <c r="F908" s="48" t="s">
        <v>72</v>
      </c>
      <c r="G908" s="48" t="s">
        <v>408</v>
      </c>
      <c r="H908" s="69">
        <f t="shared" si="14"/>
        <v>43922</v>
      </c>
    </row>
    <row r="909" spans="1:8" x14ac:dyDescent="0.25">
      <c r="A909" s="68">
        <v>43942</v>
      </c>
      <c r="B909" s="48">
        <v>0</v>
      </c>
      <c r="C909" s="48">
        <v>2</v>
      </c>
      <c r="D909" s="48">
        <v>0</v>
      </c>
      <c r="E909" s="48" t="s">
        <v>112</v>
      </c>
      <c r="F909" s="48" t="s">
        <v>72</v>
      </c>
      <c r="G909" s="48" t="s">
        <v>96</v>
      </c>
      <c r="H909" s="69">
        <f t="shared" si="14"/>
        <v>43922</v>
      </c>
    </row>
    <row r="910" spans="1:8" x14ac:dyDescent="0.25">
      <c r="A910" s="68">
        <v>43942</v>
      </c>
      <c r="B910" s="48">
        <v>217</v>
      </c>
      <c r="C910" s="48">
        <v>9</v>
      </c>
      <c r="D910" s="48">
        <v>39</v>
      </c>
      <c r="E910" s="48" t="s">
        <v>114</v>
      </c>
      <c r="F910" s="48" t="s">
        <v>71</v>
      </c>
      <c r="G910" s="48" t="s">
        <v>92</v>
      </c>
      <c r="H910" s="69">
        <f t="shared" si="14"/>
        <v>43922</v>
      </c>
    </row>
    <row r="911" spans="1:8" x14ac:dyDescent="0.25">
      <c r="A911" s="68">
        <v>43942</v>
      </c>
      <c r="B911" s="48">
        <v>286</v>
      </c>
      <c r="C911" s="48">
        <v>5</v>
      </c>
      <c r="D911" s="48">
        <v>30</v>
      </c>
      <c r="E911" s="48" t="s">
        <v>112</v>
      </c>
      <c r="F911" s="48" t="s">
        <v>70</v>
      </c>
      <c r="G911" s="48" t="s">
        <v>91</v>
      </c>
      <c r="H911" s="69">
        <f t="shared" si="14"/>
        <v>43922</v>
      </c>
    </row>
    <row r="912" spans="1:8" x14ac:dyDescent="0.25">
      <c r="A912" s="68">
        <v>43943</v>
      </c>
      <c r="B912" s="48">
        <v>1</v>
      </c>
      <c r="C912" s="48">
        <v>0</v>
      </c>
      <c r="D912" s="48">
        <v>0</v>
      </c>
      <c r="E912" s="48" t="s">
        <v>112</v>
      </c>
      <c r="F912" s="48" t="s">
        <v>76</v>
      </c>
      <c r="G912" s="48" t="s">
        <v>339</v>
      </c>
      <c r="H912" s="69">
        <f t="shared" si="14"/>
        <v>43922</v>
      </c>
    </row>
    <row r="913" spans="1:8" x14ac:dyDescent="0.25">
      <c r="A913" s="68">
        <v>43943</v>
      </c>
      <c r="B913" s="48">
        <v>56</v>
      </c>
      <c r="C913" s="48">
        <v>0</v>
      </c>
      <c r="D913" s="48">
        <v>0</v>
      </c>
      <c r="E913" s="48" t="s">
        <v>112</v>
      </c>
      <c r="F913" s="48" t="s">
        <v>73</v>
      </c>
      <c r="G913" s="48" t="s">
        <v>93</v>
      </c>
      <c r="H913" s="69">
        <f t="shared" si="14"/>
        <v>43922</v>
      </c>
    </row>
    <row r="914" spans="1:8" x14ac:dyDescent="0.25">
      <c r="A914" s="68">
        <v>43943</v>
      </c>
      <c r="B914" s="48">
        <v>7</v>
      </c>
      <c r="C914" s="48">
        <v>0</v>
      </c>
      <c r="D914" s="48">
        <v>3</v>
      </c>
      <c r="E914" s="48" t="s">
        <v>112</v>
      </c>
      <c r="F914" s="48" t="s">
        <v>75</v>
      </c>
      <c r="G914" s="48" t="s">
        <v>103</v>
      </c>
      <c r="H914" s="69">
        <f t="shared" si="14"/>
        <v>43922</v>
      </c>
    </row>
    <row r="915" spans="1:8" x14ac:dyDescent="0.25">
      <c r="A915" s="68">
        <v>43943</v>
      </c>
      <c r="B915" s="48">
        <v>9</v>
      </c>
      <c r="C915" s="48">
        <v>0</v>
      </c>
      <c r="D915" s="48">
        <v>0</v>
      </c>
      <c r="E915" s="48" t="s">
        <v>112</v>
      </c>
      <c r="F915" s="48" t="s">
        <v>74</v>
      </c>
      <c r="G915" s="48" t="s">
        <v>95</v>
      </c>
      <c r="H915" s="69">
        <f t="shared" si="14"/>
        <v>43922</v>
      </c>
    </row>
    <row r="916" spans="1:8" x14ac:dyDescent="0.25">
      <c r="A916" s="68">
        <v>43943</v>
      </c>
      <c r="B916" s="48">
        <v>2</v>
      </c>
      <c r="C916" s="48">
        <v>0</v>
      </c>
      <c r="D916" s="48">
        <v>0</v>
      </c>
      <c r="E916" s="48" t="s">
        <v>121</v>
      </c>
      <c r="F916" s="48" t="s">
        <v>72</v>
      </c>
      <c r="G916" s="48" t="s">
        <v>94</v>
      </c>
      <c r="H916" s="69">
        <f t="shared" si="14"/>
        <v>43922</v>
      </c>
    </row>
    <row r="917" spans="1:8" x14ac:dyDescent="0.25">
      <c r="A917" s="68">
        <v>43943</v>
      </c>
      <c r="B917" s="48">
        <v>2</v>
      </c>
      <c r="C917" s="48">
        <v>0</v>
      </c>
      <c r="D917" s="48">
        <v>0</v>
      </c>
      <c r="E917" s="48" t="s">
        <v>118</v>
      </c>
      <c r="F917" s="48" t="s">
        <v>72</v>
      </c>
      <c r="G917" s="48" t="s">
        <v>94</v>
      </c>
      <c r="H917" s="69">
        <f t="shared" si="14"/>
        <v>43922</v>
      </c>
    </row>
    <row r="918" spans="1:8" x14ac:dyDescent="0.25">
      <c r="A918" s="68">
        <v>43943</v>
      </c>
      <c r="B918" s="48">
        <v>0</v>
      </c>
      <c r="C918" s="48">
        <v>1</v>
      </c>
      <c r="D918" s="48">
        <v>0</v>
      </c>
      <c r="E918" s="48" t="s">
        <v>112</v>
      </c>
      <c r="F918" s="48" t="s">
        <v>72</v>
      </c>
      <c r="G918" s="48" t="s">
        <v>341</v>
      </c>
      <c r="H918" s="69">
        <f t="shared" si="14"/>
        <v>43922</v>
      </c>
    </row>
    <row r="919" spans="1:8" x14ac:dyDescent="0.25">
      <c r="A919" s="68">
        <v>43943</v>
      </c>
      <c r="B919" s="48">
        <v>2</v>
      </c>
      <c r="C919" s="48">
        <v>0</v>
      </c>
      <c r="D919" s="48">
        <v>0</v>
      </c>
      <c r="E919" s="48" t="s">
        <v>112</v>
      </c>
      <c r="F919" s="48" t="s">
        <v>72</v>
      </c>
      <c r="G919" s="48" t="s">
        <v>338</v>
      </c>
      <c r="H919" s="69">
        <f t="shared" si="14"/>
        <v>43922</v>
      </c>
    </row>
    <row r="920" spans="1:8" x14ac:dyDescent="0.25">
      <c r="A920" s="68">
        <v>43943</v>
      </c>
      <c r="B920" s="48">
        <v>29</v>
      </c>
      <c r="C920" s="48">
        <v>0</v>
      </c>
      <c r="D920" s="48">
        <v>0</v>
      </c>
      <c r="E920" s="48" t="s">
        <v>112</v>
      </c>
      <c r="F920" s="48" t="s">
        <v>72</v>
      </c>
      <c r="G920" s="48" t="s">
        <v>96</v>
      </c>
      <c r="H920" s="69">
        <f t="shared" si="14"/>
        <v>43922</v>
      </c>
    </row>
    <row r="921" spans="1:8" x14ac:dyDescent="0.25">
      <c r="A921" s="68">
        <v>43943</v>
      </c>
      <c r="B921" s="48">
        <v>1</v>
      </c>
      <c r="C921" s="48">
        <v>0</v>
      </c>
      <c r="D921" s="48">
        <v>0</v>
      </c>
      <c r="E921" s="48" t="s">
        <v>112</v>
      </c>
      <c r="F921" s="48" t="s">
        <v>72</v>
      </c>
      <c r="G921" s="48" t="s">
        <v>347</v>
      </c>
      <c r="H921" s="69">
        <f t="shared" si="14"/>
        <v>43922</v>
      </c>
    </row>
    <row r="922" spans="1:8" x14ac:dyDescent="0.25">
      <c r="A922" s="68">
        <v>43943</v>
      </c>
      <c r="B922" s="48">
        <v>2</v>
      </c>
      <c r="C922" s="48">
        <v>0</v>
      </c>
      <c r="D922" s="48">
        <v>0</v>
      </c>
      <c r="E922" s="48" t="s">
        <v>112</v>
      </c>
      <c r="F922" s="48" t="s">
        <v>72</v>
      </c>
      <c r="G922" s="48" t="s">
        <v>335</v>
      </c>
      <c r="H922" s="69">
        <f t="shared" si="14"/>
        <v>43922</v>
      </c>
    </row>
    <row r="923" spans="1:8" x14ac:dyDescent="0.25">
      <c r="A923" s="68">
        <v>43943</v>
      </c>
      <c r="B923" s="48">
        <v>17</v>
      </c>
      <c r="C923" s="48">
        <v>0</v>
      </c>
      <c r="D923" s="48">
        <v>0</v>
      </c>
      <c r="E923" s="48" t="s">
        <v>112</v>
      </c>
      <c r="F923" s="48" t="s">
        <v>72</v>
      </c>
      <c r="G923" s="48" t="s">
        <v>101</v>
      </c>
      <c r="H923" s="69">
        <f t="shared" si="14"/>
        <v>43922</v>
      </c>
    </row>
    <row r="924" spans="1:8" x14ac:dyDescent="0.25">
      <c r="A924" s="68">
        <v>43943</v>
      </c>
      <c r="B924" s="48">
        <v>2</v>
      </c>
      <c r="C924" s="48">
        <v>0</v>
      </c>
      <c r="D924" s="48">
        <v>0</v>
      </c>
      <c r="E924" s="48" t="s">
        <v>112</v>
      </c>
      <c r="F924" s="48" t="s">
        <v>72</v>
      </c>
      <c r="G924" s="48" t="s">
        <v>354</v>
      </c>
      <c r="H924" s="69">
        <f t="shared" si="14"/>
        <v>43922</v>
      </c>
    </row>
    <row r="925" spans="1:8" x14ac:dyDescent="0.25">
      <c r="A925" s="68">
        <v>43943</v>
      </c>
      <c r="B925" s="48">
        <v>6</v>
      </c>
      <c r="C925" s="48">
        <v>0</v>
      </c>
      <c r="D925" s="48">
        <v>0</v>
      </c>
      <c r="E925" s="48" t="s">
        <v>112</v>
      </c>
      <c r="F925" s="48" t="s">
        <v>72</v>
      </c>
      <c r="G925" s="48" t="s">
        <v>357</v>
      </c>
      <c r="H925" s="69">
        <f t="shared" si="14"/>
        <v>43922</v>
      </c>
    </row>
    <row r="926" spans="1:8" x14ac:dyDescent="0.25">
      <c r="A926" s="68">
        <v>43943</v>
      </c>
      <c r="B926" s="48">
        <v>2</v>
      </c>
      <c r="C926" s="48">
        <v>0</v>
      </c>
      <c r="D926" s="48">
        <v>0</v>
      </c>
      <c r="E926" s="48" t="s">
        <v>112</v>
      </c>
      <c r="F926" s="48" t="s">
        <v>72</v>
      </c>
      <c r="G926" s="48" t="s">
        <v>352</v>
      </c>
      <c r="H926" s="69">
        <f t="shared" si="14"/>
        <v>43922</v>
      </c>
    </row>
    <row r="927" spans="1:8" x14ac:dyDescent="0.25">
      <c r="A927" s="68">
        <v>43943</v>
      </c>
      <c r="B927" s="48">
        <v>1</v>
      </c>
      <c r="C927" s="48">
        <v>0</v>
      </c>
      <c r="D927" s="48">
        <v>0</v>
      </c>
      <c r="E927" s="48" t="s">
        <v>112</v>
      </c>
      <c r="F927" s="48" t="s">
        <v>72</v>
      </c>
      <c r="G927" s="48" t="s">
        <v>359</v>
      </c>
      <c r="H927" s="69">
        <f t="shared" si="14"/>
        <v>43922</v>
      </c>
    </row>
    <row r="928" spans="1:8" x14ac:dyDescent="0.25">
      <c r="A928" s="68">
        <v>43943</v>
      </c>
      <c r="B928" s="48">
        <v>39</v>
      </c>
      <c r="C928" s="48">
        <v>0</v>
      </c>
      <c r="D928" s="48">
        <v>0</v>
      </c>
      <c r="E928" s="48" t="s">
        <v>112</v>
      </c>
      <c r="F928" s="48" t="s">
        <v>72</v>
      </c>
      <c r="G928" s="48" t="s">
        <v>94</v>
      </c>
      <c r="H928" s="69">
        <f t="shared" si="14"/>
        <v>43922</v>
      </c>
    </row>
    <row r="929" spans="1:8" x14ac:dyDescent="0.25">
      <c r="A929" s="68">
        <v>43943</v>
      </c>
      <c r="B929" s="48">
        <v>1</v>
      </c>
      <c r="C929" s="48">
        <v>0</v>
      </c>
      <c r="D929" s="48">
        <v>0</v>
      </c>
      <c r="E929" s="48" t="s">
        <v>112</v>
      </c>
      <c r="F929" s="48" t="s">
        <v>72</v>
      </c>
      <c r="G929" s="48" t="s">
        <v>365</v>
      </c>
      <c r="H929" s="69">
        <f t="shared" si="14"/>
        <v>43922</v>
      </c>
    </row>
    <row r="930" spans="1:8" x14ac:dyDescent="0.25">
      <c r="A930" s="68">
        <v>43943</v>
      </c>
      <c r="B930" s="48">
        <v>1</v>
      </c>
      <c r="C930" s="48">
        <v>1</v>
      </c>
      <c r="D930" s="48">
        <v>0</v>
      </c>
      <c r="E930" s="48" t="s">
        <v>112</v>
      </c>
      <c r="F930" s="48" t="s">
        <v>72</v>
      </c>
      <c r="G930" s="48" t="s">
        <v>102</v>
      </c>
      <c r="H930" s="69">
        <f t="shared" si="14"/>
        <v>43922</v>
      </c>
    </row>
    <row r="931" spans="1:8" x14ac:dyDescent="0.25">
      <c r="A931" s="68">
        <v>43943</v>
      </c>
      <c r="B931" s="48">
        <v>1</v>
      </c>
      <c r="C931" s="48">
        <v>1</v>
      </c>
      <c r="D931" s="48">
        <v>0</v>
      </c>
      <c r="E931" s="48" t="s">
        <v>112</v>
      </c>
      <c r="F931" s="48" t="s">
        <v>72</v>
      </c>
      <c r="G931" s="48" t="s">
        <v>96</v>
      </c>
      <c r="H931" s="69">
        <f t="shared" si="14"/>
        <v>43922</v>
      </c>
    </row>
    <row r="932" spans="1:8" x14ac:dyDescent="0.25">
      <c r="A932" s="68">
        <v>43943</v>
      </c>
      <c r="B932" s="48">
        <v>1</v>
      </c>
      <c r="C932" s="48">
        <v>0</v>
      </c>
      <c r="D932" s="48">
        <v>0</v>
      </c>
      <c r="E932" s="48" t="s">
        <v>112</v>
      </c>
      <c r="F932" s="48" t="s">
        <v>72</v>
      </c>
      <c r="G932" s="48" t="s">
        <v>94</v>
      </c>
      <c r="H932" s="69">
        <f t="shared" si="14"/>
        <v>43922</v>
      </c>
    </row>
    <row r="933" spans="1:8" x14ac:dyDescent="0.25">
      <c r="A933" s="68">
        <v>43943</v>
      </c>
      <c r="B933" s="48">
        <v>1</v>
      </c>
      <c r="C933" s="48">
        <v>0</v>
      </c>
      <c r="D933" s="48">
        <v>0</v>
      </c>
      <c r="E933" s="48" t="s">
        <v>112</v>
      </c>
      <c r="F933" s="48" t="s">
        <v>72</v>
      </c>
      <c r="G933" s="48" t="s">
        <v>353</v>
      </c>
      <c r="H933" s="69">
        <f t="shared" si="14"/>
        <v>43922</v>
      </c>
    </row>
    <row r="934" spans="1:8" x14ac:dyDescent="0.25">
      <c r="A934" s="68">
        <v>43943</v>
      </c>
      <c r="B934" s="48">
        <v>262</v>
      </c>
      <c r="C934" s="48">
        <v>7</v>
      </c>
      <c r="D934" s="48">
        <v>0</v>
      </c>
      <c r="E934" s="48" t="s">
        <v>114</v>
      </c>
      <c r="F934" s="48" t="s">
        <v>71</v>
      </c>
      <c r="G934" s="48" t="s">
        <v>92</v>
      </c>
      <c r="H934" s="69">
        <f t="shared" si="14"/>
        <v>43922</v>
      </c>
    </row>
    <row r="935" spans="1:8" x14ac:dyDescent="0.25">
      <c r="A935" s="68">
        <v>43943</v>
      </c>
      <c r="B935" s="48">
        <v>2</v>
      </c>
      <c r="C935" s="48">
        <v>0</v>
      </c>
      <c r="D935" s="48">
        <v>5</v>
      </c>
      <c r="E935" s="48" t="s">
        <v>112</v>
      </c>
      <c r="F935" s="48" t="s">
        <v>70</v>
      </c>
      <c r="G935" s="48" t="s">
        <v>104</v>
      </c>
      <c r="H935" s="69">
        <f t="shared" si="14"/>
        <v>43922</v>
      </c>
    </row>
    <row r="936" spans="1:8" x14ac:dyDescent="0.25">
      <c r="A936" s="68">
        <v>43943</v>
      </c>
      <c r="B936" s="48">
        <v>78</v>
      </c>
      <c r="C936" s="48">
        <v>0</v>
      </c>
      <c r="D936" s="48">
        <v>0</v>
      </c>
      <c r="E936" s="48" t="s">
        <v>116</v>
      </c>
      <c r="F936" s="48" t="s">
        <v>70</v>
      </c>
      <c r="G936" s="48" t="s">
        <v>336</v>
      </c>
      <c r="H936" s="69">
        <f t="shared" si="14"/>
        <v>43922</v>
      </c>
    </row>
    <row r="937" spans="1:8" x14ac:dyDescent="0.25">
      <c r="A937" s="68">
        <v>43943</v>
      </c>
      <c r="B937" s="48">
        <v>12</v>
      </c>
      <c r="C937" s="48">
        <v>0</v>
      </c>
      <c r="D937" s="48">
        <v>10</v>
      </c>
      <c r="E937" s="48" t="s">
        <v>112</v>
      </c>
      <c r="F937" s="48" t="s">
        <v>70</v>
      </c>
      <c r="G937" s="48" t="s">
        <v>386</v>
      </c>
      <c r="H937" s="69">
        <f t="shared" si="14"/>
        <v>43922</v>
      </c>
    </row>
    <row r="938" spans="1:8" x14ac:dyDescent="0.25">
      <c r="A938" s="68">
        <v>43943</v>
      </c>
      <c r="B938" s="48">
        <v>10</v>
      </c>
      <c r="C938" s="48">
        <v>0</v>
      </c>
      <c r="D938" s="48">
        <v>0</v>
      </c>
      <c r="E938" s="48" t="s">
        <v>112</v>
      </c>
      <c r="F938" s="48" t="s">
        <v>70</v>
      </c>
      <c r="G938" s="48" t="s">
        <v>363</v>
      </c>
      <c r="H938" s="69">
        <f t="shared" si="14"/>
        <v>43922</v>
      </c>
    </row>
    <row r="939" spans="1:8" x14ac:dyDescent="0.25">
      <c r="A939" s="68">
        <v>43943</v>
      </c>
      <c r="B939" s="48">
        <v>6</v>
      </c>
      <c r="C939" s="48">
        <v>0</v>
      </c>
      <c r="D939" s="48">
        <v>0</v>
      </c>
      <c r="E939" s="48" t="s">
        <v>112</v>
      </c>
      <c r="F939" s="48" t="s">
        <v>70</v>
      </c>
      <c r="G939" s="48" t="s">
        <v>377</v>
      </c>
      <c r="H939" s="69">
        <f t="shared" si="14"/>
        <v>43922</v>
      </c>
    </row>
    <row r="940" spans="1:8" x14ac:dyDescent="0.25">
      <c r="A940" s="68">
        <v>43943</v>
      </c>
      <c r="B940" s="48">
        <v>2</v>
      </c>
      <c r="C940" s="48">
        <v>0</v>
      </c>
      <c r="D940" s="48">
        <v>0</v>
      </c>
      <c r="E940" s="48" t="s">
        <v>112</v>
      </c>
      <c r="F940" s="48" t="s">
        <v>70</v>
      </c>
      <c r="G940" s="48" t="s">
        <v>374</v>
      </c>
      <c r="H940" s="69">
        <f t="shared" si="14"/>
        <v>43922</v>
      </c>
    </row>
    <row r="941" spans="1:8" x14ac:dyDescent="0.25">
      <c r="A941" s="68">
        <v>43943</v>
      </c>
      <c r="B941" s="48">
        <v>4</v>
      </c>
      <c r="C941" s="48">
        <v>0</v>
      </c>
      <c r="D941" s="48">
        <v>0</v>
      </c>
      <c r="E941" s="48" t="s">
        <v>112</v>
      </c>
      <c r="F941" s="48" t="s">
        <v>70</v>
      </c>
      <c r="G941" s="48" t="s">
        <v>381</v>
      </c>
      <c r="H941" s="69">
        <f t="shared" si="14"/>
        <v>43922</v>
      </c>
    </row>
    <row r="942" spans="1:8" x14ac:dyDescent="0.25">
      <c r="A942" s="68">
        <v>43943</v>
      </c>
      <c r="B942" s="48">
        <v>38</v>
      </c>
      <c r="C942" s="48">
        <v>0</v>
      </c>
      <c r="D942" s="48">
        <v>18</v>
      </c>
      <c r="E942" s="48" t="s">
        <v>112</v>
      </c>
      <c r="F942" s="48" t="s">
        <v>70</v>
      </c>
      <c r="G942" s="48" t="s">
        <v>99</v>
      </c>
      <c r="H942" s="69">
        <f t="shared" si="14"/>
        <v>43922</v>
      </c>
    </row>
    <row r="943" spans="1:8" x14ac:dyDescent="0.25">
      <c r="A943" s="68">
        <v>43943</v>
      </c>
      <c r="B943" s="48">
        <v>155</v>
      </c>
      <c r="C943" s="48">
        <v>2</v>
      </c>
      <c r="D943" s="48">
        <v>32</v>
      </c>
      <c r="E943" s="48" t="s">
        <v>112</v>
      </c>
      <c r="F943" s="48" t="s">
        <v>70</v>
      </c>
      <c r="G943" s="48" t="s">
        <v>91</v>
      </c>
      <c r="H943" s="69">
        <f t="shared" si="14"/>
        <v>43922</v>
      </c>
    </row>
    <row r="944" spans="1:8" x14ac:dyDescent="0.25">
      <c r="A944" s="68">
        <v>43943</v>
      </c>
      <c r="B944" s="48">
        <v>15</v>
      </c>
      <c r="C944" s="48">
        <v>1</v>
      </c>
      <c r="D944" s="48">
        <v>0</v>
      </c>
      <c r="E944" s="48" t="s">
        <v>112</v>
      </c>
      <c r="F944" s="48" t="s">
        <v>70</v>
      </c>
      <c r="G944" s="48" t="s">
        <v>98</v>
      </c>
      <c r="H944" s="69">
        <f t="shared" si="14"/>
        <v>43922</v>
      </c>
    </row>
    <row r="945" spans="1:8" x14ac:dyDescent="0.25">
      <c r="A945" s="68">
        <v>43944</v>
      </c>
      <c r="B945" s="48">
        <v>4</v>
      </c>
      <c r="C945" s="48">
        <v>0</v>
      </c>
      <c r="D945" s="48">
        <v>0</v>
      </c>
      <c r="E945" s="48" t="s">
        <v>112</v>
      </c>
      <c r="F945" s="48" t="s">
        <v>76</v>
      </c>
      <c r="G945" s="48" t="s">
        <v>339</v>
      </c>
      <c r="H945" s="69">
        <f t="shared" si="14"/>
        <v>43922</v>
      </c>
    </row>
    <row r="946" spans="1:8" x14ac:dyDescent="0.25">
      <c r="A946" s="68">
        <v>43944</v>
      </c>
      <c r="B946" s="48">
        <v>55</v>
      </c>
      <c r="C946" s="48">
        <v>0</v>
      </c>
      <c r="D946" s="48">
        <v>0</v>
      </c>
      <c r="E946" s="48" t="s">
        <v>114</v>
      </c>
      <c r="F946" s="48" t="s">
        <v>73</v>
      </c>
      <c r="G946" s="48" t="s">
        <v>93</v>
      </c>
      <c r="H946" s="69">
        <f t="shared" si="14"/>
        <v>43922</v>
      </c>
    </row>
    <row r="947" spans="1:8" x14ac:dyDescent="0.25">
      <c r="A947" s="68">
        <v>43944</v>
      </c>
      <c r="B947" s="48">
        <v>10</v>
      </c>
      <c r="C947" s="48">
        <v>0</v>
      </c>
      <c r="D947" s="48">
        <v>0</v>
      </c>
      <c r="E947" s="48" t="s">
        <v>112</v>
      </c>
      <c r="F947" s="48" t="s">
        <v>75</v>
      </c>
      <c r="G947" s="48" t="s">
        <v>103</v>
      </c>
      <c r="H947" s="69">
        <f t="shared" si="14"/>
        <v>43922</v>
      </c>
    </row>
    <row r="948" spans="1:8" x14ac:dyDescent="0.25">
      <c r="A948" s="68">
        <v>43944</v>
      </c>
      <c r="B948" s="48">
        <v>10</v>
      </c>
      <c r="C948" s="48">
        <v>0</v>
      </c>
      <c r="D948" s="48">
        <v>0</v>
      </c>
      <c r="E948" s="48" t="s">
        <v>112</v>
      </c>
      <c r="F948" s="48" t="s">
        <v>74</v>
      </c>
      <c r="G948" s="48" t="s">
        <v>95</v>
      </c>
      <c r="H948" s="69">
        <f t="shared" si="14"/>
        <v>43922</v>
      </c>
    </row>
    <row r="949" spans="1:8" x14ac:dyDescent="0.25">
      <c r="A949" s="68">
        <v>43944</v>
      </c>
      <c r="B949" s="48">
        <v>14</v>
      </c>
      <c r="C949" s="48">
        <v>1</v>
      </c>
      <c r="D949" s="48">
        <v>3</v>
      </c>
      <c r="E949" s="48" t="s">
        <v>112</v>
      </c>
      <c r="F949" s="48" t="s">
        <v>72</v>
      </c>
      <c r="G949" s="48" t="s">
        <v>94</v>
      </c>
      <c r="H949" s="69">
        <f t="shared" si="14"/>
        <v>43922</v>
      </c>
    </row>
    <row r="950" spans="1:8" x14ac:dyDescent="0.25">
      <c r="A950" s="68">
        <v>43944</v>
      </c>
      <c r="B950" s="48">
        <v>7</v>
      </c>
      <c r="C950" s="48">
        <v>1</v>
      </c>
      <c r="D950" s="48">
        <v>5</v>
      </c>
      <c r="E950" s="48" t="s">
        <v>112</v>
      </c>
      <c r="F950" s="48" t="s">
        <v>72</v>
      </c>
      <c r="G950" s="48" t="s">
        <v>341</v>
      </c>
      <c r="H950" s="69">
        <f t="shared" si="14"/>
        <v>43922</v>
      </c>
    </row>
    <row r="951" spans="1:8" x14ac:dyDescent="0.25">
      <c r="A951" s="68">
        <v>43944</v>
      </c>
      <c r="B951" s="48">
        <v>1</v>
      </c>
      <c r="C951" s="48">
        <v>0</v>
      </c>
      <c r="D951" s="48">
        <v>0</v>
      </c>
      <c r="E951" s="48" t="s">
        <v>112</v>
      </c>
      <c r="F951" s="48" t="s">
        <v>72</v>
      </c>
      <c r="G951" s="48" t="s">
        <v>338</v>
      </c>
      <c r="H951" s="69">
        <f t="shared" si="14"/>
        <v>43922</v>
      </c>
    </row>
    <row r="952" spans="1:8" x14ac:dyDescent="0.25">
      <c r="A952" s="68">
        <v>43944</v>
      </c>
      <c r="B952" s="48">
        <v>0</v>
      </c>
      <c r="C952" s="48">
        <v>0</v>
      </c>
      <c r="D952" s="48">
        <v>6</v>
      </c>
      <c r="E952" s="48" t="s">
        <v>112</v>
      </c>
      <c r="F952" s="48" t="s">
        <v>72</v>
      </c>
      <c r="G952" s="48" t="s">
        <v>343</v>
      </c>
      <c r="H952" s="69">
        <f t="shared" si="14"/>
        <v>43922</v>
      </c>
    </row>
    <row r="953" spans="1:8" x14ac:dyDescent="0.25">
      <c r="A953" s="68">
        <v>43944</v>
      </c>
      <c r="B953" s="48">
        <v>0</v>
      </c>
      <c r="C953" s="48">
        <v>0</v>
      </c>
      <c r="D953" s="48">
        <v>0</v>
      </c>
      <c r="E953" s="48" t="s">
        <v>112</v>
      </c>
      <c r="F953" s="48" t="s">
        <v>72</v>
      </c>
      <c r="G953" s="48" t="s">
        <v>400</v>
      </c>
      <c r="H953" s="69">
        <f t="shared" si="14"/>
        <v>43922</v>
      </c>
    </row>
    <row r="954" spans="1:8" x14ac:dyDescent="0.25">
      <c r="A954" s="68">
        <v>43944</v>
      </c>
      <c r="B954" s="48">
        <v>1</v>
      </c>
      <c r="C954" s="48">
        <v>0</v>
      </c>
      <c r="D954" s="48">
        <v>10</v>
      </c>
      <c r="E954" s="48" t="s">
        <v>112</v>
      </c>
      <c r="F954" s="48" t="s">
        <v>72</v>
      </c>
      <c r="G954" s="48" t="s">
        <v>102</v>
      </c>
      <c r="H954" s="69">
        <f t="shared" si="14"/>
        <v>43922</v>
      </c>
    </row>
    <row r="955" spans="1:8" x14ac:dyDescent="0.25">
      <c r="A955" s="68">
        <v>43944</v>
      </c>
      <c r="B955" s="48">
        <v>0</v>
      </c>
      <c r="C955" s="48">
        <v>0</v>
      </c>
      <c r="D955" s="48">
        <v>2</v>
      </c>
      <c r="E955" s="48" t="s">
        <v>112</v>
      </c>
      <c r="F955" s="48" t="s">
        <v>72</v>
      </c>
      <c r="G955" s="48" t="s">
        <v>355</v>
      </c>
      <c r="H955" s="69">
        <f t="shared" si="14"/>
        <v>43922</v>
      </c>
    </row>
    <row r="956" spans="1:8" x14ac:dyDescent="0.25">
      <c r="A956" s="68">
        <v>43944</v>
      </c>
      <c r="B956" s="48">
        <v>3</v>
      </c>
      <c r="C956" s="48">
        <v>0</v>
      </c>
      <c r="D956" s="48">
        <v>10</v>
      </c>
      <c r="E956" s="48" t="s">
        <v>112</v>
      </c>
      <c r="F956" s="48" t="s">
        <v>72</v>
      </c>
      <c r="G956" s="48" t="s">
        <v>96</v>
      </c>
      <c r="H956" s="69">
        <f t="shared" si="14"/>
        <v>43922</v>
      </c>
    </row>
    <row r="957" spans="1:8" x14ac:dyDescent="0.25">
      <c r="A957" s="68">
        <v>43944</v>
      </c>
      <c r="B957" s="48">
        <v>4</v>
      </c>
      <c r="C957" s="48">
        <v>0</v>
      </c>
      <c r="D957" s="48">
        <v>11</v>
      </c>
      <c r="E957" s="48" t="s">
        <v>112</v>
      </c>
      <c r="F957" s="48" t="s">
        <v>72</v>
      </c>
      <c r="G957" s="48" t="s">
        <v>347</v>
      </c>
      <c r="H957" s="69">
        <f t="shared" si="14"/>
        <v>43922</v>
      </c>
    </row>
    <row r="958" spans="1:8" x14ac:dyDescent="0.25">
      <c r="A958" s="68">
        <v>43944</v>
      </c>
      <c r="B958" s="48">
        <v>3</v>
      </c>
      <c r="C958" s="48">
        <v>0</v>
      </c>
      <c r="D958" s="48">
        <v>2</v>
      </c>
      <c r="E958" s="48" t="s">
        <v>112</v>
      </c>
      <c r="F958" s="48" t="s">
        <v>72</v>
      </c>
      <c r="G958" s="48" t="s">
        <v>335</v>
      </c>
      <c r="H958" s="69">
        <f t="shared" si="14"/>
        <v>43922</v>
      </c>
    </row>
    <row r="959" spans="1:8" x14ac:dyDescent="0.25">
      <c r="A959" s="68">
        <v>43944</v>
      </c>
      <c r="B959" s="48">
        <v>0</v>
      </c>
      <c r="C959" s="48">
        <v>0</v>
      </c>
      <c r="D959" s="48">
        <v>25</v>
      </c>
      <c r="E959" s="48" t="s">
        <v>112</v>
      </c>
      <c r="F959" s="48" t="s">
        <v>72</v>
      </c>
      <c r="G959" s="48" t="s">
        <v>342</v>
      </c>
      <c r="H959" s="69">
        <f t="shared" si="14"/>
        <v>43922</v>
      </c>
    </row>
    <row r="960" spans="1:8" x14ac:dyDescent="0.25">
      <c r="A960" s="68">
        <v>43944</v>
      </c>
      <c r="B960" s="48">
        <v>4</v>
      </c>
      <c r="C960" s="48">
        <v>0</v>
      </c>
      <c r="D960" s="48">
        <v>4</v>
      </c>
      <c r="E960" s="48" t="s">
        <v>112</v>
      </c>
      <c r="F960" s="48" t="s">
        <v>72</v>
      </c>
      <c r="G960" s="48" t="s">
        <v>353</v>
      </c>
      <c r="H960" s="69">
        <f t="shared" si="14"/>
        <v>43922</v>
      </c>
    </row>
    <row r="961" spans="1:8" x14ac:dyDescent="0.25">
      <c r="A961" s="68">
        <v>43944</v>
      </c>
      <c r="B961" s="48">
        <v>6</v>
      </c>
      <c r="C961" s="48">
        <v>0</v>
      </c>
      <c r="D961" s="48">
        <v>0</v>
      </c>
      <c r="E961" s="48" t="s">
        <v>112</v>
      </c>
      <c r="F961" s="48" t="s">
        <v>72</v>
      </c>
      <c r="G961" s="48" t="s">
        <v>101</v>
      </c>
      <c r="H961" s="69">
        <f t="shared" si="14"/>
        <v>43922</v>
      </c>
    </row>
    <row r="962" spans="1:8" x14ac:dyDescent="0.25">
      <c r="A962" s="68">
        <v>43944</v>
      </c>
      <c r="B962" s="48">
        <v>0</v>
      </c>
      <c r="C962" s="48">
        <v>0</v>
      </c>
      <c r="D962" s="48">
        <v>0</v>
      </c>
      <c r="E962" s="48" t="s">
        <v>112</v>
      </c>
      <c r="F962" s="48" t="s">
        <v>72</v>
      </c>
      <c r="G962" s="48" t="s">
        <v>387</v>
      </c>
      <c r="H962" s="69">
        <f t="shared" ref="H962:H1025" si="15">DATE(YEAR(A962),MONTH(A962),1)</f>
        <v>43922</v>
      </c>
    </row>
    <row r="963" spans="1:8" x14ac:dyDescent="0.25">
      <c r="A963" s="68">
        <v>43944</v>
      </c>
      <c r="B963" s="48">
        <v>0</v>
      </c>
      <c r="C963" s="48">
        <v>0</v>
      </c>
      <c r="D963" s="48">
        <v>0</v>
      </c>
      <c r="E963" s="48" t="s">
        <v>112</v>
      </c>
      <c r="F963" s="48" t="s">
        <v>72</v>
      </c>
      <c r="G963" s="48" t="s">
        <v>406</v>
      </c>
      <c r="H963" s="69">
        <f t="shared" si="15"/>
        <v>43922</v>
      </c>
    </row>
    <row r="964" spans="1:8" x14ac:dyDescent="0.25">
      <c r="A964" s="68">
        <v>43944</v>
      </c>
      <c r="B964" s="48">
        <v>3</v>
      </c>
      <c r="C964" s="48">
        <v>0</v>
      </c>
      <c r="D964" s="48">
        <v>0</v>
      </c>
      <c r="E964" s="48" t="s">
        <v>112</v>
      </c>
      <c r="F964" s="48" t="s">
        <v>72</v>
      </c>
      <c r="G964" s="48" t="s">
        <v>344</v>
      </c>
      <c r="H964" s="69">
        <f t="shared" si="15"/>
        <v>43922</v>
      </c>
    </row>
    <row r="965" spans="1:8" x14ac:dyDescent="0.25">
      <c r="A965" s="68">
        <v>43944</v>
      </c>
      <c r="B965" s="48">
        <v>2</v>
      </c>
      <c r="C965" s="48">
        <v>0</v>
      </c>
      <c r="D965" s="48">
        <v>1</v>
      </c>
      <c r="E965" s="48" t="s">
        <v>112</v>
      </c>
      <c r="F965" s="48" t="s">
        <v>72</v>
      </c>
      <c r="G965" s="48" t="s">
        <v>354</v>
      </c>
      <c r="H965" s="69">
        <f t="shared" si="15"/>
        <v>43922</v>
      </c>
    </row>
    <row r="966" spans="1:8" x14ac:dyDescent="0.25">
      <c r="A966" s="68">
        <v>43944</v>
      </c>
      <c r="B966" s="48">
        <v>0</v>
      </c>
      <c r="C966" s="48">
        <v>0</v>
      </c>
      <c r="D966" s="48">
        <v>1</v>
      </c>
      <c r="E966" s="48" t="s">
        <v>112</v>
      </c>
      <c r="F966" s="48" t="s">
        <v>72</v>
      </c>
      <c r="G966" s="48" t="s">
        <v>337</v>
      </c>
      <c r="H966" s="69">
        <f t="shared" si="15"/>
        <v>43922</v>
      </c>
    </row>
    <row r="967" spans="1:8" x14ac:dyDescent="0.25">
      <c r="A967" s="68">
        <v>43944</v>
      </c>
      <c r="B967" s="48">
        <v>0</v>
      </c>
      <c r="C967" s="48">
        <v>0</v>
      </c>
      <c r="D967" s="48">
        <v>0</v>
      </c>
      <c r="E967" s="48" t="s">
        <v>112</v>
      </c>
      <c r="F967" s="48" t="s">
        <v>72</v>
      </c>
      <c r="G967" s="48" t="s">
        <v>356</v>
      </c>
      <c r="H967" s="69">
        <f t="shared" si="15"/>
        <v>43922</v>
      </c>
    </row>
    <row r="968" spans="1:8" x14ac:dyDescent="0.25">
      <c r="A968" s="68">
        <v>43944</v>
      </c>
      <c r="B968" s="48">
        <v>0</v>
      </c>
      <c r="C968" s="48">
        <v>0</v>
      </c>
      <c r="D968" s="48">
        <v>0</v>
      </c>
      <c r="E968" s="48" t="s">
        <v>112</v>
      </c>
      <c r="F968" s="48" t="s">
        <v>72</v>
      </c>
      <c r="G968" s="48" t="s">
        <v>429</v>
      </c>
      <c r="H968" s="69">
        <f t="shared" si="15"/>
        <v>43922</v>
      </c>
    </row>
    <row r="969" spans="1:8" x14ac:dyDescent="0.25">
      <c r="A969" s="68">
        <v>43944</v>
      </c>
      <c r="B969" s="48">
        <v>1</v>
      </c>
      <c r="C969" s="48">
        <v>0</v>
      </c>
      <c r="D969" s="48">
        <v>0</v>
      </c>
      <c r="E969" s="48" t="s">
        <v>112</v>
      </c>
      <c r="F969" s="48" t="s">
        <v>72</v>
      </c>
      <c r="G969" s="48" t="s">
        <v>431</v>
      </c>
      <c r="H969" s="69">
        <f t="shared" si="15"/>
        <v>43922</v>
      </c>
    </row>
    <row r="970" spans="1:8" x14ac:dyDescent="0.25">
      <c r="A970" s="68">
        <v>43944</v>
      </c>
      <c r="B970" s="48">
        <v>0</v>
      </c>
      <c r="C970" s="48">
        <v>0</v>
      </c>
      <c r="D970" s="48">
        <v>0</v>
      </c>
      <c r="E970" s="48" t="s">
        <v>112</v>
      </c>
      <c r="F970" s="48" t="s">
        <v>72</v>
      </c>
      <c r="G970" s="48" t="s">
        <v>426</v>
      </c>
      <c r="H970" s="69">
        <f t="shared" si="15"/>
        <v>43922</v>
      </c>
    </row>
    <row r="971" spans="1:8" x14ac:dyDescent="0.25">
      <c r="A971" s="68">
        <v>43944</v>
      </c>
      <c r="B971" s="48">
        <v>0</v>
      </c>
      <c r="C971" s="48">
        <v>0</v>
      </c>
      <c r="D971" s="48">
        <v>0</v>
      </c>
      <c r="E971" s="48" t="s">
        <v>112</v>
      </c>
      <c r="F971" s="48" t="s">
        <v>72</v>
      </c>
      <c r="G971" s="48" t="s">
        <v>436</v>
      </c>
      <c r="H971" s="69">
        <f t="shared" si="15"/>
        <v>43922</v>
      </c>
    </row>
    <row r="972" spans="1:8" x14ac:dyDescent="0.25">
      <c r="A972" s="68">
        <v>43944</v>
      </c>
      <c r="B972" s="48">
        <v>1</v>
      </c>
      <c r="C972" s="48">
        <v>0</v>
      </c>
      <c r="D972" s="48">
        <v>0</v>
      </c>
      <c r="E972" s="48" t="s">
        <v>112</v>
      </c>
      <c r="F972" s="48" t="s">
        <v>72</v>
      </c>
      <c r="G972" s="48" t="s">
        <v>357</v>
      </c>
      <c r="H972" s="69">
        <f t="shared" si="15"/>
        <v>43922</v>
      </c>
    </row>
    <row r="973" spans="1:8" x14ac:dyDescent="0.25">
      <c r="A973" s="68">
        <v>43944</v>
      </c>
      <c r="B973" s="48">
        <v>2</v>
      </c>
      <c r="C973" s="48">
        <v>0</v>
      </c>
      <c r="D973" s="48">
        <v>15</v>
      </c>
      <c r="E973" s="48" t="s">
        <v>112</v>
      </c>
      <c r="F973" s="48" t="s">
        <v>72</v>
      </c>
      <c r="G973" s="48" t="s">
        <v>358</v>
      </c>
      <c r="H973" s="69">
        <f t="shared" si="15"/>
        <v>43922</v>
      </c>
    </row>
    <row r="974" spans="1:8" x14ac:dyDescent="0.25">
      <c r="A974" s="68">
        <v>43944</v>
      </c>
      <c r="B974" s="48">
        <v>0</v>
      </c>
      <c r="C974" s="48">
        <v>0</v>
      </c>
      <c r="D974" s="48">
        <v>4</v>
      </c>
      <c r="E974" s="48" t="s">
        <v>112</v>
      </c>
      <c r="F974" s="48" t="s">
        <v>72</v>
      </c>
      <c r="G974" s="48" t="s">
        <v>399</v>
      </c>
      <c r="H974" s="69">
        <f t="shared" si="15"/>
        <v>43922</v>
      </c>
    </row>
    <row r="975" spans="1:8" x14ac:dyDescent="0.25">
      <c r="A975" s="68">
        <v>43944</v>
      </c>
      <c r="B975" s="48">
        <v>2</v>
      </c>
      <c r="C975" s="48">
        <v>0</v>
      </c>
      <c r="D975" s="48">
        <v>2</v>
      </c>
      <c r="E975" s="48" t="s">
        <v>112</v>
      </c>
      <c r="F975" s="48" t="s">
        <v>72</v>
      </c>
      <c r="G975" s="48" t="s">
        <v>352</v>
      </c>
      <c r="H975" s="69">
        <f t="shared" si="15"/>
        <v>43922</v>
      </c>
    </row>
    <row r="976" spans="1:8" x14ac:dyDescent="0.25">
      <c r="A976" s="68">
        <v>43944</v>
      </c>
      <c r="B976" s="48">
        <v>0</v>
      </c>
      <c r="C976" s="48">
        <v>0</v>
      </c>
      <c r="D976" s="48">
        <v>0</v>
      </c>
      <c r="E976" s="48" t="s">
        <v>112</v>
      </c>
      <c r="F976" s="48" t="s">
        <v>72</v>
      </c>
      <c r="G976" s="48" t="s">
        <v>359</v>
      </c>
      <c r="H976" s="69">
        <f t="shared" si="15"/>
        <v>43922</v>
      </c>
    </row>
    <row r="977" spans="1:8" x14ac:dyDescent="0.25">
      <c r="A977" s="68">
        <v>43944</v>
      </c>
      <c r="B977" s="48">
        <v>0</v>
      </c>
      <c r="C977" s="48">
        <v>0</v>
      </c>
      <c r="D977" s="48">
        <v>2</v>
      </c>
      <c r="E977" s="48" t="s">
        <v>112</v>
      </c>
      <c r="F977" s="48" t="s">
        <v>72</v>
      </c>
      <c r="G977" s="48" t="s">
        <v>410</v>
      </c>
      <c r="H977" s="69">
        <f t="shared" si="15"/>
        <v>43922</v>
      </c>
    </row>
    <row r="978" spans="1:8" x14ac:dyDescent="0.25">
      <c r="A978" s="68">
        <v>43944</v>
      </c>
      <c r="B978" s="48">
        <v>0</v>
      </c>
      <c r="C978" s="48">
        <v>0</v>
      </c>
      <c r="D978" s="48">
        <v>11</v>
      </c>
      <c r="E978" s="48" t="s">
        <v>112</v>
      </c>
      <c r="F978" s="48" t="s">
        <v>72</v>
      </c>
      <c r="G978" s="48" t="s">
        <v>365</v>
      </c>
      <c r="H978" s="69">
        <f t="shared" si="15"/>
        <v>43922</v>
      </c>
    </row>
    <row r="979" spans="1:8" x14ac:dyDescent="0.25">
      <c r="A979" s="68">
        <v>43944</v>
      </c>
      <c r="B979" s="48">
        <v>0</v>
      </c>
      <c r="C979" s="48">
        <v>0</v>
      </c>
      <c r="D979" s="48">
        <v>0</v>
      </c>
      <c r="E979" s="48" t="s">
        <v>112</v>
      </c>
      <c r="F979" s="48" t="s">
        <v>72</v>
      </c>
      <c r="G979" s="48" t="s">
        <v>408</v>
      </c>
      <c r="H979" s="69">
        <f t="shared" si="15"/>
        <v>43922</v>
      </c>
    </row>
    <row r="980" spans="1:8" x14ac:dyDescent="0.25">
      <c r="A980" s="68">
        <v>43944</v>
      </c>
      <c r="B980" s="48">
        <v>0</v>
      </c>
      <c r="C980" s="48">
        <v>0</v>
      </c>
      <c r="D980" s="48">
        <v>1</v>
      </c>
      <c r="E980" s="48" t="s">
        <v>112</v>
      </c>
      <c r="F980" s="48" t="s">
        <v>72</v>
      </c>
      <c r="G980" s="48" t="s">
        <v>411</v>
      </c>
      <c r="H980" s="69">
        <f t="shared" si="15"/>
        <v>43922</v>
      </c>
    </row>
    <row r="981" spans="1:8" x14ac:dyDescent="0.25">
      <c r="A981" s="68">
        <v>43944</v>
      </c>
      <c r="B981" s="48">
        <v>2</v>
      </c>
      <c r="C981" s="48">
        <v>0</v>
      </c>
      <c r="D981" s="48">
        <v>2</v>
      </c>
      <c r="E981" s="48" t="s">
        <v>112</v>
      </c>
      <c r="F981" s="48" t="s">
        <v>72</v>
      </c>
      <c r="G981" s="48" t="s">
        <v>351</v>
      </c>
      <c r="H981" s="69">
        <f t="shared" si="15"/>
        <v>43922</v>
      </c>
    </row>
    <row r="982" spans="1:8" x14ac:dyDescent="0.25">
      <c r="A982" s="68">
        <v>43944</v>
      </c>
      <c r="B982" s="48">
        <v>0</v>
      </c>
      <c r="C982" s="48">
        <v>0</v>
      </c>
      <c r="D982" s="48">
        <v>0</v>
      </c>
      <c r="E982" s="48" t="s">
        <v>112</v>
      </c>
      <c r="F982" s="48" t="s">
        <v>72</v>
      </c>
      <c r="G982" s="48" t="s">
        <v>417</v>
      </c>
      <c r="H982" s="69">
        <f t="shared" si="15"/>
        <v>43922</v>
      </c>
    </row>
    <row r="983" spans="1:8" x14ac:dyDescent="0.25">
      <c r="A983" s="68">
        <v>43944</v>
      </c>
      <c r="B983" s="48">
        <v>0</v>
      </c>
      <c r="C983" s="48">
        <v>0</v>
      </c>
      <c r="D983" s="48">
        <v>1</v>
      </c>
      <c r="E983" s="48" t="s">
        <v>112</v>
      </c>
      <c r="F983" s="48" t="s">
        <v>72</v>
      </c>
      <c r="G983" s="48" t="s">
        <v>420</v>
      </c>
      <c r="H983" s="69">
        <f t="shared" si="15"/>
        <v>43922</v>
      </c>
    </row>
    <row r="984" spans="1:8" x14ac:dyDescent="0.25">
      <c r="A984" s="68">
        <v>43944</v>
      </c>
      <c r="B984" s="48">
        <v>23</v>
      </c>
      <c r="C984" s="48">
        <v>0</v>
      </c>
      <c r="D984" s="48">
        <v>0</v>
      </c>
      <c r="E984" s="48" t="s">
        <v>121</v>
      </c>
      <c r="F984" s="48" t="s">
        <v>72</v>
      </c>
      <c r="G984" s="48" t="s">
        <v>94</v>
      </c>
      <c r="H984" s="69">
        <f t="shared" si="15"/>
        <v>43922</v>
      </c>
    </row>
    <row r="985" spans="1:8" x14ac:dyDescent="0.25">
      <c r="A985" s="68">
        <v>43944</v>
      </c>
      <c r="B985" s="48">
        <v>8</v>
      </c>
      <c r="C985" s="48">
        <v>0</v>
      </c>
      <c r="D985" s="48">
        <v>0</v>
      </c>
      <c r="E985" s="48" t="s">
        <v>122</v>
      </c>
      <c r="F985" s="48" t="s">
        <v>72</v>
      </c>
      <c r="G985" s="48" t="s">
        <v>94</v>
      </c>
      <c r="H985" s="69">
        <f t="shared" si="15"/>
        <v>43922</v>
      </c>
    </row>
    <row r="986" spans="1:8" x14ac:dyDescent="0.25">
      <c r="A986" s="68">
        <v>43944</v>
      </c>
      <c r="B986" s="48">
        <v>177</v>
      </c>
      <c r="C986" s="48">
        <v>2</v>
      </c>
      <c r="D986" s="48">
        <v>115</v>
      </c>
      <c r="E986" s="48" t="s">
        <v>114</v>
      </c>
      <c r="F986" s="48" t="s">
        <v>71</v>
      </c>
      <c r="G986" s="48" t="s">
        <v>92</v>
      </c>
      <c r="H986" s="69">
        <f t="shared" si="15"/>
        <v>43922</v>
      </c>
    </row>
    <row r="987" spans="1:8" x14ac:dyDescent="0.25">
      <c r="A987" s="68">
        <v>43944</v>
      </c>
      <c r="B987" s="48">
        <v>242</v>
      </c>
      <c r="C987" s="48">
        <v>3</v>
      </c>
      <c r="D987" s="48">
        <v>0</v>
      </c>
      <c r="E987" s="48" t="s">
        <v>112</v>
      </c>
      <c r="F987" s="48" t="s">
        <v>70</v>
      </c>
      <c r="G987" s="48" t="s">
        <v>91</v>
      </c>
      <c r="H987" s="69">
        <f t="shared" si="15"/>
        <v>43922</v>
      </c>
    </row>
    <row r="988" spans="1:8" x14ac:dyDescent="0.25">
      <c r="A988" s="68">
        <v>43944</v>
      </c>
      <c r="B988" s="48">
        <v>1</v>
      </c>
      <c r="C988" s="48">
        <v>0</v>
      </c>
      <c r="D988" s="48">
        <v>0</v>
      </c>
      <c r="E988" s="48" t="s">
        <v>112</v>
      </c>
      <c r="F988" s="48" t="s">
        <v>70</v>
      </c>
      <c r="G988" s="48" t="s">
        <v>336</v>
      </c>
      <c r="H988" s="69">
        <f t="shared" si="15"/>
        <v>43922</v>
      </c>
    </row>
    <row r="989" spans="1:8" x14ac:dyDescent="0.25">
      <c r="A989" s="68">
        <v>43944</v>
      </c>
      <c r="B989" s="48">
        <v>14</v>
      </c>
      <c r="C989" s="48">
        <v>1</v>
      </c>
      <c r="D989" s="48">
        <v>0</v>
      </c>
      <c r="E989" s="48" t="s">
        <v>112</v>
      </c>
      <c r="F989" s="48" t="s">
        <v>70</v>
      </c>
      <c r="G989" s="48" t="s">
        <v>349</v>
      </c>
      <c r="H989" s="69">
        <f t="shared" si="15"/>
        <v>43922</v>
      </c>
    </row>
    <row r="990" spans="1:8" x14ac:dyDescent="0.25">
      <c r="A990" s="68">
        <v>43944</v>
      </c>
      <c r="B990" s="48">
        <v>1</v>
      </c>
      <c r="C990" s="48">
        <v>0</v>
      </c>
      <c r="D990" s="48">
        <v>0</v>
      </c>
      <c r="E990" s="48" t="s">
        <v>112</v>
      </c>
      <c r="F990" s="48" t="s">
        <v>70</v>
      </c>
      <c r="G990" s="48" t="s">
        <v>388</v>
      </c>
      <c r="H990" s="69">
        <f t="shared" si="15"/>
        <v>43922</v>
      </c>
    </row>
    <row r="991" spans="1:8" x14ac:dyDescent="0.25">
      <c r="A991" s="68">
        <v>43944</v>
      </c>
      <c r="B991" s="48">
        <v>1</v>
      </c>
      <c r="C991" s="48">
        <v>0</v>
      </c>
      <c r="D991" s="48">
        <v>0</v>
      </c>
      <c r="E991" s="48" t="s">
        <v>112</v>
      </c>
      <c r="F991" s="48" t="s">
        <v>70</v>
      </c>
      <c r="G991" s="48" t="s">
        <v>374</v>
      </c>
      <c r="H991" s="69">
        <f t="shared" si="15"/>
        <v>43922</v>
      </c>
    </row>
    <row r="992" spans="1:8" x14ac:dyDescent="0.25">
      <c r="A992" s="68">
        <v>43944</v>
      </c>
      <c r="B992" s="48">
        <v>1</v>
      </c>
      <c r="C992" s="48">
        <v>0</v>
      </c>
      <c r="D992" s="48">
        <v>0</v>
      </c>
      <c r="E992" s="48" t="s">
        <v>112</v>
      </c>
      <c r="F992" s="48" t="s">
        <v>70</v>
      </c>
      <c r="G992" s="48" t="s">
        <v>105</v>
      </c>
      <c r="H992" s="69">
        <f t="shared" si="15"/>
        <v>43922</v>
      </c>
    </row>
    <row r="993" spans="1:8" x14ac:dyDescent="0.25">
      <c r="A993" s="68">
        <v>43944</v>
      </c>
      <c r="B993" s="48">
        <v>25</v>
      </c>
      <c r="C993" s="48">
        <v>0</v>
      </c>
      <c r="D993" s="48">
        <v>8</v>
      </c>
      <c r="E993" s="48" t="s">
        <v>112</v>
      </c>
      <c r="F993" s="48" t="s">
        <v>70</v>
      </c>
      <c r="G993" s="48" t="s">
        <v>98</v>
      </c>
      <c r="H993" s="69">
        <f t="shared" si="15"/>
        <v>43922</v>
      </c>
    </row>
    <row r="994" spans="1:8" x14ac:dyDescent="0.25">
      <c r="A994" s="68">
        <v>43944</v>
      </c>
      <c r="B994" s="48">
        <v>11</v>
      </c>
      <c r="C994" s="48">
        <v>0</v>
      </c>
      <c r="D994" s="48">
        <v>1</v>
      </c>
      <c r="E994" s="48" t="s">
        <v>112</v>
      </c>
      <c r="F994" s="48" t="s">
        <v>70</v>
      </c>
      <c r="G994" s="48" t="s">
        <v>104</v>
      </c>
      <c r="H994" s="69">
        <f t="shared" si="15"/>
        <v>43922</v>
      </c>
    </row>
    <row r="995" spans="1:8" x14ac:dyDescent="0.25">
      <c r="A995" s="68">
        <v>43944</v>
      </c>
      <c r="B995" s="48">
        <v>1</v>
      </c>
      <c r="C995" s="48">
        <v>0</v>
      </c>
      <c r="D995" s="48">
        <v>1</v>
      </c>
      <c r="E995" s="48" t="s">
        <v>112</v>
      </c>
      <c r="F995" s="48" t="s">
        <v>70</v>
      </c>
      <c r="G995" s="48" t="s">
        <v>379</v>
      </c>
      <c r="H995" s="69">
        <f t="shared" si="15"/>
        <v>43922</v>
      </c>
    </row>
    <row r="996" spans="1:8" x14ac:dyDescent="0.25">
      <c r="A996" s="68">
        <v>43944</v>
      </c>
      <c r="B996" s="48">
        <v>1</v>
      </c>
      <c r="C996" s="48">
        <v>0</v>
      </c>
      <c r="D996" s="48">
        <v>1</v>
      </c>
      <c r="E996" s="48" t="s">
        <v>112</v>
      </c>
      <c r="F996" s="48" t="s">
        <v>70</v>
      </c>
      <c r="G996" s="48" t="s">
        <v>367</v>
      </c>
      <c r="H996" s="69">
        <f t="shared" si="15"/>
        <v>43922</v>
      </c>
    </row>
    <row r="997" spans="1:8" x14ac:dyDescent="0.25">
      <c r="A997" s="68">
        <v>43944</v>
      </c>
      <c r="B997" s="48">
        <v>0</v>
      </c>
      <c r="C997" s="48">
        <v>0</v>
      </c>
      <c r="D997" s="48">
        <v>17</v>
      </c>
      <c r="E997" s="48" t="s">
        <v>112</v>
      </c>
      <c r="F997" s="48" t="s">
        <v>70</v>
      </c>
      <c r="G997" s="48" t="s">
        <v>99</v>
      </c>
      <c r="H997" s="69">
        <f t="shared" si="15"/>
        <v>43922</v>
      </c>
    </row>
    <row r="998" spans="1:8" x14ac:dyDescent="0.25">
      <c r="A998" s="68">
        <v>43944</v>
      </c>
      <c r="B998" s="48">
        <v>0</v>
      </c>
      <c r="C998" s="48">
        <v>0</v>
      </c>
      <c r="D998" s="48">
        <v>5</v>
      </c>
      <c r="E998" s="48" t="s">
        <v>112</v>
      </c>
      <c r="F998" s="48" t="s">
        <v>70</v>
      </c>
      <c r="G998" s="48" t="s">
        <v>386</v>
      </c>
      <c r="H998" s="69">
        <f t="shared" si="15"/>
        <v>43922</v>
      </c>
    </row>
    <row r="999" spans="1:8" x14ac:dyDescent="0.25">
      <c r="A999" s="68">
        <v>43945</v>
      </c>
      <c r="B999" s="48">
        <v>49</v>
      </c>
      <c r="C999" s="48">
        <v>2</v>
      </c>
      <c r="D999" s="48">
        <v>0</v>
      </c>
      <c r="E999" s="48" t="s">
        <v>112</v>
      </c>
      <c r="F999" s="48" t="s">
        <v>73</v>
      </c>
      <c r="G999" s="48" t="s">
        <v>93</v>
      </c>
      <c r="H999" s="69">
        <f t="shared" si="15"/>
        <v>43922</v>
      </c>
    </row>
    <row r="1000" spans="1:8" x14ac:dyDescent="0.25">
      <c r="A1000" s="68">
        <v>43945</v>
      </c>
      <c r="B1000" s="48">
        <v>7</v>
      </c>
      <c r="C1000" s="48">
        <v>0</v>
      </c>
      <c r="D1000" s="48">
        <v>0</v>
      </c>
      <c r="E1000" s="48" t="s">
        <v>112</v>
      </c>
      <c r="F1000" s="48" t="s">
        <v>75</v>
      </c>
      <c r="G1000" s="48" t="s">
        <v>103</v>
      </c>
      <c r="H1000" s="69">
        <f t="shared" si="15"/>
        <v>43922</v>
      </c>
    </row>
    <row r="1001" spans="1:8" x14ac:dyDescent="0.25">
      <c r="A1001" s="68">
        <v>43945</v>
      </c>
      <c r="B1001" s="48">
        <v>10</v>
      </c>
      <c r="C1001" s="48">
        <v>0</v>
      </c>
      <c r="D1001" s="48">
        <v>0</v>
      </c>
      <c r="E1001" s="48" t="s">
        <v>112</v>
      </c>
      <c r="F1001" s="48" t="s">
        <v>74</v>
      </c>
      <c r="G1001" s="48" t="s">
        <v>95</v>
      </c>
      <c r="H1001" s="69">
        <f t="shared" si="15"/>
        <v>43922</v>
      </c>
    </row>
    <row r="1002" spans="1:8" x14ac:dyDescent="0.25">
      <c r="A1002" s="68">
        <v>43945</v>
      </c>
      <c r="B1002" s="48">
        <v>0</v>
      </c>
      <c r="C1002" s="48">
        <v>0</v>
      </c>
      <c r="D1002" s="48">
        <v>56</v>
      </c>
      <c r="E1002" s="48" t="s">
        <v>122</v>
      </c>
      <c r="F1002" s="48" t="s">
        <v>72</v>
      </c>
      <c r="G1002" s="48" t="s">
        <v>94</v>
      </c>
      <c r="H1002" s="69">
        <f t="shared" si="15"/>
        <v>43922</v>
      </c>
    </row>
    <row r="1003" spans="1:8" x14ac:dyDescent="0.25">
      <c r="A1003" s="68">
        <v>43945</v>
      </c>
      <c r="B1003" s="48">
        <v>66</v>
      </c>
      <c r="C1003" s="48">
        <v>4</v>
      </c>
      <c r="D1003" s="48">
        <v>7</v>
      </c>
      <c r="E1003" s="48" t="s">
        <v>112</v>
      </c>
      <c r="F1003" s="48" t="s">
        <v>72</v>
      </c>
      <c r="G1003" s="48" t="s">
        <v>94</v>
      </c>
      <c r="H1003" s="69">
        <f t="shared" si="15"/>
        <v>43922</v>
      </c>
    </row>
    <row r="1004" spans="1:8" x14ac:dyDescent="0.25">
      <c r="A1004" s="68">
        <v>43945</v>
      </c>
      <c r="B1004" s="48">
        <v>4</v>
      </c>
      <c r="C1004" s="48">
        <v>0</v>
      </c>
      <c r="D1004" s="48">
        <v>1</v>
      </c>
      <c r="E1004" s="48" t="s">
        <v>112</v>
      </c>
      <c r="F1004" s="48" t="s">
        <v>72</v>
      </c>
      <c r="G1004" s="48" t="s">
        <v>341</v>
      </c>
      <c r="H1004" s="69">
        <f t="shared" si="15"/>
        <v>43922</v>
      </c>
    </row>
    <row r="1005" spans="1:8" x14ac:dyDescent="0.25">
      <c r="A1005" s="68">
        <v>43945</v>
      </c>
      <c r="B1005" s="48">
        <v>4</v>
      </c>
      <c r="C1005" s="48">
        <v>0</v>
      </c>
      <c r="D1005" s="48">
        <v>1</v>
      </c>
      <c r="E1005" s="48" t="s">
        <v>112</v>
      </c>
      <c r="F1005" s="48" t="s">
        <v>72</v>
      </c>
      <c r="G1005" s="48" t="s">
        <v>338</v>
      </c>
      <c r="H1005" s="69">
        <f t="shared" si="15"/>
        <v>43922</v>
      </c>
    </row>
    <row r="1006" spans="1:8" x14ac:dyDescent="0.25">
      <c r="A1006" s="68">
        <v>43945</v>
      </c>
      <c r="B1006" s="48">
        <v>7</v>
      </c>
      <c r="C1006" s="48">
        <v>0</v>
      </c>
      <c r="D1006" s="48">
        <v>0</v>
      </c>
      <c r="E1006" s="48" t="s">
        <v>112</v>
      </c>
      <c r="F1006" s="48" t="s">
        <v>72</v>
      </c>
      <c r="G1006" s="48" t="s">
        <v>102</v>
      </c>
      <c r="H1006" s="69">
        <f t="shared" si="15"/>
        <v>43922</v>
      </c>
    </row>
    <row r="1007" spans="1:8" x14ac:dyDescent="0.25">
      <c r="A1007" s="68">
        <v>43945</v>
      </c>
      <c r="B1007" s="48">
        <v>0</v>
      </c>
      <c r="C1007" s="48">
        <v>0</v>
      </c>
      <c r="D1007" s="48">
        <v>2</v>
      </c>
      <c r="E1007" s="48" t="s">
        <v>112</v>
      </c>
      <c r="F1007" s="48" t="s">
        <v>72</v>
      </c>
      <c r="G1007" s="48" t="s">
        <v>355</v>
      </c>
      <c r="H1007" s="69">
        <f t="shared" si="15"/>
        <v>43922</v>
      </c>
    </row>
    <row r="1008" spans="1:8" x14ac:dyDescent="0.25">
      <c r="A1008" s="68">
        <v>43945</v>
      </c>
      <c r="B1008" s="48">
        <v>2</v>
      </c>
      <c r="C1008" s="48">
        <v>0</v>
      </c>
      <c r="D1008" s="48">
        <v>0</v>
      </c>
      <c r="E1008" s="48" t="s">
        <v>112</v>
      </c>
      <c r="F1008" s="48" t="s">
        <v>72</v>
      </c>
      <c r="G1008" s="48" t="s">
        <v>96</v>
      </c>
      <c r="H1008" s="69">
        <f t="shared" si="15"/>
        <v>43922</v>
      </c>
    </row>
    <row r="1009" spans="1:8" x14ac:dyDescent="0.25">
      <c r="A1009" s="68">
        <v>43945</v>
      </c>
      <c r="B1009" s="48">
        <v>6</v>
      </c>
      <c r="C1009" s="48">
        <v>0</v>
      </c>
      <c r="D1009" s="48">
        <v>1</v>
      </c>
      <c r="E1009" s="48" t="s">
        <v>112</v>
      </c>
      <c r="F1009" s="48" t="s">
        <v>72</v>
      </c>
      <c r="G1009" s="48" t="s">
        <v>347</v>
      </c>
      <c r="H1009" s="69">
        <f t="shared" si="15"/>
        <v>43922</v>
      </c>
    </row>
    <row r="1010" spans="1:8" x14ac:dyDescent="0.25">
      <c r="A1010" s="68">
        <v>43945</v>
      </c>
      <c r="B1010" s="48">
        <v>4</v>
      </c>
      <c r="C1010" s="48">
        <v>0</v>
      </c>
      <c r="D1010" s="48">
        <v>2</v>
      </c>
      <c r="E1010" s="48" t="s">
        <v>112</v>
      </c>
      <c r="F1010" s="48" t="s">
        <v>72</v>
      </c>
      <c r="G1010" s="48" t="s">
        <v>335</v>
      </c>
      <c r="H1010" s="69">
        <f t="shared" si="15"/>
        <v>43922</v>
      </c>
    </row>
    <row r="1011" spans="1:8" x14ac:dyDescent="0.25">
      <c r="A1011" s="68">
        <v>43945</v>
      </c>
      <c r="B1011" s="48">
        <v>1</v>
      </c>
      <c r="C1011" s="48">
        <v>0</v>
      </c>
      <c r="D1011" s="48">
        <v>0</v>
      </c>
      <c r="E1011" s="48" t="s">
        <v>112</v>
      </c>
      <c r="F1011" s="48" t="s">
        <v>72</v>
      </c>
      <c r="G1011" s="48" t="s">
        <v>342</v>
      </c>
      <c r="H1011" s="69">
        <f t="shared" si="15"/>
        <v>43922</v>
      </c>
    </row>
    <row r="1012" spans="1:8" x14ac:dyDescent="0.25">
      <c r="A1012" s="68">
        <v>43945</v>
      </c>
      <c r="B1012" s="48">
        <v>7</v>
      </c>
      <c r="C1012" s="48">
        <v>0</v>
      </c>
      <c r="D1012" s="48">
        <v>0</v>
      </c>
      <c r="E1012" s="48" t="s">
        <v>112</v>
      </c>
      <c r="F1012" s="48" t="s">
        <v>72</v>
      </c>
      <c r="G1012" s="48" t="s">
        <v>353</v>
      </c>
      <c r="H1012" s="69">
        <f t="shared" si="15"/>
        <v>43922</v>
      </c>
    </row>
    <row r="1013" spans="1:8" x14ac:dyDescent="0.25">
      <c r="A1013" s="68">
        <v>43945</v>
      </c>
      <c r="B1013" s="48">
        <v>0</v>
      </c>
      <c r="C1013" s="48">
        <v>0</v>
      </c>
      <c r="D1013" s="48">
        <v>0</v>
      </c>
      <c r="E1013" s="48" t="s">
        <v>112</v>
      </c>
      <c r="F1013" s="48" t="s">
        <v>72</v>
      </c>
      <c r="G1013" s="48" t="s">
        <v>101</v>
      </c>
      <c r="H1013" s="69">
        <f t="shared" si="15"/>
        <v>43922</v>
      </c>
    </row>
    <row r="1014" spans="1:8" x14ac:dyDescent="0.25">
      <c r="A1014" s="68">
        <v>43945</v>
      </c>
      <c r="B1014" s="48">
        <v>1</v>
      </c>
      <c r="C1014" s="48">
        <v>0</v>
      </c>
      <c r="D1014" s="48">
        <v>0</v>
      </c>
      <c r="E1014" s="48" t="s">
        <v>112</v>
      </c>
      <c r="F1014" s="48" t="s">
        <v>72</v>
      </c>
      <c r="G1014" s="48" t="s">
        <v>387</v>
      </c>
      <c r="H1014" s="69">
        <f t="shared" si="15"/>
        <v>43922</v>
      </c>
    </row>
    <row r="1015" spans="1:8" x14ac:dyDescent="0.25">
      <c r="A1015" s="68">
        <v>43945</v>
      </c>
      <c r="B1015" s="48">
        <v>0</v>
      </c>
      <c r="C1015" s="48">
        <v>0</v>
      </c>
      <c r="D1015" s="48">
        <v>0</v>
      </c>
      <c r="E1015" s="48" t="s">
        <v>112</v>
      </c>
      <c r="F1015" s="48" t="s">
        <v>72</v>
      </c>
      <c r="G1015" s="48" t="s">
        <v>406</v>
      </c>
      <c r="H1015" s="69">
        <f t="shared" si="15"/>
        <v>43922</v>
      </c>
    </row>
    <row r="1016" spans="1:8" x14ac:dyDescent="0.25">
      <c r="A1016" s="68">
        <v>43945</v>
      </c>
      <c r="B1016" s="48">
        <v>0</v>
      </c>
      <c r="C1016" s="48">
        <v>0</v>
      </c>
      <c r="D1016" s="48">
        <v>0</v>
      </c>
      <c r="E1016" s="48" t="s">
        <v>112</v>
      </c>
      <c r="F1016" s="48" t="s">
        <v>72</v>
      </c>
      <c r="G1016" s="48" t="s">
        <v>344</v>
      </c>
      <c r="H1016" s="69">
        <f t="shared" si="15"/>
        <v>43922</v>
      </c>
    </row>
    <row r="1017" spans="1:8" x14ac:dyDescent="0.25">
      <c r="A1017" s="68">
        <v>43945</v>
      </c>
      <c r="B1017" s="48">
        <v>6</v>
      </c>
      <c r="C1017" s="48">
        <v>0</v>
      </c>
      <c r="D1017" s="48">
        <v>2</v>
      </c>
      <c r="E1017" s="48" t="s">
        <v>112</v>
      </c>
      <c r="F1017" s="48" t="s">
        <v>72</v>
      </c>
      <c r="G1017" s="48" t="s">
        <v>354</v>
      </c>
      <c r="H1017" s="69">
        <f t="shared" si="15"/>
        <v>43922</v>
      </c>
    </row>
    <row r="1018" spans="1:8" x14ac:dyDescent="0.25">
      <c r="A1018" s="68">
        <v>43945</v>
      </c>
      <c r="B1018" s="48">
        <v>3</v>
      </c>
      <c r="C1018" s="48">
        <v>0</v>
      </c>
      <c r="D1018" s="48">
        <v>0</v>
      </c>
      <c r="E1018" s="48" t="s">
        <v>112</v>
      </c>
      <c r="F1018" s="48" t="s">
        <v>72</v>
      </c>
      <c r="G1018" s="48" t="s">
        <v>337</v>
      </c>
      <c r="H1018" s="69">
        <f t="shared" si="15"/>
        <v>43922</v>
      </c>
    </row>
    <row r="1019" spans="1:8" x14ac:dyDescent="0.25">
      <c r="A1019" s="68">
        <v>43945</v>
      </c>
      <c r="B1019" s="48">
        <v>84</v>
      </c>
      <c r="C1019" s="48">
        <v>3</v>
      </c>
      <c r="D1019" s="48">
        <v>20</v>
      </c>
      <c r="E1019" s="48" t="s">
        <v>114</v>
      </c>
      <c r="F1019" s="48" t="s">
        <v>71</v>
      </c>
      <c r="G1019" s="48" t="s">
        <v>92</v>
      </c>
      <c r="H1019" s="69">
        <f t="shared" si="15"/>
        <v>43922</v>
      </c>
    </row>
    <row r="1020" spans="1:8" x14ac:dyDescent="0.25">
      <c r="A1020" s="68">
        <v>43945</v>
      </c>
      <c r="B1020" s="48">
        <v>243</v>
      </c>
      <c r="C1020" s="48">
        <v>2</v>
      </c>
      <c r="D1020" s="48">
        <v>24</v>
      </c>
      <c r="E1020" s="48" t="s">
        <v>112</v>
      </c>
      <c r="F1020" s="48" t="s">
        <v>70</v>
      </c>
      <c r="G1020" s="48" t="s">
        <v>91</v>
      </c>
      <c r="H1020" s="69">
        <f t="shared" si="15"/>
        <v>43922</v>
      </c>
    </row>
    <row r="1021" spans="1:8" x14ac:dyDescent="0.25">
      <c r="A1021" s="68">
        <v>43945</v>
      </c>
      <c r="B1021" s="48">
        <v>8</v>
      </c>
      <c r="C1021" s="48">
        <v>0</v>
      </c>
      <c r="D1021" s="48">
        <v>0</v>
      </c>
      <c r="E1021" s="48" t="s">
        <v>112</v>
      </c>
      <c r="F1021" s="48" t="s">
        <v>70</v>
      </c>
      <c r="G1021" s="48" t="s">
        <v>349</v>
      </c>
      <c r="H1021" s="69">
        <f t="shared" si="15"/>
        <v>43922</v>
      </c>
    </row>
    <row r="1022" spans="1:8" x14ac:dyDescent="0.25">
      <c r="A1022" s="68">
        <v>43945</v>
      </c>
      <c r="B1022" s="48">
        <v>1</v>
      </c>
      <c r="C1022" s="48">
        <v>0</v>
      </c>
      <c r="D1022" s="48">
        <v>0</v>
      </c>
      <c r="E1022" s="48" t="s">
        <v>112</v>
      </c>
      <c r="F1022" s="48" t="s">
        <v>70</v>
      </c>
      <c r="G1022" s="48" t="s">
        <v>377</v>
      </c>
      <c r="H1022" s="69">
        <f t="shared" si="15"/>
        <v>43922</v>
      </c>
    </row>
    <row r="1023" spans="1:8" x14ac:dyDescent="0.25">
      <c r="A1023" s="68">
        <v>43945</v>
      </c>
      <c r="B1023" s="48">
        <v>1</v>
      </c>
      <c r="C1023" s="48">
        <v>0</v>
      </c>
      <c r="D1023" s="48">
        <v>0</v>
      </c>
      <c r="E1023" s="48" t="s">
        <v>112</v>
      </c>
      <c r="F1023" s="48" t="s">
        <v>70</v>
      </c>
      <c r="G1023" s="48" t="s">
        <v>374</v>
      </c>
      <c r="H1023" s="69">
        <f t="shared" si="15"/>
        <v>43922</v>
      </c>
    </row>
    <row r="1024" spans="1:8" x14ac:dyDescent="0.25">
      <c r="A1024" s="68">
        <v>43945</v>
      </c>
      <c r="B1024" s="48">
        <v>1</v>
      </c>
      <c r="C1024" s="48">
        <v>0</v>
      </c>
      <c r="D1024" s="48">
        <v>0</v>
      </c>
      <c r="E1024" s="48" t="s">
        <v>112</v>
      </c>
      <c r="F1024" s="48" t="s">
        <v>70</v>
      </c>
      <c r="G1024" s="48" t="s">
        <v>415</v>
      </c>
      <c r="H1024" s="69">
        <f t="shared" si="15"/>
        <v>43922</v>
      </c>
    </row>
    <row r="1025" spans="1:8" x14ac:dyDescent="0.25">
      <c r="A1025" s="68">
        <v>43945</v>
      </c>
      <c r="B1025" s="48">
        <v>14</v>
      </c>
      <c r="C1025" s="48">
        <v>0</v>
      </c>
      <c r="D1025" s="48">
        <v>0</v>
      </c>
      <c r="E1025" s="48" t="s">
        <v>112</v>
      </c>
      <c r="F1025" s="48" t="s">
        <v>70</v>
      </c>
      <c r="G1025" s="48" t="s">
        <v>98</v>
      </c>
      <c r="H1025" s="69">
        <f t="shared" si="15"/>
        <v>43922</v>
      </c>
    </row>
    <row r="1026" spans="1:8" x14ac:dyDescent="0.25">
      <c r="A1026" s="68">
        <v>43945</v>
      </c>
      <c r="B1026" s="48">
        <v>1</v>
      </c>
      <c r="C1026" s="48">
        <v>0</v>
      </c>
      <c r="D1026" s="48">
        <v>0</v>
      </c>
      <c r="E1026" s="48" t="s">
        <v>112</v>
      </c>
      <c r="F1026" s="48" t="s">
        <v>70</v>
      </c>
      <c r="G1026" s="48" t="s">
        <v>336</v>
      </c>
      <c r="H1026" s="69">
        <f t="shared" ref="H1026:H1089" si="16">DATE(YEAR(A1026),MONTH(A1026),1)</f>
        <v>43922</v>
      </c>
    </row>
    <row r="1027" spans="1:8" x14ac:dyDescent="0.25">
      <c r="A1027" s="68">
        <v>43945</v>
      </c>
      <c r="B1027" s="48">
        <v>3</v>
      </c>
      <c r="C1027" s="48">
        <v>0</v>
      </c>
      <c r="D1027" s="48">
        <v>0</v>
      </c>
      <c r="E1027" s="48" t="s">
        <v>112</v>
      </c>
      <c r="F1027" s="48" t="s">
        <v>70</v>
      </c>
      <c r="G1027" s="48" t="s">
        <v>104</v>
      </c>
      <c r="H1027" s="69">
        <f t="shared" si="16"/>
        <v>43922</v>
      </c>
    </row>
    <row r="1028" spans="1:8" x14ac:dyDescent="0.25">
      <c r="A1028" s="68">
        <v>43945</v>
      </c>
      <c r="B1028" s="48">
        <v>1</v>
      </c>
      <c r="C1028" s="48">
        <v>0</v>
      </c>
      <c r="D1028" s="48">
        <v>0</v>
      </c>
      <c r="E1028" s="48" t="s">
        <v>112</v>
      </c>
      <c r="F1028" s="48" t="s">
        <v>70</v>
      </c>
      <c r="G1028" s="48" t="s">
        <v>360</v>
      </c>
      <c r="H1028" s="69">
        <f t="shared" si="16"/>
        <v>43922</v>
      </c>
    </row>
    <row r="1029" spans="1:8" x14ac:dyDescent="0.25">
      <c r="A1029" s="68">
        <v>43945</v>
      </c>
      <c r="B1029" s="48">
        <v>0</v>
      </c>
      <c r="C1029" s="48">
        <v>0</v>
      </c>
      <c r="D1029" s="48">
        <v>18</v>
      </c>
      <c r="E1029" s="48" t="s">
        <v>114</v>
      </c>
      <c r="F1029" s="48" t="s">
        <v>70</v>
      </c>
      <c r="G1029" s="48" t="s">
        <v>99</v>
      </c>
      <c r="H1029" s="69">
        <f t="shared" si="16"/>
        <v>43922</v>
      </c>
    </row>
    <row r="1030" spans="1:8" x14ac:dyDescent="0.25">
      <c r="A1030" s="68">
        <v>43946</v>
      </c>
      <c r="B1030" s="48">
        <v>65</v>
      </c>
      <c r="C1030" s="48">
        <v>2</v>
      </c>
      <c r="D1030" s="48">
        <v>0</v>
      </c>
      <c r="E1030" s="48" t="s">
        <v>114</v>
      </c>
      <c r="F1030" s="48" t="s">
        <v>73</v>
      </c>
      <c r="G1030" s="48" t="s">
        <v>93</v>
      </c>
      <c r="H1030" s="69">
        <f t="shared" si="16"/>
        <v>43922</v>
      </c>
    </row>
    <row r="1031" spans="1:8" x14ac:dyDescent="0.25">
      <c r="A1031" s="68">
        <v>43946</v>
      </c>
      <c r="B1031" s="48">
        <v>1</v>
      </c>
      <c r="C1031" s="48">
        <v>0</v>
      </c>
      <c r="D1031" s="48">
        <v>0</v>
      </c>
      <c r="E1031" s="48" t="s">
        <v>112</v>
      </c>
      <c r="F1031" s="48" t="s">
        <v>75</v>
      </c>
      <c r="G1031" s="48" t="s">
        <v>103</v>
      </c>
      <c r="H1031" s="69">
        <f t="shared" si="16"/>
        <v>43922</v>
      </c>
    </row>
    <row r="1032" spans="1:8" x14ac:dyDescent="0.25">
      <c r="A1032" s="68">
        <v>43946</v>
      </c>
      <c r="B1032" s="48">
        <v>9</v>
      </c>
      <c r="C1032" s="48">
        <v>0</v>
      </c>
      <c r="D1032" s="48">
        <v>0</v>
      </c>
      <c r="E1032" s="48" t="s">
        <v>112</v>
      </c>
      <c r="F1032" s="48" t="s">
        <v>74</v>
      </c>
      <c r="G1032" s="48" t="s">
        <v>95</v>
      </c>
      <c r="H1032" s="69">
        <f t="shared" si="16"/>
        <v>43922</v>
      </c>
    </row>
    <row r="1033" spans="1:8" x14ac:dyDescent="0.25">
      <c r="A1033" s="68">
        <v>43946</v>
      </c>
      <c r="B1033" s="48">
        <v>41</v>
      </c>
      <c r="C1033" s="48">
        <v>4</v>
      </c>
      <c r="D1033" s="48">
        <v>7</v>
      </c>
      <c r="E1033" s="48" t="s">
        <v>112</v>
      </c>
      <c r="F1033" s="48" t="s">
        <v>72</v>
      </c>
      <c r="G1033" s="48" t="s">
        <v>94</v>
      </c>
      <c r="H1033" s="69">
        <f t="shared" si="16"/>
        <v>43922</v>
      </c>
    </row>
    <row r="1034" spans="1:8" x14ac:dyDescent="0.25">
      <c r="A1034" s="68">
        <v>43946</v>
      </c>
      <c r="B1034" s="48">
        <v>1</v>
      </c>
      <c r="C1034" s="48">
        <v>0</v>
      </c>
      <c r="D1034" s="48">
        <v>0</v>
      </c>
      <c r="E1034" s="48" t="s">
        <v>112</v>
      </c>
      <c r="F1034" s="48" t="s">
        <v>72</v>
      </c>
      <c r="G1034" s="48" t="s">
        <v>341</v>
      </c>
      <c r="H1034" s="69">
        <f t="shared" si="16"/>
        <v>43922</v>
      </c>
    </row>
    <row r="1035" spans="1:8" x14ac:dyDescent="0.25">
      <c r="A1035" s="68">
        <v>43946</v>
      </c>
      <c r="B1035" s="48">
        <v>2</v>
      </c>
      <c r="C1035" s="48">
        <v>0</v>
      </c>
      <c r="D1035" s="48">
        <v>0</v>
      </c>
      <c r="E1035" s="48" t="s">
        <v>112</v>
      </c>
      <c r="F1035" s="48" t="s">
        <v>72</v>
      </c>
      <c r="G1035" s="48" t="s">
        <v>338</v>
      </c>
      <c r="H1035" s="69">
        <f t="shared" si="16"/>
        <v>43922</v>
      </c>
    </row>
    <row r="1036" spans="1:8" x14ac:dyDescent="0.25">
      <c r="A1036" s="68">
        <v>43946</v>
      </c>
      <c r="B1036" s="48">
        <v>3</v>
      </c>
      <c r="C1036" s="48">
        <v>0</v>
      </c>
      <c r="D1036" s="48">
        <v>0</v>
      </c>
      <c r="E1036" s="48" t="s">
        <v>112</v>
      </c>
      <c r="F1036" s="48" t="s">
        <v>72</v>
      </c>
      <c r="G1036" s="48" t="s">
        <v>102</v>
      </c>
      <c r="H1036" s="69">
        <f t="shared" si="16"/>
        <v>43922</v>
      </c>
    </row>
    <row r="1037" spans="1:8" x14ac:dyDescent="0.25">
      <c r="A1037" s="68">
        <v>43946</v>
      </c>
      <c r="B1037" s="48">
        <v>15</v>
      </c>
      <c r="C1037" s="48">
        <v>0</v>
      </c>
      <c r="D1037" s="48">
        <v>0</v>
      </c>
      <c r="E1037" s="48" t="s">
        <v>112</v>
      </c>
      <c r="F1037" s="48" t="s">
        <v>72</v>
      </c>
      <c r="G1037" s="48" t="s">
        <v>96</v>
      </c>
      <c r="H1037" s="69">
        <f t="shared" si="16"/>
        <v>43922</v>
      </c>
    </row>
    <row r="1038" spans="1:8" x14ac:dyDescent="0.25">
      <c r="A1038" s="68">
        <v>43946</v>
      </c>
      <c r="B1038" s="48">
        <v>8</v>
      </c>
      <c r="C1038" s="48">
        <v>0</v>
      </c>
      <c r="D1038" s="48">
        <v>0</v>
      </c>
      <c r="E1038" s="48" t="s">
        <v>112</v>
      </c>
      <c r="F1038" s="48" t="s">
        <v>72</v>
      </c>
      <c r="G1038" s="48" t="s">
        <v>101</v>
      </c>
      <c r="H1038" s="69">
        <f t="shared" si="16"/>
        <v>43922</v>
      </c>
    </row>
    <row r="1039" spans="1:8" x14ac:dyDescent="0.25">
      <c r="A1039" s="68">
        <v>43946</v>
      </c>
      <c r="B1039" s="48">
        <v>2</v>
      </c>
      <c r="C1039" s="48">
        <v>0</v>
      </c>
      <c r="D1039" s="48">
        <v>0</v>
      </c>
      <c r="E1039" s="48" t="s">
        <v>112</v>
      </c>
      <c r="F1039" s="48" t="s">
        <v>72</v>
      </c>
      <c r="G1039" s="48" t="s">
        <v>387</v>
      </c>
      <c r="H1039" s="69">
        <f t="shared" si="16"/>
        <v>43922</v>
      </c>
    </row>
    <row r="1040" spans="1:8" x14ac:dyDescent="0.25">
      <c r="A1040" s="68">
        <v>43946</v>
      </c>
      <c r="B1040" s="48">
        <v>1</v>
      </c>
      <c r="C1040" s="48">
        <v>0</v>
      </c>
      <c r="D1040" s="48">
        <v>0</v>
      </c>
      <c r="E1040" s="48" t="s">
        <v>112</v>
      </c>
      <c r="F1040" s="48" t="s">
        <v>72</v>
      </c>
      <c r="G1040" s="48" t="s">
        <v>406</v>
      </c>
      <c r="H1040" s="69">
        <f t="shared" si="16"/>
        <v>43922</v>
      </c>
    </row>
    <row r="1041" spans="1:8" x14ac:dyDescent="0.25">
      <c r="A1041" s="68">
        <v>43946</v>
      </c>
      <c r="B1041" s="48">
        <v>3</v>
      </c>
      <c r="C1041" s="48">
        <v>0</v>
      </c>
      <c r="D1041" s="48">
        <v>0</v>
      </c>
      <c r="E1041" s="48" t="s">
        <v>112</v>
      </c>
      <c r="F1041" s="48" t="s">
        <v>72</v>
      </c>
      <c r="G1041" s="48" t="s">
        <v>356</v>
      </c>
      <c r="H1041" s="69">
        <f t="shared" si="16"/>
        <v>43922</v>
      </c>
    </row>
    <row r="1042" spans="1:8" x14ac:dyDescent="0.25">
      <c r="A1042" s="68">
        <v>43946</v>
      </c>
      <c r="B1042" s="48">
        <v>6</v>
      </c>
      <c r="C1042" s="48">
        <v>0</v>
      </c>
      <c r="D1042" s="48">
        <v>0</v>
      </c>
      <c r="E1042" s="48" t="s">
        <v>112</v>
      </c>
      <c r="F1042" s="48" t="s">
        <v>72</v>
      </c>
      <c r="G1042" s="48" t="s">
        <v>357</v>
      </c>
      <c r="H1042" s="69">
        <f t="shared" si="16"/>
        <v>43922</v>
      </c>
    </row>
    <row r="1043" spans="1:8" x14ac:dyDescent="0.25">
      <c r="A1043" s="68">
        <v>43946</v>
      </c>
      <c r="B1043" s="48">
        <v>1</v>
      </c>
      <c r="C1043" s="48">
        <v>0</v>
      </c>
      <c r="D1043" s="48">
        <v>1</v>
      </c>
      <c r="E1043" s="48" t="s">
        <v>112</v>
      </c>
      <c r="F1043" s="48" t="s">
        <v>72</v>
      </c>
      <c r="G1043" s="48" t="s">
        <v>365</v>
      </c>
      <c r="H1043" s="69">
        <f t="shared" si="16"/>
        <v>43922</v>
      </c>
    </row>
    <row r="1044" spans="1:8" x14ac:dyDescent="0.25">
      <c r="A1044" s="68">
        <v>43946</v>
      </c>
      <c r="B1044" s="48">
        <v>0</v>
      </c>
      <c r="C1044" s="48">
        <v>0</v>
      </c>
      <c r="D1044" s="48">
        <v>1</v>
      </c>
      <c r="E1044" s="48" t="s">
        <v>112</v>
      </c>
      <c r="F1044" s="48" t="s">
        <v>72</v>
      </c>
      <c r="G1044" s="48" t="s">
        <v>347</v>
      </c>
      <c r="H1044" s="69">
        <f t="shared" si="16"/>
        <v>43922</v>
      </c>
    </row>
    <row r="1045" spans="1:8" x14ac:dyDescent="0.25">
      <c r="A1045" s="68">
        <v>43946</v>
      </c>
      <c r="B1045" s="48">
        <v>0</v>
      </c>
      <c r="C1045" s="48">
        <v>0</v>
      </c>
      <c r="D1045" s="48">
        <v>1</v>
      </c>
      <c r="E1045" s="48" t="s">
        <v>112</v>
      </c>
      <c r="F1045" s="48" t="s">
        <v>72</v>
      </c>
      <c r="G1045" s="48" t="s">
        <v>335</v>
      </c>
      <c r="H1045" s="69">
        <f t="shared" si="16"/>
        <v>43922</v>
      </c>
    </row>
    <row r="1046" spans="1:8" x14ac:dyDescent="0.25">
      <c r="A1046" s="68">
        <v>43946</v>
      </c>
      <c r="B1046" s="48">
        <v>0</v>
      </c>
      <c r="C1046" s="48">
        <v>0</v>
      </c>
      <c r="D1046" s="48">
        <v>1</v>
      </c>
      <c r="E1046" s="48" t="s">
        <v>112</v>
      </c>
      <c r="F1046" s="48" t="s">
        <v>72</v>
      </c>
      <c r="G1046" s="48" t="s">
        <v>354</v>
      </c>
      <c r="H1046" s="69">
        <f t="shared" si="16"/>
        <v>43922</v>
      </c>
    </row>
    <row r="1047" spans="1:8" x14ac:dyDescent="0.25">
      <c r="A1047" s="68">
        <v>43946</v>
      </c>
      <c r="B1047" s="48">
        <v>0</v>
      </c>
      <c r="C1047" s="48">
        <v>0</v>
      </c>
      <c r="D1047" s="48">
        <v>1</v>
      </c>
      <c r="E1047" s="48" t="s">
        <v>112</v>
      </c>
      <c r="F1047" s="48" t="s">
        <v>72</v>
      </c>
      <c r="G1047" s="48" t="s">
        <v>358</v>
      </c>
      <c r="H1047" s="69">
        <f t="shared" si="16"/>
        <v>43922</v>
      </c>
    </row>
    <row r="1048" spans="1:8" x14ac:dyDescent="0.25">
      <c r="A1048" s="68">
        <v>43946</v>
      </c>
      <c r="B1048" s="48">
        <v>0</v>
      </c>
      <c r="C1048" s="48">
        <v>0</v>
      </c>
      <c r="D1048" s="48">
        <v>1</v>
      </c>
      <c r="E1048" s="48" t="s">
        <v>112</v>
      </c>
      <c r="F1048" s="48" t="s">
        <v>72</v>
      </c>
      <c r="G1048" s="48" t="s">
        <v>399</v>
      </c>
      <c r="H1048" s="69">
        <f t="shared" si="16"/>
        <v>43922</v>
      </c>
    </row>
    <row r="1049" spans="1:8" x14ac:dyDescent="0.25">
      <c r="A1049" s="68">
        <v>43946</v>
      </c>
      <c r="B1049" s="48">
        <v>2</v>
      </c>
      <c r="C1049" s="48">
        <v>0</v>
      </c>
      <c r="D1049" s="48">
        <v>0</v>
      </c>
      <c r="E1049" s="48" t="s">
        <v>121</v>
      </c>
      <c r="F1049" s="48" t="s">
        <v>72</v>
      </c>
      <c r="G1049" s="48" t="s">
        <v>94</v>
      </c>
      <c r="H1049" s="69">
        <f t="shared" si="16"/>
        <v>43922</v>
      </c>
    </row>
    <row r="1050" spans="1:8" x14ac:dyDescent="0.25">
      <c r="A1050" s="68">
        <v>43946</v>
      </c>
      <c r="B1050" s="48">
        <v>475</v>
      </c>
      <c r="C1050" s="48">
        <v>5</v>
      </c>
      <c r="D1050" s="48">
        <v>0</v>
      </c>
      <c r="E1050" s="48" t="s">
        <v>114</v>
      </c>
      <c r="F1050" s="48" t="s">
        <v>71</v>
      </c>
      <c r="G1050" s="48" t="s">
        <v>92</v>
      </c>
      <c r="H1050" s="69">
        <f t="shared" si="16"/>
        <v>43922</v>
      </c>
    </row>
    <row r="1051" spans="1:8" x14ac:dyDescent="0.25">
      <c r="A1051" s="68">
        <v>43946</v>
      </c>
      <c r="B1051" s="48">
        <v>217</v>
      </c>
      <c r="C1051" s="48">
        <v>3</v>
      </c>
      <c r="D1051" s="48">
        <v>20</v>
      </c>
      <c r="E1051" s="48" t="s">
        <v>112</v>
      </c>
      <c r="F1051" s="48" t="s">
        <v>70</v>
      </c>
      <c r="G1051" s="48" t="s">
        <v>91</v>
      </c>
      <c r="H1051" s="69">
        <f t="shared" si="16"/>
        <v>43922</v>
      </c>
    </row>
    <row r="1052" spans="1:8" x14ac:dyDescent="0.25">
      <c r="A1052" s="68">
        <v>43946</v>
      </c>
      <c r="B1052" s="48">
        <v>13</v>
      </c>
      <c r="C1052" s="48">
        <v>0</v>
      </c>
      <c r="D1052" s="48">
        <v>0</v>
      </c>
      <c r="E1052" s="48" t="s">
        <v>112</v>
      </c>
      <c r="F1052" s="48" t="s">
        <v>70</v>
      </c>
      <c r="G1052" s="48" t="s">
        <v>99</v>
      </c>
      <c r="H1052" s="69">
        <f t="shared" si="16"/>
        <v>43922</v>
      </c>
    </row>
    <row r="1053" spans="1:8" x14ac:dyDescent="0.25">
      <c r="A1053" s="68">
        <v>43946</v>
      </c>
      <c r="B1053" s="48">
        <v>1</v>
      </c>
      <c r="C1053" s="48">
        <v>0</v>
      </c>
      <c r="D1053" s="48">
        <v>0</v>
      </c>
      <c r="E1053" s="48" t="s">
        <v>112</v>
      </c>
      <c r="F1053" s="48" t="s">
        <v>70</v>
      </c>
      <c r="G1053" s="48" t="s">
        <v>377</v>
      </c>
      <c r="H1053" s="69">
        <f t="shared" si="16"/>
        <v>43922</v>
      </c>
    </row>
    <row r="1054" spans="1:8" x14ac:dyDescent="0.25">
      <c r="A1054" s="68">
        <v>43946</v>
      </c>
      <c r="B1054" s="48">
        <v>2</v>
      </c>
      <c r="C1054" s="48">
        <v>0</v>
      </c>
      <c r="D1054" s="48">
        <v>0</v>
      </c>
      <c r="E1054" s="48" t="s">
        <v>112</v>
      </c>
      <c r="F1054" s="48" t="s">
        <v>70</v>
      </c>
      <c r="G1054" s="48" t="s">
        <v>349</v>
      </c>
      <c r="H1054" s="69">
        <f t="shared" si="16"/>
        <v>43922</v>
      </c>
    </row>
    <row r="1055" spans="1:8" x14ac:dyDescent="0.25">
      <c r="A1055" s="68">
        <v>43946</v>
      </c>
      <c r="B1055" s="48">
        <v>6</v>
      </c>
      <c r="C1055" s="48">
        <v>0</v>
      </c>
      <c r="D1055" s="48">
        <v>0</v>
      </c>
      <c r="E1055" s="48" t="s">
        <v>112</v>
      </c>
      <c r="F1055" s="48" t="s">
        <v>70</v>
      </c>
      <c r="G1055" s="48" t="s">
        <v>374</v>
      </c>
      <c r="H1055" s="69">
        <f t="shared" si="16"/>
        <v>43922</v>
      </c>
    </row>
    <row r="1056" spans="1:8" x14ac:dyDescent="0.25">
      <c r="A1056" s="68">
        <v>43946</v>
      </c>
      <c r="B1056" s="48">
        <v>1</v>
      </c>
      <c r="C1056" s="48">
        <v>0</v>
      </c>
      <c r="D1056" s="48">
        <v>0</v>
      </c>
      <c r="E1056" s="48" t="s">
        <v>112</v>
      </c>
      <c r="F1056" s="48" t="s">
        <v>70</v>
      </c>
      <c r="G1056" s="48" t="s">
        <v>386</v>
      </c>
      <c r="H1056" s="69">
        <f t="shared" si="16"/>
        <v>43922</v>
      </c>
    </row>
    <row r="1057" spans="1:8" x14ac:dyDescent="0.25">
      <c r="A1057" s="68">
        <v>43946</v>
      </c>
      <c r="B1057" s="48">
        <v>1</v>
      </c>
      <c r="C1057" s="48">
        <v>0</v>
      </c>
      <c r="D1057" s="48">
        <v>0</v>
      </c>
      <c r="E1057" s="48" t="s">
        <v>112</v>
      </c>
      <c r="F1057" s="48" t="s">
        <v>70</v>
      </c>
      <c r="G1057" s="48" t="s">
        <v>415</v>
      </c>
      <c r="H1057" s="69">
        <f t="shared" si="16"/>
        <v>43922</v>
      </c>
    </row>
    <row r="1058" spans="1:8" x14ac:dyDescent="0.25">
      <c r="A1058" s="68">
        <v>43946</v>
      </c>
      <c r="B1058" s="48">
        <v>2</v>
      </c>
      <c r="C1058" s="48">
        <v>0</v>
      </c>
      <c r="D1058" s="48">
        <v>0</v>
      </c>
      <c r="E1058" s="48" t="s">
        <v>112</v>
      </c>
      <c r="F1058" s="48" t="s">
        <v>70</v>
      </c>
      <c r="G1058" s="48" t="s">
        <v>105</v>
      </c>
      <c r="H1058" s="69">
        <f t="shared" si="16"/>
        <v>43922</v>
      </c>
    </row>
    <row r="1059" spans="1:8" x14ac:dyDescent="0.25">
      <c r="A1059" s="68">
        <v>43946</v>
      </c>
      <c r="B1059" s="48">
        <v>12</v>
      </c>
      <c r="C1059" s="48">
        <v>0</v>
      </c>
      <c r="D1059" s="48">
        <v>0</v>
      </c>
      <c r="E1059" s="48" t="s">
        <v>112</v>
      </c>
      <c r="F1059" s="48" t="s">
        <v>70</v>
      </c>
      <c r="G1059" s="48" t="s">
        <v>98</v>
      </c>
      <c r="H1059" s="69">
        <f t="shared" si="16"/>
        <v>43922</v>
      </c>
    </row>
    <row r="1060" spans="1:8" x14ac:dyDescent="0.25">
      <c r="A1060" s="68">
        <v>43946</v>
      </c>
      <c r="B1060" s="48">
        <v>17</v>
      </c>
      <c r="C1060" s="48">
        <v>0</v>
      </c>
      <c r="D1060" s="48">
        <v>0</v>
      </c>
      <c r="E1060" s="48" t="s">
        <v>112</v>
      </c>
      <c r="F1060" s="48" t="s">
        <v>70</v>
      </c>
      <c r="G1060" s="48" t="s">
        <v>104</v>
      </c>
      <c r="H1060" s="69">
        <f t="shared" si="16"/>
        <v>43922</v>
      </c>
    </row>
    <row r="1061" spans="1:8" x14ac:dyDescent="0.25">
      <c r="A1061" s="68">
        <v>43946</v>
      </c>
      <c r="B1061" s="48">
        <v>2</v>
      </c>
      <c r="C1061" s="48">
        <v>0</v>
      </c>
      <c r="D1061" s="48">
        <v>0</v>
      </c>
      <c r="E1061" s="48" t="s">
        <v>112</v>
      </c>
      <c r="F1061" s="48" t="s">
        <v>70</v>
      </c>
      <c r="G1061" s="48" t="s">
        <v>360</v>
      </c>
      <c r="H1061" s="69">
        <f t="shared" si="16"/>
        <v>43922</v>
      </c>
    </row>
    <row r="1062" spans="1:8" x14ac:dyDescent="0.25">
      <c r="A1062" s="68">
        <v>43946</v>
      </c>
      <c r="B1062" s="48">
        <v>2</v>
      </c>
      <c r="C1062" s="48">
        <v>0</v>
      </c>
      <c r="D1062" s="48">
        <v>0</v>
      </c>
      <c r="E1062" s="48" t="s">
        <v>112</v>
      </c>
      <c r="F1062" s="48" t="s">
        <v>70</v>
      </c>
      <c r="G1062" s="48" t="s">
        <v>383</v>
      </c>
      <c r="H1062" s="69">
        <f t="shared" si="16"/>
        <v>43922</v>
      </c>
    </row>
    <row r="1063" spans="1:8" x14ac:dyDescent="0.25">
      <c r="A1063" s="68">
        <v>43946</v>
      </c>
      <c r="B1063" s="48">
        <v>11</v>
      </c>
      <c r="C1063" s="48">
        <v>0</v>
      </c>
      <c r="D1063" s="48">
        <v>0</v>
      </c>
      <c r="E1063" s="48" t="s">
        <v>112</v>
      </c>
      <c r="F1063" s="48" t="s">
        <v>70</v>
      </c>
      <c r="G1063" s="48" t="s">
        <v>345</v>
      </c>
      <c r="H1063" s="69">
        <f t="shared" si="16"/>
        <v>43922</v>
      </c>
    </row>
    <row r="1064" spans="1:8" x14ac:dyDescent="0.25">
      <c r="A1064" s="68">
        <v>43947</v>
      </c>
      <c r="B1064" s="48">
        <v>4</v>
      </c>
      <c r="C1064" s="48">
        <v>0</v>
      </c>
      <c r="D1064" s="48">
        <v>0</v>
      </c>
      <c r="E1064" s="48" t="s">
        <v>112</v>
      </c>
      <c r="F1064" s="48" t="s">
        <v>76</v>
      </c>
      <c r="G1064" s="48" t="s">
        <v>339</v>
      </c>
      <c r="H1064" s="69">
        <f t="shared" si="16"/>
        <v>43922</v>
      </c>
    </row>
    <row r="1065" spans="1:8" x14ac:dyDescent="0.25">
      <c r="A1065" s="68">
        <v>43947</v>
      </c>
      <c r="B1065" s="48">
        <v>60</v>
      </c>
      <c r="C1065" s="48">
        <v>1</v>
      </c>
      <c r="D1065" s="48">
        <v>0</v>
      </c>
      <c r="E1065" s="48" t="s">
        <v>114</v>
      </c>
      <c r="F1065" s="48" t="s">
        <v>73</v>
      </c>
      <c r="G1065" s="48" t="s">
        <v>93</v>
      </c>
      <c r="H1065" s="69">
        <f t="shared" si="16"/>
        <v>43922</v>
      </c>
    </row>
    <row r="1066" spans="1:8" x14ac:dyDescent="0.25">
      <c r="A1066" s="68">
        <v>43947</v>
      </c>
      <c r="B1066" s="48">
        <v>10</v>
      </c>
      <c r="C1066" s="48">
        <v>0</v>
      </c>
      <c r="D1066" s="48">
        <v>0</v>
      </c>
      <c r="E1066" s="48" t="s">
        <v>112</v>
      </c>
      <c r="F1066" s="48" t="s">
        <v>75</v>
      </c>
      <c r="G1066" s="48" t="s">
        <v>103</v>
      </c>
      <c r="H1066" s="69">
        <f t="shared" si="16"/>
        <v>43922</v>
      </c>
    </row>
    <row r="1067" spans="1:8" x14ac:dyDescent="0.25">
      <c r="A1067" s="68">
        <v>43947</v>
      </c>
      <c r="B1067" s="48">
        <v>12</v>
      </c>
      <c r="C1067" s="48">
        <v>0</v>
      </c>
      <c r="D1067" s="48">
        <v>0</v>
      </c>
      <c r="E1067" s="48" t="s">
        <v>112</v>
      </c>
      <c r="F1067" s="48" t="s">
        <v>74</v>
      </c>
      <c r="G1067" s="48" t="s">
        <v>95</v>
      </c>
      <c r="H1067" s="69">
        <f t="shared" si="16"/>
        <v>43922</v>
      </c>
    </row>
    <row r="1068" spans="1:8" x14ac:dyDescent="0.25">
      <c r="A1068" s="68">
        <v>43947</v>
      </c>
      <c r="B1068" s="48">
        <v>71</v>
      </c>
      <c r="C1068" s="48">
        <v>5</v>
      </c>
      <c r="D1068" s="48">
        <v>0</v>
      </c>
      <c r="E1068" s="48" t="s">
        <v>114</v>
      </c>
      <c r="F1068" s="48" t="s">
        <v>72</v>
      </c>
      <c r="G1068" s="48" t="s">
        <v>94</v>
      </c>
      <c r="H1068" s="69">
        <f t="shared" si="16"/>
        <v>43922</v>
      </c>
    </row>
    <row r="1069" spans="1:8" x14ac:dyDescent="0.25">
      <c r="A1069" s="68">
        <v>43947</v>
      </c>
      <c r="B1069" s="48">
        <v>120</v>
      </c>
      <c r="C1069" s="48">
        <v>3</v>
      </c>
      <c r="D1069" s="48">
        <v>0</v>
      </c>
      <c r="E1069" s="48" t="s">
        <v>114</v>
      </c>
      <c r="F1069" s="48" t="s">
        <v>71</v>
      </c>
      <c r="G1069" s="48" t="s">
        <v>92</v>
      </c>
      <c r="H1069" s="69">
        <f t="shared" si="16"/>
        <v>43922</v>
      </c>
    </row>
    <row r="1070" spans="1:8" x14ac:dyDescent="0.25">
      <c r="A1070" s="68">
        <v>43947</v>
      </c>
      <c r="B1070" s="48">
        <v>340</v>
      </c>
      <c r="C1070" s="48">
        <v>3</v>
      </c>
      <c r="D1070" s="48">
        <v>48</v>
      </c>
      <c r="E1070" s="48" t="s">
        <v>112</v>
      </c>
      <c r="F1070" s="48" t="s">
        <v>70</v>
      </c>
      <c r="G1070" s="48" t="s">
        <v>91</v>
      </c>
      <c r="H1070" s="69">
        <f t="shared" si="16"/>
        <v>43922</v>
      </c>
    </row>
    <row r="1071" spans="1:8" x14ac:dyDescent="0.25">
      <c r="A1071" s="68">
        <v>43947</v>
      </c>
      <c r="B1071" s="48">
        <v>7</v>
      </c>
      <c r="C1071" s="48">
        <v>0</v>
      </c>
      <c r="D1071" s="48">
        <v>0</v>
      </c>
      <c r="E1071" s="48" t="s">
        <v>112</v>
      </c>
      <c r="F1071" s="48" t="s">
        <v>70</v>
      </c>
      <c r="G1071" s="48" t="s">
        <v>99</v>
      </c>
      <c r="H1071" s="69">
        <f t="shared" si="16"/>
        <v>43922</v>
      </c>
    </row>
    <row r="1072" spans="1:8" x14ac:dyDescent="0.25">
      <c r="A1072" s="68">
        <v>43947</v>
      </c>
      <c r="B1072" s="48">
        <v>1</v>
      </c>
      <c r="C1072" s="48">
        <v>0</v>
      </c>
      <c r="D1072" s="48">
        <v>8</v>
      </c>
      <c r="E1072" s="48" t="s">
        <v>112</v>
      </c>
      <c r="F1072" s="48" t="s">
        <v>70</v>
      </c>
      <c r="G1072" s="48" t="s">
        <v>363</v>
      </c>
      <c r="H1072" s="69">
        <f t="shared" si="16"/>
        <v>43922</v>
      </c>
    </row>
    <row r="1073" spans="1:8" x14ac:dyDescent="0.25">
      <c r="A1073" s="68">
        <v>43947</v>
      </c>
      <c r="B1073" s="48">
        <v>2</v>
      </c>
      <c r="C1073" s="48">
        <v>0</v>
      </c>
      <c r="D1073" s="48">
        <v>0</v>
      </c>
      <c r="E1073" s="48" t="s">
        <v>112</v>
      </c>
      <c r="F1073" s="48" t="s">
        <v>70</v>
      </c>
      <c r="G1073" s="48" t="s">
        <v>377</v>
      </c>
      <c r="H1073" s="69">
        <f t="shared" si="16"/>
        <v>43922</v>
      </c>
    </row>
    <row r="1074" spans="1:8" x14ac:dyDescent="0.25">
      <c r="A1074" s="68">
        <v>43947</v>
      </c>
      <c r="B1074" s="48">
        <v>4</v>
      </c>
      <c r="C1074" s="48">
        <v>0</v>
      </c>
      <c r="D1074" s="48">
        <v>0</v>
      </c>
      <c r="E1074" s="48" t="s">
        <v>112</v>
      </c>
      <c r="F1074" s="48" t="s">
        <v>70</v>
      </c>
      <c r="G1074" s="48" t="s">
        <v>385</v>
      </c>
      <c r="H1074" s="69">
        <f t="shared" si="16"/>
        <v>43922</v>
      </c>
    </row>
    <row r="1075" spans="1:8" x14ac:dyDescent="0.25">
      <c r="A1075" s="68">
        <v>43947</v>
      </c>
      <c r="B1075" s="48">
        <v>2</v>
      </c>
      <c r="C1075" s="48">
        <v>0</v>
      </c>
      <c r="D1075" s="48">
        <v>0</v>
      </c>
      <c r="E1075" s="48" t="s">
        <v>112</v>
      </c>
      <c r="F1075" s="48" t="s">
        <v>70</v>
      </c>
      <c r="G1075" s="48" t="s">
        <v>381</v>
      </c>
      <c r="H1075" s="69">
        <f t="shared" si="16"/>
        <v>43922</v>
      </c>
    </row>
    <row r="1076" spans="1:8" x14ac:dyDescent="0.25">
      <c r="A1076" s="68">
        <v>43947</v>
      </c>
      <c r="B1076" s="48">
        <v>1</v>
      </c>
      <c r="C1076" s="48">
        <v>0</v>
      </c>
      <c r="D1076" s="48">
        <v>0</v>
      </c>
      <c r="E1076" s="48" t="s">
        <v>112</v>
      </c>
      <c r="F1076" s="48" t="s">
        <v>70</v>
      </c>
      <c r="G1076" s="48" t="s">
        <v>374</v>
      </c>
      <c r="H1076" s="69">
        <f t="shared" si="16"/>
        <v>43922</v>
      </c>
    </row>
    <row r="1077" spans="1:8" x14ac:dyDescent="0.25">
      <c r="A1077" s="68">
        <v>43947</v>
      </c>
      <c r="B1077" s="48">
        <v>2</v>
      </c>
      <c r="C1077" s="48">
        <v>0</v>
      </c>
      <c r="D1077" s="48">
        <v>6</v>
      </c>
      <c r="E1077" s="48" t="s">
        <v>112</v>
      </c>
      <c r="F1077" s="48" t="s">
        <v>70</v>
      </c>
      <c r="G1077" s="48" t="s">
        <v>415</v>
      </c>
      <c r="H1077" s="69">
        <f t="shared" si="16"/>
        <v>43922</v>
      </c>
    </row>
    <row r="1078" spans="1:8" x14ac:dyDescent="0.25">
      <c r="A1078" s="68">
        <v>43947</v>
      </c>
      <c r="B1078" s="48">
        <v>17</v>
      </c>
      <c r="C1078" s="48">
        <v>0</v>
      </c>
      <c r="D1078" s="48">
        <v>0</v>
      </c>
      <c r="E1078" s="48" t="s">
        <v>112</v>
      </c>
      <c r="F1078" s="48" t="s">
        <v>70</v>
      </c>
      <c r="G1078" s="48" t="s">
        <v>98</v>
      </c>
      <c r="H1078" s="69">
        <f t="shared" si="16"/>
        <v>43922</v>
      </c>
    </row>
    <row r="1079" spans="1:8" x14ac:dyDescent="0.25">
      <c r="A1079" s="68">
        <v>43947</v>
      </c>
      <c r="B1079" s="48">
        <v>2</v>
      </c>
      <c r="C1079" s="48">
        <v>0</v>
      </c>
      <c r="D1079" s="48">
        <v>0</v>
      </c>
      <c r="E1079" s="48" t="s">
        <v>112</v>
      </c>
      <c r="F1079" s="48" t="s">
        <v>70</v>
      </c>
      <c r="G1079" s="48" t="s">
        <v>336</v>
      </c>
      <c r="H1079" s="69">
        <f t="shared" si="16"/>
        <v>43922</v>
      </c>
    </row>
    <row r="1080" spans="1:8" x14ac:dyDescent="0.25">
      <c r="A1080" s="68">
        <v>43947</v>
      </c>
      <c r="B1080" s="48">
        <v>1</v>
      </c>
      <c r="C1080" s="48">
        <v>0</v>
      </c>
      <c r="D1080" s="48">
        <v>0</v>
      </c>
      <c r="E1080" s="48" t="s">
        <v>112</v>
      </c>
      <c r="F1080" s="48" t="s">
        <v>70</v>
      </c>
      <c r="G1080" s="48" t="s">
        <v>104</v>
      </c>
      <c r="H1080" s="69">
        <f t="shared" si="16"/>
        <v>43922</v>
      </c>
    </row>
    <row r="1081" spans="1:8" x14ac:dyDescent="0.25">
      <c r="A1081" s="68">
        <v>43947</v>
      </c>
      <c r="B1081" s="48">
        <v>1</v>
      </c>
      <c r="C1081" s="48">
        <v>0</v>
      </c>
      <c r="D1081" s="48">
        <v>0</v>
      </c>
      <c r="E1081" s="48" t="s">
        <v>112</v>
      </c>
      <c r="F1081" s="48" t="s">
        <v>70</v>
      </c>
      <c r="G1081" s="48" t="s">
        <v>379</v>
      </c>
      <c r="H1081" s="69">
        <f t="shared" si="16"/>
        <v>43922</v>
      </c>
    </row>
    <row r="1082" spans="1:8" x14ac:dyDescent="0.25">
      <c r="A1082" s="68">
        <v>43947</v>
      </c>
      <c r="B1082" s="48">
        <v>2</v>
      </c>
      <c r="C1082" s="48">
        <v>0</v>
      </c>
      <c r="D1082" s="48">
        <v>0</v>
      </c>
      <c r="E1082" s="48" t="s">
        <v>112</v>
      </c>
      <c r="F1082" s="48" t="s">
        <v>70</v>
      </c>
      <c r="G1082" s="48" t="s">
        <v>407</v>
      </c>
      <c r="H1082" s="69">
        <f t="shared" si="16"/>
        <v>43922</v>
      </c>
    </row>
    <row r="1083" spans="1:8" x14ac:dyDescent="0.25">
      <c r="A1083" s="68">
        <v>43947</v>
      </c>
      <c r="B1083" s="48">
        <v>1</v>
      </c>
      <c r="C1083" s="48">
        <v>0</v>
      </c>
      <c r="D1083" s="48">
        <v>0</v>
      </c>
      <c r="E1083" s="48" t="s">
        <v>112</v>
      </c>
      <c r="F1083" s="48" t="s">
        <v>70</v>
      </c>
      <c r="G1083" s="48" t="s">
        <v>383</v>
      </c>
      <c r="H1083" s="69">
        <f t="shared" si="16"/>
        <v>43922</v>
      </c>
    </row>
    <row r="1084" spans="1:8" x14ac:dyDescent="0.25">
      <c r="A1084" s="68">
        <v>43948</v>
      </c>
      <c r="B1084" s="48">
        <v>72</v>
      </c>
      <c r="C1084" s="48">
        <v>3</v>
      </c>
      <c r="D1084" s="48">
        <v>9</v>
      </c>
      <c r="E1084" s="48" t="s">
        <v>114</v>
      </c>
      <c r="F1084" s="48" t="s">
        <v>73</v>
      </c>
      <c r="G1084" s="48" t="s">
        <v>93</v>
      </c>
      <c r="H1084" s="69">
        <f t="shared" si="16"/>
        <v>43922</v>
      </c>
    </row>
    <row r="1085" spans="1:8" x14ac:dyDescent="0.25">
      <c r="A1085" s="68">
        <v>43948</v>
      </c>
      <c r="B1085" s="48">
        <v>2</v>
      </c>
      <c r="C1085" s="48">
        <v>0</v>
      </c>
      <c r="D1085" s="48">
        <v>0</v>
      </c>
      <c r="E1085" s="48" t="s">
        <v>112</v>
      </c>
      <c r="F1085" s="48" t="s">
        <v>75</v>
      </c>
      <c r="G1085" s="48" t="s">
        <v>103</v>
      </c>
      <c r="H1085" s="69">
        <f t="shared" si="16"/>
        <v>43922</v>
      </c>
    </row>
    <row r="1086" spans="1:8" x14ac:dyDescent="0.25">
      <c r="A1086" s="68">
        <v>43948</v>
      </c>
      <c r="B1086" s="48">
        <v>10</v>
      </c>
      <c r="C1086" s="48">
        <v>0</v>
      </c>
      <c r="D1086" s="48">
        <v>0</v>
      </c>
      <c r="E1086" s="48" t="s">
        <v>112</v>
      </c>
      <c r="F1086" s="48" t="s">
        <v>74</v>
      </c>
      <c r="G1086" s="48" t="s">
        <v>95</v>
      </c>
      <c r="H1086" s="69">
        <f t="shared" si="16"/>
        <v>43922</v>
      </c>
    </row>
    <row r="1087" spans="1:8" x14ac:dyDescent="0.25">
      <c r="A1087" s="68">
        <v>43948</v>
      </c>
      <c r="B1087" s="48">
        <v>3</v>
      </c>
      <c r="C1087" s="48">
        <v>0</v>
      </c>
      <c r="D1087" s="48">
        <v>1</v>
      </c>
      <c r="E1087" s="48" t="s">
        <v>112</v>
      </c>
      <c r="F1087" s="48" t="s">
        <v>72</v>
      </c>
      <c r="G1087" s="48" t="s">
        <v>338</v>
      </c>
      <c r="H1087" s="69">
        <f t="shared" si="16"/>
        <v>43922</v>
      </c>
    </row>
    <row r="1088" spans="1:8" x14ac:dyDescent="0.25">
      <c r="A1088" s="68">
        <v>43948</v>
      </c>
      <c r="B1088" s="48">
        <v>51</v>
      </c>
      <c r="C1088" s="48">
        <v>4</v>
      </c>
      <c r="D1088" s="48">
        <v>0</v>
      </c>
      <c r="E1088" s="48" t="s">
        <v>112</v>
      </c>
      <c r="F1088" s="48" t="s">
        <v>72</v>
      </c>
      <c r="G1088" s="48" t="s">
        <v>94</v>
      </c>
      <c r="H1088" s="69">
        <f t="shared" si="16"/>
        <v>43922</v>
      </c>
    </row>
    <row r="1089" spans="1:8" x14ac:dyDescent="0.25">
      <c r="A1089" s="68">
        <v>43948</v>
      </c>
      <c r="B1089" s="48">
        <v>6</v>
      </c>
      <c r="C1089" s="48">
        <v>1</v>
      </c>
      <c r="D1089" s="48">
        <v>0</v>
      </c>
      <c r="E1089" s="48" t="s">
        <v>112</v>
      </c>
      <c r="F1089" s="48" t="s">
        <v>72</v>
      </c>
      <c r="G1089" s="48" t="s">
        <v>101</v>
      </c>
      <c r="H1089" s="69">
        <f t="shared" si="16"/>
        <v>43922</v>
      </c>
    </row>
    <row r="1090" spans="1:8" x14ac:dyDescent="0.25">
      <c r="A1090" s="68">
        <v>43948</v>
      </c>
      <c r="B1090" s="48">
        <v>2</v>
      </c>
      <c r="C1090" s="48">
        <v>1</v>
      </c>
      <c r="D1090" s="48">
        <v>0</v>
      </c>
      <c r="E1090" s="48" t="s">
        <v>112</v>
      </c>
      <c r="F1090" s="48" t="s">
        <v>72</v>
      </c>
      <c r="G1090" s="48" t="s">
        <v>344</v>
      </c>
      <c r="H1090" s="69">
        <f t="shared" ref="H1090:H1153" si="17">DATE(YEAR(A1090),MONTH(A1090),1)</f>
        <v>43922</v>
      </c>
    </row>
    <row r="1091" spans="1:8" x14ac:dyDescent="0.25">
      <c r="A1091" s="68">
        <v>43948</v>
      </c>
      <c r="B1091" s="48">
        <v>1</v>
      </c>
      <c r="C1091" s="48">
        <v>0</v>
      </c>
      <c r="D1091" s="48">
        <v>0</v>
      </c>
      <c r="E1091" s="48" t="s">
        <v>112</v>
      </c>
      <c r="F1091" s="48" t="s">
        <v>72</v>
      </c>
      <c r="G1091" s="48" t="s">
        <v>341</v>
      </c>
      <c r="H1091" s="69">
        <f t="shared" si="17"/>
        <v>43922</v>
      </c>
    </row>
    <row r="1092" spans="1:8" x14ac:dyDescent="0.25">
      <c r="A1092" s="68">
        <v>43948</v>
      </c>
      <c r="B1092" s="48">
        <v>4</v>
      </c>
      <c r="C1092" s="48">
        <v>0</v>
      </c>
      <c r="D1092" s="48">
        <v>0</v>
      </c>
      <c r="E1092" s="48" t="s">
        <v>112</v>
      </c>
      <c r="F1092" s="48" t="s">
        <v>72</v>
      </c>
      <c r="G1092" s="48" t="s">
        <v>102</v>
      </c>
      <c r="H1092" s="69">
        <f t="shared" si="17"/>
        <v>43922</v>
      </c>
    </row>
    <row r="1093" spans="1:8" x14ac:dyDescent="0.25">
      <c r="A1093" s="68">
        <v>43948</v>
      </c>
      <c r="B1093" s="48">
        <v>3</v>
      </c>
      <c r="C1093" s="48">
        <v>0</v>
      </c>
      <c r="D1093" s="48">
        <v>0</v>
      </c>
      <c r="E1093" s="48" t="s">
        <v>112</v>
      </c>
      <c r="F1093" s="48" t="s">
        <v>72</v>
      </c>
      <c r="G1093" s="48" t="s">
        <v>96</v>
      </c>
      <c r="H1093" s="69">
        <f t="shared" si="17"/>
        <v>43922</v>
      </c>
    </row>
    <row r="1094" spans="1:8" x14ac:dyDescent="0.25">
      <c r="A1094" s="68">
        <v>43948</v>
      </c>
      <c r="B1094" s="48">
        <v>8</v>
      </c>
      <c r="C1094" s="48">
        <v>0</v>
      </c>
      <c r="D1094" s="48">
        <v>0</v>
      </c>
      <c r="E1094" s="48" t="s">
        <v>112</v>
      </c>
      <c r="F1094" s="48" t="s">
        <v>72</v>
      </c>
      <c r="G1094" s="48" t="s">
        <v>347</v>
      </c>
      <c r="H1094" s="69">
        <f t="shared" si="17"/>
        <v>43922</v>
      </c>
    </row>
    <row r="1095" spans="1:8" x14ac:dyDescent="0.25">
      <c r="A1095" s="68">
        <v>43948</v>
      </c>
      <c r="B1095" s="48">
        <v>7</v>
      </c>
      <c r="C1095" s="48">
        <v>0</v>
      </c>
      <c r="D1095" s="48">
        <v>0</v>
      </c>
      <c r="E1095" s="48" t="s">
        <v>112</v>
      </c>
      <c r="F1095" s="48" t="s">
        <v>72</v>
      </c>
      <c r="G1095" s="48" t="s">
        <v>335</v>
      </c>
      <c r="H1095" s="69">
        <f t="shared" si="17"/>
        <v>43922</v>
      </c>
    </row>
    <row r="1096" spans="1:8" x14ac:dyDescent="0.25">
      <c r="A1096" s="68">
        <v>43948</v>
      </c>
      <c r="B1096" s="48">
        <v>5</v>
      </c>
      <c r="C1096" s="48">
        <v>0</v>
      </c>
      <c r="D1096" s="48">
        <v>0</v>
      </c>
      <c r="E1096" s="48" t="s">
        <v>112</v>
      </c>
      <c r="F1096" s="48" t="s">
        <v>72</v>
      </c>
      <c r="G1096" s="48" t="s">
        <v>342</v>
      </c>
      <c r="H1096" s="69">
        <f t="shared" si="17"/>
        <v>43922</v>
      </c>
    </row>
    <row r="1097" spans="1:8" x14ac:dyDescent="0.25">
      <c r="A1097" s="68">
        <v>43948</v>
      </c>
      <c r="B1097" s="48">
        <v>5</v>
      </c>
      <c r="C1097" s="48">
        <v>0</v>
      </c>
      <c r="D1097" s="48">
        <v>0</v>
      </c>
      <c r="E1097" s="48" t="s">
        <v>112</v>
      </c>
      <c r="F1097" s="48" t="s">
        <v>72</v>
      </c>
      <c r="G1097" s="48" t="s">
        <v>387</v>
      </c>
      <c r="H1097" s="69">
        <f t="shared" si="17"/>
        <v>43922</v>
      </c>
    </row>
    <row r="1098" spans="1:8" x14ac:dyDescent="0.25">
      <c r="A1098" s="68">
        <v>43948</v>
      </c>
      <c r="B1098" s="48">
        <v>2</v>
      </c>
      <c r="C1098" s="48">
        <v>0</v>
      </c>
      <c r="D1098" s="48">
        <v>0</v>
      </c>
      <c r="E1098" s="48" t="s">
        <v>112</v>
      </c>
      <c r="F1098" s="48" t="s">
        <v>72</v>
      </c>
      <c r="G1098" s="48" t="s">
        <v>406</v>
      </c>
      <c r="H1098" s="69">
        <f t="shared" si="17"/>
        <v>43922</v>
      </c>
    </row>
    <row r="1099" spans="1:8" x14ac:dyDescent="0.25">
      <c r="A1099" s="68">
        <v>43948</v>
      </c>
      <c r="B1099" s="48">
        <v>9</v>
      </c>
      <c r="C1099" s="48">
        <v>0</v>
      </c>
      <c r="D1099" s="48">
        <v>0</v>
      </c>
      <c r="E1099" s="48" t="s">
        <v>112</v>
      </c>
      <c r="F1099" s="48" t="s">
        <v>72</v>
      </c>
      <c r="G1099" s="48" t="s">
        <v>354</v>
      </c>
      <c r="H1099" s="69">
        <f t="shared" si="17"/>
        <v>43922</v>
      </c>
    </row>
    <row r="1100" spans="1:8" x14ac:dyDescent="0.25">
      <c r="A1100" s="68">
        <v>43948</v>
      </c>
      <c r="B1100" s="48">
        <v>7</v>
      </c>
      <c r="C1100" s="48">
        <v>0</v>
      </c>
      <c r="D1100" s="48">
        <v>0</v>
      </c>
      <c r="E1100" s="48" t="s">
        <v>112</v>
      </c>
      <c r="F1100" s="48" t="s">
        <v>72</v>
      </c>
      <c r="G1100" s="48" t="s">
        <v>357</v>
      </c>
      <c r="H1100" s="69">
        <f t="shared" si="17"/>
        <v>43922</v>
      </c>
    </row>
    <row r="1101" spans="1:8" x14ac:dyDescent="0.25">
      <c r="A1101" s="68">
        <v>43948</v>
      </c>
      <c r="B1101" s="48">
        <v>2</v>
      </c>
      <c r="C1101" s="48">
        <v>0</v>
      </c>
      <c r="D1101" s="48">
        <v>0</v>
      </c>
      <c r="E1101" s="48" t="s">
        <v>112</v>
      </c>
      <c r="F1101" s="48" t="s">
        <v>72</v>
      </c>
      <c r="G1101" s="48" t="s">
        <v>359</v>
      </c>
      <c r="H1101" s="69">
        <f t="shared" si="17"/>
        <v>43922</v>
      </c>
    </row>
    <row r="1102" spans="1:8" x14ac:dyDescent="0.25">
      <c r="A1102" s="68">
        <v>43948</v>
      </c>
      <c r="B1102" s="48">
        <v>5</v>
      </c>
      <c r="C1102" s="48">
        <v>0</v>
      </c>
      <c r="D1102" s="48">
        <v>0</v>
      </c>
      <c r="E1102" s="48" t="s">
        <v>112</v>
      </c>
      <c r="F1102" s="48" t="s">
        <v>72</v>
      </c>
      <c r="G1102" s="48" t="s">
        <v>365</v>
      </c>
      <c r="H1102" s="69">
        <f t="shared" si="17"/>
        <v>43922</v>
      </c>
    </row>
    <row r="1103" spans="1:8" x14ac:dyDescent="0.25">
      <c r="A1103" s="68">
        <v>43948</v>
      </c>
      <c r="B1103" s="48">
        <v>194</v>
      </c>
      <c r="C1103" s="48">
        <v>10</v>
      </c>
      <c r="D1103" s="48">
        <v>0</v>
      </c>
      <c r="E1103" s="48" t="s">
        <v>112</v>
      </c>
      <c r="F1103" s="48" t="s">
        <v>71</v>
      </c>
      <c r="G1103" s="48" t="s">
        <v>92</v>
      </c>
      <c r="H1103" s="69">
        <f t="shared" si="17"/>
        <v>43922</v>
      </c>
    </row>
    <row r="1104" spans="1:8" x14ac:dyDescent="0.25">
      <c r="A1104" s="68">
        <v>43948</v>
      </c>
      <c r="B1104" s="48">
        <v>275</v>
      </c>
      <c r="C1104" s="48">
        <v>4</v>
      </c>
      <c r="D1104" s="48">
        <v>17</v>
      </c>
      <c r="E1104" s="48" t="s">
        <v>112</v>
      </c>
      <c r="F1104" s="48" t="s">
        <v>70</v>
      </c>
      <c r="G1104" s="48" t="s">
        <v>91</v>
      </c>
      <c r="H1104" s="69">
        <f t="shared" si="17"/>
        <v>43922</v>
      </c>
    </row>
    <row r="1105" spans="1:8" x14ac:dyDescent="0.25">
      <c r="A1105" s="68">
        <v>43948</v>
      </c>
      <c r="B1105" s="48">
        <v>12</v>
      </c>
      <c r="C1105" s="48">
        <v>0</v>
      </c>
      <c r="D1105" s="48">
        <v>0</v>
      </c>
      <c r="E1105" s="48" t="s">
        <v>112</v>
      </c>
      <c r="F1105" s="48" t="s">
        <v>70</v>
      </c>
      <c r="G1105" s="48" t="s">
        <v>99</v>
      </c>
      <c r="H1105" s="69">
        <f t="shared" si="17"/>
        <v>43922</v>
      </c>
    </row>
    <row r="1106" spans="1:8" x14ac:dyDescent="0.25">
      <c r="A1106" s="68">
        <v>43948</v>
      </c>
      <c r="B1106" s="48">
        <v>0</v>
      </c>
      <c r="C1106" s="48">
        <v>0</v>
      </c>
      <c r="D1106" s="48">
        <v>3</v>
      </c>
      <c r="E1106" s="48" t="s">
        <v>112</v>
      </c>
      <c r="F1106" s="48" t="s">
        <v>70</v>
      </c>
      <c r="G1106" s="48" t="s">
        <v>363</v>
      </c>
      <c r="H1106" s="69">
        <f t="shared" si="17"/>
        <v>43922</v>
      </c>
    </row>
    <row r="1107" spans="1:8" x14ac:dyDescent="0.25">
      <c r="A1107" s="68">
        <v>43948</v>
      </c>
      <c r="B1107" s="48">
        <v>0</v>
      </c>
      <c r="C1107" s="48">
        <v>0</v>
      </c>
      <c r="D1107" s="48">
        <v>1</v>
      </c>
      <c r="E1107" s="48" t="s">
        <v>112</v>
      </c>
      <c r="F1107" s="48" t="s">
        <v>70</v>
      </c>
      <c r="G1107" s="48" t="s">
        <v>377</v>
      </c>
      <c r="H1107" s="69">
        <f t="shared" si="17"/>
        <v>43922</v>
      </c>
    </row>
    <row r="1108" spans="1:8" x14ac:dyDescent="0.25">
      <c r="A1108" s="68">
        <v>43948</v>
      </c>
      <c r="B1108" s="48">
        <v>0</v>
      </c>
      <c r="C1108" s="48">
        <v>0</v>
      </c>
      <c r="D1108" s="48">
        <v>6</v>
      </c>
      <c r="E1108" s="48" t="s">
        <v>112</v>
      </c>
      <c r="F1108" s="48" t="s">
        <v>70</v>
      </c>
      <c r="G1108" s="48" t="s">
        <v>349</v>
      </c>
      <c r="H1108" s="69">
        <f t="shared" si="17"/>
        <v>43922</v>
      </c>
    </row>
    <row r="1109" spans="1:8" x14ac:dyDescent="0.25">
      <c r="A1109" s="68">
        <v>43948</v>
      </c>
      <c r="B1109" s="48">
        <v>0</v>
      </c>
      <c r="C1109" s="48">
        <v>0</v>
      </c>
      <c r="D1109" s="48">
        <v>1</v>
      </c>
      <c r="E1109" s="48" t="s">
        <v>112</v>
      </c>
      <c r="F1109" s="48" t="s">
        <v>70</v>
      </c>
      <c r="G1109" s="48" t="s">
        <v>385</v>
      </c>
      <c r="H1109" s="69">
        <f t="shared" si="17"/>
        <v>43922</v>
      </c>
    </row>
    <row r="1110" spans="1:8" x14ac:dyDescent="0.25">
      <c r="A1110" s="68">
        <v>43948</v>
      </c>
      <c r="B1110" s="48">
        <v>0</v>
      </c>
      <c r="C1110" s="48">
        <v>0</v>
      </c>
      <c r="D1110" s="48">
        <v>1</v>
      </c>
      <c r="E1110" s="48" t="s">
        <v>112</v>
      </c>
      <c r="F1110" s="48" t="s">
        <v>70</v>
      </c>
      <c r="G1110" s="48" t="s">
        <v>388</v>
      </c>
      <c r="H1110" s="69">
        <f t="shared" si="17"/>
        <v>43922</v>
      </c>
    </row>
    <row r="1111" spans="1:8" x14ac:dyDescent="0.25">
      <c r="A1111" s="68">
        <v>43948</v>
      </c>
      <c r="B1111" s="48">
        <v>1</v>
      </c>
      <c r="C1111" s="48">
        <v>0</v>
      </c>
      <c r="D1111" s="48">
        <v>3</v>
      </c>
      <c r="E1111" s="48" t="s">
        <v>112</v>
      </c>
      <c r="F1111" s="48" t="s">
        <v>70</v>
      </c>
      <c r="G1111" s="48" t="s">
        <v>381</v>
      </c>
      <c r="H1111" s="69">
        <f t="shared" si="17"/>
        <v>43922</v>
      </c>
    </row>
    <row r="1112" spans="1:8" x14ac:dyDescent="0.25">
      <c r="A1112" s="68">
        <v>43948</v>
      </c>
      <c r="B1112" s="48">
        <v>0</v>
      </c>
      <c r="C1112" s="48">
        <v>0</v>
      </c>
      <c r="D1112" s="48">
        <v>2</v>
      </c>
      <c r="E1112" s="48" t="s">
        <v>112</v>
      </c>
      <c r="F1112" s="48" t="s">
        <v>70</v>
      </c>
      <c r="G1112" s="48" t="s">
        <v>374</v>
      </c>
      <c r="H1112" s="69">
        <f t="shared" si="17"/>
        <v>43922</v>
      </c>
    </row>
    <row r="1113" spans="1:8" x14ac:dyDescent="0.25">
      <c r="A1113" s="68">
        <v>43948</v>
      </c>
      <c r="B1113" s="48">
        <v>0</v>
      </c>
      <c r="C1113" s="48">
        <v>0</v>
      </c>
      <c r="D1113" s="48">
        <v>2</v>
      </c>
      <c r="E1113" s="48" t="s">
        <v>112</v>
      </c>
      <c r="F1113" s="48" t="s">
        <v>70</v>
      </c>
      <c r="G1113" s="48" t="s">
        <v>386</v>
      </c>
      <c r="H1113" s="69">
        <f t="shared" si="17"/>
        <v>43922</v>
      </c>
    </row>
    <row r="1114" spans="1:8" x14ac:dyDescent="0.25">
      <c r="A1114" s="68">
        <v>43948</v>
      </c>
      <c r="B1114" s="48">
        <v>8</v>
      </c>
      <c r="C1114" s="48">
        <v>0</v>
      </c>
      <c r="D1114" s="48">
        <v>2</v>
      </c>
      <c r="E1114" s="48" t="s">
        <v>112</v>
      </c>
      <c r="F1114" s="48" t="s">
        <v>70</v>
      </c>
      <c r="G1114" s="48" t="s">
        <v>105</v>
      </c>
      <c r="H1114" s="69">
        <f t="shared" si="17"/>
        <v>43922</v>
      </c>
    </row>
    <row r="1115" spans="1:8" x14ac:dyDescent="0.25">
      <c r="A1115" s="68">
        <v>43948</v>
      </c>
      <c r="B1115" s="48">
        <v>4</v>
      </c>
      <c r="C1115" s="48">
        <v>0</v>
      </c>
      <c r="D1115" s="48">
        <v>0</v>
      </c>
      <c r="E1115" s="48" t="s">
        <v>112</v>
      </c>
      <c r="F1115" s="48" t="s">
        <v>70</v>
      </c>
      <c r="G1115" s="48" t="s">
        <v>98</v>
      </c>
      <c r="H1115" s="69">
        <f t="shared" si="17"/>
        <v>43922</v>
      </c>
    </row>
    <row r="1116" spans="1:8" x14ac:dyDescent="0.25">
      <c r="A1116" s="68">
        <v>43948</v>
      </c>
      <c r="B1116" s="48">
        <v>23</v>
      </c>
      <c r="C1116" s="48">
        <v>0</v>
      </c>
      <c r="D1116" s="48">
        <v>2</v>
      </c>
      <c r="E1116" s="48" t="s">
        <v>112</v>
      </c>
      <c r="F1116" s="48" t="s">
        <v>70</v>
      </c>
      <c r="G1116" s="48" t="s">
        <v>336</v>
      </c>
      <c r="H1116" s="69">
        <f t="shared" si="17"/>
        <v>43922</v>
      </c>
    </row>
    <row r="1117" spans="1:8" x14ac:dyDescent="0.25">
      <c r="A1117" s="68">
        <v>43948</v>
      </c>
      <c r="B1117" s="48">
        <v>12</v>
      </c>
      <c r="C1117" s="48">
        <v>0</v>
      </c>
      <c r="D1117" s="48">
        <v>2</v>
      </c>
      <c r="E1117" s="48" t="s">
        <v>112</v>
      </c>
      <c r="F1117" s="48" t="s">
        <v>70</v>
      </c>
      <c r="G1117" s="48" t="s">
        <v>104</v>
      </c>
      <c r="H1117" s="69">
        <f t="shared" si="17"/>
        <v>43922</v>
      </c>
    </row>
    <row r="1118" spans="1:8" x14ac:dyDescent="0.25">
      <c r="A1118" s="68">
        <v>43948</v>
      </c>
      <c r="B1118" s="48">
        <v>3</v>
      </c>
      <c r="C1118" s="48">
        <v>0</v>
      </c>
      <c r="D1118" s="48">
        <v>10</v>
      </c>
      <c r="E1118" s="48" t="s">
        <v>112</v>
      </c>
      <c r="F1118" s="48" t="s">
        <v>70</v>
      </c>
      <c r="G1118" s="48" t="s">
        <v>379</v>
      </c>
      <c r="H1118" s="69">
        <f t="shared" si="17"/>
        <v>43922</v>
      </c>
    </row>
    <row r="1119" spans="1:8" x14ac:dyDescent="0.25">
      <c r="A1119" s="68">
        <v>43948</v>
      </c>
      <c r="B1119" s="48">
        <v>0</v>
      </c>
      <c r="C1119" s="48">
        <v>0</v>
      </c>
      <c r="D1119" s="48">
        <v>1</v>
      </c>
      <c r="E1119" s="48" t="s">
        <v>112</v>
      </c>
      <c r="F1119" s="48" t="s">
        <v>70</v>
      </c>
      <c r="G1119" s="48" t="s">
        <v>414</v>
      </c>
      <c r="H1119" s="69">
        <f t="shared" si="17"/>
        <v>43922</v>
      </c>
    </row>
    <row r="1120" spans="1:8" x14ac:dyDescent="0.25">
      <c r="A1120" s="68">
        <v>43948</v>
      </c>
      <c r="B1120" s="48">
        <v>2</v>
      </c>
      <c r="C1120" s="48">
        <v>0</v>
      </c>
      <c r="D1120" s="48">
        <v>0</v>
      </c>
      <c r="E1120" s="48" t="s">
        <v>112</v>
      </c>
      <c r="F1120" s="48" t="s">
        <v>70</v>
      </c>
      <c r="G1120" s="48" t="s">
        <v>407</v>
      </c>
      <c r="H1120" s="69">
        <f t="shared" si="17"/>
        <v>43922</v>
      </c>
    </row>
    <row r="1121" spans="1:8" x14ac:dyDescent="0.25">
      <c r="A1121" s="68">
        <v>43948</v>
      </c>
      <c r="B1121" s="48">
        <v>1</v>
      </c>
      <c r="C1121" s="48">
        <v>0</v>
      </c>
      <c r="D1121" s="48">
        <v>0</v>
      </c>
      <c r="E1121" s="48" t="s">
        <v>112</v>
      </c>
      <c r="F1121" s="48" t="s">
        <v>70</v>
      </c>
      <c r="G1121" s="48" t="s">
        <v>367</v>
      </c>
      <c r="H1121" s="69">
        <f t="shared" si="17"/>
        <v>43922</v>
      </c>
    </row>
    <row r="1122" spans="1:8" x14ac:dyDescent="0.25">
      <c r="A1122" s="68">
        <v>43949</v>
      </c>
      <c r="B1122" s="48">
        <v>6</v>
      </c>
      <c r="C1122" s="48">
        <v>0</v>
      </c>
      <c r="D1122" s="48">
        <v>0</v>
      </c>
      <c r="E1122" s="48" t="s">
        <v>112</v>
      </c>
      <c r="F1122" s="48" t="s">
        <v>76</v>
      </c>
      <c r="G1122" s="48" t="s">
        <v>339</v>
      </c>
      <c r="H1122" s="69">
        <f t="shared" si="17"/>
        <v>43922</v>
      </c>
    </row>
    <row r="1123" spans="1:8" x14ac:dyDescent="0.25">
      <c r="A1123" s="68">
        <v>43949</v>
      </c>
      <c r="B1123" s="48">
        <v>10</v>
      </c>
      <c r="C1123" s="48">
        <v>0</v>
      </c>
      <c r="D1123" s="48">
        <v>0</v>
      </c>
      <c r="E1123" s="48" t="s">
        <v>112</v>
      </c>
      <c r="F1123" s="48" t="s">
        <v>75</v>
      </c>
      <c r="G1123" s="48" t="s">
        <v>103</v>
      </c>
      <c r="H1123" s="69">
        <f t="shared" si="17"/>
        <v>43922</v>
      </c>
    </row>
    <row r="1124" spans="1:8" x14ac:dyDescent="0.25">
      <c r="A1124" s="68">
        <v>43949</v>
      </c>
      <c r="B1124" s="48">
        <v>16</v>
      </c>
      <c r="C1124" s="48">
        <v>0</v>
      </c>
      <c r="D1124" s="48">
        <v>0</v>
      </c>
      <c r="E1124" s="48" t="s">
        <v>112</v>
      </c>
      <c r="F1124" s="48" t="s">
        <v>74</v>
      </c>
      <c r="G1124" s="48" t="s">
        <v>95</v>
      </c>
      <c r="H1124" s="69">
        <f t="shared" si="17"/>
        <v>43922</v>
      </c>
    </row>
    <row r="1125" spans="1:8" x14ac:dyDescent="0.25">
      <c r="A1125" s="68">
        <v>43949</v>
      </c>
      <c r="B1125" s="48">
        <v>176</v>
      </c>
      <c r="C1125" s="48">
        <v>0</v>
      </c>
      <c r="D1125" s="48">
        <v>0</v>
      </c>
      <c r="E1125" s="48" t="s">
        <v>112</v>
      </c>
      <c r="F1125" s="48" t="s">
        <v>72</v>
      </c>
      <c r="G1125" s="48" t="s">
        <v>94</v>
      </c>
      <c r="H1125" s="69">
        <f t="shared" si="17"/>
        <v>43922</v>
      </c>
    </row>
    <row r="1126" spans="1:8" x14ac:dyDescent="0.25">
      <c r="A1126" s="68">
        <v>43949</v>
      </c>
      <c r="B1126" s="48">
        <v>187</v>
      </c>
      <c r="C1126" s="48">
        <v>5</v>
      </c>
      <c r="D1126" s="48">
        <v>0</v>
      </c>
      <c r="E1126" s="48" t="s">
        <v>112</v>
      </c>
      <c r="F1126" s="48" t="s">
        <v>71</v>
      </c>
      <c r="G1126" s="48" t="s">
        <v>92</v>
      </c>
      <c r="H1126" s="69">
        <f t="shared" si="17"/>
        <v>43922</v>
      </c>
    </row>
    <row r="1127" spans="1:8" x14ac:dyDescent="0.25">
      <c r="A1127" s="68">
        <v>43949</v>
      </c>
      <c r="B1127" s="48">
        <v>335</v>
      </c>
      <c r="C1127" s="48">
        <v>0</v>
      </c>
      <c r="D1127" s="48">
        <v>0</v>
      </c>
      <c r="E1127" s="48" t="s">
        <v>112</v>
      </c>
      <c r="F1127" s="48" t="s">
        <v>70</v>
      </c>
      <c r="G1127" s="48" t="s">
        <v>91</v>
      </c>
      <c r="H1127" s="69">
        <f t="shared" si="17"/>
        <v>43922</v>
      </c>
    </row>
    <row r="1128" spans="1:8" x14ac:dyDescent="0.25">
      <c r="A1128" s="68">
        <v>43950</v>
      </c>
      <c r="B1128" s="48">
        <v>121</v>
      </c>
      <c r="C1128" s="48">
        <v>0</v>
      </c>
      <c r="D1128" s="48">
        <v>0</v>
      </c>
      <c r="E1128" s="48" t="s">
        <v>112</v>
      </c>
      <c r="F1128" s="48" t="s">
        <v>73</v>
      </c>
      <c r="G1128" s="48" t="s">
        <v>93</v>
      </c>
      <c r="H1128" s="69">
        <f t="shared" si="17"/>
        <v>43922</v>
      </c>
    </row>
    <row r="1129" spans="1:8" x14ac:dyDescent="0.25">
      <c r="A1129" s="68">
        <v>43950</v>
      </c>
      <c r="B1129" s="48">
        <v>3</v>
      </c>
      <c r="C1129" s="48">
        <v>0</v>
      </c>
      <c r="D1129" s="48">
        <v>0</v>
      </c>
      <c r="E1129" s="48" t="s">
        <v>112</v>
      </c>
      <c r="F1129" s="48" t="s">
        <v>75</v>
      </c>
      <c r="G1129" s="48" t="s">
        <v>103</v>
      </c>
      <c r="H1129" s="69">
        <f t="shared" si="17"/>
        <v>43922</v>
      </c>
    </row>
    <row r="1130" spans="1:8" x14ac:dyDescent="0.25">
      <c r="A1130" s="68">
        <v>43950</v>
      </c>
      <c r="B1130" s="48">
        <v>36</v>
      </c>
      <c r="C1130" s="48">
        <v>0</v>
      </c>
      <c r="D1130" s="48">
        <v>0</v>
      </c>
      <c r="E1130" s="48" t="s">
        <v>112</v>
      </c>
      <c r="F1130" s="48" t="s">
        <v>74</v>
      </c>
      <c r="G1130" s="48" t="s">
        <v>95</v>
      </c>
      <c r="H1130" s="69">
        <f t="shared" si="17"/>
        <v>43922</v>
      </c>
    </row>
    <row r="1131" spans="1:8" x14ac:dyDescent="0.25">
      <c r="A1131" s="68">
        <v>43950</v>
      </c>
      <c r="B1131" s="48">
        <v>153</v>
      </c>
      <c r="C1131" s="48">
        <v>8</v>
      </c>
      <c r="D1131" s="48">
        <v>0</v>
      </c>
      <c r="E1131" s="48" t="s">
        <v>112</v>
      </c>
      <c r="F1131" s="48" t="s">
        <v>72</v>
      </c>
      <c r="G1131" s="48" t="s">
        <v>94</v>
      </c>
      <c r="H1131" s="69">
        <f t="shared" si="17"/>
        <v>43922</v>
      </c>
    </row>
    <row r="1132" spans="1:8" x14ac:dyDescent="0.25">
      <c r="A1132" s="68">
        <v>43950</v>
      </c>
      <c r="B1132" s="48">
        <v>234</v>
      </c>
      <c r="C1132" s="48">
        <v>3</v>
      </c>
      <c r="D1132" s="48">
        <v>0</v>
      </c>
      <c r="E1132" s="48" t="s">
        <v>112</v>
      </c>
      <c r="F1132" s="48" t="s">
        <v>71</v>
      </c>
      <c r="G1132" s="48" t="s">
        <v>92</v>
      </c>
      <c r="H1132" s="69">
        <f t="shared" si="17"/>
        <v>43922</v>
      </c>
    </row>
    <row r="1133" spans="1:8" x14ac:dyDescent="0.25">
      <c r="A1133" s="68">
        <v>43950</v>
      </c>
      <c r="B1133" s="48">
        <v>337</v>
      </c>
      <c r="C1133" s="48">
        <v>8</v>
      </c>
      <c r="D1133" s="48">
        <v>208</v>
      </c>
      <c r="E1133" s="48" t="s">
        <v>112</v>
      </c>
      <c r="F1133" s="48" t="s">
        <v>70</v>
      </c>
      <c r="G1133" s="48" t="s">
        <v>91</v>
      </c>
      <c r="H1133" s="69">
        <f t="shared" si="17"/>
        <v>43922</v>
      </c>
    </row>
    <row r="1134" spans="1:8" x14ac:dyDescent="0.25">
      <c r="A1134" s="68">
        <v>43950</v>
      </c>
      <c r="B1134" s="48">
        <v>9</v>
      </c>
      <c r="C1134" s="48">
        <v>0</v>
      </c>
      <c r="D1134" s="48">
        <v>0</v>
      </c>
      <c r="E1134" s="48" t="s">
        <v>112</v>
      </c>
      <c r="F1134" s="48" t="s">
        <v>70</v>
      </c>
      <c r="G1134" s="48" t="s">
        <v>99</v>
      </c>
      <c r="H1134" s="69">
        <f t="shared" si="17"/>
        <v>43922</v>
      </c>
    </row>
    <row r="1135" spans="1:8" x14ac:dyDescent="0.25">
      <c r="A1135" s="68">
        <v>43950</v>
      </c>
      <c r="B1135" s="48">
        <v>7</v>
      </c>
      <c r="C1135" s="48">
        <v>0</v>
      </c>
      <c r="D1135" s="48">
        <v>0</v>
      </c>
      <c r="E1135" s="48" t="s">
        <v>112</v>
      </c>
      <c r="F1135" s="48" t="s">
        <v>70</v>
      </c>
      <c r="G1135" s="48" t="s">
        <v>349</v>
      </c>
      <c r="H1135" s="69">
        <f t="shared" si="17"/>
        <v>43922</v>
      </c>
    </row>
    <row r="1136" spans="1:8" x14ac:dyDescent="0.25">
      <c r="A1136" s="68">
        <v>43950</v>
      </c>
      <c r="B1136" s="48">
        <v>14</v>
      </c>
      <c r="C1136" s="48">
        <v>0</v>
      </c>
      <c r="D1136" s="48">
        <v>0</v>
      </c>
      <c r="E1136" s="48" t="s">
        <v>112</v>
      </c>
      <c r="F1136" s="48" t="s">
        <v>70</v>
      </c>
      <c r="G1136" s="48" t="s">
        <v>98</v>
      </c>
      <c r="H1136" s="69">
        <f t="shared" si="17"/>
        <v>43922</v>
      </c>
    </row>
    <row r="1137" spans="1:8" x14ac:dyDescent="0.25">
      <c r="A1137" s="68">
        <v>43950</v>
      </c>
      <c r="B1137" s="48">
        <v>13</v>
      </c>
      <c r="C1137" s="48">
        <v>0</v>
      </c>
      <c r="D1137" s="48">
        <v>0</v>
      </c>
      <c r="E1137" s="48" t="s">
        <v>112</v>
      </c>
      <c r="F1137" s="48" t="s">
        <v>70</v>
      </c>
      <c r="G1137" s="48" t="s">
        <v>336</v>
      </c>
      <c r="H1137" s="69">
        <f t="shared" si="17"/>
        <v>43922</v>
      </c>
    </row>
    <row r="1138" spans="1:8" x14ac:dyDescent="0.25">
      <c r="A1138" s="68">
        <v>43950</v>
      </c>
      <c r="B1138" s="48">
        <v>13</v>
      </c>
      <c r="C1138" s="48">
        <v>0</v>
      </c>
      <c r="D1138" s="48">
        <v>0</v>
      </c>
      <c r="E1138" s="48" t="s">
        <v>112</v>
      </c>
      <c r="F1138" s="48" t="s">
        <v>70</v>
      </c>
      <c r="G1138" s="48" t="s">
        <v>104</v>
      </c>
      <c r="H1138" s="69">
        <f t="shared" si="17"/>
        <v>43922</v>
      </c>
    </row>
    <row r="1139" spans="1:8" x14ac:dyDescent="0.25">
      <c r="A1139" s="68">
        <v>43950</v>
      </c>
      <c r="B1139" s="48">
        <v>1</v>
      </c>
      <c r="C1139" s="48">
        <v>0</v>
      </c>
      <c r="D1139" s="48">
        <v>0</v>
      </c>
      <c r="E1139" s="48" t="s">
        <v>112</v>
      </c>
      <c r="F1139" s="48" t="s">
        <v>70</v>
      </c>
      <c r="G1139" s="48" t="s">
        <v>379</v>
      </c>
      <c r="H1139" s="69">
        <f t="shared" si="17"/>
        <v>43922</v>
      </c>
    </row>
    <row r="1140" spans="1:8" x14ac:dyDescent="0.25">
      <c r="A1140" s="68">
        <v>43950</v>
      </c>
      <c r="B1140" s="48">
        <v>7</v>
      </c>
      <c r="C1140" s="48">
        <v>0</v>
      </c>
      <c r="D1140" s="48">
        <v>0</v>
      </c>
      <c r="E1140" s="48" t="s">
        <v>112</v>
      </c>
      <c r="F1140" s="48" t="s">
        <v>70</v>
      </c>
      <c r="G1140" s="48" t="s">
        <v>345</v>
      </c>
      <c r="H1140" s="69">
        <f t="shared" si="17"/>
        <v>43922</v>
      </c>
    </row>
    <row r="1141" spans="1:8" x14ac:dyDescent="0.25">
      <c r="A1141" s="68">
        <v>43951</v>
      </c>
      <c r="B1141" s="48">
        <v>1</v>
      </c>
      <c r="C1141" s="48">
        <v>0</v>
      </c>
      <c r="D1141" s="48">
        <v>0</v>
      </c>
      <c r="E1141" s="48" t="s">
        <v>112</v>
      </c>
      <c r="F1141" s="48" t="s">
        <v>76</v>
      </c>
      <c r="G1141" s="48" t="s">
        <v>339</v>
      </c>
      <c r="H1141" s="69">
        <f t="shared" si="17"/>
        <v>43922</v>
      </c>
    </row>
    <row r="1142" spans="1:8" x14ac:dyDescent="0.25">
      <c r="A1142" s="68">
        <v>43951</v>
      </c>
      <c r="B1142" s="48">
        <v>75</v>
      </c>
      <c r="C1142" s="48">
        <v>0</v>
      </c>
      <c r="D1142" s="48">
        <v>0</v>
      </c>
      <c r="E1142" s="48" t="s">
        <v>112</v>
      </c>
      <c r="F1142" s="48" t="s">
        <v>73</v>
      </c>
      <c r="G1142" s="48" t="s">
        <v>93</v>
      </c>
      <c r="H1142" s="69">
        <f t="shared" si="17"/>
        <v>43922</v>
      </c>
    </row>
    <row r="1143" spans="1:8" x14ac:dyDescent="0.25">
      <c r="A1143" s="68">
        <v>43951</v>
      </c>
      <c r="B1143" s="48">
        <v>6</v>
      </c>
      <c r="C1143" s="48">
        <v>0</v>
      </c>
      <c r="D1143" s="48">
        <v>0</v>
      </c>
      <c r="E1143" s="48" t="s">
        <v>112</v>
      </c>
      <c r="F1143" s="48" t="s">
        <v>75</v>
      </c>
      <c r="G1143" s="48" t="s">
        <v>103</v>
      </c>
      <c r="H1143" s="69">
        <f t="shared" si="17"/>
        <v>43922</v>
      </c>
    </row>
    <row r="1144" spans="1:8" x14ac:dyDescent="0.25">
      <c r="A1144" s="68">
        <v>43951</v>
      </c>
      <c r="B1144" s="48">
        <v>16</v>
      </c>
      <c r="C1144" s="48">
        <v>0</v>
      </c>
      <c r="D1144" s="48">
        <v>0</v>
      </c>
      <c r="E1144" s="48" t="s">
        <v>112</v>
      </c>
      <c r="F1144" s="48" t="s">
        <v>74</v>
      </c>
      <c r="G1144" s="48" t="s">
        <v>95</v>
      </c>
      <c r="H1144" s="69">
        <f t="shared" si="17"/>
        <v>43922</v>
      </c>
    </row>
    <row r="1145" spans="1:8" x14ac:dyDescent="0.25">
      <c r="A1145" s="68">
        <v>43951</v>
      </c>
      <c r="B1145" s="48">
        <v>279</v>
      </c>
      <c r="C1145" s="48">
        <v>3</v>
      </c>
      <c r="D1145" s="48">
        <v>0</v>
      </c>
      <c r="E1145" s="48" t="s">
        <v>112</v>
      </c>
      <c r="F1145" s="48" t="s">
        <v>71</v>
      </c>
      <c r="G1145" s="48" t="s">
        <v>92</v>
      </c>
      <c r="H1145" s="69">
        <f t="shared" si="17"/>
        <v>43922</v>
      </c>
    </row>
    <row r="1146" spans="1:8" x14ac:dyDescent="0.25">
      <c r="A1146" s="68">
        <v>43951</v>
      </c>
      <c r="B1146" s="48">
        <v>229</v>
      </c>
      <c r="C1146" s="48">
        <v>12</v>
      </c>
      <c r="D1146" s="48">
        <v>0</v>
      </c>
      <c r="E1146" s="48" t="s">
        <v>112</v>
      </c>
      <c r="F1146" s="48" t="s">
        <v>70</v>
      </c>
      <c r="G1146" s="48" t="s">
        <v>91</v>
      </c>
      <c r="H1146" s="69">
        <f t="shared" si="17"/>
        <v>43922</v>
      </c>
    </row>
    <row r="1147" spans="1:8" x14ac:dyDescent="0.25">
      <c r="A1147" s="68">
        <v>43951</v>
      </c>
      <c r="B1147" s="48">
        <v>5</v>
      </c>
      <c r="C1147" s="48">
        <v>0</v>
      </c>
      <c r="D1147" s="48">
        <v>0</v>
      </c>
      <c r="E1147" s="48" t="s">
        <v>112</v>
      </c>
      <c r="F1147" s="48" t="s">
        <v>70</v>
      </c>
      <c r="G1147" s="48" t="s">
        <v>99</v>
      </c>
      <c r="H1147" s="69">
        <f t="shared" si="17"/>
        <v>43922</v>
      </c>
    </row>
    <row r="1148" spans="1:8" x14ac:dyDescent="0.25">
      <c r="A1148" s="68">
        <v>43951</v>
      </c>
      <c r="B1148" s="48">
        <v>1</v>
      </c>
      <c r="C1148" s="48">
        <v>0</v>
      </c>
      <c r="D1148" s="48">
        <v>0</v>
      </c>
      <c r="E1148" s="48" t="s">
        <v>112</v>
      </c>
      <c r="F1148" s="48" t="s">
        <v>70</v>
      </c>
      <c r="G1148" s="48" t="s">
        <v>363</v>
      </c>
      <c r="H1148" s="69">
        <f t="shared" si="17"/>
        <v>43922</v>
      </c>
    </row>
    <row r="1149" spans="1:8" x14ac:dyDescent="0.25">
      <c r="A1149" s="68">
        <v>43951</v>
      </c>
      <c r="B1149" s="48">
        <v>1</v>
      </c>
      <c r="C1149" s="48">
        <v>0</v>
      </c>
      <c r="D1149" s="48">
        <v>0</v>
      </c>
      <c r="E1149" s="48" t="s">
        <v>112</v>
      </c>
      <c r="F1149" s="48" t="s">
        <v>70</v>
      </c>
      <c r="G1149" s="48" t="s">
        <v>381</v>
      </c>
      <c r="H1149" s="69">
        <f t="shared" si="17"/>
        <v>43922</v>
      </c>
    </row>
    <row r="1150" spans="1:8" x14ac:dyDescent="0.25">
      <c r="A1150" s="68">
        <v>43951</v>
      </c>
      <c r="B1150" s="48">
        <v>1</v>
      </c>
      <c r="C1150" s="48">
        <v>0</v>
      </c>
      <c r="D1150" s="48">
        <v>0</v>
      </c>
      <c r="E1150" s="48" t="s">
        <v>112</v>
      </c>
      <c r="F1150" s="48" t="s">
        <v>70</v>
      </c>
      <c r="G1150" s="48" t="s">
        <v>385</v>
      </c>
      <c r="H1150" s="69">
        <f t="shared" si="17"/>
        <v>43922</v>
      </c>
    </row>
    <row r="1151" spans="1:8" x14ac:dyDescent="0.25">
      <c r="A1151" s="68">
        <v>43951</v>
      </c>
      <c r="B1151" s="48">
        <v>4</v>
      </c>
      <c r="C1151" s="48">
        <v>0</v>
      </c>
      <c r="D1151" s="48">
        <v>0</v>
      </c>
      <c r="E1151" s="48" t="s">
        <v>112</v>
      </c>
      <c r="F1151" s="48" t="s">
        <v>70</v>
      </c>
      <c r="G1151" s="48" t="s">
        <v>374</v>
      </c>
      <c r="H1151" s="69">
        <f t="shared" si="17"/>
        <v>43922</v>
      </c>
    </row>
    <row r="1152" spans="1:8" x14ac:dyDescent="0.25">
      <c r="A1152" s="68">
        <v>43951</v>
      </c>
      <c r="B1152" s="48">
        <v>3</v>
      </c>
      <c r="C1152" s="48">
        <v>0</v>
      </c>
      <c r="D1152" s="48">
        <v>0</v>
      </c>
      <c r="E1152" s="48" t="s">
        <v>112</v>
      </c>
      <c r="F1152" s="48" t="s">
        <v>70</v>
      </c>
      <c r="G1152" s="48" t="s">
        <v>98</v>
      </c>
      <c r="H1152" s="69">
        <f t="shared" si="17"/>
        <v>43922</v>
      </c>
    </row>
    <row r="1153" spans="1:8" x14ac:dyDescent="0.25">
      <c r="A1153" s="68">
        <v>43951</v>
      </c>
      <c r="B1153" s="48">
        <v>6</v>
      </c>
      <c r="C1153" s="48">
        <v>0</v>
      </c>
      <c r="D1153" s="48">
        <v>0</v>
      </c>
      <c r="E1153" s="48" t="s">
        <v>112</v>
      </c>
      <c r="F1153" s="48" t="s">
        <v>70</v>
      </c>
      <c r="G1153" s="48" t="s">
        <v>379</v>
      </c>
      <c r="H1153" s="69">
        <f t="shared" si="17"/>
        <v>43922</v>
      </c>
    </row>
    <row r="1154" spans="1:8" x14ac:dyDescent="0.25">
      <c r="A1154" s="68">
        <v>43951</v>
      </c>
      <c r="B1154" s="48">
        <v>1</v>
      </c>
      <c r="C1154" s="48">
        <v>0</v>
      </c>
      <c r="D1154" s="48">
        <v>0</v>
      </c>
      <c r="E1154" s="48" t="s">
        <v>112</v>
      </c>
      <c r="F1154" s="48" t="s">
        <v>70</v>
      </c>
      <c r="G1154" s="48" t="s">
        <v>407</v>
      </c>
      <c r="H1154" s="69">
        <f t="shared" ref="H1154:H1217" si="18">DATE(YEAR(A1154),MONTH(A1154),1)</f>
        <v>43922</v>
      </c>
    </row>
    <row r="1155" spans="1:8" x14ac:dyDescent="0.25">
      <c r="A1155" s="68">
        <v>43951</v>
      </c>
      <c r="B1155" s="48">
        <v>1</v>
      </c>
      <c r="C1155" s="48">
        <v>0</v>
      </c>
      <c r="D1155" s="48">
        <v>0</v>
      </c>
      <c r="E1155" s="48" t="s">
        <v>112</v>
      </c>
      <c r="F1155" s="48" t="s">
        <v>70</v>
      </c>
      <c r="G1155" s="48" t="s">
        <v>383</v>
      </c>
      <c r="H1155" s="69">
        <f t="shared" si="18"/>
        <v>43922</v>
      </c>
    </row>
    <row r="1156" spans="1:8" x14ac:dyDescent="0.25">
      <c r="A1156" s="68">
        <v>43951</v>
      </c>
      <c r="B1156" s="48">
        <v>34</v>
      </c>
      <c r="C1156" s="48">
        <v>0</v>
      </c>
      <c r="D1156" s="48">
        <v>0</v>
      </c>
      <c r="E1156" s="48" t="s">
        <v>112</v>
      </c>
      <c r="F1156" s="48" t="s">
        <v>70</v>
      </c>
      <c r="G1156" s="48" t="s">
        <v>345</v>
      </c>
      <c r="H1156" s="69">
        <f t="shared" si="18"/>
        <v>43922</v>
      </c>
    </row>
    <row r="1157" spans="1:8" x14ac:dyDescent="0.25">
      <c r="A1157" s="68">
        <v>43951</v>
      </c>
      <c r="B1157" s="48">
        <v>2</v>
      </c>
      <c r="C1157" s="48">
        <v>0</v>
      </c>
      <c r="D1157" s="48">
        <v>0</v>
      </c>
      <c r="E1157" s="48" t="s">
        <v>112</v>
      </c>
      <c r="F1157" s="48" t="s">
        <v>70</v>
      </c>
      <c r="G1157" s="48" t="s">
        <v>367</v>
      </c>
      <c r="H1157" s="69">
        <f t="shared" si="18"/>
        <v>43922</v>
      </c>
    </row>
    <row r="1158" spans="1:8" x14ac:dyDescent="0.25">
      <c r="A1158" s="68">
        <v>43952</v>
      </c>
      <c r="B1158" s="48">
        <v>86</v>
      </c>
      <c r="C1158" s="48">
        <v>2</v>
      </c>
      <c r="D1158" s="48">
        <v>0</v>
      </c>
      <c r="E1158" s="48" t="s">
        <v>112</v>
      </c>
      <c r="F1158" s="48" t="s">
        <v>73</v>
      </c>
      <c r="G1158" s="48" t="s">
        <v>93</v>
      </c>
      <c r="H1158" s="69">
        <f t="shared" si="18"/>
        <v>43952</v>
      </c>
    </row>
    <row r="1159" spans="1:8" x14ac:dyDescent="0.25">
      <c r="A1159" s="68">
        <v>43952</v>
      </c>
      <c r="B1159" s="48">
        <v>1</v>
      </c>
      <c r="C1159" s="48">
        <v>0</v>
      </c>
      <c r="D1159" s="48">
        <v>0</v>
      </c>
      <c r="E1159" s="48" t="s">
        <v>112</v>
      </c>
      <c r="F1159" s="48" t="s">
        <v>73</v>
      </c>
      <c r="G1159" s="48" t="s">
        <v>425</v>
      </c>
      <c r="H1159" s="69">
        <f t="shared" si="18"/>
        <v>43952</v>
      </c>
    </row>
    <row r="1160" spans="1:8" x14ac:dyDescent="0.25">
      <c r="A1160" s="68">
        <v>43952</v>
      </c>
      <c r="B1160" s="48">
        <v>1</v>
      </c>
      <c r="C1160" s="48">
        <v>0</v>
      </c>
      <c r="D1160" s="48">
        <v>5</v>
      </c>
      <c r="E1160" s="48" t="s">
        <v>112</v>
      </c>
      <c r="F1160" s="48" t="s">
        <v>75</v>
      </c>
      <c r="G1160" s="48" t="s">
        <v>103</v>
      </c>
      <c r="H1160" s="69">
        <f t="shared" si="18"/>
        <v>43952</v>
      </c>
    </row>
    <row r="1161" spans="1:8" x14ac:dyDescent="0.25">
      <c r="A1161" s="68">
        <v>43952</v>
      </c>
      <c r="B1161" s="48">
        <v>0</v>
      </c>
      <c r="C1161" s="48">
        <v>0</v>
      </c>
      <c r="D1161" s="48">
        <v>1</v>
      </c>
      <c r="E1161" s="48" t="s">
        <v>112</v>
      </c>
      <c r="F1161" s="48" t="s">
        <v>75</v>
      </c>
      <c r="G1161" s="48" t="s">
        <v>103</v>
      </c>
      <c r="H1161" s="69">
        <f t="shared" si="18"/>
        <v>43952</v>
      </c>
    </row>
    <row r="1162" spans="1:8" x14ac:dyDescent="0.25">
      <c r="A1162" s="68">
        <v>43952</v>
      </c>
      <c r="B1162" s="48">
        <v>30</v>
      </c>
      <c r="C1162" s="48">
        <v>0</v>
      </c>
      <c r="D1162" s="48">
        <v>0</v>
      </c>
      <c r="E1162" s="48" t="s">
        <v>112</v>
      </c>
      <c r="F1162" s="48" t="s">
        <v>74</v>
      </c>
      <c r="G1162" s="48" t="s">
        <v>95</v>
      </c>
      <c r="H1162" s="69">
        <f t="shared" si="18"/>
        <v>43952</v>
      </c>
    </row>
    <row r="1163" spans="1:8" x14ac:dyDescent="0.25">
      <c r="A1163" s="68">
        <v>43952</v>
      </c>
      <c r="B1163" s="48">
        <v>248</v>
      </c>
      <c r="C1163" s="48">
        <v>15</v>
      </c>
      <c r="D1163" s="48">
        <v>40</v>
      </c>
      <c r="E1163" s="48" t="s">
        <v>112</v>
      </c>
      <c r="F1163" s="48" t="s">
        <v>72</v>
      </c>
      <c r="G1163" s="48" t="s">
        <v>94</v>
      </c>
      <c r="H1163" s="69">
        <f t="shared" si="18"/>
        <v>43952</v>
      </c>
    </row>
    <row r="1164" spans="1:8" x14ac:dyDescent="0.25">
      <c r="A1164" s="68">
        <v>43952</v>
      </c>
      <c r="B1164" s="48">
        <v>3</v>
      </c>
      <c r="C1164" s="48">
        <v>0</v>
      </c>
      <c r="D1164" s="48">
        <v>0</v>
      </c>
      <c r="E1164" s="48" t="s">
        <v>112</v>
      </c>
      <c r="F1164" s="48" t="s">
        <v>72</v>
      </c>
      <c r="G1164" s="48" t="s">
        <v>341</v>
      </c>
      <c r="H1164" s="69">
        <f t="shared" si="18"/>
        <v>43952</v>
      </c>
    </row>
    <row r="1165" spans="1:8" x14ac:dyDescent="0.25">
      <c r="A1165" s="68">
        <v>43952</v>
      </c>
      <c r="B1165" s="48">
        <v>5</v>
      </c>
      <c r="C1165" s="48">
        <v>0</v>
      </c>
      <c r="D1165" s="48">
        <v>0</v>
      </c>
      <c r="E1165" s="48" t="s">
        <v>112</v>
      </c>
      <c r="F1165" s="48" t="s">
        <v>72</v>
      </c>
      <c r="G1165" s="48" t="s">
        <v>338</v>
      </c>
      <c r="H1165" s="69">
        <f t="shared" si="18"/>
        <v>43952</v>
      </c>
    </row>
    <row r="1166" spans="1:8" x14ac:dyDescent="0.25">
      <c r="A1166" s="68">
        <v>43952</v>
      </c>
      <c r="B1166" s="48">
        <v>0</v>
      </c>
      <c r="C1166" s="48">
        <v>0</v>
      </c>
      <c r="D1166" s="48">
        <v>0</v>
      </c>
      <c r="E1166" s="48" t="s">
        <v>112</v>
      </c>
      <c r="F1166" s="48" t="s">
        <v>72</v>
      </c>
      <c r="G1166" s="48" t="s">
        <v>343</v>
      </c>
      <c r="H1166" s="69">
        <f t="shared" si="18"/>
        <v>43952</v>
      </c>
    </row>
    <row r="1167" spans="1:8" x14ac:dyDescent="0.25">
      <c r="A1167" s="68">
        <v>43952</v>
      </c>
      <c r="B1167" s="48">
        <v>0</v>
      </c>
      <c r="C1167" s="48">
        <v>0</v>
      </c>
      <c r="D1167" s="48">
        <v>0</v>
      </c>
      <c r="E1167" s="48" t="s">
        <v>112</v>
      </c>
      <c r="F1167" s="48" t="s">
        <v>72</v>
      </c>
      <c r="G1167" s="48" t="s">
        <v>400</v>
      </c>
      <c r="H1167" s="69">
        <f t="shared" si="18"/>
        <v>43952</v>
      </c>
    </row>
    <row r="1168" spans="1:8" x14ac:dyDescent="0.25">
      <c r="A1168" s="68">
        <v>43952</v>
      </c>
      <c r="B1168" s="48">
        <v>1</v>
      </c>
      <c r="C1168" s="48">
        <v>0</v>
      </c>
      <c r="D1168" s="48">
        <v>0</v>
      </c>
      <c r="E1168" s="48" t="s">
        <v>112</v>
      </c>
      <c r="F1168" s="48" t="s">
        <v>72</v>
      </c>
      <c r="G1168" s="48" t="s">
        <v>102</v>
      </c>
      <c r="H1168" s="69">
        <f t="shared" si="18"/>
        <v>43952</v>
      </c>
    </row>
    <row r="1169" spans="1:8" x14ac:dyDescent="0.25">
      <c r="A1169" s="68">
        <v>43952</v>
      </c>
      <c r="B1169" s="48">
        <v>2</v>
      </c>
      <c r="C1169" s="48">
        <v>0</v>
      </c>
      <c r="D1169" s="48">
        <v>0</v>
      </c>
      <c r="E1169" s="48" t="s">
        <v>112</v>
      </c>
      <c r="F1169" s="48" t="s">
        <v>72</v>
      </c>
      <c r="G1169" s="48" t="s">
        <v>355</v>
      </c>
      <c r="H1169" s="69">
        <f t="shared" si="18"/>
        <v>43952</v>
      </c>
    </row>
    <row r="1170" spans="1:8" x14ac:dyDescent="0.25">
      <c r="A1170" s="68">
        <v>43952</v>
      </c>
      <c r="B1170" s="48">
        <v>17</v>
      </c>
      <c r="C1170" s="48">
        <v>0</v>
      </c>
      <c r="D1170" s="48">
        <v>0</v>
      </c>
      <c r="E1170" s="48" t="s">
        <v>112</v>
      </c>
      <c r="F1170" s="48" t="s">
        <v>72</v>
      </c>
      <c r="G1170" s="48" t="s">
        <v>96</v>
      </c>
      <c r="H1170" s="69">
        <f t="shared" si="18"/>
        <v>43952</v>
      </c>
    </row>
    <row r="1171" spans="1:8" x14ac:dyDescent="0.25">
      <c r="A1171" s="68">
        <v>43952</v>
      </c>
      <c r="B1171" s="48">
        <v>1</v>
      </c>
      <c r="C1171" s="48">
        <v>0</v>
      </c>
      <c r="D1171" s="48">
        <v>0</v>
      </c>
      <c r="E1171" s="48" t="s">
        <v>112</v>
      </c>
      <c r="F1171" s="48" t="s">
        <v>72</v>
      </c>
      <c r="G1171" s="48" t="s">
        <v>347</v>
      </c>
      <c r="H1171" s="69">
        <f t="shared" si="18"/>
        <v>43952</v>
      </c>
    </row>
    <row r="1172" spans="1:8" x14ac:dyDescent="0.25">
      <c r="A1172" s="68">
        <v>43952</v>
      </c>
      <c r="B1172" s="48">
        <v>6</v>
      </c>
      <c r="C1172" s="48">
        <v>0</v>
      </c>
      <c r="D1172" s="48">
        <v>0</v>
      </c>
      <c r="E1172" s="48" t="s">
        <v>112</v>
      </c>
      <c r="F1172" s="48" t="s">
        <v>72</v>
      </c>
      <c r="G1172" s="48" t="s">
        <v>335</v>
      </c>
      <c r="H1172" s="69">
        <f t="shared" si="18"/>
        <v>43952</v>
      </c>
    </row>
    <row r="1173" spans="1:8" x14ac:dyDescent="0.25">
      <c r="A1173" s="68">
        <v>43952</v>
      </c>
      <c r="B1173" s="48">
        <v>0</v>
      </c>
      <c r="C1173" s="48">
        <v>0</v>
      </c>
      <c r="D1173" s="48">
        <v>0</v>
      </c>
      <c r="E1173" s="48" t="s">
        <v>112</v>
      </c>
      <c r="F1173" s="48" t="s">
        <v>72</v>
      </c>
      <c r="G1173" s="48" t="s">
        <v>342</v>
      </c>
      <c r="H1173" s="69">
        <f t="shared" si="18"/>
        <v>43952</v>
      </c>
    </row>
    <row r="1174" spans="1:8" x14ac:dyDescent="0.25">
      <c r="A1174" s="68">
        <v>43952</v>
      </c>
      <c r="B1174" s="48">
        <v>3</v>
      </c>
      <c r="C1174" s="48">
        <v>0</v>
      </c>
      <c r="D1174" s="48">
        <v>0</v>
      </c>
      <c r="E1174" s="48" t="s">
        <v>112</v>
      </c>
      <c r="F1174" s="48" t="s">
        <v>72</v>
      </c>
      <c r="G1174" s="48" t="s">
        <v>353</v>
      </c>
      <c r="H1174" s="69">
        <f t="shared" si="18"/>
        <v>43952</v>
      </c>
    </row>
    <row r="1175" spans="1:8" x14ac:dyDescent="0.25">
      <c r="A1175" s="68">
        <v>43952</v>
      </c>
      <c r="B1175" s="48">
        <v>16</v>
      </c>
      <c r="C1175" s="48">
        <v>0</v>
      </c>
      <c r="D1175" s="48">
        <v>0</v>
      </c>
      <c r="E1175" s="48" t="s">
        <v>112</v>
      </c>
      <c r="F1175" s="48" t="s">
        <v>72</v>
      </c>
      <c r="G1175" s="48" t="s">
        <v>101</v>
      </c>
      <c r="H1175" s="69">
        <f t="shared" si="18"/>
        <v>43952</v>
      </c>
    </row>
    <row r="1176" spans="1:8" x14ac:dyDescent="0.25">
      <c r="A1176" s="68">
        <v>43952</v>
      </c>
      <c r="B1176" s="48">
        <v>2</v>
      </c>
      <c r="C1176" s="48">
        <v>0</v>
      </c>
      <c r="D1176" s="48">
        <v>0</v>
      </c>
      <c r="E1176" s="48" t="s">
        <v>112</v>
      </c>
      <c r="F1176" s="48" t="s">
        <v>72</v>
      </c>
      <c r="G1176" s="48" t="s">
        <v>387</v>
      </c>
      <c r="H1176" s="69">
        <f t="shared" si="18"/>
        <v>43952</v>
      </c>
    </row>
    <row r="1177" spans="1:8" x14ac:dyDescent="0.25">
      <c r="A1177" s="68">
        <v>43952</v>
      </c>
      <c r="B1177" s="48">
        <v>0</v>
      </c>
      <c r="C1177" s="48">
        <v>0</v>
      </c>
      <c r="D1177" s="48">
        <v>0</v>
      </c>
      <c r="E1177" s="48" t="s">
        <v>112</v>
      </c>
      <c r="F1177" s="48" t="s">
        <v>72</v>
      </c>
      <c r="G1177" s="48" t="s">
        <v>435</v>
      </c>
      <c r="H1177" s="69">
        <f t="shared" si="18"/>
        <v>43952</v>
      </c>
    </row>
    <row r="1178" spans="1:8" x14ac:dyDescent="0.25">
      <c r="A1178" s="68">
        <v>43952</v>
      </c>
      <c r="B1178" s="48">
        <v>0</v>
      </c>
      <c r="C1178" s="48">
        <v>0</v>
      </c>
      <c r="D1178" s="48">
        <v>0</v>
      </c>
      <c r="E1178" s="48" t="s">
        <v>112</v>
      </c>
      <c r="F1178" s="48" t="s">
        <v>72</v>
      </c>
      <c r="G1178" s="48" t="s">
        <v>344</v>
      </c>
      <c r="H1178" s="69">
        <f t="shared" si="18"/>
        <v>43952</v>
      </c>
    </row>
    <row r="1179" spans="1:8" x14ac:dyDescent="0.25">
      <c r="A1179" s="68">
        <v>43952</v>
      </c>
      <c r="B1179" s="48">
        <v>1</v>
      </c>
      <c r="C1179" s="48">
        <v>0</v>
      </c>
      <c r="D1179" s="48">
        <v>0</v>
      </c>
      <c r="E1179" s="48" t="s">
        <v>112</v>
      </c>
      <c r="F1179" s="48" t="s">
        <v>72</v>
      </c>
      <c r="G1179" s="48" t="s">
        <v>354</v>
      </c>
      <c r="H1179" s="69">
        <f t="shared" si="18"/>
        <v>43952</v>
      </c>
    </row>
    <row r="1180" spans="1:8" x14ac:dyDescent="0.25">
      <c r="A1180" s="68">
        <v>43952</v>
      </c>
      <c r="B1180" s="48">
        <v>2</v>
      </c>
      <c r="C1180" s="48">
        <v>0</v>
      </c>
      <c r="D1180" s="48">
        <v>0</v>
      </c>
      <c r="E1180" s="48" t="s">
        <v>112</v>
      </c>
      <c r="F1180" s="48" t="s">
        <v>72</v>
      </c>
      <c r="G1180" s="48" t="s">
        <v>337</v>
      </c>
      <c r="H1180" s="69">
        <f t="shared" si="18"/>
        <v>43952</v>
      </c>
    </row>
    <row r="1181" spans="1:8" x14ac:dyDescent="0.25">
      <c r="A1181" s="68">
        <v>43952</v>
      </c>
      <c r="B1181" s="48">
        <v>0</v>
      </c>
      <c r="C1181" s="48">
        <v>0</v>
      </c>
      <c r="D1181" s="48">
        <v>0</v>
      </c>
      <c r="E1181" s="48" t="s">
        <v>112</v>
      </c>
      <c r="F1181" s="48" t="s">
        <v>72</v>
      </c>
      <c r="G1181" s="48" t="s">
        <v>356</v>
      </c>
      <c r="H1181" s="69">
        <f t="shared" si="18"/>
        <v>43952</v>
      </c>
    </row>
    <row r="1182" spans="1:8" x14ac:dyDescent="0.25">
      <c r="A1182" s="68">
        <v>43952</v>
      </c>
      <c r="B1182" s="48">
        <v>0</v>
      </c>
      <c r="C1182" s="48">
        <v>0</v>
      </c>
      <c r="D1182" s="48">
        <v>0</v>
      </c>
      <c r="E1182" s="48" t="s">
        <v>112</v>
      </c>
      <c r="F1182" s="48" t="s">
        <v>72</v>
      </c>
      <c r="G1182" s="48" t="s">
        <v>429</v>
      </c>
      <c r="H1182" s="69">
        <f t="shared" si="18"/>
        <v>43952</v>
      </c>
    </row>
    <row r="1183" spans="1:8" x14ac:dyDescent="0.25">
      <c r="A1183" s="68">
        <v>43952</v>
      </c>
      <c r="B1183" s="48">
        <v>0</v>
      </c>
      <c r="C1183" s="48">
        <v>0</v>
      </c>
      <c r="D1183" s="48">
        <v>0</v>
      </c>
      <c r="E1183" s="48" t="s">
        <v>112</v>
      </c>
      <c r="F1183" s="48" t="s">
        <v>72</v>
      </c>
      <c r="G1183" s="48" t="s">
        <v>431</v>
      </c>
      <c r="H1183" s="69">
        <f t="shared" si="18"/>
        <v>43952</v>
      </c>
    </row>
    <row r="1184" spans="1:8" x14ac:dyDescent="0.25">
      <c r="A1184" s="68">
        <v>43952</v>
      </c>
      <c r="B1184" s="48">
        <v>0</v>
      </c>
      <c r="C1184" s="48">
        <v>0</v>
      </c>
      <c r="D1184" s="48">
        <v>0</v>
      </c>
      <c r="E1184" s="48" t="s">
        <v>112</v>
      </c>
      <c r="F1184" s="48" t="s">
        <v>72</v>
      </c>
      <c r="G1184" s="48" t="s">
        <v>426</v>
      </c>
      <c r="H1184" s="69">
        <f t="shared" si="18"/>
        <v>43952</v>
      </c>
    </row>
    <row r="1185" spans="1:8" x14ac:dyDescent="0.25">
      <c r="A1185" s="68">
        <v>43952</v>
      </c>
      <c r="B1185" s="48">
        <v>0</v>
      </c>
      <c r="C1185" s="48">
        <v>0</v>
      </c>
      <c r="D1185" s="48">
        <v>0</v>
      </c>
      <c r="E1185" s="48" t="s">
        <v>112</v>
      </c>
      <c r="F1185" s="48" t="s">
        <v>72</v>
      </c>
      <c r="G1185" s="48" t="s">
        <v>436</v>
      </c>
      <c r="H1185" s="69">
        <f t="shared" si="18"/>
        <v>43952</v>
      </c>
    </row>
    <row r="1186" spans="1:8" x14ac:dyDescent="0.25">
      <c r="A1186" s="68">
        <v>43952</v>
      </c>
      <c r="B1186" s="48">
        <v>1</v>
      </c>
      <c r="C1186" s="48">
        <v>0</v>
      </c>
      <c r="D1186" s="48">
        <v>0</v>
      </c>
      <c r="E1186" s="48" t="s">
        <v>112</v>
      </c>
      <c r="F1186" s="48" t="s">
        <v>72</v>
      </c>
      <c r="G1186" s="48" t="s">
        <v>357</v>
      </c>
      <c r="H1186" s="69">
        <f t="shared" si="18"/>
        <v>43952</v>
      </c>
    </row>
    <row r="1187" spans="1:8" x14ac:dyDescent="0.25">
      <c r="A1187" s="68">
        <v>43952</v>
      </c>
      <c r="B1187" s="48">
        <v>1</v>
      </c>
      <c r="C1187" s="48">
        <v>0</v>
      </c>
      <c r="D1187" s="48">
        <v>0</v>
      </c>
      <c r="E1187" s="48" t="s">
        <v>112</v>
      </c>
      <c r="F1187" s="48" t="s">
        <v>72</v>
      </c>
      <c r="G1187" s="48" t="s">
        <v>358</v>
      </c>
      <c r="H1187" s="69">
        <f t="shared" si="18"/>
        <v>43952</v>
      </c>
    </row>
    <row r="1188" spans="1:8" x14ac:dyDescent="0.25">
      <c r="A1188" s="68">
        <v>43952</v>
      </c>
      <c r="B1188" s="48">
        <v>0</v>
      </c>
      <c r="C1188" s="48">
        <v>0</v>
      </c>
      <c r="D1188" s="48">
        <v>0</v>
      </c>
      <c r="E1188" s="48" t="s">
        <v>112</v>
      </c>
      <c r="F1188" s="48" t="s">
        <v>72</v>
      </c>
      <c r="G1188" s="48" t="s">
        <v>399</v>
      </c>
      <c r="H1188" s="69">
        <f t="shared" si="18"/>
        <v>43952</v>
      </c>
    </row>
    <row r="1189" spans="1:8" x14ac:dyDescent="0.25">
      <c r="A1189" s="68">
        <v>43952</v>
      </c>
      <c r="B1189" s="48">
        <v>4</v>
      </c>
      <c r="C1189" s="48">
        <v>0</v>
      </c>
      <c r="D1189" s="48">
        <v>0</v>
      </c>
      <c r="E1189" s="48" t="s">
        <v>112</v>
      </c>
      <c r="F1189" s="48" t="s">
        <v>72</v>
      </c>
      <c r="G1189" s="48" t="s">
        <v>352</v>
      </c>
      <c r="H1189" s="69">
        <f t="shared" si="18"/>
        <v>43952</v>
      </c>
    </row>
    <row r="1190" spans="1:8" x14ac:dyDescent="0.25">
      <c r="A1190" s="68">
        <v>43952</v>
      </c>
      <c r="B1190" s="48">
        <v>3</v>
      </c>
      <c r="C1190" s="48">
        <v>0</v>
      </c>
      <c r="D1190" s="48">
        <v>0</v>
      </c>
      <c r="E1190" s="48" t="s">
        <v>112</v>
      </c>
      <c r="F1190" s="48" t="s">
        <v>72</v>
      </c>
      <c r="G1190" s="48" t="s">
        <v>359</v>
      </c>
      <c r="H1190" s="69">
        <f t="shared" si="18"/>
        <v>43952</v>
      </c>
    </row>
    <row r="1191" spans="1:8" x14ac:dyDescent="0.25">
      <c r="A1191" s="68">
        <v>43952</v>
      </c>
      <c r="B1191" s="48">
        <v>0</v>
      </c>
      <c r="C1191" s="48">
        <v>0</v>
      </c>
      <c r="D1191" s="48">
        <v>0</v>
      </c>
      <c r="E1191" s="48" t="s">
        <v>112</v>
      </c>
      <c r="F1191" s="48" t="s">
        <v>72</v>
      </c>
      <c r="G1191" s="48" t="s">
        <v>410</v>
      </c>
      <c r="H1191" s="69">
        <f t="shared" si="18"/>
        <v>43952</v>
      </c>
    </row>
    <row r="1192" spans="1:8" x14ac:dyDescent="0.25">
      <c r="A1192" s="68">
        <v>43952</v>
      </c>
      <c r="B1192" s="48">
        <v>14</v>
      </c>
      <c r="C1192" s="48">
        <v>0</v>
      </c>
      <c r="D1192" s="48">
        <v>0</v>
      </c>
      <c r="E1192" s="48" t="s">
        <v>112</v>
      </c>
      <c r="F1192" s="48" t="s">
        <v>72</v>
      </c>
      <c r="G1192" s="48" t="s">
        <v>365</v>
      </c>
      <c r="H1192" s="69">
        <f t="shared" si="18"/>
        <v>43952</v>
      </c>
    </row>
    <row r="1193" spans="1:8" x14ac:dyDescent="0.25">
      <c r="A1193" s="68">
        <v>43952</v>
      </c>
      <c r="B1193" s="48">
        <v>0</v>
      </c>
      <c r="C1193" s="48">
        <v>0</v>
      </c>
      <c r="D1193" s="48">
        <v>0</v>
      </c>
      <c r="E1193" s="48" t="s">
        <v>112</v>
      </c>
      <c r="F1193" s="48" t="s">
        <v>72</v>
      </c>
      <c r="G1193" s="48" t="s">
        <v>408</v>
      </c>
      <c r="H1193" s="69">
        <f t="shared" si="18"/>
        <v>43952</v>
      </c>
    </row>
    <row r="1194" spans="1:8" x14ac:dyDescent="0.25">
      <c r="A1194" s="68">
        <v>43952</v>
      </c>
      <c r="B1194" s="48">
        <v>0</v>
      </c>
      <c r="C1194" s="48">
        <v>0</v>
      </c>
      <c r="D1194" s="48">
        <v>0</v>
      </c>
      <c r="E1194" s="48" t="s">
        <v>112</v>
      </c>
      <c r="F1194" s="48" t="s">
        <v>72</v>
      </c>
      <c r="G1194" s="48" t="s">
        <v>411</v>
      </c>
      <c r="H1194" s="69">
        <f t="shared" si="18"/>
        <v>43952</v>
      </c>
    </row>
    <row r="1195" spans="1:8" x14ac:dyDescent="0.25">
      <c r="A1195" s="68">
        <v>43952</v>
      </c>
      <c r="B1195" s="48">
        <v>0</v>
      </c>
      <c r="C1195" s="48">
        <v>0</v>
      </c>
      <c r="D1195" s="48">
        <v>0</v>
      </c>
      <c r="E1195" s="48" t="s">
        <v>112</v>
      </c>
      <c r="F1195" s="48" t="s">
        <v>72</v>
      </c>
      <c r="G1195" s="48" t="s">
        <v>351</v>
      </c>
      <c r="H1195" s="69">
        <f t="shared" si="18"/>
        <v>43952</v>
      </c>
    </row>
    <row r="1196" spans="1:8" x14ac:dyDescent="0.25">
      <c r="A1196" s="68">
        <v>43952</v>
      </c>
      <c r="B1196" s="48">
        <v>0</v>
      </c>
      <c r="C1196" s="48">
        <v>0</v>
      </c>
      <c r="D1196" s="48">
        <v>0</v>
      </c>
      <c r="E1196" s="48" t="s">
        <v>112</v>
      </c>
      <c r="F1196" s="48" t="s">
        <v>72</v>
      </c>
      <c r="G1196" s="48" t="s">
        <v>417</v>
      </c>
      <c r="H1196" s="69">
        <f t="shared" si="18"/>
        <v>43952</v>
      </c>
    </row>
    <row r="1197" spans="1:8" x14ac:dyDescent="0.25">
      <c r="A1197" s="68">
        <v>43952</v>
      </c>
      <c r="B1197" s="48">
        <v>0</v>
      </c>
      <c r="C1197" s="48">
        <v>0</v>
      </c>
      <c r="D1197" s="48">
        <v>0</v>
      </c>
      <c r="E1197" s="48" t="s">
        <v>112</v>
      </c>
      <c r="F1197" s="48" t="s">
        <v>72</v>
      </c>
      <c r="G1197" s="48" t="s">
        <v>420</v>
      </c>
      <c r="H1197" s="69">
        <f t="shared" si="18"/>
        <v>43952</v>
      </c>
    </row>
    <row r="1198" spans="1:8" x14ac:dyDescent="0.25">
      <c r="A1198" s="68">
        <v>43952</v>
      </c>
      <c r="B1198" s="48">
        <v>446</v>
      </c>
      <c r="C1198" s="48">
        <v>6</v>
      </c>
      <c r="D1198" s="48">
        <v>73</v>
      </c>
      <c r="E1198" s="48" t="s">
        <v>112</v>
      </c>
      <c r="F1198" s="48" t="s">
        <v>70</v>
      </c>
      <c r="G1198" s="48" t="s">
        <v>91</v>
      </c>
      <c r="H1198" s="69">
        <f t="shared" si="18"/>
        <v>43952</v>
      </c>
    </row>
    <row r="1199" spans="1:8" x14ac:dyDescent="0.25">
      <c r="A1199" s="68">
        <v>43952</v>
      </c>
      <c r="B1199" s="48">
        <v>176</v>
      </c>
      <c r="C1199" s="48">
        <v>0</v>
      </c>
      <c r="D1199" s="48">
        <v>0</v>
      </c>
      <c r="E1199" s="48" t="s">
        <v>112</v>
      </c>
      <c r="F1199" s="48" t="s">
        <v>70</v>
      </c>
      <c r="G1199" s="48" t="s">
        <v>91</v>
      </c>
      <c r="H1199" s="69">
        <f t="shared" si="18"/>
        <v>43952</v>
      </c>
    </row>
    <row r="1200" spans="1:8" x14ac:dyDescent="0.25">
      <c r="A1200" s="68">
        <v>43953</v>
      </c>
      <c r="B1200" s="48">
        <v>35</v>
      </c>
      <c r="C1200" s="48">
        <v>0</v>
      </c>
      <c r="D1200" s="48">
        <v>0</v>
      </c>
      <c r="E1200" s="48" t="s">
        <v>112</v>
      </c>
      <c r="F1200" s="48" t="s">
        <v>73</v>
      </c>
      <c r="G1200" s="48" t="s">
        <v>93</v>
      </c>
      <c r="H1200" s="69">
        <f t="shared" si="18"/>
        <v>43952</v>
      </c>
    </row>
    <row r="1201" spans="1:8" x14ac:dyDescent="0.25">
      <c r="A1201" s="68">
        <v>43953</v>
      </c>
      <c r="B1201" s="48">
        <v>1</v>
      </c>
      <c r="C1201" s="48">
        <v>0</v>
      </c>
      <c r="D1201" s="48">
        <v>0</v>
      </c>
      <c r="E1201" s="48" t="s">
        <v>112</v>
      </c>
      <c r="F1201" s="48" t="s">
        <v>73</v>
      </c>
      <c r="G1201" s="48" t="s">
        <v>433</v>
      </c>
      <c r="H1201" s="69">
        <f t="shared" si="18"/>
        <v>43952</v>
      </c>
    </row>
    <row r="1202" spans="1:8" x14ac:dyDescent="0.25">
      <c r="A1202" s="68">
        <v>43953</v>
      </c>
      <c r="B1202" s="48">
        <v>16</v>
      </c>
      <c r="C1202" s="48">
        <v>0</v>
      </c>
      <c r="D1202" s="48">
        <v>5</v>
      </c>
      <c r="E1202" s="48" t="s">
        <v>112</v>
      </c>
      <c r="F1202" s="48" t="s">
        <v>75</v>
      </c>
      <c r="G1202" s="48" t="s">
        <v>103</v>
      </c>
      <c r="H1202" s="69">
        <f t="shared" si="18"/>
        <v>43952</v>
      </c>
    </row>
    <row r="1203" spans="1:8" x14ac:dyDescent="0.25">
      <c r="A1203" s="68">
        <v>43953</v>
      </c>
      <c r="B1203" s="48">
        <v>22</v>
      </c>
      <c r="C1203" s="48">
        <v>0</v>
      </c>
      <c r="D1203" s="48">
        <v>0</v>
      </c>
      <c r="E1203" s="48" t="s">
        <v>112</v>
      </c>
      <c r="F1203" s="48" t="s">
        <v>74</v>
      </c>
      <c r="G1203" s="48" t="s">
        <v>95</v>
      </c>
      <c r="H1203" s="69">
        <f t="shared" si="18"/>
        <v>43952</v>
      </c>
    </row>
    <row r="1204" spans="1:8" x14ac:dyDescent="0.25">
      <c r="A1204" s="68">
        <v>43953</v>
      </c>
      <c r="B1204" s="48">
        <v>57</v>
      </c>
      <c r="C1204" s="48">
        <v>9</v>
      </c>
      <c r="D1204" s="48">
        <v>38</v>
      </c>
      <c r="E1204" s="48" t="s">
        <v>112</v>
      </c>
      <c r="F1204" s="48" t="s">
        <v>72</v>
      </c>
      <c r="G1204" s="48" t="s">
        <v>94</v>
      </c>
      <c r="H1204" s="69">
        <f t="shared" si="18"/>
        <v>43952</v>
      </c>
    </row>
    <row r="1205" spans="1:8" x14ac:dyDescent="0.25">
      <c r="A1205" s="68">
        <v>43953</v>
      </c>
      <c r="B1205" s="48">
        <v>1</v>
      </c>
      <c r="C1205" s="48">
        <v>0</v>
      </c>
      <c r="D1205" s="48">
        <v>0</v>
      </c>
      <c r="E1205" s="48" t="s">
        <v>112</v>
      </c>
      <c r="F1205" s="48" t="s">
        <v>72</v>
      </c>
      <c r="G1205" s="48" t="s">
        <v>341</v>
      </c>
      <c r="H1205" s="69">
        <f t="shared" si="18"/>
        <v>43952</v>
      </c>
    </row>
    <row r="1206" spans="1:8" x14ac:dyDescent="0.25">
      <c r="A1206" s="68">
        <v>43953</v>
      </c>
      <c r="B1206" s="48">
        <v>1</v>
      </c>
      <c r="C1206" s="48">
        <v>1</v>
      </c>
      <c r="D1206" s="48">
        <v>0</v>
      </c>
      <c r="E1206" s="48" t="s">
        <v>112</v>
      </c>
      <c r="F1206" s="48" t="s">
        <v>72</v>
      </c>
      <c r="G1206" s="48" t="s">
        <v>338</v>
      </c>
      <c r="H1206" s="69">
        <f t="shared" si="18"/>
        <v>43952</v>
      </c>
    </row>
    <row r="1207" spans="1:8" x14ac:dyDescent="0.25">
      <c r="A1207" s="68">
        <v>43953</v>
      </c>
      <c r="B1207" s="48">
        <v>0</v>
      </c>
      <c r="C1207" s="48">
        <v>0</v>
      </c>
      <c r="D1207" s="48">
        <v>0</v>
      </c>
      <c r="E1207" s="48" t="s">
        <v>112</v>
      </c>
      <c r="F1207" s="48" t="s">
        <v>72</v>
      </c>
      <c r="G1207" s="48" t="s">
        <v>343</v>
      </c>
      <c r="H1207" s="69">
        <f t="shared" si="18"/>
        <v>43952</v>
      </c>
    </row>
    <row r="1208" spans="1:8" x14ac:dyDescent="0.25">
      <c r="A1208" s="68">
        <v>43953</v>
      </c>
      <c r="B1208" s="48">
        <v>0</v>
      </c>
      <c r="C1208" s="48">
        <v>0</v>
      </c>
      <c r="D1208" s="48">
        <v>0</v>
      </c>
      <c r="E1208" s="48" t="s">
        <v>112</v>
      </c>
      <c r="F1208" s="48" t="s">
        <v>72</v>
      </c>
      <c r="G1208" s="48" t="s">
        <v>400</v>
      </c>
      <c r="H1208" s="69">
        <f t="shared" si="18"/>
        <v>43952</v>
      </c>
    </row>
    <row r="1209" spans="1:8" x14ac:dyDescent="0.25">
      <c r="A1209" s="68">
        <v>43953</v>
      </c>
      <c r="B1209" s="48">
        <v>0</v>
      </c>
      <c r="C1209" s="48">
        <v>0</v>
      </c>
      <c r="D1209" s="48">
        <v>0</v>
      </c>
      <c r="E1209" s="48" t="s">
        <v>112</v>
      </c>
      <c r="F1209" s="48" t="s">
        <v>72</v>
      </c>
      <c r="G1209" s="48" t="s">
        <v>102</v>
      </c>
      <c r="H1209" s="69">
        <f t="shared" si="18"/>
        <v>43952</v>
      </c>
    </row>
    <row r="1210" spans="1:8" x14ac:dyDescent="0.25">
      <c r="A1210" s="68">
        <v>43953</v>
      </c>
      <c r="B1210" s="48">
        <v>6</v>
      </c>
      <c r="C1210" s="48">
        <v>0</v>
      </c>
      <c r="D1210" s="48">
        <v>0</v>
      </c>
      <c r="E1210" s="48" t="s">
        <v>112</v>
      </c>
      <c r="F1210" s="48" t="s">
        <v>72</v>
      </c>
      <c r="G1210" s="48" t="s">
        <v>355</v>
      </c>
      <c r="H1210" s="69">
        <f t="shared" si="18"/>
        <v>43952</v>
      </c>
    </row>
    <row r="1211" spans="1:8" x14ac:dyDescent="0.25">
      <c r="A1211" s="68">
        <v>43953</v>
      </c>
      <c r="B1211" s="48">
        <v>3</v>
      </c>
      <c r="C1211" s="48">
        <v>1</v>
      </c>
      <c r="D1211" s="48">
        <v>0</v>
      </c>
      <c r="E1211" s="48" t="s">
        <v>112</v>
      </c>
      <c r="F1211" s="48" t="s">
        <v>72</v>
      </c>
      <c r="G1211" s="48" t="s">
        <v>96</v>
      </c>
      <c r="H1211" s="69">
        <f t="shared" si="18"/>
        <v>43952</v>
      </c>
    </row>
    <row r="1212" spans="1:8" x14ac:dyDescent="0.25">
      <c r="A1212" s="68">
        <v>43953</v>
      </c>
      <c r="B1212" s="48">
        <v>0</v>
      </c>
      <c r="C1212" s="48">
        <v>0</v>
      </c>
      <c r="D1212" s="48">
        <v>0</v>
      </c>
      <c r="E1212" s="48" t="s">
        <v>112</v>
      </c>
      <c r="F1212" s="48" t="s">
        <v>72</v>
      </c>
      <c r="G1212" s="48" t="s">
        <v>347</v>
      </c>
      <c r="H1212" s="69">
        <f t="shared" si="18"/>
        <v>43952</v>
      </c>
    </row>
    <row r="1213" spans="1:8" x14ac:dyDescent="0.25">
      <c r="A1213" s="68">
        <v>43953</v>
      </c>
      <c r="B1213" s="48">
        <v>8</v>
      </c>
      <c r="C1213" s="48">
        <v>0</v>
      </c>
      <c r="D1213" s="48">
        <v>0</v>
      </c>
      <c r="E1213" s="48" t="s">
        <v>112</v>
      </c>
      <c r="F1213" s="48" t="s">
        <v>72</v>
      </c>
      <c r="G1213" s="48" t="s">
        <v>335</v>
      </c>
      <c r="H1213" s="69">
        <f t="shared" si="18"/>
        <v>43952</v>
      </c>
    </row>
    <row r="1214" spans="1:8" x14ac:dyDescent="0.25">
      <c r="A1214" s="68">
        <v>43953</v>
      </c>
      <c r="B1214" s="48">
        <v>0</v>
      </c>
      <c r="C1214" s="48">
        <v>0</v>
      </c>
      <c r="D1214" s="48">
        <v>0</v>
      </c>
      <c r="E1214" s="48" t="s">
        <v>112</v>
      </c>
      <c r="F1214" s="48" t="s">
        <v>72</v>
      </c>
      <c r="G1214" s="48" t="s">
        <v>342</v>
      </c>
      <c r="H1214" s="69">
        <f t="shared" si="18"/>
        <v>43952</v>
      </c>
    </row>
    <row r="1215" spans="1:8" x14ac:dyDescent="0.25">
      <c r="A1215" s="68">
        <v>43953</v>
      </c>
      <c r="B1215" s="48">
        <v>0</v>
      </c>
      <c r="C1215" s="48">
        <v>0</v>
      </c>
      <c r="D1215" s="48">
        <v>0</v>
      </c>
      <c r="E1215" s="48" t="s">
        <v>112</v>
      </c>
      <c r="F1215" s="48" t="s">
        <v>72</v>
      </c>
      <c r="G1215" s="48" t="s">
        <v>353</v>
      </c>
      <c r="H1215" s="69">
        <f t="shared" si="18"/>
        <v>43952</v>
      </c>
    </row>
    <row r="1216" spans="1:8" x14ac:dyDescent="0.25">
      <c r="A1216" s="68">
        <v>43953</v>
      </c>
      <c r="B1216" s="48">
        <v>14</v>
      </c>
      <c r="C1216" s="48">
        <v>0</v>
      </c>
      <c r="D1216" s="48">
        <v>0</v>
      </c>
      <c r="E1216" s="48" t="s">
        <v>112</v>
      </c>
      <c r="F1216" s="48" t="s">
        <v>72</v>
      </c>
      <c r="G1216" s="48" t="s">
        <v>101</v>
      </c>
      <c r="H1216" s="69">
        <f t="shared" si="18"/>
        <v>43952</v>
      </c>
    </row>
    <row r="1217" spans="1:8" x14ac:dyDescent="0.25">
      <c r="A1217" s="68">
        <v>43953</v>
      </c>
      <c r="B1217" s="48">
        <v>2</v>
      </c>
      <c r="C1217" s="48">
        <v>0</v>
      </c>
      <c r="D1217" s="48">
        <v>0</v>
      </c>
      <c r="E1217" s="48" t="s">
        <v>112</v>
      </c>
      <c r="F1217" s="48" t="s">
        <v>72</v>
      </c>
      <c r="G1217" s="48" t="s">
        <v>387</v>
      </c>
      <c r="H1217" s="69">
        <f t="shared" si="18"/>
        <v>43952</v>
      </c>
    </row>
    <row r="1218" spans="1:8" x14ac:dyDescent="0.25">
      <c r="A1218" s="68">
        <v>43953</v>
      </c>
      <c r="B1218" s="48">
        <v>1</v>
      </c>
      <c r="C1218" s="48">
        <v>0</v>
      </c>
      <c r="D1218" s="48">
        <v>0</v>
      </c>
      <c r="E1218" s="48" t="s">
        <v>112</v>
      </c>
      <c r="F1218" s="48" t="s">
        <v>72</v>
      </c>
      <c r="G1218" s="48" t="s">
        <v>406</v>
      </c>
      <c r="H1218" s="69">
        <f t="shared" ref="H1218:H1281" si="19">DATE(YEAR(A1218),MONTH(A1218),1)</f>
        <v>43952</v>
      </c>
    </row>
    <row r="1219" spans="1:8" x14ac:dyDescent="0.25">
      <c r="A1219" s="68">
        <v>43953</v>
      </c>
      <c r="B1219" s="48">
        <v>1</v>
      </c>
      <c r="C1219" s="48">
        <v>0</v>
      </c>
      <c r="D1219" s="48">
        <v>0</v>
      </c>
      <c r="E1219" s="48" t="s">
        <v>112</v>
      </c>
      <c r="F1219" s="48" t="s">
        <v>72</v>
      </c>
      <c r="G1219" s="48" t="s">
        <v>344</v>
      </c>
      <c r="H1219" s="69">
        <f t="shared" si="19"/>
        <v>43952</v>
      </c>
    </row>
    <row r="1220" spans="1:8" x14ac:dyDescent="0.25">
      <c r="A1220" s="68">
        <v>43953</v>
      </c>
      <c r="B1220" s="48">
        <v>0</v>
      </c>
      <c r="C1220" s="48">
        <v>0</v>
      </c>
      <c r="D1220" s="48">
        <v>0</v>
      </c>
      <c r="E1220" s="48" t="s">
        <v>112</v>
      </c>
      <c r="F1220" s="48" t="s">
        <v>72</v>
      </c>
      <c r="G1220" s="48" t="s">
        <v>354</v>
      </c>
      <c r="H1220" s="69">
        <f t="shared" si="19"/>
        <v>43952</v>
      </c>
    </row>
    <row r="1221" spans="1:8" x14ac:dyDescent="0.25">
      <c r="A1221" s="68">
        <v>43953</v>
      </c>
      <c r="B1221" s="48">
        <v>7</v>
      </c>
      <c r="C1221" s="48">
        <v>0</v>
      </c>
      <c r="D1221" s="48">
        <v>0</v>
      </c>
      <c r="E1221" s="48" t="s">
        <v>112</v>
      </c>
      <c r="F1221" s="48" t="s">
        <v>72</v>
      </c>
      <c r="G1221" s="48" t="s">
        <v>337</v>
      </c>
      <c r="H1221" s="69">
        <f t="shared" si="19"/>
        <v>43952</v>
      </c>
    </row>
    <row r="1222" spans="1:8" x14ac:dyDescent="0.25">
      <c r="A1222" s="68">
        <v>43953</v>
      </c>
      <c r="B1222" s="48">
        <v>0</v>
      </c>
      <c r="C1222" s="48">
        <v>0</v>
      </c>
      <c r="D1222" s="48">
        <v>0</v>
      </c>
      <c r="E1222" s="48" t="s">
        <v>112</v>
      </c>
      <c r="F1222" s="48" t="s">
        <v>72</v>
      </c>
      <c r="G1222" s="48" t="s">
        <v>356</v>
      </c>
      <c r="H1222" s="69">
        <f t="shared" si="19"/>
        <v>43952</v>
      </c>
    </row>
    <row r="1223" spans="1:8" x14ac:dyDescent="0.25">
      <c r="A1223" s="68">
        <v>43953</v>
      </c>
      <c r="B1223" s="48">
        <v>0</v>
      </c>
      <c r="C1223" s="48">
        <v>0</v>
      </c>
      <c r="D1223" s="48">
        <v>0</v>
      </c>
      <c r="E1223" s="48" t="s">
        <v>112</v>
      </c>
      <c r="F1223" s="48" t="s">
        <v>72</v>
      </c>
      <c r="G1223" s="48" t="s">
        <v>429</v>
      </c>
      <c r="H1223" s="69">
        <f t="shared" si="19"/>
        <v>43952</v>
      </c>
    </row>
    <row r="1224" spans="1:8" x14ac:dyDescent="0.25">
      <c r="A1224" s="68">
        <v>43953</v>
      </c>
      <c r="B1224" s="48">
        <v>0</v>
      </c>
      <c r="C1224" s="48">
        <v>0</v>
      </c>
      <c r="D1224" s="48">
        <v>0</v>
      </c>
      <c r="E1224" s="48" t="s">
        <v>112</v>
      </c>
      <c r="F1224" s="48" t="s">
        <v>72</v>
      </c>
      <c r="G1224" s="48" t="s">
        <v>431</v>
      </c>
      <c r="H1224" s="69">
        <f t="shared" si="19"/>
        <v>43952</v>
      </c>
    </row>
    <row r="1225" spans="1:8" x14ac:dyDescent="0.25">
      <c r="A1225" s="68">
        <v>43953</v>
      </c>
      <c r="B1225" s="48">
        <v>0</v>
      </c>
      <c r="C1225" s="48">
        <v>0</v>
      </c>
      <c r="D1225" s="48">
        <v>0</v>
      </c>
      <c r="E1225" s="48" t="s">
        <v>112</v>
      </c>
      <c r="F1225" s="48" t="s">
        <v>72</v>
      </c>
      <c r="G1225" s="48" t="s">
        <v>426</v>
      </c>
      <c r="H1225" s="69">
        <f t="shared" si="19"/>
        <v>43952</v>
      </c>
    </row>
    <row r="1226" spans="1:8" x14ac:dyDescent="0.25">
      <c r="A1226" s="68">
        <v>43953</v>
      </c>
      <c r="B1226" s="48">
        <v>0</v>
      </c>
      <c r="C1226" s="48">
        <v>0</v>
      </c>
      <c r="D1226" s="48">
        <v>0</v>
      </c>
      <c r="E1226" s="48" t="s">
        <v>112</v>
      </c>
      <c r="F1226" s="48" t="s">
        <v>72</v>
      </c>
      <c r="G1226" s="48" t="s">
        <v>436</v>
      </c>
      <c r="H1226" s="69">
        <f t="shared" si="19"/>
        <v>43952</v>
      </c>
    </row>
    <row r="1227" spans="1:8" x14ac:dyDescent="0.25">
      <c r="A1227" s="68">
        <v>43953</v>
      </c>
      <c r="B1227" s="48">
        <v>0</v>
      </c>
      <c r="C1227" s="48">
        <v>0</v>
      </c>
      <c r="D1227" s="48">
        <v>0</v>
      </c>
      <c r="E1227" s="48" t="s">
        <v>112</v>
      </c>
      <c r="F1227" s="48" t="s">
        <v>72</v>
      </c>
      <c r="G1227" s="48" t="s">
        <v>357</v>
      </c>
      <c r="H1227" s="69">
        <f t="shared" si="19"/>
        <v>43952</v>
      </c>
    </row>
    <row r="1228" spans="1:8" x14ac:dyDescent="0.25">
      <c r="A1228" s="68">
        <v>43953</v>
      </c>
      <c r="B1228" s="48">
        <v>0</v>
      </c>
      <c r="C1228" s="48">
        <v>0</v>
      </c>
      <c r="D1228" s="48">
        <v>0</v>
      </c>
      <c r="E1228" s="48" t="s">
        <v>112</v>
      </c>
      <c r="F1228" s="48" t="s">
        <v>72</v>
      </c>
      <c r="G1228" s="48" t="s">
        <v>358</v>
      </c>
      <c r="H1228" s="69">
        <f t="shared" si="19"/>
        <v>43952</v>
      </c>
    </row>
    <row r="1229" spans="1:8" x14ac:dyDescent="0.25">
      <c r="A1229" s="68">
        <v>43953</v>
      </c>
      <c r="B1229" s="48">
        <v>0</v>
      </c>
      <c r="C1229" s="48">
        <v>0</v>
      </c>
      <c r="D1229" s="48">
        <v>0</v>
      </c>
      <c r="E1229" s="48" t="s">
        <v>112</v>
      </c>
      <c r="F1229" s="48" t="s">
        <v>72</v>
      </c>
      <c r="G1229" s="48" t="s">
        <v>399</v>
      </c>
      <c r="H1229" s="69">
        <f t="shared" si="19"/>
        <v>43952</v>
      </c>
    </row>
    <row r="1230" spans="1:8" x14ac:dyDescent="0.25">
      <c r="A1230" s="68">
        <v>43953</v>
      </c>
      <c r="B1230" s="48">
        <v>2</v>
      </c>
      <c r="C1230" s="48">
        <v>0</v>
      </c>
      <c r="D1230" s="48">
        <v>0</v>
      </c>
      <c r="E1230" s="48" t="s">
        <v>112</v>
      </c>
      <c r="F1230" s="48" t="s">
        <v>72</v>
      </c>
      <c r="G1230" s="48" t="s">
        <v>352</v>
      </c>
      <c r="H1230" s="69">
        <f t="shared" si="19"/>
        <v>43952</v>
      </c>
    </row>
    <row r="1231" spans="1:8" x14ac:dyDescent="0.25">
      <c r="A1231" s="68">
        <v>43953</v>
      </c>
      <c r="B1231" s="48">
        <v>1</v>
      </c>
      <c r="C1231" s="48">
        <v>0</v>
      </c>
      <c r="D1231" s="48">
        <v>0</v>
      </c>
      <c r="E1231" s="48" t="s">
        <v>112</v>
      </c>
      <c r="F1231" s="48" t="s">
        <v>72</v>
      </c>
      <c r="G1231" s="48" t="s">
        <v>359</v>
      </c>
      <c r="H1231" s="69">
        <f t="shared" si="19"/>
        <v>43952</v>
      </c>
    </row>
    <row r="1232" spans="1:8" x14ac:dyDescent="0.25">
      <c r="A1232" s="68">
        <v>43953</v>
      </c>
      <c r="B1232" s="48">
        <v>1</v>
      </c>
      <c r="C1232" s="48">
        <v>0</v>
      </c>
      <c r="D1232" s="48">
        <v>0</v>
      </c>
      <c r="E1232" s="48" t="s">
        <v>112</v>
      </c>
      <c r="F1232" s="48" t="s">
        <v>72</v>
      </c>
      <c r="G1232" s="48" t="s">
        <v>410</v>
      </c>
      <c r="H1232" s="69">
        <f t="shared" si="19"/>
        <v>43952</v>
      </c>
    </row>
    <row r="1233" spans="1:8" x14ac:dyDescent="0.25">
      <c r="A1233" s="68">
        <v>43953</v>
      </c>
      <c r="B1233" s="48">
        <v>1</v>
      </c>
      <c r="C1233" s="48">
        <v>0</v>
      </c>
      <c r="D1233" s="48">
        <v>0</v>
      </c>
      <c r="E1233" s="48" t="s">
        <v>112</v>
      </c>
      <c r="F1233" s="48" t="s">
        <v>72</v>
      </c>
      <c r="G1233" s="48" t="s">
        <v>365</v>
      </c>
      <c r="H1233" s="69">
        <f t="shared" si="19"/>
        <v>43952</v>
      </c>
    </row>
    <row r="1234" spans="1:8" x14ac:dyDescent="0.25">
      <c r="A1234" s="68">
        <v>43953</v>
      </c>
      <c r="B1234" s="48">
        <v>0</v>
      </c>
      <c r="C1234" s="48">
        <v>0</v>
      </c>
      <c r="D1234" s="48">
        <v>0</v>
      </c>
      <c r="E1234" s="48" t="s">
        <v>112</v>
      </c>
      <c r="F1234" s="48" t="s">
        <v>72</v>
      </c>
      <c r="G1234" s="48" t="s">
        <v>408</v>
      </c>
      <c r="H1234" s="69">
        <f t="shared" si="19"/>
        <v>43952</v>
      </c>
    </row>
    <row r="1235" spans="1:8" x14ac:dyDescent="0.25">
      <c r="A1235" s="68">
        <v>43953</v>
      </c>
      <c r="B1235" s="48">
        <v>0</v>
      </c>
      <c r="C1235" s="48">
        <v>0</v>
      </c>
      <c r="D1235" s="48">
        <v>0</v>
      </c>
      <c r="E1235" s="48" t="s">
        <v>112</v>
      </c>
      <c r="F1235" s="48" t="s">
        <v>72</v>
      </c>
      <c r="G1235" s="48" t="s">
        <v>411</v>
      </c>
      <c r="H1235" s="69">
        <f t="shared" si="19"/>
        <v>43952</v>
      </c>
    </row>
    <row r="1236" spans="1:8" x14ac:dyDescent="0.25">
      <c r="A1236" s="68">
        <v>43953</v>
      </c>
      <c r="B1236" s="48">
        <v>2</v>
      </c>
      <c r="C1236" s="48">
        <v>0</v>
      </c>
      <c r="D1236" s="48">
        <v>0</v>
      </c>
      <c r="E1236" s="48" t="s">
        <v>112</v>
      </c>
      <c r="F1236" s="48" t="s">
        <v>72</v>
      </c>
      <c r="G1236" s="48" t="s">
        <v>351</v>
      </c>
      <c r="H1236" s="69">
        <f t="shared" si="19"/>
        <v>43952</v>
      </c>
    </row>
    <row r="1237" spans="1:8" x14ac:dyDescent="0.25">
      <c r="A1237" s="68">
        <v>43953</v>
      </c>
      <c r="B1237" s="48">
        <v>0</v>
      </c>
      <c r="C1237" s="48">
        <v>0</v>
      </c>
      <c r="D1237" s="48">
        <v>0</v>
      </c>
      <c r="E1237" s="48" t="s">
        <v>112</v>
      </c>
      <c r="F1237" s="48" t="s">
        <v>72</v>
      </c>
      <c r="G1237" s="48" t="s">
        <v>417</v>
      </c>
      <c r="H1237" s="69">
        <f t="shared" si="19"/>
        <v>43952</v>
      </c>
    </row>
    <row r="1238" spans="1:8" x14ac:dyDescent="0.25">
      <c r="A1238" s="68">
        <v>43953</v>
      </c>
      <c r="B1238" s="48">
        <v>0</v>
      </c>
      <c r="C1238" s="48">
        <v>0</v>
      </c>
      <c r="D1238" s="48">
        <v>0</v>
      </c>
      <c r="E1238" s="48" t="s">
        <v>112</v>
      </c>
      <c r="F1238" s="48" t="s">
        <v>72</v>
      </c>
      <c r="G1238" s="48" t="s">
        <v>420</v>
      </c>
      <c r="H1238" s="69">
        <f t="shared" si="19"/>
        <v>43952</v>
      </c>
    </row>
    <row r="1239" spans="1:8" x14ac:dyDescent="0.25">
      <c r="A1239" s="68">
        <v>43953</v>
      </c>
      <c r="B1239" s="48">
        <v>514</v>
      </c>
      <c r="C1239" s="48">
        <v>9</v>
      </c>
      <c r="D1239" s="48">
        <v>0</v>
      </c>
      <c r="E1239" s="48" t="s">
        <v>112</v>
      </c>
      <c r="F1239" s="48" t="s">
        <v>71</v>
      </c>
      <c r="G1239" s="48" t="s">
        <v>92</v>
      </c>
      <c r="H1239" s="69">
        <f t="shared" si="19"/>
        <v>43952</v>
      </c>
    </row>
    <row r="1240" spans="1:8" x14ac:dyDescent="0.25">
      <c r="A1240" s="68">
        <v>43953</v>
      </c>
      <c r="B1240" s="48">
        <v>427</v>
      </c>
      <c r="C1240" s="48">
        <v>4</v>
      </c>
      <c r="D1240" s="48">
        <v>0</v>
      </c>
      <c r="E1240" s="48" t="s">
        <v>112</v>
      </c>
      <c r="F1240" s="48" t="s">
        <v>70</v>
      </c>
      <c r="G1240" s="48" t="s">
        <v>91</v>
      </c>
      <c r="H1240" s="69">
        <f t="shared" si="19"/>
        <v>43952</v>
      </c>
    </row>
    <row r="1241" spans="1:8" x14ac:dyDescent="0.25">
      <c r="A1241" s="68">
        <v>43954</v>
      </c>
      <c r="B1241" s="48">
        <v>5</v>
      </c>
      <c r="C1241" s="48">
        <v>0</v>
      </c>
      <c r="D1241" s="48">
        <v>0</v>
      </c>
      <c r="E1241" s="48" t="s">
        <v>112</v>
      </c>
      <c r="F1241" s="48" t="s">
        <v>76</v>
      </c>
      <c r="G1241" s="48" t="s">
        <v>416</v>
      </c>
      <c r="H1241" s="69">
        <f t="shared" si="19"/>
        <v>43952</v>
      </c>
    </row>
    <row r="1242" spans="1:8" x14ac:dyDescent="0.25">
      <c r="A1242" s="68">
        <v>43954</v>
      </c>
      <c r="B1242" s="48">
        <v>44</v>
      </c>
      <c r="C1242" s="48">
        <v>5</v>
      </c>
      <c r="D1242" s="48">
        <v>0</v>
      </c>
      <c r="E1242" s="48" t="s">
        <v>112</v>
      </c>
      <c r="F1242" s="48" t="s">
        <v>73</v>
      </c>
      <c r="G1242" s="48" t="s">
        <v>93</v>
      </c>
      <c r="H1242" s="69">
        <f t="shared" si="19"/>
        <v>43952</v>
      </c>
    </row>
    <row r="1243" spans="1:8" x14ac:dyDescent="0.25">
      <c r="A1243" s="68">
        <v>43954</v>
      </c>
      <c r="B1243" s="48">
        <v>2</v>
      </c>
      <c r="C1243" s="48">
        <v>0</v>
      </c>
      <c r="D1243" s="48">
        <v>0</v>
      </c>
      <c r="E1243" s="48" t="s">
        <v>112</v>
      </c>
      <c r="F1243" s="48" t="s">
        <v>73</v>
      </c>
      <c r="G1243" s="48" t="s">
        <v>425</v>
      </c>
      <c r="H1243" s="69">
        <f t="shared" si="19"/>
        <v>43952</v>
      </c>
    </row>
    <row r="1244" spans="1:8" x14ac:dyDescent="0.25">
      <c r="A1244" s="68">
        <v>43954</v>
      </c>
      <c r="B1244" s="48">
        <v>8</v>
      </c>
      <c r="C1244" s="48">
        <v>0</v>
      </c>
      <c r="D1244" s="48">
        <v>0</v>
      </c>
      <c r="E1244" s="48" t="s">
        <v>112</v>
      </c>
      <c r="F1244" s="48" t="s">
        <v>75</v>
      </c>
      <c r="G1244" s="48" t="s">
        <v>103</v>
      </c>
      <c r="H1244" s="69">
        <f t="shared" si="19"/>
        <v>43952</v>
      </c>
    </row>
    <row r="1245" spans="1:8" x14ac:dyDescent="0.25">
      <c r="A1245" s="68">
        <v>43954</v>
      </c>
      <c r="B1245" s="48">
        <v>28</v>
      </c>
      <c r="C1245" s="48">
        <v>0</v>
      </c>
      <c r="D1245" s="48">
        <v>0</v>
      </c>
      <c r="E1245" s="48" t="s">
        <v>112</v>
      </c>
      <c r="F1245" s="48" t="s">
        <v>74</v>
      </c>
      <c r="G1245" s="48" t="s">
        <v>95</v>
      </c>
      <c r="H1245" s="69">
        <f t="shared" si="19"/>
        <v>43952</v>
      </c>
    </row>
    <row r="1246" spans="1:8" x14ac:dyDescent="0.25">
      <c r="A1246" s="68">
        <v>43954</v>
      </c>
      <c r="B1246" s="48">
        <v>222</v>
      </c>
      <c r="C1246" s="48">
        <v>8</v>
      </c>
      <c r="D1246" s="48">
        <v>0</v>
      </c>
      <c r="E1246" s="48" t="s">
        <v>112</v>
      </c>
      <c r="F1246" s="48" t="s">
        <v>72</v>
      </c>
      <c r="G1246" s="48" t="s">
        <v>94</v>
      </c>
      <c r="H1246" s="69">
        <f t="shared" si="19"/>
        <v>43952</v>
      </c>
    </row>
    <row r="1247" spans="1:8" x14ac:dyDescent="0.25">
      <c r="A1247" s="68">
        <v>43954</v>
      </c>
      <c r="B1247" s="48">
        <v>670</v>
      </c>
      <c r="C1247" s="48">
        <v>9</v>
      </c>
      <c r="D1247" s="48">
        <v>0</v>
      </c>
      <c r="E1247" s="48" t="s">
        <v>112</v>
      </c>
      <c r="F1247" s="48" t="s">
        <v>71</v>
      </c>
      <c r="G1247" s="48" t="s">
        <v>92</v>
      </c>
      <c r="H1247" s="69">
        <f t="shared" si="19"/>
        <v>43952</v>
      </c>
    </row>
    <row r="1248" spans="1:8" x14ac:dyDescent="0.25">
      <c r="A1248" s="68">
        <v>43954</v>
      </c>
      <c r="B1248" s="48">
        <v>363</v>
      </c>
      <c r="C1248" s="48">
        <v>8</v>
      </c>
      <c r="D1248" s="48">
        <v>0</v>
      </c>
      <c r="E1248" s="48" t="s">
        <v>112</v>
      </c>
      <c r="F1248" s="48" t="s">
        <v>70</v>
      </c>
      <c r="G1248" s="48" t="s">
        <v>91</v>
      </c>
      <c r="H1248" s="69">
        <f t="shared" si="19"/>
        <v>43952</v>
      </c>
    </row>
    <row r="1249" spans="1:8" x14ac:dyDescent="0.25">
      <c r="A1249" s="68">
        <v>43955</v>
      </c>
      <c r="B1249" s="48">
        <v>103</v>
      </c>
      <c r="C1249" s="48">
        <v>0</v>
      </c>
      <c r="D1249" s="48">
        <v>0</v>
      </c>
      <c r="E1249" s="48" t="s">
        <v>112</v>
      </c>
      <c r="F1249" s="48" t="s">
        <v>73</v>
      </c>
      <c r="G1249" s="48" t="s">
        <v>93</v>
      </c>
      <c r="H1249" s="69">
        <f t="shared" si="19"/>
        <v>43952</v>
      </c>
    </row>
    <row r="1250" spans="1:8" x14ac:dyDescent="0.25">
      <c r="A1250" s="68">
        <v>43955</v>
      </c>
      <c r="B1250" s="48">
        <v>8</v>
      </c>
      <c r="C1250" s="48">
        <v>0</v>
      </c>
      <c r="D1250" s="48">
        <v>0</v>
      </c>
      <c r="E1250" s="48" t="s">
        <v>112</v>
      </c>
      <c r="F1250" s="48" t="s">
        <v>75</v>
      </c>
      <c r="G1250" s="48" t="s">
        <v>103</v>
      </c>
      <c r="H1250" s="69">
        <f t="shared" si="19"/>
        <v>43952</v>
      </c>
    </row>
    <row r="1251" spans="1:8" x14ac:dyDescent="0.25">
      <c r="A1251" s="68">
        <v>43955</v>
      </c>
      <c r="B1251" s="48">
        <v>22</v>
      </c>
      <c r="C1251" s="48">
        <v>0</v>
      </c>
      <c r="D1251" s="48">
        <v>0</v>
      </c>
      <c r="E1251" s="48" t="s">
        <v>112</v>
      </c>
      <c r="F1251" s="48" t="s">
        <v>74</v>
      </c>
      <c r="G1251" s="48" t="s">
        <v>95</v>
      </c>
      <c r="H1251" s="69">
        <f t="shared" si="19"/>
        <v>43952</v>
      </c>
    </row>
    <row r="1252" spans="1:8" x14ac:dyDescent="0.25">
      <c r="A1252" s="68">
        <v>43955</v>
      </c>
      <c r="B1252" s="48">
        <v>72</v>
      </c>
      <c r="C1252" s="48">
        <v>3</v>
      </c>
      <c r="D1252" s="48">
        <v>0</v>
      </c>
      <c r="E1252" s="48" t="s">
        <v>112</v>
      </c>
      <c r="F1252" s="48" t="s">
        <v>72</v>
      </c>
      <c r="G1252" s="48" t="s">
        <v>94</v>
      </c>
      <c r="H1252" s="69">
        <f t="shared" si="19"/>
        <v>43952</v>
      </c>
    </row>
    <row r="1253" spans="1:8" x14ac:dyDescent="0.25">
      <c r="A1253" s="68">
        <v>43955</v>
      </c>
      <c r="B1253" s="48">
        <v>0</v>
      </c>
      <c r="C1253" s="48">
        <v>0</v>
      </c>
      <c r="D1253" s="48">
        <v>0</v>
      </c>
      <c r="E1253" s="48" t="s">
        <v>112</v>
      </c>
      <c r="F1253" s="48" t="s">
        <v>72</v>
      </c>
      <c r="G1253" s="48" t="s">
        <v>341</v>
      </c>
      <c r="H1253" s="69">
        <f t="shared" si="19"/>
        <v>43952</v>
      </c>
    </row>
    <row r="1254" spans="1:8" x14ac:dyDescent="0.25">
      <c r="A1254" s="68">
        <v>43955</v>
      </c>
      <c r="B1254" s="48">
        <v>2</v>
      </c>
      <c r="C1254" s="48">
        <v>0</v>
      </c>
      <c r="D1254" s="48">
        <v>0</v>
      </c>
      <c r="E1254" s="48" t="s">
        <v>112</v>
      </c>
      <c r="F1254" s="48" t="s">
        <v>72</v>
      </c>
      <c r="G1254" s="48" t="s">
        <v>338</v>
      </c>
      <c r="H1254" s="69">
        <f t="shared" si="19"/>
        <v>43952</v>
      </c>
    </row>
    <row r="1255" spans="1:8" x14ac:dyDescent="0.25">
      <c r="A1255" s="68">
        <v>43955</v>
      </c>
      <c r="B1255" s="48">
        <v>12</v>
      </c>
      <c r="C1255" s="48">
        <v>0</v>
      </c>
      <c r="D1255" s="48">
        <v>0</v>
      </c>
      <c r="E1255" s="48" t="s">
        <v>112</v>
      </c>
      <c r="F1255" s="48" t="s">
        <v>72</v>
      </c>
      <c r="G1255" s="48" t="s">
        <v>343</v>
      </c>
      <c r="H1255" s="69">
        <f t="shared" si="19"/>
        <v>43952</v>
      </c>
    </row>
    <row r="1256" spans="1:8" x14ac:dyDescent="0.25">
      <c r="A1256" s="68">
        <v>43955</v>
      </c>
      <c r="B1256" s="48">
        <v>0</v>
      </c>
      <c r="C1256" s="48">
        <v>0</v>
      </c>
      <c r="D1256" s="48">
        <v>0</v>
      </c>
      <c r="E1256" s="48" t="s">
        <v>112</v>
      </c>
      <c r="F1256" s="48" t="s">
        <v>72</v>
      </c>
      <c r="G1256" s="48" t="s">
        <v>400</v>
      </c>
      <c r="H1256" s="69">
        <f t="shared" si="19"/>
        <v>43952</v>
      </c>
    </row>
    <row r="1257" spans="1:8" x14ac:dyDescent="0.25">
      <c r="A1257" s="68">
        <v>43955</v>
      </c>
      <c r="B1257" s="48">
        <v>9</v>
      </c>
      <c r="C1257" s="48">
        <v>0</v>
      </c>
      <c r="D1257" s="48">
        <v>0</v>
      </c>
      <c r="E1257" s="48" t="s">
        <v>112</v>
      </c>
      <c r="F1257" s="48" t="s">
        <v>72</v>
      </c>
      <c r="G1257" s="48" t="s">
        <v>102</v>
      </c>
      <c r="H1257" s="69">
        <f t="shared" si="19"/>
        <v>43952</v>
      </c>
    </row>
    <row r="1258" spans="1:8" x14ac:dyDescent="0.25">
      <c r="A1258" s="68">
        <v>43955</v>
      </c>
      <c r="B1258" s="48">
        <v>2</v>
      </c>
      <c r="C1258" s="48">
        <v>1</v>
      </c>
      <c r="D1258" s="48">
        <v>0</v>
      </c>
      <c r="E1258" s="48" t="s">
        <v>112</v>
      </c>
      <c r="F1258" s="48" t="s">
        <v>72</v>
      </c>
      <c r="G1258" s="48" t="s">
        <v>355</v>
      </c>
      <c r="H1258" s="69">
        <f t="shared" si="19"/>
        <v>43952</v>
      </c>
    </row>
    <row r="1259" spans="1:8" x14ac:dyDescent="0.25">
      <c r="A1259" s="68">
        <v>43955</v>
      </c>
      <c r="B1259" s="48">
        <v>3</v>
      </c>
      <c r="C1259" s="48">
        <v>0</v>
      </c>
      <c r="D1259" s="48">
        <v>0</v>
      </c>
      <c r="E1259" s="48" t="s">
        <v>112</v>
      </c>
      <c r="F1259" s="48" t="s">
        <v>72</v>
      </c>
      <c r="G1259" s="48" t="s">
        <v>96</v>
      </c>
      <c r="H1259" s="69">
        <f t="shared" si="19"/>
        <v>43952</v>
      </c>
    </row>
    <row r="1260" spans="1:8" x14ac:dyDescent="0.25">
      <c r="A1260" s="68">
        <v>43955</v>
      </c>
      <c r="B1260" s="48">
        <v>0</v>
      </c>
      <c r="C1260" s="48">
        <v>0</v>
      </c>
      <c r="D1260" s="48">
        <v>0</v>
      </c>
      <c r="E1260" s="48" t="s">
        <v>112</v>
      </c>
      <c r="F1260" s="48" t="s">
        <v>72</v>
      </c>
      <c r="G1260" s="48" t="s">
        <v>347</v>
      </c>
      <c r="H1260" s="69">
        <f t="shared" si="19"/>
        <v>43952</v>
      </c>
    </row>
    <row r="1261" spans="1:8" x14ac:dyDescent="0.25">
      <c r="A1261" s="68">
        <v>43955</v>
      </c>
      <c r="B1261" s="48">
        <v>2</v>
      </c>
      <c r="C1261" s="48">
        <v>0</v>
      </c>
      <c r="D1261" s="48">
        <v>0</v>
      </c>
      <c r="E1261" s="48" t="s">
        <v>112</v>
      </c>
      <c r="F1261" s="48" t="s">
        <v>72</v>
      </c>
      <c r="G1261" s="48" t="s">
        <v>335</v>
      </c>
      <c r="H1261" s="69">
        <f t="shared" si="19"/>
        <v>43952</v>
      </c>
    </row>
    <row r="1262" spans="1:8" x14ac:dyDescent="0.25">
      <c r="A1262" s="68">
        <v>43955</v>
      </c>
      <c r="B1262" s="48">
        <v>0</v>
      </c>
      <c r="C1262" s="48">
        <v>0</v>
      </c>
      <c r="D1262" s="48">
        <v>0</v>
      </c>
      <c r="E1262" s="48" t="s">
        <v>112</v>
      </c>
      <c r="F1262" s="48" t="s">
        <v>72</v>
      </c>
      <c r="G1262" s="48" t="s">
        <v>342</v>
      </c>
      <c r="H1262" s="69">
        <f t="shared" si="19"/>
        <v>43952</v>
      </c>
    </row>
    <row r="1263" spans="1:8" x14ac:dyDescent="0.25">
      <c r="A1263" s="68">
        <v>43955</v>
      </c>
      <c r="B1263" s="48">
        <v>1</v>
      </c>
      <c r="C1263" s="48">
        <v>0</v>
      </c>
      <c r="D1263" s="48">
        <v>0</v>
      </c>
      <c r="E1263" s="48" t="s">
        <v>112</v>
      </c>
      <c r="F1263" s="48" t="s">
        <v>72</v>
      </c>
      <c r="G1263" s="48" t="s">
        <v>353</v>
      </c>
      <c r="H1263" s="69">
        <f t="shared" si="19"/>
        <v>43952</v>
      </c>
    </row>
    <row r="1264" spans="1:8" x14ac:dyDescent="0.25">
      <c r="A1264" s="68">
        <v>43955</v>
      </c>
      <c r="B1264" s="48">
        <v>26</v>
      </c>
      <c r="C1264" s="48">
        <v>0</v>
      </c>
      <c r="D1264" s="48">
        <v>0</v>
      </c>
      <c r="E1264" s="48" t="s">
        <v>112</v>
      </c>
      <c r="F1264" s="48" t="s">
        <v>72</v>
      </c>
      <c r="G1264" s="48" t="s">
        <v>101</v>
      </c>
      <c r="H1264" s="69">
        <f t="shared" si="19"/>
        <v>43952</v>
      </c>
    </row>
    <row r="1265" spans="1:8" x14ac:dyDescent="0.25">
      <c r="A1265" s="68">
        <v>43955</v>
      </c>
      <c r="B1265" s="48">
        <v>1</v>
      </c>
      <c r="C1265" s="48">
        <v>0</v>
      </c>
      <c r="D1265" s="48">
        <v>0</v>
      </c>
      <c r="E1265" s="48" t="s">
        <v>112</v>
      </c>
      <c r="F1265" s="48" t="s">
        <v>72</v>
      </c>
      <c r="G1265" s="48" t="s">
        <v>387</v>
      </c>
      <c r="H1265" s="69">
        <f t="shared" si="19"/>
        <v>43952</v>
      </c>
    </row>
    <row r="1266" spans="1:8" x14ac:dyDescent="0.25">
      <c r="A1266" s="68">
        <v>43955</v>
      </c>
      <c r="B1266" s="48">
        <v>0</v>
      </c>
      <c r="C1266" s="48">
        <v>0</v>
      </c>
      <c r="D1266" s="48">
        <v>0</v>
      </c>
      <c r="E1266" s="48" t="s">
        <v>112</v>
      </c>
      <c r="F1266" s="48" t="s">
        <v>72</v>
      </c>
      <c r="G1266" s="48" t="s">
        <v>406</v>
      </c>
      <c r="H1266" s="69">
        <f t="shared" si="19"/>
        <v>43952</v>
      </c>
    </row>
    <row r="1267" spans="1:8" x14ac:dyDescent="0.25">
      <c r="A1267" s="68">
        <v>43955</v>
      </c>
      <c r="B1267" s="48">
        <v>3</v>
      </c>
      <c r="C1267" s="48">
        <v>0</v>
      </c>
      <c r="D1267" s="48">
        <v>0</v>
      </c>
      <c r="E1267" s="48" t="s">
        <v>112</v>
      </c>
      <c r="F1267" s="48" t="s">
        <v>72</v>
      </c>
      <c r="G1267" s="48" t="s">
        <v>344</v>
      </c>
      <c r="H1267" s="69">
        <f t="shared" si="19"/>
        <v>43952</v>
      </c>
    </row>
    <row r="1268" spans="1:8" x14ac:dyDescent="0.25">
      <c r="A1268" s="68">
        <v>43955</v>
      </c>
      <c r="B1268" s="48">
        <v>0</v>
      </c>
      <c r="C1268" s="48">
        <v>0</v>
      </c>
      <c r="D1268" s="48">
        <v>0</v>
      </c>
      <c r="E1268" s="48" t="s">
        <v>112</v>
      </c>
      <c r="F1268" s="48" t="s">
        <v>72</v>
      </c>
      <c r="G1268" s="48" t="s">
        <v>354</v>
      </c>
      <c r="H1268" s="69">
        <f t="shared" si="19"/>
        <v>43952</v>
      </c>
    </row>
    <row r="1269" spans="1:8" x14ac:dyDescent="0.25">
      <c r="A1269" s="68">
        <v>43955</v>
      </c>
      <c r="B1269" s="48">
        <v>0</v>
      </c>
      <c r="C1269" s="48">
        <v>0</v>
      </c>
      <c r="D1269" s="48">
        <v>0</v>
      </c>
      <c r="E1269" s="48" t="s">
        <v>112</v>
      </c>
      <c r="F1269" s="48" t="s">
        <v>72</v>
      </c>
      <c r="G1269" s="48" t="s">
        <v>337</v>
      </c>
      <c r="H1269" s="69">
        <f t="shared" si="19"/>
        <v>43952</v>
      </c>
    </row>
    <row r="1270" spans="1:8" x14ac:dyDescent="0.25">
      <c r="A1270" s="68">
        <v>43955</v>
      </c>
      <c r="B1270" s="48">
        <v>0</v>
      </c>
      <c r="C1270" s="48">
        <v>0</v>
      </c>
      <c r="D1270" s="48">
        <v>0</v>
      </c>
      <c r="E1270" s="48" t="s">
        <v>112</v>
      </c>
      <c r="F1270" s="48" t="s">
        <v>72</v>
      </c>
      <c r="G1270" s="48" t="s">
        <v>356</v>
      </c>
      <c r="H1270" s="69">
        <f t="shared" si="19"/>
        <v>43952</v>
      </c>
    </row>
    <row r="1271" spans="1:8" x14ac:dyDescent="0.25">
      <c r="A1271" s="68">
        <v>43955</v>
      </c>
      <c r="B1271" s="48">
        <v>0</v>
      </c>
      <c r="C1271" s="48">
        <v>0</v>
      </c>
      <c r="D1271" s="48">
        <v>0</v>
      </c>
      <c r="E1271" s="48" t="s">
        <v>112</v>
      </c>
      <c r="F1271" s="48" t="s">
        <v>72</v>
      </c>
      <c r="G1271" s="48" t="s">
        <v>429</v>
      </c>
      <c r="H1271" s="69">
        <f t="shared" si="19"/>
        <v>43952</v>
      </c>
    </row>
    <row r="1272" spans="1:8" x14ac:dyDescent="0.25">
      <c r="A1272" s="68">
        <v>43955</v>
      </c>
      <c r="B1272" s="48">
        <v>0</v>
      </c>
      <c r="C1272" s="48">
        <v>0</v>
      </c>
      <c r="D1272" s="48">
        <v>0</v>
      </c>
      <c r="E1272" s="48" t="s">
        <v>112</v>
      </c>
      <c r="F1272" s="48" t="s">
        <v>72</v>
      </c>
      <c r="G1272" s="48" t="s">
        <v>431</v>
      </c>
      <c r="H1272" s="69">
        <f t="shared" si="19"/>
        <v>43952</v>
      </c>
    </row>
    <row r="1273" spans="1:8" x14ac:dyDescent="0.25">
      <c r="A1273" s="68">
        <v>43955</v>
      </c>
      <c r="B1273" s="48">
        <v>0</v>
      </c>
      <c r="C1273" s="48">
        <v>0</v>
      </c>
      <c r="D1273" s="48">
        <v>0</v>
      </c>
      <c r="E1273" s="48" t="s">
        <v>112</v>
      </c>
      <c r="F1273" s="48" t="s">
        <v>72</v>
      </c>
      <c r="G1273" s="48" t="s">
        <v>426</v>
      </c>
      <c r="H1273" s="69">
        <f t="shared" si="19"/>
        <v>43952</v>
      </c>
    </row>
    <row r="1274" spans="1:8" x14ac:dyDescent="0.25">
      <c r="A1274" s="68">
        <v>43955</v>
      </c>
      <c r="B1274" s="48">
        <v>0</v>
      </c>
      <c r="C1274" s="48">
        <v>0</v>
      </c>
      <c r="D1274" s="48">
        <v>0</v>
      </c>
      <c r="E1274" s="48" t="s">
        <v>112</v>
      </c>
      <c r="F1274" s="48" t="s">
        <v>72</v>
      </c>
      <c r="G1274" s="48" t="s">
        <v>436</v>
      </c>
      <c r="H1274" s="69">
        <f t="shared" si="19"/>
        <v>43952</v>
      </c>
    </row>
    <row r="1275" spans="1:8" x14ac:dyDescent="0.25">
      <c r="A1275" s="68">
        <v>43955</v>
      </c>
      <c r="B1275" s="48">
        <v>4</v>
      </c>
      <c r="C1275" s="48">
        <v>0</v>
      </c>
      <c r="D1275" s="48">
        <v>0</v>
      </c>
      <c r="E1275" s="48" t="s">
        <v>112</v>
      </c>
      <c r="F1275" s="48" t="s">
        <v>72</v>
      </c>
      <c r="G1275" s="48" t="s">
        <v>357</v>
      </c>
      <c r="H1275" s="69">
        <f t="shared" si="19"/>
        <v>43952</v>
      </c>
    </row>
    <row r="1276" spans="1:8" x14ac:dyDescent="0.25">
      <c r="A1276" s="68">
        <v>43955</v>
      </c>
      <c r="B1276" s="48">
        <v>4</v>
      </c>
      <c r="C1276" s="48">
        <v>0</v>
      </c>
      <c r="D1276" s="48">
        <v>0</v>
      </c>
      <c r="E1276" s="48" t="s">
        <v>112</v>
      </c>
      <c r="F1276" s="48" t="s">
        <v>72</v>
      </c>
      <c r="G1276" s="48" t="s">
        <v>358</v>
      </c>
      <c r="H1276" s="69">
        <f t="shared" si="19"/>
        <v>43952</v>
      </c>
    </row>
    <row r="1277" spans="1:8" x14ac:dyDescent="0.25">
      <c r="A1277" s="68">
        <v>43955</v>
      </c>
      <c r="B1277" s="48">
        <v>0</v>
      </c>
      <c r="C1277" s="48">
        <v>0</v>
      </c>
      <c r="D1277" s="48">
        <v>0</v>
      </c>
      <c r="E1277" s="48" t="s">
        <v>112</v>
      </c>
      <c r="F1277" s="48" t="s">
        <v>72</v>
      </c>
      <c r="G1277" s="48" t="s">
        <v>399</v>
      </c>
      <c r="H1277" s="69">
        <f t="shared" si="19"/>
        <v>43952</v>
      </c>
    </row>
    <row r="1278" spans="1:8" x14ac:dyDescent="0.25">
      <c r="A1278" s="68">
        <v>43955</v>
      </c>
      <c r="B1278" s="48">
        <v>1</v>
      </c>
      <c r="C1278" s="48">
        <v>0</v>
      </c>
      <c r="D1278" s="48">
        <v>0</v>
      </c>
      <c r="E1278" s="48" t="s">
        <v>112</v>
      </c>
      <c r="F1278" s="48" t="s">
        <v>72</v>
      </c>
      <c r="G1278" s="48" t="s">
        <v>352</v>
      </c>
      <c r="H1278" s="69">
        <f t="shared" si="19"/>
        <v>43952</v>
      </c>
    </row>
    <row r="1279" spans="1:8" x14ac:dyDescent="0.25">
      <c r="A1279" s="68">
        <v>43955</v>
      </c>
      <c r="B1279" s="48">
        <v>1</v>
      </c>
      <c r="C1279" s="48">
        <v>0</v>
      </c>
      <c r="D1279" s="48">
        <v>0</v>
      </c>
      <c r="E1279" s="48" t="s">
        <v>112</v>
      </c>
      <c r="F1279" s="48" t="s">
        <v>72</v>
      </c>
      <c r="G1279" s="48" t="s">
        <v>359</v>
      </c>
      <c r="H1279" s="69">
        <f t="shared" si="19"/>
        <v>43952</v>
      </c>
    </row>
    <row r="1280" spans="1:8" x14ac:dyDescent="0.25">
      <c r="A1280" s="68">
        <v>43955</v>
      </c>
      <c r="B1280" s="48">
        <v>0</v>
      </c>
      <c r="C1280" s="48">
        <v>0</v>
      </c>
      <c r="D1280" s="48">
        <v>0</v>
      </c>
      <c r="E1280" s="48" t="s">
        <v>112</v>
      </c>
      <c r="F1280" s="48" t="s">
        <v>72</v>
      </c>
      <c r="G1280" s="48" t="s">
        <v>410</v>
      </c>
      <c r="H1280" s="69">
        <f t="shared" si="19"/>
        <v>43952</v>
      </c>
    </row>
    <row r="1281" spans="1:8" x14ac:dyDescent="0.25">
      <c r="A1281" s="68">
        <v>43955</v>
      </c>
      <c r="B1281" s="48">
        <v>12</v>
      </c>
      <c r="C1281" s="48">
        <v>1</v>
      </c>
      <c r="D1281" s="48">
        <v>0</v>
      </c>
      <c r="E1281" s="48" t="s">
        <v>112</v>
      </c>
      <c r="F1281" s="48" t="s">
        <v>72</v>
      </c>
      <c r="G1281" s="48" t="s">
        <v>365</v>
      </c>
      <c r="H1281" s="69">
        <f t="shared" si="19"/>
        <v>43952</v>
      </c>
    </row>
    <row r="1282" spans="1:8" x14ac:dyDescent="0.25">
      <c r="A1282" s="68">
        <v>43955</v>
      </c>
      <c r="B1282" s="48">
        <v>0</v>
      </c>
      <c r="C1282" s="48">
        <v>0</v>
      </c>
      <c r="D1282" s="48">
        <v>0</v>
      </c>
      <c r="E1282" s="48" t="s">
        <v>112</v>
      </c>
      <c r="F1282" s="48" t="s">
        <v>72</v>
      </c>
      <c r="G1282" s="48" t="s">
        <v>408</v>
      </c>
      <c r="H1282" s="69">
        <f t="shared" ref="H1282:H1345" si="20">DATE(YEAR(A1282),MONTH(A1282),1)</f>
        <v>43952</v>
      </c>
    </row>
    <row r="1283" spans="1:8" x14ac:dyDescent="0.25">
      <c r="A1283" s="68">
        <v>43955</v>
      </c>
      <c r="B1283" s="48">
        <v>0</v>
      </c>
      <c r="C1283" s="48">
        <v>0</v>
      </c>
      <c r="D1283" s="48">
        <v>0</v>
      </c>
      <c r="E1283" s="48" t="s">
        <v>112</v>
      </c>
      <c r="F1283" s="48" t="s">
        <v>72</v>
      </c>
      <c r="G1283" s="48" t="s">
        <v>411</v>
      </c>
      <c r="H1283" s="69">
        <f t="shared" si="20"/>
        <v>43952</v>
      </c>
    </row>
    <row r="1284" spans="1:8" x14ac:dyDescent="0.25">
      <c r="A1284" s="68">
        <v>43955</v>
      </c>
      <c r="B1284" s="48">
        <v>3</v>
      </c>
      <c r="C1284" s="48">
        <v>0</v>
      </c>
      <c r="D1284" s="48">
        <v>0</v>
      </c>
      <c r="E1284" s="48" t="s">
        <v>112</v>
      </c>
      <c r="F1284" s="48" t="s">
        <v>72</v>
      </c>
      <c r="G1284" s="48" t="s">
        <v>351</v>
      </c>
      <c r="H1284" s="69">
        <f t="shared" si="20"/>
        <v>43952</v>
      </c>
    </row>
    <row r="1285" spans="1:8" x14ac:dyDescent="0.25">
      <c r="A1285" s="68">
        <v>43955</v>
      </c>
      <c r="B1285" s="48">
        <v>1</v>
      </c>
      <c r="C1285" s="48">
        <v>0</v>
      </c>
      <c r="D1285" s="48">
        <v>0</v>
      </c>
      <c r="E1285" s="48" t="s">
        <v>112</v>
      </c>
      <c r="F1285" s="48" t="s">
        <v>72</v>
      </c>
      <c r="G1285" s="48" t="s">
        <v>417</v>
      </c>
      <c r="H1285" s="69">
        <f t="shared" si="20"/>
        <v>43952</v>
      </c>
    </row>
    <row r="1286" spans="1:8" x14ac:dyDescent="0.25">
      <c r="A1286" s="68">
        <v>43955</v>
      </c>
      <c r="B1286" s="48">
        <v>0</v>
      </c>
      <c r="C1286" s="48">
        <v>0</v>
      </c>
      <c r="D1286" s="48">
        <v>0</v>
      </c>
      <c r="E1286" s="48" t="s">
        <v>112</v>
      </c>
      <c r="F1286" s="48" t="s">
        <v>72</v>
      </c>
      <c r="G1286" s="48" t="s">
        <v>420</v>
      </c>
      <c r="H1286" s="69">
        <f t="shared" si="20"/>
        <v>43952</v>
      </c>
    </row>
    <row r="1287" spans="1:8" x14ac:dyDescent="0.25">
      <c r="A1287" s="68">
        <v>43955</v>
      </c>
      <c r="B1287" s="48">
        <v>122</v>
      </c>
      <c r="C1287" s="48">
        <v>12</v>
      </c>
      <c r="D1287" s="48">
        <v>0</v>
      </c>
      <c r="E1287" s="48" t="s">
        <v>112</v>
      </c>
      <c r="F1287" s="48" t="s">
        <v>71</v>
      </c>
      <c r="G1287" s="48" t="s">
        <v>92</v>
      </c>
      <c r="H1287" s="69">
        <f t="shared" si="20"/>
        <v>43952</v>
      </c>
    </row>
    <row r="1288" spans="1:8" x14ac:dyDescent="0.25">
      <c r="A1288" s="68">
        <v>43955</v>
      </c>
      <c r="B1288" s="48">
        <v>638</v>
      </c>
      <c r="C1288" s="48">
        <v>7</v>
      </c>
      <c r="D1288" s="48">
        <v>0</v>
      </c>
      <c r="E1288" s="48" t="s">
        <v>112</v>
      </c>
      <c r="F1288" s="48" t="s">
        <v>70</v>
      </c>
      <c r="G1288" s="48" t="s">
        <v>91</v>
      </c>
      <c r="H1288" s="69">
        <f t="shared" si="20"/>
        <v>43952</v>
      </c>
    </row>
    <row r="1289" spans="1:8" x14ac:dyDescent="0.25">
      <c r="A1289" s="68">
        <v>43956</v>
      </c>
      <c r="B1289" s="48">
        <v>0</v>
      </c>
      <c r="C1289" s="48">
        <v>0</v>
      </c>
      <c r="D1289" s="48">
        <v>0</v>
      </c>
      <c r="E1289" s="48" t="s">
        <v>112</v>
      </c>
      <c r="F1289" s="48" t="s">
        <v>76</v>
      </c>
      <c r="G1289" s="48" t="s">
        <v>339</v>
      </c>
      <c r="H1289" s="69">
        <f t="shared" si="20"/>
        <v>43952</v>
      </c>
    </row>
    <row r="1290" spans="1:8" x14ac:dyDescent="0.25">
      <c r="A1290" s="68">
        <v>43956</v>
      </c>
      <c r="B1290" s="48">
        <v>174</v>
      </c>
      <c r="C1290" s="48">
        <v>0</v>
      </c>
      <c r="D1290" s="48">
        <v>0</v>
      </c>
      <c r="E1290" s="48" t="s">
        <v>112</v>
      </c>
      <c r="F1290" s="48" t="s">
        <v>73</v>
      </c>
      <c r="G1290" s="48" t="s">
        <v>93</v>
      </c>
      <c r="H1290" s="69">
        <f t="shared" si="20"/>
        <v>43952</v>
      </c>
    </row>
    <row r="1291" spans="1:8" x14ac:dyDescent="0.25">
      <c r="A1291" s="68">
        <v>43956</v>
      </c>
      <c r="B1291" s="48">
        <v>14</v>
      </c>
      <c r="C1291" s="48">
        <v>0</v>
      </c>
      <c r="D1291" s="48">
        <v>3</v>
      </c>
      <c r="E1291" s="48" t="s">
        <v>112</v>
      </c>
      <c r="F1291" s="48" t="s">
        <v>75</v>
      </c>
      <c r="G1291" s="48" t="s">
        <v>103</v>
      </c>
      <c r="H1291" s="69">
        <f t="shared" si="20"/>
        <v>43952</v>
      </c>
    </row>
    <row r="1292" spans="1:8" x14ac:dyDescent="0.25">
      <c r="A1292" s="68">
        <v>43956</v>
      </c>
      <c r="B1292" s="48">
        <v>2</v>
      </c>
      <c r="C1292" s="48">
        <v>0</v>
      </c>
      <c r="D1292" s="48">
        <v>0</v>
      </c>
      <c r="E1292" s="48" t="s">
        <v>112</v>
      </c>
      <c r="F1292" s="48" t="s">
        <v>75</v>
      </c>
      <c r="G1292" s="48" t="s">
        <v>394</v>
      </c>
      <c r="H1292" s="69">
        <f t="shared" si="20"/>
        <v>43952</v>
      </c>
    </row>
    <row r="1293" spans="1:8" x14ac:dyDescent="0.25">
      <c r="A1293" s="68">
        <v>43956</v>
      </c>
      <c r="B1293" s="48">
        <v>49</v>
      </c>
      <c r="C1293" s="48">
        <v>0</v>
      </c>
      <c r="D1293" s="48">
        <v>0</v>
      </c>
      <c r="E1293" s="48" t="s">
        <v>112</v>
      </c>
      <c r="F1293" s="48" t="s">
        <v>74</v>
      </c>
      <c r="G1293" s="48" t="s">
        <v>95</v>
      </c>
      <c r="H1293" s="69">
        <f t="shared" si="20"/>
        <v>43952</v>
      </c>
    </row>
    <row r="1294" spans="1:8" x14ac:dyDescent="0.25">
      <c r="A1294" s="68">
        <v>43956</v>
      </c>
      <c r="B1294" s="48">
        <v>211</v>
      </c>
      <c r="C1294" s="48">
        <v>9</v>
      </c>
      <c r="D1294" s="48">
        <v>0</v>
      </c>
      <c r="E1294" s="48" t="s">
        <v>112</v>
      </c>
      <c r="F1294" s="48" t="s">
        <v>72</v>
      </c>
      <c r="G1294" s="48" t="s">
        <v>94</v>
      </c>
      <c r="H1294" s="69">
        <f t="shared" si="20"/>
        <v>43952</v>
      </c>
    </row>
    <row r="1295" spans="1:8" x14ac:dyDescent="0.25">
      <c r="A1295" s="68">
        <v>43956</v>
      </c>
      <c r="B1295" s="48">
        <v>487</v>
      </c>
      <c r="C1295" s="48">
        <v>8</v>
      </c>
      <c r="D1295" s="48">
        <v>0</v>
      </c>
      <c r="E1295" s="48" t="s">
        <v>112</v>
      </c>
      <c r="F1295" s="48" t="s">
        <v>71</v>
      </c>
      <c r="G1295" s="48" t="s">
        <v>92</v>
      </c>
      <c r="H1295" s="69">
        <f t="shared" si="20"/>
        <v>43952</v>
      </c>
    </row>
    <row r="1296" spans="1:8" x14ac:dyDescent="0.25">
      <c r="A1296" s="68">
        <v>43956</v>
      </c>
      <c r="B1296" s="48">
        <v>86</v>
      </c>
      <c r="C1296" s="48">
        <v>11</v>
      </c>
      <c r="D1296" s="48">
        <v>42</v>
      </c>
      <c r="E1296" s="48" t="s">
        <v>112</v>
      </c>
      <c r="F1296" s="48" t="s">
        <v>70</v>
      </c>
      <c r="G1296" s="48" t="s">
        <v>91</v>
      </c>
      <c r="H1296" s="69">
        <f t="shared" si="20"/>
        <v>43952</v>
      </c>
    </row>
    <row r="1297" spans="1:8" x14ac:dyDescent="0.25">
      <c r="A1297" s="68">
        <v>43957</v>
      </c>
      <c r="B1297" s="48">
        <v>5</v>
      </c>
      <c r="C1297" s="48">
        <v>0</v>
      </c>
      <c r="D1297" s="48">
        <v>0</v>
      </c>
      <c r="E1297" s="48" t="s">
        <v>112</v>
      </c>
      <c r="F1297" s="48" t="s">
        <v>76</v>
      </c>
      <c r="G1297" s="48" t="s">
        <v>339</v>
      </c>
      <c r="H1297" s="69">
        <f t="shared" si="20"/>
        <v>43952</v>
      </c>
    </row>
    <row r="1298" spans="1:8" x14ac:dyDescent="0.25">
      <c r="A1298" s="68">
        <v>43957</v>
      </c>
      <c r="B1298" s="48">
        <v>168</v>
      </c>
      <c r="C1298" s="48">
        <v>0</v>
      </c>
      <c r="D1298" s="48">
        <v>0</v>
      </c>
      <c r="E1298" s="48" t="s">
        <v>112</v>
      </c>
      <c r="F1298" s="48" t="s">
        <v>73</v>
      </c>
      <c r="G1298" s="48" t="s">
        <v>93</v>
      </c>
      <c r="H1298" s="69">
        <f t="shared" si="20"/>
        <v>43952</v>
      </c>
    </row>
    <row r="1299" spans="1:8" x14ac:dyDescent="0.25">
      <c r="A1299" s="68">
        <v>43957</v>
      </c>
      <c r="B1299" s="48">
        <v>1</v>
      </c>
      <c r="C1299" s="48">
        <v>0</v>
      </c>
      <c r="D1299" s="48">
        <v>0</v>
      </c>
      <c r="E1299" s="48" t="s">
        <v>112</v>
      </c>
      <c r="F1299" s="48" t="s">
        <v>75</v>
      </c>
      <c r="G1299" s="48" t="s">
        <v>368</v>
      </c>
      <c r="H1299" s="69">
        <f t="shared" si="20"/>
        <v>43952</v>
      </c>
    </row>
    <row r="1300" spans="1:8" x14ac:dyDescent="0.25">
      <c r="A1300" s="68">
        <v>43957</v>
      </c>
      <c r="B1300" s="48">
        <v>1</v>
      </c>
      <c r="C1300" s="48">
        <v>0</v>
      </c>
      <c r="D1300" s="48">
        <v>0</v>
      </c>
      <c r="E1300" s="48" t="s">
        <v>112</v>
      </c>
      <c r="F1300" s="48" t="s">
        <v>75</v>
      </c>
      <c r="G1300" s="48" t="s">
        <v>393</v>
      </c>
      <c r="H1300" s="69">
        <f t="shared" si="20"/>
        <v>43952</v>
      </c>
    </row>
    <row r="1301" spans="1:8" x14ac:dyDescent="0.25">
      <c r="A1301" s="68">
        <v>43957</v>
      </c>
      <c r="B1301" s="48">
        <v>21</v>
      </c>
      <c r="C1301" s="48">
        <v>0</v>
      </c>
      <c r="D1301" s="48">
        <v>0</v>
      </c>
      <c r="E1301" s="48" t="s">
        <v>112</v>
      </c>
      <c r="F1301" s="48" t="s">
        <v>74</v>
      </c>
      <c r="G1301" s="48" t="s">
        <v>95</v>
      </c>
      <c r="H1301" s="69">
        <f t="shared" si="20"/>
        <v>43952</v>
      </c>
    </row>
    <row r="1302" spans="1:8" x14ac:dyDescent="0.25">
      <c r="A1302" s="68">
        <v>43957</v>
      </c>
      <c r="B1302" s="48">
        <v>213</v>
      </c>
      <c r="C1302" s="48">
        <v>9</v>
      </c>
      <c r="D1302" s="48">
        <v>64</v>
      </c>
      <c r="E1302" s="48" t="s">
        <v>112</v>
      </c>
      <c r="F1302" s="48" t="s">
        <v>72</v>
      </c>
      <c r="G1302" s="48" t="s">
        <v>94</v>
      </c>
      <c r="H1302" s="69">
        <f t="shared" si="20"/>
        <v>43952</v>
      </c>
    </row>
    <row r="1303" spans="1:8" x14ac:dyDescent="0.25">
      <c r="A1303" s="68">
        <v>43957</v>
      </c>
      <c r="B1303" s="48">
        <v>944</v>
      </c>
      <c r="C1303" s="48">
        <v>31</v>
      </c>
      <c r="D1303" s="48">
        <v>0</v>
      </c>
      <c r="E1303" s="48" t="s">
        <v>112</v>
      </c>
      <c r="F1303" s="48" t="s">
        <v>71</v>
      </c>
      <c r="G1303" s="48" t="s">
        <v>92</v>
      </c>
      <c r="H1303" s="69">
        <f t="shared" si="20"/>
        <v>43952</v>
      </c>
    </row>
    <row r="1304" spans="1:8" x14ac:dyDescent="0.25">
      <c r="A1304" s="68">
        <v>43957</v>
      </c>
      <c r="B1304" s="48">
        <v>451</v>
      </c>
      <c r="C1304" s="48">
        <v>9</v>
      </c>
      <c r="D1304" s="48">
        <v>60</v>
      </c>
      <c r="E1304" s="48" t="s">
        <v>112</v>
      </c>
      <c r="F1304" s="48" t="s">
        <v>70</v>
      </c>
      <c r="G1304" s="48" t="s">
        <v>91</v>
      </c>
      <c r="H1304" s="69">
        <f t="shared" si="20"/>
        <v>43952</v>
      </c>
    </row>
    <row r="1305" spans="1:8" x14ac:dyDescent="0.25">
      <c r="A1305" s="68">
        <v>43958</v>
      </c>
      <c r="B1305" s="48">
        <v>0</v>
      </c>
      <c r="C1305" s="48">
        <v>1</v>
      </c>
      <c r="D1305" s="48">
        <v>0</v>
      </c>
      <c r="E1305" s="48" t="s">
        <v>112</v>
      </c>
      <c r="F1305" s="48" t="s">
        <v>73</v>
      </c>
      <c r="G1305" s="48" t="s">
        <v>93</v>
      </c>
      <c r="H1305" s="69">
        <f t="shared" si="20"/>
        <v>43952</v>
      </c>
    </row>
    <row r="1306" spans="1:8" x14ac:dyDescent="0.25">
      <c r="A1306" s="68">
        <v>43958</v>
      </c>
      <c r="B1306" s="48">
        <v>6</v>
      </c>
      <c r="C1306" s="48">
        <v>0</v>
      </c>
      <c r="D1306" s="48">
        <v>5</v>
      </c>
      <c r="E1306" s="48" t="s">
        <v>112</v>
      </c>
      <c r="F1306" s="48" t="s">
        <v>75</v>
      </c>
      <c r="G1306" s="48" t="s">
        <v>103</v>
      </c>
      <c r="H1306" s="69">
        <f t="shared" si="20"/>
        <v>43952</v>
      </c>
    </row>
    <row r="1307" spans="1:8" x14ac:dyDescent="0.25">
      <c r="A1307" s="68">
        <v>43958</v>
      </c>
      <c r="B1307" s="48">
        <v>6</v>
      </c>
      <c r="C1307" s="48">
        <v>0</v>
      </c>
      <c r="D1307" s="48">
        <v>0</v>
      </c>
      <c r="E1307" s="48" t="s">
        <v>112</v>
      </c>
      <c r="F1307" s="48" t="s">
        <v>75</v>
      </c>
      <c r="G1307" s="48" t="s">
        <v>373</v>
      </c>
      <c r="H1307" s="69">
        <f t="shared" si="20"/>
        <v>43952</v>
      </c>
    </row>
    <row r="1308" spans="1:8" x14ac:dyDescent="0.25">
      <c r="A1308" s="68">
        <v>43958</v>
      </c>
      <c r="B1308" s="48">
        <v>36</v>
      </c>
      <c r="C1308" s="48">
        <v>0</v>
      </c>
      <c r="D1308" s="48">
        <v>0</v>
      </c>
      <c r="E1308" s="48" t="s">
        <v>112</v>
      </c>
      <c r="F1308" s="48" t="s">
        <v>74</v>
      </c>
      <c r="G1308" s="48" t="s">
        <v>95</v>
      </c>
      <c r="H1308" s="69">
        <f t="shared" si="20"/>
        <v>43952</v>
      </c>
    </row>
    <row r="1309" spans="1:8" x14ac:dyDescent="0.25">
      <c r="A1309" s="68">
        <v>43958</v>
      </c>
      <c r="B1309" s="48">
        <v>129</v>
      </c>
      <c r="C1309" s="48">
        <v>4</v>
      </c>
      <c r="D1309" s="48">
        <v>0</v>
      </c>
      <c r="E1309" s="48" t="s">
        <v>112</v>
      </c>
      <c r="F1309" s="48" t="s">
        <v>72</v>
      </c>
      <c r="G1309" s="48" t="s">
        <v>94</v>
      </c>
      <c r="H1309" s="69">
        <f t="shared" si="20"/>
        <v>43952</v>
      </c>
    </row>
    <row r="1310" spans="1:8" x14ac:dyDescent="0.25">
      <c r="A1310" s="68">
        <v>43958</v>
      </c>
      <c r="B1310" s="48">
        <v>13</v>
      </c>
      <c r="C1310" s="48">
        <v>0</v>
      </c>
      <c r="D1310" s="48">
        <v>0</v>
      </c>
      <c r="E1310" s="48" t="s">
        <v>112</v>
      </c>
      <c r="F1310" s="48" t="s">
        <v>72</v>
      </c>
      <c r="G1310" s="48" t="s">
        <v>341</v>
      </c>
      <c r="H1310" s="69">
        <f t="shared" si="20"/>
        <v>43952</v>
      </c>
    </row>
    <row r="1311" spans="1:8" x14ac:dyDescent="0.25">
      <c r="A1311" s="68">
        <v>43958</v>
      </c>
      <c r="B1311" s="48">
        <v>2</v>
      </c>
      <c r="C1311" s="48">
        <v>0</v>
      </c>
      <c r="D1311" s="48">
        <v>0</v>
      </c>
      <c r="E1311" s="48" t="s">
        <v>112</v>
      </c>
      <c r="F1311" s="48" t="s">
        <v>72</v>
      </c>
      <c r="G1311" s="48" t="s">
        <v>338</v>
      </c>
      <c r="H1311" s="69">
        <f t="shared" si="20"/>
        <v>43952</v>
      </c>
    </row>
    <row r="1312" spans="1:8" x14ac:dyDescent="0.25">
      <c r="A1312" s="68">
        <v>43958</v>
      </c>
      <c r="B1312" s="48">
        <v>1</v>
      </c>
      <c r="C1312" s="48">
        <v>0</v>
      </c>
      <c r="D1312" s="48">
        <v>0</v>
      </c>
      <c r="E1312" s="48" t="s">
        <v>112</v>
      </c>
      <c r="F1312" s="48" t="s">
        <v>72</v>
      </c>
      <c r="G1312" s="48" t="s">
        <v>343</v>
      </c>
      <c r="H1312" s="69">
        <f t="shared" si="20"/>
        <v>43952</v>
      </c>
    </row>
    <row r="1313" spans="1:8" x14ac:dyDescent="0.25">
      <c r="A1313" s="68">
        <v>43958</v>
      </c>
      <c r="B1313" s="48">
        <v>0</v>
      </c>
      <c r="C1313" s="48">
        <v>0</v>
      </c>
      <c r="D1313" s="48">
        <v>0</v>
      </c>
      <c r="E1313" s="48" t="s">
        <v>112</v>
      </c>
      <c r="F1313" s="48" t="s">
        <v>72</v>
      </c>
      <c r="G1313" s="48" t="s">
        <v>400</v>
      </c>
      <c r="H1313" s="69">
        <f t="shared" si="20"/>
        <v>43952</v>
      </c>
    </row>
    <row r="1314" spans="1:8" x14ac:dyDescent="0.25">
      <c r="A1314" s="68">
        <v>43958</v>
      </c>
      <c r="B1314" s="48">
        <v>12</v>
      </c>
      <c r="C1314" s="48">
        <v>0</v>
      </c>
      <c r="D1314" s="48">
        <v>0</v>
      </c>
      <c r="E1314" s="48" t="s">
        <v>112</v>
      </c>
      <c r="F1314" s="48" t="s">
        <v>72</v>
      </c>
      <c r="G1314" s="48" t="s">
        <v>102</v>
      </c>
      <c r="H1314" s="69">
        <f t="shared" si="20"/>
        <v>43952</v>
      </c>
    </row>
    <row r="1315" spans="1:8" x14ac:dyDescent="0.25">
      <c r="A1315" s="68">
        <v>43958</v>
      </c>
      <c r="B1315" s="48">
        <v>1</v>
      </c>
      <c r="C1315" s="48">
        <v>0</v>
      </c>
      <c r="D1315" s="48">
        <v>0</v>
      </c>
      <c r="E1315" s="48" t="s">
        <v>112</v>
      </c>
      <c r="F1315" s="48" t="s">
        <v>72</v>
      </c>
      <c r="G1315" s="48" t="s">
        <v>355</v>
      </c>
      <c r="H1315" s="69">
        <f t="shared" si="20"/>
        <v>43952</v>
      </c>
    </row>
    <row r="1316" spans="1:8" x14ac:dyDescent="0.25">
      <c r="A1316" s="68">
        <v>43958</v>
      </c>
      <c r="B1316" s="48">
        <v>32</v>
      </c>
      <c r="C1316" s="48">
        <v>0</v>
      </c>
      <c r="D1316" s="48">
        <v>0</v>
      </c>
      <c r="E1316" s="48" t="s">
        <v>112</v>
      </c>
      <c r="F1316" s="48" t="s">
        <v>72</v>
      </c>
      <c r="G1316" s="48" t="s">
        <v>96</v>
      </c>
      <c r="H1316" s="69">
        <f t="shared" si="20"/>
        <v>43952</v>
      </c>
    </row>
    <row r="1317" spans="1:8" x14ac:dyDescent="0.25">
      <c r="A1317" s="68">
        <v>43958</v>
      </c>
      <c r="B1317" s="48">
        <v>7</v>
      </c>
      <c r="C1317" s="48">
        <v>0</v>
      </c>
      <c r="D1317" s="48">
        <v>0</v>
      </c>
      <c r="E1317" s="48" t="s">
        <v>112</v>
      </c>
      <c r="F1317" s="48" t="s">
        <v>72</v>
      </c>
      <c r="G1317" s="48" t="s">
        <v>347</v>
      </c>
      <c r="H1317" s="69">
        <f t="shared" si="20"/>
        <v>43952</v>
      </c>
    </row>
    <row r="1318" spans="1:8" x14ac:dyDescent="0.25">
      <c r="A1318" s="68">
        <v>43958</v>
      </c>
      <c r="B1318" s="48">
        <v>4</v>
      </c>
      <c r="C1318" s="48">
        <v>0</v>
      </c>
      <c r="D1318" s="48">
        <v>0</v>
      </c>
      <c r="E1318" s="48" t="s">
        <v>112</v>
      </c>
      <c r="F1318" s="48" t="s">
        <v>72</v>
      </c>
      <c r="G1318" s="48" t="s">
        <v>335</v>
      </c>
      <c r="H1318" s="69">
        <f t="shared" si="20"/>
        <v>43952</v>
      </c>
    </row>
    <row r="1319" spans="1:8" x14ac:dyDescent="0.25">
      <c r="A1319" s="68">
        <v>43958</v>
      </c>
      <c r="B1319" s="48">
        <v>0</v>
      </c>
      <c r="C1319" s="48">
        <v>0</v>
      </c>
      <c r="D1319" s="48">
        <v>0</v>
      </c>
      <c r="E1319" s="48" t="s">
        <v>112</v>
      </c>
      <c r="F1319" s="48" t="s">
        <v>72</v>
      </c>
      <c r="G1319" s="48" t="s">
        <v>342</v>
      </c>
      <c r="H1319" s="69">
        <f t="shared" si="20"/>
        <v>43952</v>
      </c>
    </row>
    <row r="1320" spans="1:8" x14ac:dyDescent="0.25">
      <c r="A1320" s="68">
        <v>43958</v>
      </c>
      <c r="B1320" s="48">
        <v>0</v>
      </c>
      <c r="C1320" s="48">
        <v>0</v>
      </c>
      <c r="D1320" s="48">
        <v>0</v>
      </c>
      <c r="E1320" s="48" t="s">
        <v>112</v>
      </c>
      <c r="F1320" s="48" t="s">
        <v>72</v>
      </c>
      <c r="G1320" s="48" t="s">
        <v>353</v>
      </c>
      <c r="H1320" s="69">
        <f t="shared" si="20"/>
        <v>43952</v>
      </c>
    </row>
    <row r="1321" spans="1:8" x14ac:dyDescent="0.25">
      <c r="A1321" s="68">
        <v>43958</v>
      </c>
      <c r="B1321" s="48">
        <v>20</v>
      </c>
      <c r="C1321" s="48">
        <v>1</v>
      </c>
      <c r="D1321" s="48">
        <v>0</v>
      </c>
      <c r="E1321" s="48" t="s">
        <v>112</v>
      </c>
      <c r="F1321" s="48" t="s">
        <v>72</v>
      </c>
      <c r="G1321" s="48" t="s">
        <v>101</v>
      </c>
      <c r="H1321" s="69">
        <f t="shared" si="20"/>
        <v>43952</v>
      </c>
    </row>
    <row r="1322" spans="1:8" x14ac:dyDescent="0.25">
      <c r="A1322" s="68">
        <v>43958</v>
      </c>
      <c r="B1322" s="48">
        <v>0</v>
      </c>
      <c r="C1322" s="48">
        <v>0</v>
      </c>
      <c r="D1322" s="48">
        <v>0</v>
      </c>
      <c r="E1322" s="48" t="s">
        <v>112</v>
      </c>
      <c r="F1322" s="48" t="s">
        <v>72</v>
      </c>
      <c r="G1322" s="48" t="s">
        <v>387</v>
      </c>
      <c r="H1322" s="69">
        <f t="shared" si="20"/>
        <v>43952</v>
      </c>
    </row>
    <row r="1323" spans="1:8" x14ac:dyDescent="0.25">
      <c r="A1323" s="68">
        <v>43958</v>
      </c>
      <c r="B1323" s="48">
        <v>0</v>
      </c>
      <c r="C1323" s="48">
        <v>0</v>
      </c>
      <c r="D1323" s="48">
        <v>0</v>
      </c>
      <c r="E1323" s="48" t="s">
        <v>112</v>
      </c>
      <c r="F1323" s="48" t="s">
        <v>72</v>
      </c>
      <c r="G1323" s="48" t="s">
        <v>406</v>
      </c>
      <c r="H1323" s="69">
        <f t="shared" si="20"/>
        <v>43952</v>
      </c>
    </row>
    <row r="1324" spans="1:8" x14ac:dyDescent="0.25">
      <c r="A1324" s="68">
        <v>43958</v>
      </c>
      <c r="B1324" s="48">
        <v>8</v>
      </c>
      <c r="C1324" s="48">
        <v>0</v>
      </c>
      <c r="D1324" s="48">
        <v>0</v>
      </c>
      <c r="E1324" s="48" t="s">
        <v>112</v>
      </c>
      <c r="F1324" s="48" t="s">
        <v>72</v>
      </c>
      <c r="G1324" s="48" t="s">
        <v>344</v>
      </c>
      <c r="H1324" s="69">
        <f t="shared" si="20"/>
        <v>43952</v>
      </c>
    </row>
    <row r="1325" spans="1:8" x14ac:dyDescent="0.25">
      <c r="A1325" s="68">
        <v>43958</v>
      </c>
      <c r="B1325" s="48">
        <v>2</v>
      </c>
      <c r="C1325" s="48">
        <v>1</v>
      </c>
      <c r="D1325" s="48">
        <v>0</v>
      </c>
      <c r="E1325" s="48" t="s">
        <v>112</v>
      </c>
      <c r="F1325" s="48" t="s">
        <v>72</v>
      </c>
      <c r="G1325" s="48" t="s">
        <v>354</v>
      </c>
      <c r="H1325" s="69">
        <f t="shared" si="20"/>
        <v>43952</v>
      </c>
    </row>
    <row r="1326" spans="1:8" x14ac:dyDescent="0.25">
      <c r="A1326" s="68">
        <v>43958</v>
      </c>
      <c r="B1326" s="48">
        <v>2</v>
      </c>
      <c r="C1326" s="48">
        <v>0</v>
      </c>
      <c r="D1326" s="48">
        <v>0</v>
      </c>
      <c r="E1326" s="48" t="s">
        <v>112</v>
      </c>
      <c r="F1326" s="48" t="s">
        <v>72</v>
      </c>
      <c r="G1326" s="48" t="s">
        <v>337</v>
      </c>
      <c r="H1326" s="69">
        <f t="shared" si="20"/>
        <v>43952</v>
      </c>
    </row>
    <row r="1327" spans="1:8" x14ac:dyDescent="0.25">
      <c r="A1327" s="68">
        <v>43958</v>
      </c>
      <c r="B1327" s="48">
        <v>0</v>
      </c>
      <c r="C1327" s="48">
        <v>0</v>
      </c>
      <c r="D1327" s="48">
        <v>0</v>
      </c>
      <c r="E1327" s="48" t="s">
        <v>112</v>
      </c>
      <c r="F1327" s="48" t="s">
        <v>72</v>
      </c>
      <c r="G1327" s="48" t="s">
        <v>356</v>
      </c>
      <c r="H1327" s="69">
        <f t="shared" si="20"/>
        <v>43952</v>
      </c>
    </row>
    <row r="1328" spans="1:8" x14ac:dyDescent="0.25">
      <c r="A1328" s="68">
        <v>43958</v>
      </c>
      <c r="B1328" s="48">
        <v>0</v>
      </c>
      <c r="C1328" s="48">
        <v>0</v>
      </c>
      <c r="D1328" s="48">
        <v>0</v>
      </c>
      <c r="E1328" s="48" t="s">
        <v>112</v>
      </c>
      <c r="F1328" s="48" t="s">
        <v>72</v>
      </c>
      <c r="G1328" s="48" t="s">
        <v>429</v>
      </c>
      <c r="H1328" s="69">
        <f t="shared" si="20"/>
        <v>43952</v>
      </c>
    </row>
    <row r="1329" spans="1:8" x14ac:dyDescent="0.25">
      <c r="A1329" s="68">
        <v>43958</v>
      </c>
      <c r="B1329" s="48">
        <v>0</v>
      </c>
      <c r="C1329" s="48">
        <v>0</v>
      </c>
      <c r="D1329" s="48">
        <v>0</v>
      </c>
      <c r="E1329" s="48" t="s">
        <v>112</v>
      </c>
      <c r="F1329" s="48" t="s">
        <v>72</v>
      </c>
      <c r="G1329" s="48" t="s">
        <v>431</v>
      </c>
      <c r="H1329" s="69">
        <f t="shared" si="20"/>
        <v>43952</v>
      </c>
    </row>
    <row r="1330" spans="1:8" x14ac:dyDescent="0.25">
      <c r="A1330" s="68">
        <v>43958</v>
      </c>
      <c r="B1330" s="48">
        <v>0</v>
      </c>
      <c r="C1330" s="48">
        <v>0</v>
      </c>
      <c r="D1330" s="48">
        <v>0</v>
      </c>
      <c r="E1330" s="48" t="s">
        <v>112</v>
      </c>
      <c r="F1330" s="48" t="s">
        <v>72</v>
      </c>
      <c r="G1330" s="48" t="s">
        <v>426</v>
      </c>
      <c r="H1330" s="69">
        <f t="shared" si="20"/>
        <v>43952</v>
      </c>
    </row>
    <row r="1331" spans="1:8" x14ac:dyDescent="0.25">
      <c r="A1331" s="68">
        <v>43958</v>
      </c>
      <c r="B1331" s="48">
        <v>0</v>
      </c>
      <c r="C1331" s="48">
        <v>0</v>
      </c>
      <c r="D1331" s="48">
        <v>0</v>
      </c>
      <c r="E1331" s="48" t="s">
        <v>112</v>
      </c>
      <c r="F1331" s="48" t="s">
        <v>72</v>
      </c>
      <c r="G1331" s="48" t="s">
        <v>436</v>
      </c>
      <c r="H1331" s="69">
        <f t="shared" si="20"/>
        <v>43952</v>
      </c>
    </row>
    <row r="1332" spans="1:8" x14ac:dyDescent="0.25">
      <c r="A1332" s="68">
        <v>43958</v>
      </c>
      <c r="B1332" s="48">
        <v>0</v>
      </c>
      <c r="C1332" s="48">
        <v>0</v>
      </c>
      <c r="D1332" s="48">
        <v>0</v>
      </c>
      <c r="E1332" s="48" t="s">
        <v>112</v>
      </c>
      <c r="F1332" s="48" t="s">
        <v>72</v>
      </c>
      <c r="G1332" s="48" t="s">
        <v>357</v>
      </c>
      <c r="H1332" s="69">
        <f t="shared" si="20"/>
        <v>43952</v>
      </c>
    </row>
    <row r="1333" spans="1:8" x14ac:dyDescent="0.25">
      <c r="A1333" s="68">
        <v>43958</v>
      </c>
      <c r="B1333" s="48">
        <v>2</v>
      </c>
      <c r="C1333" s="48">
        <v>0</v>
      </c>
      <c r="D1333" s="48">
        <v>0</v>
      </c>
      <c r="E1333" s="48" t="s">
        <v>112</v>
      </c>
      <c r="F1333" s="48" t="s">
        <v>72</v>
      </c>
      <c r="G1333" s="48" t="s">
        <v>358</v>
      </c>
      <c r="H1333" s="69">
        <f t="shared" si="20"/>
        <v>43952</v>
      </c>
    </row>
    <row r="1334" spans="1:8" x14ac:dyDescent="0.25">
      <c r="A1334" s="68">
        <v>43958</v>
      </c>
      <c r="B1334" s="48">
        <v>0</v>
      </c>
      <c r="C1334" s="48">
        <v>0</v>
      </c>
      <c r="D1334" s="48">
        <v>0</v>
      </c>
      <c r="E1334" s="48" t="s">
        <v>112</v>
      </c>
      <c r="F1334" s="48" t="s">
        <v>72</v>
      </c>
      <c r="G1334" s="48" t="s">
        <v>399</v>
      </c>
      <c r="H1334" s="69">
        <f t="shared" si="20"/>
        <v>43952</v>
      </c>
    </row>
    <row r="1335" spans="1:8" x14ac:dyDescent="0.25">
      <c r="A1335" s="68">
        <v>43958</v>
      </c>
      <c r="B1335" s="48">
        <v>0</v>
      </c>
      <c r="C1335" s="48">
        <v>0</v>
      </c>
      <c r="D1335" s="48">
        <v>0</v>
      </c>
      <c r="E1335" s="48" t="s">
        <v>112</v>
      </c>
      <c r="F1335" s="48" t="s">
        <v>72</v>
      </c>
      <c r="G1335" s="48" t="s">
        <v>352</v>
      </c>
      <c r="H1335" s="69">
        <f t="shared" si="20"/>
        <v>43952</v>
      </c>
    </row>
    <row r="1336" spans="1:8" x14ac:dyDescent="0.25">
      <c r="A1336" s="68">
        <v>43958</v>
      </c>
      <c r="B1336" s="48">
        <v>2</v>
      </c>
      <c r="C1336" s="48">
        <v>0</v>
      </c>
      <c r="D1336" s="48">
        <v>0</v>
      </c>
      <c r="E1336" s="48" t="s">
        <v>112</v>
      </c>
      <c r="F1336" s="48" t="s">
        <v>72</v>
      </c>
      <c r="G1336" s="48" t="s">
        <v>359</v>
      </c>
      <c r="H1336" s="69">
        <f t="shared" si="20"/>
        <v>43952</v>
      </c>
    </row>
    <row r="1337" spans="1:8" x14ac:dyDescent="0.25">
      <c r="A1337" s="68">
        <v>43958</v>
      </c>
      <c r="B1337" s="48">
        <v>0</v>
      </c>
      <c r="C1337" s="48">
        <v>0</v>
      </c>
      <c r="D1337" s="48">
        <v>0</v>
      </c>
      <c r="E1337" s="48" t="s">
        <v>112</v>
      </c>
      <c r="F1337" s="48" t="s">
        <v>72</v>
      </c>
      <c r="G1337" s="48" t="s">
        <v>410</v>
      </c>
      <c r="H1337" s="69">
        <f t="shared" si="20"/>
        <v>43952</v>
      </c>
    </row>
    <row r="1338" spans="1:8" x14ac:dyDescent="0.25">
      <c r="A1338" s="68">
        <v>43958</v>
      </c>
      <c r="B1338" s="48">
        <v>5</v>
      </c>
      <c r="C1338" s="48">
        <v>0</v>
      </c>
      <c r="D1338" s="48">
        <v>0</v>
      </c>
      <c r="E1338" s="48" t="s">
        <v>112</v>
      </c>
      <c r="F1338" s="48" t="s">
        <v>72</v>
      </c>
      <c r="G1338" s="48" t="s">
        <v>365</v>
      </c>
      <c r="H1338" s="69">
        <f t="shared" si="20"/>
        <v>43952</v>
      </c>
    </row>
    <row r="1339" spans="1:8" x14ac:dyDescent="0.25">
      <c r="A1339" s="68">
        <v>43958</v>
      </c>
      <c r="B1339" s="48">
        <v>0</v>
      </c>
      <c r="C1339" s="48">
        <v>0</v>
      </c>
      <c r="D1339" s="48">
        <v>0</v>
      </c>
      <c r="E1339" s="48" t="s">
        <v>112</v>
      </c>
      <c r="F1339" s="48" t="s">
        <v>72</v>
      </c>
      <c r="G1339" s="48" t="s">
        <v>408</v>
      </c>
      <c r="H1339" s="69">
        <f t="shared" si="20"/>
        <v>43952</v>
      </c>
    </row>
    <row r="1340" spans="1:8" x14ac:dyDescent="0.25">
      <c r="A1340" s="68">
        <v>43958</v>
      </c>
      <c r="B1340" s="48">
        <v>0</v>
      </c>
      <c r="C1340" s="48">
        <v>0</v>
      </c>
      <c r="D1340" s="48">
        <v>0</v>
      </c>
      <c r="E1340" s="48" t="s">
        <v>112</v>
      </c>
      <c r="F1340" s="48" t="s">
        <v>72</v>
      </c>
      <c r="G1340" s="48" t="s">
        <v>411</v>
      </c>
      <c r="H1340" s="69">
        <f t="shared" si="20"/>
        <v>43952</v>
      </c>
    </row>
    <row r="1341" spans="1:8" x14ac:dyDescent="0.25">
      <c r="A1341" s="68">
        <v>43958</v>
      </c>
      <c r="B1341" s="48">
        <v>0</v>
      </c>
      <c r="C1341" s="48">
        <v>0</v>
      </c>
      <c r="D1341" s="48">
        <v>0</v>
      </c>
      <c r="E1341" s="48" t="s">
        <v>112</v>
      </c>
      <c r="F1341" s="48" t="s">
        <v>72</v>
      </c>
      <c r="G1341" s="48" t="s">
        <v>351</v>
      </c>
      <c r="H1341" s="69">
        <f t="shared" si="20"/>
        <v>43952</v>
      </c>
    </row>
    <row r="1342" spans="1:8" x14ac:dyDescent="0.25">
      <c r="A1342" s="68">
        <v>43958</v>
      </c>
      <c r="B1342" s="48">
        <v>2</v>
      </c>
      <c r="C1342" s="48">
        <v>0</v>
      </c>
      <c r="D1342" s="48">
        <v>0</v>
      </c>
      <c r="E1342" s="48" t="s">
        <v>112</v>
      </c>
      <c r="F1342" s="48" t="s">
        <v>72</v>
      </c>
      <c r="G1342" s="48" t="s">
        <v>417</v>
      </c>
      <c r="H1342" s="69">
        <f t="shared" si="20"/>
        <v>43952</v>
      </c>
    </row>
    <row r="1343" spans="1:8" x14ac:dyDescent="0.25">
      <c r="A1343" s="68">
        <v>43958</v>
      </c>
      <c r="B1343" s="48">
        <v>0</v>
      </c>
      <c r="C1343" s="48">
        <v>0</v>
      </c>
      <c r="D1343" s="48">
        <v>0</v>
      </c>
      <c r="E1343" s="48" t="s">
        <v>112</v>
      </c>
      <c r="F1343" s="48" t="s">
        <v>72</v>
      </c>
      <c r="G1343" s="48" t="s">
        <v>420</v>
      </c>
      <c r="H1343" s="69">
        <f t="shared" si="20"/>
        <v>43952</v>
      </c>
    </row>
    <row r="1344" spans="1:8" x14ac:dyDescent="0.25">
      <c r="A1344" s="68">
        <v>43958</v>
      </c>
      <c r="B1344" s="48">
        <v>118</v>
      </c>
      <c r="C1344" s="48">
        <v>7</v>
      </c>
      <c r="D1344" s="48">
        <v>0</v>
      </c>
      <c r="E1344" s="48" t="s">
        <v>112</v>
      </c>
      <c r="F1344" s="48" t="s">
        <v>71</v>
      </c>
      <c r="G1344" s="48" t="s">
        <v>92</v>
      </c>
      <c r="H1344" s="69">
        <f t="shared" si="20"/>
        <v>43952</v>
      </c>
    </row>
    <row r="1345" spans="1:8" x14ac:dyDescent="0.25">
      <c r="A1345" s="68">
        <v>43958</v>
      </c>
      <c r="B1345" s="48">
        <v>453</v>
      </c>
      <c r="C1345" s="48">
        <v>14</v>
      </c>
      <c r="D1345" s="48">
        <v>9</v>
      </c>
      <c r="E1345" s="48" t="s">
        <v>112</v>
      </c>
      <c r="F1345" s="48" t="s">
        <v>70</v>
      </c>
      <c r="G1345" s="48" t="s">
        <v>91</v>
      </c>
      <c r="H1345" s="69">
        <f t="shared" si="20"/>
        <v>43952</v>
      </c>
    </row>
    <row r="1346" spans="1:8" x14ac:dyDescent="0.25">
      <c r="A1346" s="68">
        <v>43959</v>
      </c>
      <c r="B1346" s="48">
        <v>2</v>
      </c>
      <c r="C1346" s="48">
        <v>0</v>
      </c>
      <c r="D1346" s="48">
        <v>0</v>
      </c>
      <c r="E1346" s="48" t="s">
        <v>112</v>
      </c>
      <c r="F1346" s="48" t="s">
        <v>76</v>
      </c>
      <c r="G1346" s="48" t="s">
        <v>339</v>
      </c>
      <c r="H1346" s="69">
        <f t="shared" ref="H1346:H1409" si="21">DATE(YEAR(A1346),MONTH(A1346),1)</f>
        <v>43952</v>
      </c>
    </row>
    <row r="1347" spans="1:8" x14ac:dyDescent="0.25">
      <c r="A1347" s="68">
        <v>43959</v>
      </c>
      <c r="B1347" s="48">
        <v>62</v>
      </c>
      <c r="C1347" s="48">
        <v>2</v>
      </c>
      <c r="D1347" s="48">
        <v>13</v>
      </c>
      <c r="E1347" s="48" t="s">
        <v>112</v>
      </c>
      <c r="F1347" s="48" t="s">
        <v>73</v>
      </c>
      <c r="G1347" s="48" t="s">
        <v>93</v>
      </c>
      <c r="H1347" s="69">
        <f t="shared" si="21"/>
        <v>43952</v>
      </c>
    </row>
    <row r="1348" spans="1:8" x14ac:dyDescent="0.25">
      <c r="A1348" s="68">
        <v>43959</v>
      </c>
      <c r="B1348" s="48">
        <v>37</v>
      </c>
      <c r="C1348" s="48">
        <v>0</v>
      </c>
      <c r="D1348" s="48">
        <v>0</v>
      </c>
      <c r="E1348" s="48" t="s">
        <v>112</v>
      </c>
      <c r="F1348" s="48" t="s">
        <v>74</v>
      </c>
      <c r="G1348" s="48" t="s">
        <v>95</v>
      </c>
      <c r="H1348" s="69">
        <f t="shared" si="21"/>
        <v>43952</v>
      </c>
    </row>
    <row r="1349" spans="1:8" x14ac:dyDescent="0.25">
      <c r="A1349" s="68">
        <v>43959</v>
      </c>
      <c r="B1349" s="48">
        <v>141</v>
      </c>
      <c r="C1349" s="48">
        <v>5</v>
      </c>
      <c r="D1349" s="48">
        <v>0</v>
      </c>
      <c r="E1349" s="48" t="s">
        <v>112</v>
      </c>
      <c r="F1349" s="48" t="s">
        <v>72</v>
      </c>
      <c r="G1349" s="48" t="s">
        <v>94</v>
      </c>
      <c r="H1349" s="69">
        <f t="shared" si="21"/>
        <v>43952</v>
      </c>
    </row>
    <row r="1350" spans="1:8" x14ac:dyDescent="0.25">
      <c r="A1350" s="68">
        <v>43959</v>
      </c>
      <c r="B1350" s="48">
        <v>3</v>
      </c>
      <c r="C1350" s="48">
        <v>0</v>
      </c>
      <c r="D1350" s="48">
        <v>0</v>
      </c>
      <c r="E1350" s="48" t="s">
        <v>112</v>
      </c>
      <c r="F1350" s="48" t="s">
        <v>72</v>
      </c>
      <c r="G1350" s="48" t="s">
        <v>341</v>
      </c>
      <c r="H1350" s="69">
        <f t="shared" si="21"/>
        <v>43952</v>
      </c>
    </row>
    <row r="1351" spans="1:8" x14ac:dyDescent="0.25">
      <c r="A1351" s="68">
        <v>43959</v>
      </c>
      <c r="B1351" s="48">
        <v>19</v>
      </c>
      <c r="C1351" s="48">
        <v>0</v>
      </c>
      <c r="D1351" s="48">
        <v>0</v>
      </c>
      <c r="E1351" s="48" t="s">
        <v>112</v>
      </c>
      <c r="F1351" s="48" t="s">
        <v>72</v>
      </c>
      <c r="G1351" s="48" t="s">
        <v>338</v>
      </c>
      <c r="H1351" s="69">
        <f t="shared" si="21"/>
        <v>43952</v>
      </c>
    </row>
    <row r="1352" spans="1:8" x14ac:dyDescent="0.25">
      <c r="A1352" s="68">
        <v>43959</v>
      </c>
      <c r="B1352" s="48">
        <v>0</v>
      </c>
      <c r="C1352" s="48">
        <v>0</v>
      </c>
      <c r="D1352" s="48">
        <v>0</v>
      </c>
      <c r="E1352" s="48" t="s">
        <v>112</v>
      </c>
      <c r="F1352" s="48" t="s">
        <v>72</v>
      </c>
      <c r="G1352" s="48" t="s">
        <v>343</v>
      </c>
      <c r="H1352" s="69">
        <f t="shared" si="21"/>
        <v>43952</v>
      </c>
    </row>
    <row r="1353" spans="1:8" x14ac:dyDescent="0.25">
      <c r="A1353" s="68">
        <v>43959</v>
      </c>
      <c r="B1353" s="48">
        <v>0</v>
      </c>
      <c r="C1353" s="48">
        <v>0</v>
      </c>
      <c r="D1353" s="48">
        <v>0</v>
      </c>
      <c r="E1353" s="48" t="s">
        <v>112</v>
      </c>
      <c r="F1353" s="48" t="s">
        <v>72</v>
      </c>
      <c r="G1353" s="48" t="s">
        <v>400</v>
      </c>
      <c r="H1353" s="69">
        <f t="shared" si="21"/>
        <v>43952</v>
      </c>
    </row>
    <row r="1354" spans="1:8" x14ac:dyDescent="0.25">
      <c r="A1354" s="68">
        <v>43959</v>
      </c>
      <c r="B1354" s="48">
        <v>0</v>
      </c>
      <c r="C1354" s="48">
        <v>0</v>
      </c>
      <c r="D1354" s="48">
        <v>0</v>
      </c>
      <c r="E1354" s="48" t="s">
        <v>112</v>
      </c>
      <c r="F1354" s="48" t="s">
        <v>72</v>
      </c>
      <c r="G1354" s="48" t="s">
        <v>102</v>
      </c>
      <c r="H1354" s="69">
        <f t="shared" si="21"/>
        <v>43952</v>
      </c>
    </row>
    <row r="1355" spans="1:8" x14ac:dyDescent="0.25">
      <c r="A1355" s="68">
        <v>43959</v>
      </c>
      <c r="B1355" s="48">
        <v>1</v>
      </c>
      <c r="C1355" s="48">
        <v>1</v>
      </c>
      <c r="D1355" s="48">
        <v>0</v>
      </c>
      <c r="E1355" s="48" t="s">
        <v>112</v>
      </c>
      <c r="F1355" s="48" t="s">
        <v>72</v>
      </c>
      <c r="G1355" s="48" t="s">
        <v>355</v>
      </c>
      <c r="H1355" s="69">
        <f t="shared" si="21"/>
        <v>43952</v>
      </c>
    </row>
    <row r="1356" spans="1:8" x14ac:dyDescent="0.25">
      <c r="A1356" s="68">
        <v>43959</v>
      </c>
      <c r="B1356" s="48">
        <v>49</v>
      </c>
      <c r="C1356" s="48">
        <v>5</v>
      </c>
      <c r="D1356" s="48">
        <v>0</v>
      </c>
      <c r="E1356" s="48" t="s">
        <v>112</v>
      </c>
      <c r="F1356" s="48" t="s">
        <v>72</v>
      </c>
      <c r="G1356" s="48" t="s">
        <v>96</v>
      </c>
      <c r="H1356" s="69">
        <f t="shared" si="21"/>
        <v>43952</v>
      </c>
    </row>
    <row r="1357" spans="1:8" x14ac:dyDescent="0.25">
      <c r="A1357" s="68">
        <v>43959</v>
      </c>
      <c r="B1357" s="48">
        <v>1</v>
      </c>
      <c r="C1357" s="48">
        <v>0</v>
      </c>
      <c r="D1357" s="48">
        <v>0</v>
      </c>
      <c r="E1357" s="48" t="s">
        <v>112</v>
      </c>
      <c r="F1357" s="48" t="s">
        <v>72</v>
      </c>
      <c r="G1357" s="48" t="s">
        <v>347</v>
      </c>
      <c r="H1357" s="69">
        <f t="shared" si="21"/>
        <v>43952</v>
      </c>
    </row>
    <row r="1358" spans="1:8" x14ac:dyDescent="0.25">
      <c r="A1358" s="68">
        <v>43959</v>
      </c>
      <c r="B1358" s="48">
        <v>13</v>
      </c>
      <c r="C1358" s="48">
        <v>1</v>
      </c>
      <c r="D1358" s="48">
        <v>0</v>
      </c>
      <c r="E1358" s="48" t="s">
        <v>112</v>
      </c>
      <c r="F1358" s="48" t="s">
        <v>72</v>
      </c>
      <c r="G1358" s="48" t="s">
        <v>335</v>
      </c>
      <c r="H1358" s="69">
        <f t="shared" si="21"/>
        <v>43952</v>
      </c>
    </row>
    <row r="1359" spans="1:8" x14ac:dyDescent="0.25">
      <c r="A1359" s="68">
        <v>43959</v>
      </c>
      <c r="B1359" s="48">
        <v>16</v>
      </c>
      <c r="C1359" s="48">
        <v>0</v>
      </c>
      <c r="D1359" s="48">
        <v>0</v>
      </c>
      <c r="E1359" s="48" t="s">
        <v>112</v>
      </c>
      <c r="F1359" s="48" t="s">
        <v>72</v>
      </c>
      <c r="G1359" s="48" t="s">
        <v>342</v>
      </c>
      <c r="H1359" s="69">
        <f t="shared" si="21"/>
        <v>43952</v>
      </c>
    </row>
    <row r="1360" spans="1:8" x14ac:dyDescent="0.25">
      <c r="A1360" s="68">
        <v>43959</v>
      </c>
      <c r="B1360" s="48">
        <v>4</v>
      </c>
      <c r="C1360" s="48">
        <v>0</v>
      </c>
      <c r="D1360" s="48">
        <v>0</v>
      </c>
      <c r="E1360" s="48" t="s">
        <v>112</v>
      </c>
      <c r="F1360" s="48" t="s">
        <v>72</v>
      </c>
      <c r="G1360" s="48" t="s">
        <v>353</v>
      </c>
      <c r="H1360" s="69">
        <f t="shared" si="21"/>
        <v>43952</v>
      </c>
    </row>
    <row r="1361" spans="1:8" x14ac:dyDescent="0.25">
      <c r="A1361" s="68">
        <v>43959</v>
      </c>
      <c r="B1361" s="48">
        <v>19</v>
      </c>
      <c r="C1361" s="48">
        <v>0</v>
      </c>
      <c r="D1361" s="48">
        <v>0</v>
      </c>
      <c r="E1361" s="48" t="s">
        <v>112</v>
      </c>
      <c r="F1361" s="48" t="s">
        <v>72</v>
      </c>
      <c r="G1361" s="48" t="s">
        <v>101</v>
      </c>
      <c r="H1361" s="69">
        <f t="shared" si="21"/>
        <v>43952</v>
      </c>
    </row>
    <row r="1362" spans="1:8" x14ac:dyDescent="0.25">
      <c r="A1362" s="68">
        <v>43959</v>
      </c>
      <c r="B1362" s="48">
        <v>2</v>
      </c>
      <c r="C1362" s="48">
        <v>0</v>
      </c>
      <c r="D1362" s="48">
        <v>0</v>
      </c>
      <c r="E1362" s="48" t="s">
        <v>112</v>
      </c>
      <c r="F1362" s="48" t="s">
        <v>72</v>
      </c>
      <c r="G1362" s="48" t="s">
        <v>387</v>
      </c>
      <c r="H1362" s="69">
        <f t="shared" si="21"/>
        <v>43952</v>
      </c>
    </row>
    <row r="1363" spans="1:8" x14ac:dyDescent="0.25">
      <c r="A1363" s="68">
        <v>43959</v>
      </c>
      <c r="B1363" s="48">
        <v>0</v>
      </c>
      <c r="C1363" s="48">
        <v>0</v>
      </c>
      <c r="D1363" s="48">
        <v>0</v>
      </c>
      <c r="E1363" s="48" t="s">
        <v>112</v>
      </c>
      <c r="F1363" s="48" t="s">
        <v>72</v>
      </c>
      <c r="G1363" s="48" t="s">
        <v>406</v>
      </c>
      <c r="H1363" s="69">
        <f t="shared" si="21"/>
        <v>43952</v>
      </c>
    </row>
    <row r="1364" spans="1:8" x14ac:dyDescent="0.25">
      <c r="A1364" s="68">
        <v>43959</v>
      </c>
      <c r="B1364" s="48">
        <v>5</v>
      </c>
      <c r="C1364" s="48">
        <v>0</v>
      </c>
      <c r="D1364" s="48">
        <v>0</v>
      </c>
      <c r="E1364" s="48" t="s">
        <v>112</v>
      </c>
      <c r="F1364" s="48" t="s">
        <v>72</v>
      </c>
      <c r="G1364" s="48" t="s">
        <v>344</v>
      </c>
      <c r="H1364" s="69">
        <f t="shared" si="21"/>
        <v>43952</v>
      </c>
    </row>
    <row r="1365" spans="1:8" x14ac:dyDescent="0.25">
      <c r="A1365" s="68">
        <v>43959</v>
      </c>
      <c r="B1365" s="48">
        <v>5</v>
      </c>
      <c r="C1365" s="48">
        <v>0</v>
      </c>
      <c r="D1365" s="48">
        <v>0</v>
      </c>
      <c r="E1365" s="48" t="s">
        <v>112</v>
      </c>
      <c r="F1365" s="48" t="s">
        <v>72</v>
      </c>
      <c r="G1365" s="48" t="s">
        <v>354</v>
      </c>
      <c r="H1365" s="69">
        <f t="shared" si="21"/>
        <v>43952</v>
      </c>
    </row>
    <row r="1366" spans="1:8" x14ac:dyDescent="0.25">
      <c r="A1366" s="68">
        <v>43959</v>
      </c>
      <c r="B1366" s="48">
        <v>3</v>
      </c>
      <c r="C1366" s="48">
        <v>0</v>
      </c>
      <c r="D1366" s="48">
        <v>0</v>
      </c>
      <c r="E1366" s="48" t="s">
        <v>112</v>
      </c>
      <c r="F1366" s="48" t="s">
        <v>72</v>
      </c>
      <c r="G1366" s="48" t="s">
        <v>337</v>
      </c>
      <c r="H1366" s="69">
        <f t="shared" si="21"/>
        <v>43952</v>
      </c>
    </row>
    <row r="1367" spans="1:8" x14ac:dyDescent="0.25">
      <c r="A1367" s="68">
        <v>43959</v>
      </c>
      <c r="B1367" s="48">
        <v>0</v>
      </c>
      <c r="C1367" s="48">
        <v>0</v>
      </c>
      <c r="D1367" s="48">
        <v>0</v>
      </c>
      <c r="E1367" s="48" t="s">
        <v>112</v>
      </c>
      <c r="F1367" s="48" t="s">
        <v>72</v>
      </c>
      <c r="G1367" s="48" t="s">
        <v>356</v>
      </c>
      <c r="H1367" s="69">
        <f t="shared" si="21"/>
        <v>43952</v>
      </c>
    </row>
    <row r="1368" spans="1:8" x14ac:dyDescent="0.25">
      <c r="A1368" s="68">
        <v>43959</v>
      </c>
      <c r="B1368" s="48">
        <v>0</v>
      </c>
      <c r="C1368" s="48">
        <v>0</v>
      </c>
      <c r="D1368" s="48">
        <v>0</v>
      </c>
      <c r="E1368" s="48" t="s">
        <v>112</v>
      </c>
      <c r="F1368" s="48" t="s">
        <v>72</v>
      </c>
      <c r="G1368" s="48" t="s">
        <v>429</v>
      </c>
      <c r="H1368" s="69">
        <f t="shared" si="21"/>
        <v>43952</v>
      </c>
    </row>
    <row r="1369" spans="1:8" x14ac:dyDescent="0.25">
      <c r="A1369" s="68">
        <v>43959</v>
      </c>
      <c r="B1369" s="48">
        <v>0</v>
      </c>
      <c r="C1369" s="48">
        <v>0</v>
      </c>
      <c r="D1369" s="48">
        <v>0</v>
      </c>
      <c r="E1369" s="48" t="s">
        <v>112</v>
      </c>
      <c r="F1369" s="48" t="s">
        <v>72</v>
      </c>
      <c r="G1369" s="48" t="s">
        <v>431</v>
      </c>
      <c r="H1369" s="69">
        <f t="shared" si="21"/>
        <v>43952</v>
      </c>
    </row>
    <row r="1370" spans="1:8" x14ac:dyDescent="0.25">
      <c r="A1370" s="68">
        <v>43959</v>
      </c>
      <c r="B1370" s="48">
        <v>0</v>
      </c>
      <c r="C1370" s="48">
        <v>0</v>
      </c>
      <c r="D1370" s="48">
        <v>0</v>
      </c>
      <c r="E1370" s="48" t="s">
        <v>112</v>
      </c>
      <c r="F1370" s="48" t="s">
        <v>72</v>
      </c>
      <c r="G1370" s="48" t="s">
        <v>426</v>
      </c>
      <c r="H1370" s="69">
        <f t="shared" si="21"/>
        <v>43952</v>
      </c>
    </row>
    <row r="1371" spans="1:8" x14ac:dyDescent="0.25">
      <c r="A1371" s="68">
        <v>43959</v>
      </c>
      <c r="B1371" s="48">
        <v>0</v>
      </c>
      <c r="C1371" s="48">
        <v>0</v>
      </c>
      <c r="D1371" s="48">
        <v>0</v>
      </c>
      <c r="E1371" s="48" t="s">
        <v>112</v>
      </c>
      <c r="F1371" s="48" t="s">
        <v>72</v>
      </c>
      <c r="G1371" s="48" t="s">
        <v>436</v>
      </c>
      <c r="H1371" s="69">
        <f t="shared" si="21"/>
        <v>43952</v>
      </c>
    </row>
    <row r="1372" spans="1:8" x14ac:dyDescent="0.25">
      <c r="A1372" s="68">
        <v>43959</v>
      </c>
      <c r="B1372" s="48">
        <v>3</v>
      </c>
      <c r="C1372" s="48">
        <v>0</v>
      </c>
      <c r="D1372" s="48">
        <v>0</v>
      </c>
      <c r="E1372" s="48" t="s">
        <v>112</v>
      </c>
      <c r="F1372" s="48" t="s">
        <v>72</v>
      </c>
      <c r="G1372" s="48" t="s">
        <v>357</v>
      </c>
      <c r="H1372" s="69">
        <f t="shared" si="21"/>
        <v>43952</v>
      </c>
    </row>
    <row r="1373" spans="1:8" x14ac:dyDescent="0.25">
      <c r="A1373" s="68">
        <v>43959</v>
      </c>
      <c r="B1373" s="48">
        <v>3</v>
      </c>
      <c r="C1373" s="48">
        <v>0</v>
      </c>
      <c r="D1373" s="48">
        <v>0</v>
      </c>
      <c r="E1373" s="48" t="s">
        <v>112</v>
      </c>
      <c r="F1373" s="48" t="s">
        <v>72</v>
      </c>
      <c r="G1373" s="48" t="s">
        <v>358</v>
      </c>
      <c r="H1373" s="69">
        <f t="shared" si="21"/>
        <v>43952</v>
      </c>
    </row>
    <row r="1374" spans="1:8" x14ac:dyDescent="0.25">
      <c r="A1374" s="68">
        <v>43959</v>
      </c>
      <c r="B1374" s="48">
        <v>0</v>
      </c>
      <c r="C1374" s="48">
        <v>0</v>
      </c>
      <c r="D1374" s="48">
        <v>0</v>
      </c>
      <c r="E1374" s="48" t="s">
        <v>112</v>
      </c>
      <c r="F1374" s="48" t="s">
        <v>72</v>
      </c>
      <c r="G1374" s="48" t="s">
        <v>399</v>
      </c>
      <c r="H1374" s="69">
        <f t="shared" si="21"/>
        <v>43952</v>
      </c>
    </row>
    <row r="1375" spans="1:8" x14ac:dyDescent="0.25">
      <c r="A1375" s="68">
        <v>43959</v>
      </c>
      <c r="B1375" s="48">
        <v>0</v>
      </c>
      <c r="C1375" s="48">
        <v>0</v>
      </c>
      <c r="D1375" s="48">
        <v>0</v>
      </c>
      <c r="E1375" s="48" t="s">
        <v>112</v>
      </c>
      <c r="F1375" s="48" t="s">
        <v>72</v>
      </c>
      <c r="G1375" s="48" t="s">
        <v>352</v>
      </c>
      <c r="H1375" s="69">
        <f t="shared" si="21"/>
        <v>43952</v>
      </c>
    </row>
    <row r="1376" spans="1:8" x14ac:dyDescent="0.25">
      <c r="A1376" s="68">
        <v>43959</v>
      </c>
      <c r="B1376" s="48">
        <v>0</v>
      </c>
      <c r="C1376" s="48">
        <v>0</v>
      </c>
      <c r="D1376" s="48">
        <v>0</v>
      </c>
      <c r="E1376" s="48" t="s">
        <v>112</v>
      </c>
      <c r="F1376" s="48" t="s">
        <v>72</v>
      </c>
      <c r="G1376" s="48" t="s">
        <v>359</v>
      </c>
      <c r="H1376" s="69">
        <f t="shared" si="21"/>
        <v>43952</v>
      </c>
    </row>
    <row r="1377" spans="1:8" x14ac:dyDescent="0.25">
      <c r="A1377" s="68">
        <v>43959</v>
      </c>
      <c r="B1377" s="48">
        <v>0</v>
      </c>
      <c r="C1377" s="48">
        <v>0</v>
      </c>
      <c r="D1377" s="48">
        <v>0</v>
      </c>
      <c r="E1377" s="48" t="s">
        <v>112</v>
      </c>
      <c r="F1377" s="48" t="s">
        <v>72</v>
      </c>
      <c r="G1377" s="48" t="s">
        <v>410</v>
      </c>
      <c r="H1377" s="69">
        <f t="shared" si="21"/>
        <v>43952</v>
      </c>
    </row>
    <row r="1378" spans="1:8" x14ac:dyDescent="0.25">
      <c r="A1378" s="68">
        <v>43959</v>
      </c>
      <c r="B1378" s="48">
        <v>3</v>
      </c>
      <c r="C1378" s="48">
        <v>0</v>
      </c>
      <c r="D1378" s="48">
        <v>0</v>
      </c>
      <c r="E1378" s="48" t="s">
        <v>112</v>
      </c>
      <c r="F1378" s="48" t="s">
        <v>72</v>
      </c>
      <c r="G1378" s="48" t="s">
        <v>365</v>
      </c>
      <c r="H1378" s="69">
        <f t="shared" si="21"/>
        <v>43952</v>
      </c>
    </row>
    <row r="1379" spans="1:8" x14ac:dyDescent="0.25">
      <c r="A1379" s="68">
        <v>43959</v>
      </c>
      <c r="B1379" s="48">
        <v>0</v>
      </c>
      <c r="C1379" s="48">
        <v>0</v>
      </c>
      <c r="D1379" s="48">
        <v>0</v>
      </c>
      <c r="E1379" s="48" t="s">
        <v>112</v>
      </c>
      <c r="F1379" s="48" t="s">
        <v>72</v>
      </c>
      <c r="G1379" s="48" t="s">
        <v>408</v>
      </c>
      <c r="H1379" s="69">
        <f t="shared" si="21"/>
        <v>43952</v>
      </c>
    </row>
    <row r="1380" spans="1:8" x14ac:dyDescent="0.25">
      <c r="A1380" s="68">
        <v>43959</v>
      </c>
      <c r="B1380" s="48">
        <v>0</v>
      </c>
      <c r="C1380" s="48">
        <v>0</v>
      </c>
      <c r="D1380" s="48">
        <v>0</v>
      </c>
      <c r="E1380" s="48" t="s">
        <v>112</v>
      </c>
      <c r="F1380" s="48" t="s">
        <v>72</v>
      </c>
      <c r="G1380" s="48" t="s">
        <v>411</v>
      </c>
      <c r="H1380" s="69">
        <f t="shared" si="21"/>
        <v>43952</v>
      </c>
    </row>
    <row r="1381" spans="1:8" x14ac:dyDescent="0.25">
      <c r="A1381" s="68">
        <v>43959</v>
      </c>
      <c r="B1381" s="48">
        <v>2</v>
      </c>
      <c r="C1381" s="48">
        <v>0</v>
      </c>
      <c r="D1381" s="48">
        <v>0</v>
      </c>
      <c r="E1381" s="48" t="s">
        <v>112</v>
      </c>
      <c r="F1381" s="48" t="s">
        <v>72</v>
      </c>
      <c r="G1381" s="48" t="s">
        <v>351</v>
      </c>
      <c r="H1381" s="69">
        <f t="shared" si="21"/>
        <v>43952</v>
      </c>
    </row>
    <row r="1382" spans="1:8" x14ac:dyDescent="0.25">
      <c r="A1382" s="68">
        <v>43959</v>
      </c>
      <c r="B1382" s="48">
        <v>0</v>
      </c>
      <c r="C1382" s="48">
        <v>0</v>
      </c>
      <c r="D1382" s="48">
        <v>0</v>
      </c>
      <c r="E1382" s="48" t="s">
        <v>112</v>
      </c>
      <c r="F1382" s="48" t="s">
        <v>72</v>
      </c>
      <c r="G1382" s="48" t="s">
        <v>417</v>
      </c>
      <c r="H1382" s="69">
        <f t="shared" si="21"/>
        <v>43952</v>
      </c>
    </row>
    <row r="1383" spans="1:8" x14ac:dyDescent="0.25">
      <c r="A1383" s="68">
        <v>43959</v>
      </c>
      <c r="B1383" s="48">
        <v>0</v>
      </c>
      <c r="C1383" s="48">
        <v>0</v>
      </c>
      <c r="D1383" s="48">
        <v>0</v>
      </c>
      <c r="E1383" s="48" t="s">
        <v>112</v>
      </c>
      <c r="F1383" s="48" t="s">
        <v>72</v>
      </c>
      <c r="G1383" s="48" t="s">
        <v>420</v>
      </c>
      <c r="H1383" s="69">
        <f t="shared" si="21"/>
        <v>43952</v>
      </c>
    </row>
    <row r="1384" spans="1:8" x14ac:dyDescent="0.25">
      <c r="A1384" s="68">
        <v>43959</v>
      </c>
      <c r="B1384" s="48">
        <v>838</v>
      </c>
      <c r="C1384" s="48">
        <v>12</v>
      </c>
      <c r="D1384" s="48">
        <v>0</v>
      </c>
      <c r="E1384" s="48" t="s">
        <v>112</v>
      </c>
      <c r="F1384" s="48" t="s">
        <v>71</v>
      </c>
      <c r="G1384" s="48" t="s">
        <v>92</v>
      </c>
      <c r="H1384" s="69">
        <f t="shared" si="21"/>
        <v>43952</v>
      </c>
    </row>
    <row r="1385" spans="1:8" x14ac:dyDescent="0.25">
      <c r="A1385" s="68">
        <v>43959</v>
      </c>
      <c r="B1385" s="48">
        <v>598</v>
      </c>
      <c r="C1385" s="48">
        <v>5</v>
      </c>
      <c r="D1385" s="48">
        <v>0</v>
      </c>
      <c r="E1385" s="48" t="s">
        <v>112</v>
      </c>
      <c r="F1385" s="48" t="s">
        <v>70</v>
      </c>
      <c r="G1385" s="48" t="s">
        <v>91</v>
      </c>
      <c r="H1385" s="69">
        <f t="shared" si="21"/>
        <v>43952</v>
      </c>
    </row>
    <row r="1386" spans="1:8" x14ac:dyDescent="0.25">
      <c r="A1386" s="68">
        <v>43960</v>
      </c>
      <c r="B1386" s="48">
        <v>1</v>
      </c>
      <c r="C1386" s="48">
        <v>0</v>
      </c>
      <c r="D1386" s="48">
        <v>0</v>
      </c>
      <c r="E1386" s="48" t="s">
        <v>112</v>
      </c>
      <c r="F1386" s="48" t="s">
        <v>76</v>
      </c>
      <c r="G1386" s="48" t="s">
        <v>339</v>
      </c>
      <c r="H1386" s="69">
        <f t="shared" si="21"/>
        <v>43952</v>
      </c>
    </row>
    <row r="1387" spans="1:8" x14ac:dyDescent="0.25">
      <c r="A1387" s="68">
        <v>43960</v>
      </c>
      <c r="B1387" s="48">
        <v>151</v>
      </c>
      <c r="C1387" s="48">
        <v>0</v>
      </c>
      <c r="D1387" s="48">
        <v>13</v>
      </c>
      <c r="E1387" s="48" t="s">
        <v>112</v>
      </c>
      <c r="F1387" s="48" t="s">
        <v>73</v>
      </c>
      <c r="G1387" s="48" t="s">
        <v>93</v>
      </c>
      <c r="H1387" s="69">
        <f t="shared" si="21"/>
        <v>43952</v>
      </c>
    </row>
    <row r="1388" spans="1:8" x14ac:dyDescent="0.25">
      <c r="A1388" s="68">
        <v>43960</v>
      </c>
      <c r="B1388" s="48">
        <v>36</v>
      </c>
      <c r="C1388" s="48">
        <v>1</v>
      </c>
      <c r="D1388" s="48">
        <v>5</v>
      </c>
      <c r="E1388" s="48" t="s">
        <v>112</v>
      </c>
      <c r="F1388" s="48" t="s">
        <v>75</v>
      </c>
      <c r="G1388" s="48" t="s">
        <v>103</v>
      </c>
      <c r="H1388" s="69">
        <f t="shared" si="21"/>
        <v>43952</v>
      </c>
    </row>
    <row r="1389" spans="1:8" x14ac:dyDescent="0.25">
      <c r="A1389" s="68">
        <v>43960</v>
      </c>
      <c r="B1389" s="48">
        <v>51</v>
      </c>
      <c r="C1389" s="48">
        <v>0</v>
      </c>
      <c r="D1389" s="48">
        <v>0</v>
      </c>
      <c r="E1389" s="48" t="s">
        <v>112</v>
      </c>
      <c r="F1389" s="48" t="s">
        <v>74</v>
      </c>
      <c r="G1389" s="48" t="s">
        <v>95</v>
      </c>
      <c r="H1389" s="69">
        <f t="shared" si="21"/>
        <v>43952</v>
      </c>
    </row>
    <row r="1390" spans="1:8" x14ac:dyDescent="0.25">
      <c r="A1390" s="68">
        <v>43960</v>
      </c>
      <c r="B1390" s="48">
        <v>83</v>
      </c>
      <c r="C1390" s="48">
        <v>7</v>
      </c>
      <c r="D1390" s="48">
        <v>0</v>
      </c>
      <c r="E1390" s="48" t="s">
        <v>112</v>
      </c>
      <c r="F1390" s="48" t="s">
        <v>72</v>
      </c>
      <c r="G1390" s="48" t="s">
        <v>94</v>
      </c>
      <c r="H1390" s="69">
        <f t="shared" si="21"/>
        <v>43952</v>
      </c>
    </row>
    <row r="1391" spans="1:8" x14ac:dyDescent="0.25">
      <c r="A1391" s="68">
        <v>43960</v>
      </c>
      <c r="B1391" s="48">
        <v>3</v>
      </c>
      <c r="C1391" s="48">
        <v>1</v>
      </c>
      <c r="D1391" s="48">
        <v>0</v>
      </c>
      <c r="E1391" s="48" t="s">
        <v>112</v>
      </c>
      <c r="F1391" s="48" t="s">
        <v>72</v>
      </c>
      <c r="G1391" s="48" t="s">
        <v>341</v>
      </c>
      <c r="H1391" s="69">
        <f t="shared" si="21"/>
        <v>43952</v>
      </c>
    </row>
    <row r="1392" spans="1:8" x14ac:dyDescent="0.25">
      <c r="A1392" s="68">
        <v>43960</v>
      </c>
      <c r="B1392" s="48">
        <v>2</v>
      </c>
      <c r="C1392" s="48">
        <v>0</v>
      </c>
      <c r="D1392" s="48">
        <v>0</v>
      </c>
      <c r="E1392" s="48" t="s">
        <v>112</v>
      </c>
      <c r="F1392" s="48" t="s">
        <v>72</v>
      </c>
      <c r="G1392" s="48" t="s">
        <v>338</v>
      </c>
      <c r="H1392" s="69">
        <f t="shared" si="21"/>
        <v>43952</v>
      </c>
    </row>
    <row r="1393" spans="1:8" x14ac:dyDescent="0.25">
      <c r="A1393" s="68">
        <v>43960</v>
      </c>
      <c r="B1393" s="48">
        <v>10</v>
      </c>
      <c r="C1393" s="48">
        <v>1</v>
      </c>
      <c r="D1393" s="48">
        <v>0</v>
      </c>
      <c r="E1393" s="48" t="s">
        <v>112</v>
      </c>
      <c r="F1393" s="48" t="s">
        <v>72</v>
      </c>
      <c r="G1393" s="48" t="s">
        <v>343</v>
      </c>
      <c r="H1393" s="69">
        <f t="shared" si="21"/>
        <v>43952</v>
      </c>
    </row>
    <row r="1394" spans="1:8" x14ac:dyDescent="0.25">
      <c r="A1394" s="68">
        <v>43960</v>
      </c>
      <c r="B1394" s="48">
        <v>1</v>
      </c>
      <c r="C1394" s="48">
        <v>0</v>
      </c>
      <c r="D1394" s="48">
        <v>0</v>
      </c>
      <c r="E1394" s="48" t="s">
        <v>112</v>
      </c>
      <c r="F1394" s="48" t="s">
        <v>72</v>
      </c>
      <c r="G1394" s="48" t="s">
        <v>400</v>
      </c>
      <c r="H1394" s="69">
        <f t="shared" si="21"/>
        <v>43952</v>
      </c>
    </row>
    <row r="1395" spans="1:8" x14ac:dyDescent="0.25">
      <c r="A1395" s="68">
        <v>43960</v>
      </c>
      <c r="B1395" s="48">
        <v>6</v>
      </c>
      <c r="C1395" s="48">
        <v>1</v>
      </c>
      <c r="D1395" s="48">
        <v>0</v>
      </c>
      <c r="E1395" s="48" t="s">
        <v>112</v>
      </c>
      <c r="F1395" s="48" t="s">
        <v>72</v>
      </c>
      <c r="G1395" s="48" t="s">
        <v>102</v>
      </c>
      <c r="H1395" s="69">
        <f t="shared" si="21"/>
        <v>43952</v>
      </c>
    </row>
    <row r="1396" spans="1:8" x14ac:dyDescent="0.25">
      <c r="A1396" s="68">
        <v>43960</v>
      </c>
      <c r="B1396" s="48">
        <v>7</v>
      </c>
      <c r="C1396" s="48">
        <v>0</v>
      </c>
      <c r="D1396" s="48">
        <v>0</v>
      </c>
      <c r="E1396" s="48" t="s">
        <v>112</v>
      </c>
      <c r="F1396" s="48" t="s">
        <v>72</v>
      </c>
      <c r="G1396" s="48" t="s">
        <v>355</v>
      </c>
      <c r="H1396" s="69">
        <f t="shared" si="21"/>
        <v>43952</v>
      </c>
    </row>
    <row r="1397" spans="1:8" x14ac:dyDescent="0.25">
      <c r="A1397" s="68">
        <v>43960</v>
      </c>
      <c r="B1397" s="48">
        <v>22</v>
      </c>
      <c r="C1397" s="48">
        <v>1</v>
      </c>
      <c r="D1397" s="48">
        <v>0</v>
      </c>
      <c r="E1397" s="48" t="s">
        <v>112</v>
      </c>
      <c r="F1397" s="48" t="s">
        <v>72</v>
      </c>
      <c r="G1397" s="48" t="s">
        <v>96</v>
      </c>
      <c r="H1397" s="69">
        <f t="shared" si="21"/>
        <v>43952</v>
      </c>
    </row>
    <row r="1398" spans="1:8" x14ac:dyDescent="0.25">
      <c r="A1398" s="68">
        <v>43960</v>
      </c>
      <c r="B1398" s="48">
        <v>4</v>
      </c>
      <c r="C1398" s="48">
        <v>0</v>
      </c>
      <c r="D1398" s="48">
        <v>0</v>
      </c>
      <c r="E1398" s="48" t="s">
        <v>112</v>
      </c>
      <c r="F1398" s="48" t="s">
        <v>72</v>
      </c>
      <c r="G1398" s="48" t="s">
        <v>347</v>
      </c>
      <c r="H1398" s="69">
        <f t="shared" si="21"/>
        <v>43952</v>
      </c>
    </row>
    <row r="1399" spans="1:8" x14ac:dyDescent="0.25">
      <c r="A1399" s="68">
        <v>43960</v>
      </c>
      <c r="B1399" s="48">
        <v>0</v>
      </c>
      <c r="C1399" s="48">
        <v>0</v>
      </c>
      <c r="D1399" s="48">
        <v>0</v>
      </c>
      <c r="E1399" s="48" t="s">
        <v>112</v>
      </c>
      <c r="F1399" s="48" t="s">
        <v>72</v>
      </c>
      <c r="G1399" s="48" t="s">
        <v>335</v>
      </c>
      <c r="H1399" s="69">
        <f t="shared" si="21"/>
        <v>43952</v>
      </c>
    </row>
    <row r="1400" spans="1:8" x14ac:dyDescent="0.25">
      <c r="A1400" s="68">
        <v>43960</v>
      </c>
      <c r="B1400" s="48">
        <v>0</v>
      </c>
      <c r="C1400" s="48">
        <v>0</v>
      </c>
      <c r="D1400" s="48">
        <v>0</v>
      </c>
      <c r="E1400" s="48" t="s">
        <v>112</v>
      </c>
      <c r="F1400" s="48" t="s">
        <v>72</v>
      </c>
      <c r="G1400" s="48" t="s">
        <v>342</v>
      </c>
      <c r="H1400" s="69">
        <f t="shared" si="21"/>
        <v>43952</v>
      </c>
    </row>
    <row r="1401" spans="1:8" x14ac:dyDescent="0.25">
      <c r="A1401" s="68">
        <v>43960</v>
      </c>
      <c r="B1401" s="48">
        <v>2</v>
      </c>
      <c r="C1401" s="48">
        <v>0</v>
      </c>
      <c r="D1401" s="48">
        <v>0</v>
      </c>
      <c r="E1401" s="48" t="s">
        <v>112</v>
      </c>
      <c r="F1401" s="48" t="s">
        <v>72</v>
      </c>
      <c r="G1401" s="48" t="s">
        <v>353</v>
      </c>
      <c r="H1401" s="69">
        <f t="shared" si="21"/>
        <v>43952</v>
      </c>
    </row>
    <row r="1402" spans="1:8" x14ac:dyDescent="0.25">
      <c r="A1402" s="68">
        <v>43960</v>
      </c>
      <c r="B1402" s="48">
        <v>14</v>
      </c>
      <c r="C1402" s="48">
        <v>1</v>
      </c>
      <c r="D1402" s="48">
        <v>0</v>
      </c>
      <c r="E1402" s="48" t="s">
        <v>112</v>
      </c>
      <c r="F1402" s="48" t="s">
        <v>72</v>
      </c>
      <c r="G1402" s="48" t="s">
        <v>101</v>
      </c>
      <c r="H1402" s="69">
        <f t="shared" si="21"/>
        <v>43952</v>
      </c>
    </row>
    <row r="1403" spans="1:8" x14ac:dyDescent="0.25">
      <c r="A1403" s="68">
        <v>43960</v>
      </c>
      <c r="B1403" s="48">
        <v>0</v>
      </c>
      <c r="C1403" s="48">
        <v>0</v>
      </c>
      <c r="D1403" s="48">
        <v>0</v>
      </c>
      <c r="E1403" s="48" t="s">
        <v>112</v>
      </c>
      <c r="F1403" s="48" t="s">
        <v>72</v>
      </c>
      <c r="G1403" s="48" t="s">
        <v>387</v>
      </c>
      <c r="H1403" s="69">
        <f t="shared" si="21"/>
        <v>43952</v>
      </c>
    </row>
    <row r="1404" spans="1:8" x14ac:dyDescent="0.25">
      <c r="A1404" s="68">
        <v>43960</v>
      </c>
      <c r="B1404" s="48">
        <v>0</v>
      </c>
      <c r="C1404" s="48">
        <v>0</v>
      </c>
      <c r="D1404" s="48">
        <v>0</v>
      </c>
      <c r="E1404" s="48" t="s">
        <v>112</v>
      </c>
      <c r="F1404" s="48" t="s">
        <v>72</v>
      </c>
      <c r="G1404" s="48" t="s">
        <v>406</v>
      </c>
      <c r="H1404" s="69">
        <f t="shared" si="21"/>
        <v>43952</v>
      </c>
    </row>
    <row r="1405" spans="1:8" x14ac:dyDescent="0.25">
      <c r="A1405" s="68">
        <v>43960</v>
      </c>
      <c r="B1405" s="48">
        <v>4</v>
      </c>
      <c r="C1405" s="48">
        <v>0</v>
      </c>
      <c r="D1405" s="48">
        <v>0</v>
      </c>
      <c r="E1405" s="48" t="s">
        <v>112</v>
      </c>
      <c r="F1405" s="48" t="s">
        <v>72</v>
      </c>
      <c r="G1405" s="48" t="s">
        <v>344</v>
      </c>
      <c r="H1405" s="69">
        <f t="shared" si="21"/>
        <v>43952</v>
      </c>
    </row>
    <row r="1406" spans="1:8" x14ac:dyDescent="0.25">
      <c r="A1406" s="68">
        <v>43960</v>
      </c>
      <c r="B1406" s="48">
        <v>0</v>
      </c>
      <c r="C1406" s="48">
        <v>0</v>
      </c>
      <c r="D1406" s="48">
        <v>0</v>
      </c>
      <c r="E1406" s="48" t="s">
        <v>112</v>
      </c>
      <c r="F1406" s="48" t="s">
        <v>72</v>
      </c>
      <c r="G1406" s="48" t="s">
        <v>354</v>
      </c>
      <c r="H1406" s="69">
        <f t="shared" si="21"/>
        <v>43952</v>
      </c>
    </row>
    <row r="1407" spans="1:8" x14ac:dyDescent="0.25">
      <c r="A1407" s="68">
        <v>43960</v>
      </c>
      <c r="B1407" s="48">
        <v>2</v>
      </c>
      <c r="C1407" s="48">
        <v>1</v>
      </c>
      <c r="D1407" s="48">
        <v>0</v>
      </c>
      <c r="E1407" s="48" t="s">
        <v>112</v>
      </c>
      <c r="F1407" s="48" t="s">
        <v>72</v>
      </c>
      <c r="G1407" s="48" t="s">
        <v>337</v>
      </c>
      <c r="H1407" s="69">
        <f t="shared" si="21"/>
        <v>43952</v>
      </c>
    </row>
    <row r="1408" spans="1:8" x14ac:dyDescent="0.25">
      <c r="A1408" s="68">
        <v>43960</v>
      </c>
      <c r="B1408" s="48">
        <v>0</v>
      </c>
      <c r="C1408" s="48">
        <v>0</v>
      </c>
      <c r="D1408" s="48">
        <v>0</v>
      </c>
      <c r="E1408" s="48" t="s">
        <v>112</v>
      </c>
      <c r="F1408" s="48" t="s">
        <v>72</v>
      </c>
      <c r="G1408" s="48" t="s">
        <v>356</v>
      </c>
      <c r="H1408" s="69">
        <f t="shared" si="21"/>
        <v>43952</v>
      </c>
    </row>
    <row r="1409" spans="1:8" x14ac:dyDescent="0.25">
      <c r="A1409" s="68">
        <v>43960</v>
      </c>
      <c r="B1409" s="48">
        <v>0</v>
      </c>
      <c r="C1409" s="48">
        <v>0</v>
      </c>
      <c r="D1409" s="48">
        <v>0</v>
      </c>
      <c r="E1409" s="48" t="s">
        <v>112</v>
      </c>
      <c r="F1409" s="48" t="s">
        <v>72</v>
      </c>
      <c r="G1409" s="48" t="s">
        <v>429</v>
      </c>
      <c r="H1409" s="69">
        <f t="shared" si="21"/>
        <v>43952</v>
      </c>
    </row>
    <row r="1410" spans="1:8" x14ac:dyDescent="0.25">
      <c r="A1410" s="68">
        <v>43960</v>
      </c>
      <c r="B1410" s="48">
        <v>0</v>
      </c>
      <c r="C1410" s="48">
        <v>0</v>
      </c>
      <c r="D1410" s="48">
        <v>0</v>
      </c>
      <c r="E1410" s="48" t="s">
        <v>112</v>
      </c>
      <c r="F1410" s="48" t="s">
        <v>72</v>
      </c>
      <c r="G1410" s="48" t="s">
        <v>431</v>
      </c>
      <c r="H1410" s="69">
        <f t="shared" ref="H1410:H1473" si="22">DATE(YEAR(A1410),MONTH(A1410),1)</f>
        <v>43952</v>
      </c>
    </row>
    <row r="1411" spans="1:8" x14ac:dyDescent="0.25">
      <c r="A1411" s="68">
        <v>43960</v>
      </c>
      <c r="B1411" s="48">
        <v>0</v>
      </c>
      <c r="C1411" s="48">
        <v>0</v>
      </c>
      <c r="D1411" s="48">
        <v>0</v>
      </c>
      <c r="E1411" s="48" t="s">
        <v>112</v>
      </c>
      <c r="F1411" s="48" t="s">
        <v>72</v>
      </c>
      <c r="G1411" s="48" t="s">
        <v>426</v>
      </c>
      <c r="H1411" s="69">
        <f t="shared" si="22"/>
        <v>43952</v>
      </c>
    </row>
    <row r="1412" spans="1:8" x14ac:dyDescent="0.25">
      <c r="A1412" s="68">
        <v>43960</v>
      </c>
      <c r="B1412" s="48">
        <v>0</v>
      </c>
      <c r="C1412" s="48">
        <v>0</v>
      </c>
      <c r="D1412" s="48">
        <v>0</v>
      </c>
      <c r="E1412" s="48" t="s">
        <v>112</v>
      </c>
      <c r="F1412" s="48" t="s">
        <v>72</v>
      </c>
      <c r="G1412" s="48" t="s">
        <v>436</v>
      </c>
      <c r="H1412" s="69">
        <f t="shared" si="22"/>
        <v>43952</v>
      </c>
    </row>
    <row r="1413" spans="1:8" x14ac:dyDescent="0.25">
      <c r="A1413" s="68">
        <v>43960</v>
      </c>
      <c r="B1413" s="48">
        <v>4</v>
      </c>
      <c r="C1413" s="48">
        <v>0</v>
      </c>
      <c r="D1413" s="48">
        <v>0</v>
      </c>
      <c r="E1413" s="48" t="s">
        <v>112</v>
      </c>
      <c r="F1413" s="48" t="s">
        <v>72</v>
      </c>
      <c r="G1413" s="48" t="s">
        <v>357</v>
      </c>
      <c r="H1413" s="69">
        <f t="shared" si="22"/>
        <v>43952</v>
      </c>
    </row>
    <row r="1414" spans="1:8" x14ac:dyDescent="0.25">
      <c r="A1414" s="68">
        <v>43960</v>
      </c>
      <c r="B1414" s="48">
        <v>3</v>
      </c>
      <c r="C1414" s="48">
        <v>0</v>
      </c>
      <c r="D1414" s="48">
        <v>0</v>
      </c>
      <c r="E1414" s="48" t="s">
        <v>112</v>
      </c>
      <c r="F1414" s="48" t="s">
        <v>72</v>
      </c>
      <c r="G1414" s="48" t="s">
        <v>358</v>
      </c>
      <c r="H1414" s="69">
        <f t="shared" si="22"/>
        <v>43952</v>
      </c>
    </row>
    <row r="1415" spans="1:8" x14ac:dyDescent="0.25">
      <c r="A1415" s="68">
        <v>43960</v>
      </c>
      <c r="B1415" s="48">
        <v>0</v>
      </c>
      <c r="C1415" s="48">
        <v>0</v>
      </c>
      <c r="D1415" s="48">
        <v>0</v>
      </c>
      <c r="E1415" s="48" t="s">
        <v>112</v>
      </c>
      <c r="F1415" s="48" t="s">
        <v>72</v>
      </c>
      <c r="G1415" s="48" t="s">
        <v>399</v>
      </c>
      <c r="H1415" s="69">
        <f t="shared" si="22"/>
        <v>43952</v>
      </c>
    </row>
    <row r="1416" spans="1:8" x14ac:dyDescent="0.25">
      <c r="A1416" s="68">
        <v>43960</v>
      </c>
      <c r="B1416" s="48">
        <v>0</v>
      </c>
      <c r="C1416" s="48">
        <v>0</v>
      </c>
      <c r="D1416" s="48">
        <v>0</v>
      </c>
      <c r="E1416" s="48" t="s">
        <v>112</v>
      </c>
      <c r="F1416" s="48" t="s">
        <v>72</v>
      </c>
      <c r="G1416" s="48" t="s">
        <v>352</v>
      </c>
      <c r="H1416" s="69">
        <f t="shared" si="22"/>
        <v>43952</v>
      </c>
    </row>
    <row r="1417" spans="1:8" x14ac:dyDescent="0.25">
      <c r="A1417" s="68">
        <v>43960</v>
      </c>
      <c r="B1417" s="48">
        <v>0</v>
      </c>
      <c r="C1417" s="48">
        <v>0</v>
      </c>
      <c r="D1417" s="48">
        <v>0</v>
      </c>
      <c r="E1417" s="48" t="s">
        <v>112</v>
      </c>
      <c r="F1417" s="48" t="s">
        <v>72</v>
      </c>
      <c r="G1417" s="48" t="s">
        <v>359</v>
      </c>
      <c r="H1417" s="69">
        <f t="shared" si="22"/>
        <v>43952</v>
      </c>
    </row>
    <row r="1418" spans="1:8" x14ac:dyDescent="0.25">
      <c r="A1418" s="68">
        <v>43960</v>
      </c>
      <c r="B1418" s="48">
        <v>0</v>
      </c>
      <c r="C1418" s="48">
        <v>0</v>
      </c>
      <c r="D1418" s="48">
        <v>0</v>
      </c>
      <c r="E1418" s="48" t="s">
        <v>112</v>
      </c>
      <c r="F1418" s="48" t="s">
        <v>72</v>
      </c>
      <c r="G1418" s="48" t="s">
        <v>410</v>
      </c>
      <c r="H1418" s="69">
        <f t="shared" si="22"/>
        <v>43952</v>
      </c>
    </row>
    <row r="1419" spans="1:8" x14ac:dyDescent="0.25">
      <c r="A1419" s="68">
        <v>43960</v>
      </c>
      <c r="B1419" s="48">
        <v>5</v>
      </c>
      <c r="C1419" s="48">
        <v>0</v>
      </c>
      <c r="D1419" s="48">
        <v>0</v>
      </c>
      <c r="E1419" s="48" t="s">
        <v>112</v>
      </c>
      <c r="F1419" s="48" t="s">
        <v>72</v>
      </c>
      <c r="G1419" s="48" t="s">
        <v>365</v>
      </c>
      <c r="H1419" s="69">
        <f t="shared" si="22"/>
        <v>43952</v>
      </c>
    </row>
    <row r="1420" spans="1:8" x14ac:dyDescent="0.25">
      <c r="A1420" s="68">
        <v>43960</v>
      </c>
      <c r="B1420" s="48">
        <v>0</v>
      </c>
      <c r="C1420" s="48">
        <v>0</v>
      </c>
      <c r="D1420" s="48">
        <v>0</v>
      </c>
      <c r="E1420" s="48" t="s">
        <v>112</v>
      </c>
      <c r="F1420" s="48" t="s">
        <v>72</v>
      </c>
      <c r="G1420" s="48" t="s">
        <v>408</v>
      </c>
      <c r="H1420" s="69">
        <f t="shared" si="22"/>
        <v>43952</v>
      </c>
    </row>
    <row r="1421" spans="1:8" x14ac:dyDescent="0.25">
      <c r="A1421" s="68">
        <v>43960</v>
      </c>
      <c r="B1421" s="48">
        <v>0</v>
      </c>
      <c r="C1421" s="48">
        <v>0</v>
      </c>
      <c r="D1421" s="48">
        <v>0</v>
      </c>
      <c r="E1421" s="48" t="s">
        <v>112</v>
      </c>
      <c r="F1421" s="48" t="s">
        <v>72</v>
      </c>
      <c r="G1421" s="48" t="s">
        <v>411</v>
      </c>
      <c r="H1421" s="69">
        <f t="shared" si="22"/>
        <v>43952</v>
      </c>
    </row>
    <row r="1422" spans="1:8" x14ac:dyDescent="0.25">
      <c r="A1422" s="68">
        <v>43960</v>
      </c>
      <c r="B1422" s="48">
        <v>1</v>
      </c>
      <c r="C1422" s="48">
        <v>0</v>
      </c>
      <c r="D1422" s="48">
        <v>0</v>
      </c>
      <c r="E1422" s="48" t="s">
        <v>112</v>
      </c>
      <c r="F1422" s="48" t="s">
        <v>72</v>
      </c>
      <c r="G1422" s="48" t="s">
        <v>351</v>
      </c>
      <c r="H1422" s="69">
        <f t="shared" si="22"/>
        <v>43952</v>
      </c>
    </row>
    <row r="1423" spans="1:8" x14ac:dyDescent="0.25">
      <c r="A1423" s="68">
        <v>43960</v>
      </c>
      <c r="B1423" s="48">
        <v>2</v>
      </c>
      <c r="C1423" s="48">
        <v>0</v>
      </c>
      <c r="D1423" s="48">
        <v>0</v>
      </c>
      <c r="E1423" s="48" t="s">
        <v>112</v>
      </c>
      <c r="F1423" s="48" t="s">
        <v>72</v>
      </c>
      <c r="G1423" s="48" t="s">
        <v>417</v>
      </c>
      <c r="H1423" s="69">
        <f t="shared" si="22"/>
        <v>43952</v>
      </c>
    </row>
    <row r="1424" spans="1:8" x14ac:dyDescent="0.25">
      <c r="A1424" s="68">
        <v>43960</v>
      </c>
      <c r="B1424" s="48">
        <v>0</v>
      </c>
      <c r="C1424" s="48">
        <v>0</v>
      </c>
      <c r="D1424" s="48">
        <v>0</v>
      </c>
      <c r="E1424" s="48" t="s">
        <v>112</v>
      </c>
      <c r="F1424" s="48" t="s">
        <v>72</v>
      </c>
      <c r="G1424" s="48" t="s">
        <v>420</v>
      </c>
      <c r="H1424" s="69">
        <f t="shared" si="22"/>
        <v>43952</v>
      </c>
    </row>
    <row r="1425" spans="1:8" x14ac:dyDescent="0.25">
      <c r="A1425" s="68">
        <v>43960</v>
      </c>
      <c r="B1425" s="48">
        <v>1060</v>
      </c>
      <c r="C1425" s="48">
        <v>0</v>
      </c>
      <c r="D1425" s="48">
        <v>0</v>
      </c>
      <c r="E1425" s="48" t="s">
        <v>112</v>
      </c>
      <c r="F1425" s="48" t="s">
        <v>71</v>
      </c>
      <c r="G1425" s="48" t="s">
        <v>92</v>
      </c>
      <c r="H1425" s="69">
        <f t="shared" si="22"/>
        <v>43952</v>
      </c>
    </row>
    <row r="1426" spans="1:8" x14ac:dyDescent="0.25">
      <c r="A1426" s="68">
        <v>43960</v>
      </c>
      <c r="B1426" s="48">
        <v>1080</v>
      </c>
      <c r="C1426" s="48">
        <v>5</v>
      </c>
      <c r="D1426" s="48">
        <v>0</v>
      </c>
      <c r="E1426" s="48" t="s">
        <v>112</v>
      </c>
      <c r="F1426" s="48" t="s">
        <v>70</v>
      </c>
      <c r="G1426" s="48" t="s">
        <v>91</v>
      </c>
      <c r="H1426" s="69">
        <f t="shared" si="22"/>
        <v>43952</v>
      </c>
    </row>
    <row r="1427" spans="1:8" x14ac:dyDescent="0.25">
      <c r="A1427" s="68">
        <v>43961</v>
      </c>
      <c r="B1427" s="48">
        <v>7</v>
      </c>
      <c r="C1427" s="48">
        <v>0</v>
      </c>
      <c r="D1427" s="48">
        <v>0</v>
      </c>
      <c r="E1427" s="48" t="s">
        <v>112</v>
      </c>
      <c r="F1427" s="48" t="s">
        <v>76</v>
      </c>
      <c r="G1427" s="48" t="s">
        <v>339</v>
      </c>
      <c r="H1427" s="69">
        <f t="shared" si="22"/>
        <v>43952</v>
      </c>
    </row>
    <row r="1428" spans="1:8" x14ac:dyDescent="0.25">
      <c r="A1428" s="68">
        <v>43961</v>
      </c>
      <c r="B1428" s="48">
        <v>59</v>
      </c>
      <c r="C1428" s="48">
        <v>0</v>
      </c>
      <c r="D1428" s="48">
        <v>0</v>
      </c>
      <c r="E1428" s="48" t="s">
        <v>112</v>
      </c>
      <c r="F1428" s="48" t="s">
        <v>73</v>
      </c>
      <c r="G1428" s="48" t="s">
        <v>93</v>
      </c>
      <c r="H1428" s="69">
        <f t="shared" si="22"/>
        <v>43952</v>
      </c>
    </row>
    <row r="1429" spans="1:8" x14ac:dyDescent="0.25">
      <c r="A1429" s="68">
        <v>43961</v>
      </c>
      <c r="B1429" s="48">
        <v>1</v>
      </c>
      <c r="C1429" s="48">
        <v>0</v>
      </c>
      <c r="D1429" s="48">
        <v>0</v>
      </c>
      <c r="E1429" s="48" t="s">
        <v>112</v>
      </c>
      <c r="F1429" s="48" t="s">
        <v>75</v>
      </c>
      <c r="G1429" s="48" t="s">
        <v>394</v>
      </c>
      <c r="H1429" s="69">
        <f t="shared" si="22"/>
        <v>43952</v>
      </c>
    </row>
    <row r="1430" spans="1:8" x14ac:dyDescent="0.25">
      <c r="A1430" s="68">
        <v>43961</v>
      </c>
      <c r="B1430" s="48">
        <v>2</v>
      </c>
      <c r="C1430" s="48">
        <v>0</v>
      </c>
      <c r="D1430" s="48">
        <v>0</v>
      </c>
      <c r="E1430" s="48" t="s">
        <v>112</v>
      </c>
      <c r="F1430" s="48" t="s">
        <v>75</v>
      </c>
      <c r="G1430" s="48" t="s">
        <v>103</v>
      </c>
      <c r="H1430" s="69">
        <f t="shared" si="22"/>
        <v>43952</v>
      </c>
    </row>
    <row r="1431" spans="1:8" x14ac:dyDescent="0.25">
      <c r="A1431" s="68">
        <v>43961</v>
      </c>
      <c r="B1431" s="48">
        <v>1</v>
      </c>
      <c r="C1431" s="48">
        <v>0</v>
      </c>
      <c r="D1431" s="48">
        <v>0</v>
      </c>
      <c r="E1431" s="48" t="s">
        <v>112</v>
      </c>
      <c r="F1431" s="48" t="s">
        <v>75</v>
      </c>
      <c r="G1431" s="48" t="s">
        <v>398</v>
      </c>
      <c r="H1431" s="69">
        <f t="shared" si="22"/>
        <v>43952</v>
      </c>
    </row>
    <row r="1432" spans="1:8" x14ac:dyDescent="0.25">
      <c r="A1432" s="68">
        <v>43961</v>
      </c>
      <c r="B1432" s="48">
        <v>16</v>
      </c>
      <c r="C1432" s="48">
        <v>0</v>
      </c>
      <c r="D1432" s="48">
        <v>0</v>
      </c>
      <c r="E1432" s="48" t="s">
        <v>112</v>
      </c>
      <c r="F1432" s="48" t="s">
        <v>75</v>
      </c>
      <c r="G1432" s="48" t="s">
        <v>373</v>
      </c>
      <c r="H1432" s="69">
        <f t="shared" si="22"/>
        <v>43952</v>
      </c>
    </row>
    <row r="1433" spans="1:8" x14ac:dyDescent="0.25">
      <c r="A1433" s="68">
        <v>43961</v>
      </c>
      <c r="B1433" s="48">
        <v>32</v>
      </c>
      <c r="C1433" s="48">
        <v>1</v>
      </c>
      <c r="D1433" s="48">
        <v>0</v>
      </c>
      <c r="E1433" s="48" t="s">
        <v>112</v>
      </c>
      <c r="F1433" s="48" t="s">
        <v>74</v>
      </c>
      <c r="G1433" s="48" t="s">
        <v>95</v>
      </c>
      <c r="H1433" s="69">
        <f t="shared" si="22"/>
        <v>43952</v>
      </c>
    </row>
    <row r="1434" spans="1:8" x14ac:dyDescent="0.25">
      <c r="A1434" s="68">
        <v>43961</v>
      </c>
      <c r="B1434" s="48">
        <v>81</v>
      </c>
      <c r="C1434" s="48">
        <v>8</v>
      </c>
      <c r="D1434" s="48">
        <v>0</v>
      </c>
      <c r="E1434" s="48" t="s">
        <v>112</v>
      </c>
      <c r="F1434" s="48" t="s">
        <v>72</v>
      </c>
      <c r="G1434" s="48" t="s">
        <v>94</v>
      </c>
      <c r="H1434" s="69">
        <f t="shared" si="22"/>
        <v>43952</v>
      </c>
    </row>
    <row r="1435" spans="1:8" x14ac:dyDescent="0.25">
      <c r="A1435" s="68">
        <v>43961</v>
      </c>
      <c r="B1435" s="48">
        <v>3</v>
      </c>
      <c r="C1435" s="48">
        <v>0</v>
      </c>
      <c r="D1435" s="48">
        <v>0</v>
      </c>
      <c r="E1435" s="48" t="s">
        <v>112</v>
      </c>
      <c r="F1435" s="48" t="s">
        <v>72</v>
      </c>
      <c r="G1435" s="48" t="s">
        <v>341</v>
      </c>
      <c r="H1435" s="69">
        <f t="shared" si="22"/>
        <v>43952</v>
      </c>
    </row>
    <row r="1436" spans="1:8" x14ac:dyDescent="0.25">
      <c r="A1436" s="68">
        <v>43961</v>
      </c>
      <c r="B1436" s="48">
        <v>2</v>
      </c>
      <c r="C1436" s="48">
        <v>0</v>
      </c>
      <c r="D1436" s="48">
        <v>0</v>
      </c>
      <c r="E1436" s="48" t="s">
        <v>112</v>
      </c>
      <c r="F1436" s="48" t="s">
        <v>72</v>
      </c>
      <c r="G1436" s="48" t="s">
        <v>338</v>
      </c>
      <c r="H1436" s="69">
        <f t="shared" si="22"/>
        <v>43952</v>
      </c>
    </row>
    <row r="1437" spans="1:8" x14ac:dyDescent="0.25">
      <c r="A1437" s="68">
        <v>43961</v>
      </c>
      <c r="B1437" s="48">
        <v>0</v>
      </c>
      <c r="C1437" s="48">
        <v>0</v>
      </c>
      <c r="D1437" s="48">
        <v>0</v>
      </c>
      <c r="E1437" s="48" t="s">
        <v>112</v>
      </c>
      <c r="F1437" s="48" t="s">
        <v>72</v>
      </c>
      <c r="G1437" s="48" t="s">
        <v>343</v>
      </c>
      <c r="H1437" s="69">
        <f t="shared" si="22"/>
        <v>43952</v>
      </c>
    </row>
    <row r="1438" spans="1:8" x14ac:dyDescent="0.25">
      <c r="A1438" s="68">
        <v>43961</v>
      </c>
      <c r="B1438" s="48">
        <v>0</v>
      </c>
      <c r="C1438" s="48">
        <v>0</v>
      </c>
      <c r="D1438" s="48">
        <v>0</v>
      </c>
      <c r="E1438" s="48" t="s">
        <v>112</v>
      </c>
      <c r="F1438" s="48" t="s">
        <v>72</v>
      </c>
      <c r="G1438" s="48" t="s">
        <v>400</v>
      </c>
      <c r="H1438" s="69">
        <f t="shared" si="22"/>
        <v>43952</v>
      </c>
    </row>
    <row r="1439" spans="1:8" x14ac:dyDescent="0.25">
      <c r="A1439" s="68">
        <v>43961</v>
      </c>
      <c r="B1439" s="48">
        <v>7</v>
      </c>
      <c r="C1439" s="48">
        <v>1</v>
      </c>
      <c r="D1439" s="48">
        <v>0</v>
      </c>
      <c r="E1439" s="48" t="s">
        <v>112</v>
      </c>
      <c r="F1439" s="48" t="s">
        <v>72</v>
      </c>
      <c r="G1439" s="48" t="s">
        <v>102</v>
      </c>
      <c r="H1439" s="69">
        <f t="shared" si="22"/>
        <v>43952</v>
      </c>
    </row>
    <row r="1440" spans="1:8" x14ac:dyDescent="0.25">
      <c r="A1440" s="68">
        <v>43961</v>
      </c>
      <c r="B1440" s="48">
        <v>0</v>
      </c>
      <c r="C1440" s="48">
        <v>0</v>
      </c>
      <c r="D1440" s="48">
        <v>0</v>
      </c>
      <c r="E1440" s="48" t="s">
        <v>112</v>
      </c>
      <c r="F1440" s="48" t="s">
        <v>72</v>
      </c>
      <c r="G1440" s="48" t="s">
        <v>355</v>
      </c>
      <c r="H1440" s="69">
        <f t="shared" si="22"/>
        <v>43952</v>
      </c>
    </row>
    <row r="1441" spans="1:8" x14ac:dyDescent="0.25">
      <c r="A1441" s="68">
        <v>43961</v>
      </c>
      <c r="B1441" s="48">
        <v>16</v>
      </c>
      <c r="C1441" s="48">
        <v>1</v>
      </c>
      <c r="D1441" s="48">
        <v>0</v>
      </c>
      <c r="E1441" s="48" t="s">
        <v>112</v>
      </c>
      <c r="F1441" s="48" t="s">
        <v>72</v>
      </c>
      <c r="G1441" s="48" t="s">
        <v>96</v>
      </c>
      <c r="H1441" s="69">
        <f t="shared" si="22"/>
        <v>43952</v>
      </c>
    </row>
    <row r="1442" spans="1:8" x14ac:dyDescent="0.25">
      <c r="A1442" s="68">
        <v>43961</v>
      </c>
      <c r="B1442" s="48">
        <v>5</v>
      </c>
      <c r="C1442" s="48">
        <v>0</v>
      </c>
      <c r="D1442" s="48">
        <v>0</v>
      </c>
      <c r="E1442" s="48" t="s">
        <v>112</v>
      </c>
      <c r="F1442" s="48" t="s">
        <v>72</v>
      </c>
      <c r="G1442" s="48" t="s">
        <v>347</v>
      </c>
      <c r="H1442" s="69">
        <f t="shared" si="22"/>
        <v>43952</v>
      </c>
    </row>
    <row r="1443" spans="1:8" x14ac:dyDescent="0.25">
      <c r="A1443" s="68">
        <v>43961</v>
      </c>
      <c r="B1443" s="48">
        <v>0</v>
      </c>
      <c r="C1443" s="48">
        <v>0</v>
      </c>
      <c r="D1443" s="48">
        <v>0</v>
      </c>
      <c r="E1443" s="48" t="s">
        <v>112</v>
      </c>
      <c r="F1443" s="48" t="s">
        <v>72</v>
      </c>
      <c r="G1443" s="48" t="s">
        <v>335</v>
      </c>
      <c r="H1443" s="69">
        <f t="shared" si="22"/>
        <v>43952</v>
      </c>
    </row>
    <row r="1444" spans="1:8" x14ac:dyDescent="0.25">
      <c r="A1444" s="68">
        <v>43961</v>
      </c>
      <c r="B1444" s="48">
        <v>0</v>
      </c>
      <c r="C1444" s="48">
        <v>0</v>
      </c>
      <c r="D1444" s="48">
        <v>0</v>
      </c>
      <c r="E1444" s="48" t="s">
        <v>112</v>
      </c>
      <c r="F1444" s="48" t="s">
        <v>72</v>
      </c>
      <c r="G1444" s="48" t="s">
        <v>342</v>
      </c>
      <c r="H1444" s="69">
        <f t="shared" si="22"/>
        <v>43952</v>
      </c>
    </row>
    <row r="1445" spans="1:8" x14ac:dyDescent="0.25">
      <c r="A1445" s="68">
        <v>43961</v>
      </c>
      <c r="B1445" s="48">
        <v>5</v>
      </c>
      <c r="C1445" s="48">
        <v>0</v>
      </c>
      <c r="D1445" s="48">
        <v>0</v>
      </c>
      <c r="E1445" s="48" t="s">
        <v>112</v>
      </c>
      <c r="F1445" s="48" t="s">
        <v>72</v>
      </c>
      <c r="G1445" s="48" t="s">
        <v>353</v>
      </c>
      <c r="H1445" s="69">
        <f t="shared" si="22"/>
        <v>43952</v>
      </c>
    </row>
    <row r="1446" spans="1:8" x14ac:dyDescent="0.25">
      <c r="A1446" s="68">
        <v>43961</v>
      </c>
      <c r="B1446" s="48">
        <v>0</v>
      </c>
      <c r="C1446" s="48">
        <v>0</v>
      </c>
      <c r="D1446" s="48">
        <v>0</v>
      </c>
      <c r="E1446" s="48" t="s">
        <v>112</v>
      </c>
      <c r="F1446" s="48" t="s">
        <v>72</v>
      </c>
      <c r="G1446" s="48" t="s">
        <v>101</v>
      </c>
      <c r="H1446" s="69">
        <f t="shared" si="22"/>
        <v>43952</v>
      </c>
    </row>
    <row r="1447" spans="1:8" x14ac:dyDescent="0.25">
      <c r="A1447" s="68">
        <v>43961</v>
      </c>
      <c r="B1447" s="48">
        <v>2</v>
      </c>
      <c r="C1447" s="48">
        <v>0</v>
      </c>
      <c r="D1447" s="48">
        <v>0</v>
      </c>
      <c r="E1447" s="48" t="s">
        <v>112</v>
      </c>
      <c r="F1447" s="48" t="s">
        <v>72</v>
      </c>
      <c r="G1447" s="48" t="s">
        <v>387</v>
      </c>
      <c r="H1447" s="69">
        <f t="shared" si="22"/>
        <v>43952</v>
      </c>
    </row>
    <row r="1448" spans="1:8" x14ac:dyDescent="0.25">
      <c r="A1448" s="68">
        <v>43961</v>
      </c>
      <c r="B1448" s="48">
        <v>0</v>
      </c>
      <c r="C1448" s="48">
        <v>0</v>
      </c>
      <c r="D1448" s="48">
        <v>0</v>
      </c>
      <c r="E1448" s="48" t="s">
        <v>112</v>
      </c>
      <c r="F1448" s="48" t="s">
        <v>72</v>
      </c>
      <c r="G1448" s="48" t="s">
        <v>406</v>
      </c>
      <c r="H1448" s="69">
        <f t="shared" si="22"/>
        <v>43952</v>
      </c>
    </row>
    <row r="1449" spans="1:8" x14ac:dyDescent="0.25">
      <c r="A1449" s="68">
        <v>43961</v>
      </c>
      <c r="B1449" s="48">
        <v>17</v>
      </c>
      <c r="C1449" s="48">
        <v>0</v>
      </c>
      <c r="D1449" s="48">
        <v>0</v>
      </c>
      <c r="E1449" s="48" t="s">
        <v>112</v>
      </c>
      <c r="F1449" s="48" t="s">
        <v>72</v>
      </c>
      <c r="G1449" s="48" t="s">
        <v>344</v>
      </c>
      <c r="H1449" s="69">
        <f t="shared" si="22"/>
        <v>43952</v>
      </c>
    </row>
    <row r="1450" spans="1:8" x14ac:dyDescent="0.25">
      <c r="A1450" s="68">
        <v>43961</v>
      </c>
      <c r="B1450" s="48">
        <v>2</v>
      </c>
      <c r="C1450" s="48">
        <v>0</v>
      </c>
      <c r="D1450" s="48">
        <v>0</v>
      </c>
      <c r="E1450" s="48" t="s">
        <v>112</v>
      </c>
      <c r="F1450" s="48" t="s">
        <v>72</v>
      </c>
      <c r="G1450" s="48" t="s">
        <v>354</v>
      </c>
      <c r="H1450" s="69">
        <f t="shared" si="22"/>
        <v>43952</v>
      </c>
    </row>
    <row r="1451" spans="1:8" x14ac:dyDescent="0.25">
      <c r="A1451" s="68">
        <v>43961</v>
      </c>
      <c r="B1451" s="48">
        <v>0</v>
      </c>
      <c r="C1451" s="48">
        <v>0</v>
      </c>
      <c r="D1451" s="48">
        <v>0</v>
      </c>
      <c r="E1451" s="48" t="s">
        <v>112</v>
      </c>
      <c r="F1451" s="48" t="s">
        <v>72</v>
      </c>
      <c r="G1451" s="48" t="s">
        <v>337</v>
      </c>
      <c r="H1451" s="69">
        <f t="shared" si="22"/>
        <v>43952</v>
      </c>
    </row>
    <row r="1452" spans="1:8" x14ac:dyDescent="0.25">
      <c r="A1452" s="68">
        <v>43961</v>
      </c>
      <c r="B1452" s="48">
        <v>3</v>
      </c>
      <c r="C1452" s="48">
        <v>0</v>
      </c>
      <c r="D1452" s="48">
        <v>0</v>
      </c>
      <c r="E1452" s="48" t="s">
        <v>112</v>
      </c>
      <c r="F1452" s="48" t="s">
        <v>72</v>
      </c>
      <c r="G1452" s="48" t="s">
        <v>356</v>
      </c>
      <c r="H1452" s="69">
        <f t="shared" si="22"/>
        <v>43952</v>
      </c>
    </row>
    <row r="1453" spans="1:8" x14ac:dyDescent="0.25">
      <c r="A1453" s="68">
        <v>43961</v>
      </c>
      <c r="B1453" s="48">
        <v>0</v>
      </c>
      <c r="C1453" s="48">
        <v>0</v>
      </c>
      <c r="D1453" s="48">
        <v>0</v>
      </c>
      <c r="E1453" s="48" t="s">
        <v>112</v>
      </c>
      <c r="F1453" s="48" t="s">
        <v>72</v>
      </c>
      <c r="G1453" s="48" t="s">
        <v>429</v>
      </c>
      <c r="H1453" s="69">
        <f t="shared" si="22"/>
        <v>43952</v>
      </c>
    </row>
    <row r="1454" spans="1:8" x14ac:dyDescent="0.25">
      <c r="A1454" s="68">
        <v>43961</v>
      </c>
      <c r="B1454" s="48">
        <v>0</v>
      </c>
      <c r="C1454" s="48">
        <v>0</v>
      </c>
      <c r="D1454" s="48">
        <v>0</v>
      </c>
      <c r="E1454" s="48" t="s">
        <v>112</v>
      </c>
      <c r="F1454" s="48" t="s">
        <v>72</v>
      </c>
      <c r="G1454" s="48" t="s">
        <v>431</v>
      </c>
      <c r="H1454" s="69">
        <f t="shared" si="22"/>
        <v>43952</v>
      </c>
    </row>
    <row r="1455" spans="1:8" x14ac:dyDescent="0.25">
      <c r="A1455" s="68">
        <v>43961</v>
      </c>
      <c r="B1455" s="48">
        <v>0</v>
      </c>
      <c r="C1455" s="48">
        <v>0</v>
      </c>
      <c r="D1455" s="48">
        <v>0</v>
      </c>
      <c r="E1455" s="48" t="s">
        <v>112</v>
      </c>
      <c r="F1455" s="48" t="s">
        <v>72</v>
      </c>
      <c r="G1455" s="48" t="s">
        <v>426</v>
      </c>
      <c r="H1455" s="69">
        <f t="shared" si="22"/>
        <v>43952</v>
      </c>
    </row>
    <row r="1456" spans="1:8" x14ac:dyDescent="0.25">
      <c r="A1456" s="68">
        <v>43961</v>
      </c>
      <c r="B1456" s="48">
        <v>0</v>
      </c>
      <c r="C1456" s="48">
        <v>0</v>
      </c>
      <c r="D1456" s="48">
        <v>0</v>
      </c>
      <c r="E1456" s="48" t="s">
        <v>112</v>
      </c>
      <c r="F1456" s="48" t="s">
        <v>72</v>
      </c>
      <c r="G1456" s="48" t="s">
        <v>436</v>
      </c>
      <c r="H1456" s="69">
        <f t="shared" si="22"/>
        <v>43952</v>
      </c>
    </row>
    <row r="1457" spans="1:8" x14ac:dyDescent="0.25">
      <c r="A1457" s="68">
        <v>43961</v>
      </c>
      <c r="B1457" s="48">
        <v>5</v>
      </c>
      <c r="C1457" s="48">
        <v>1</v>
      </c>
      <c r="D1457" s="48">
        <v>0</v>
      </c>
      <c r="E1457" s="48" t="s">
        <v>112</v>
      </c>
      <c r="F1457" s="48" t="s">
        <v>72</v>
      </c>
      <c r="G1457" s="48" t="s">
        <v>357</v>
      </c>
      <c r="H1457" s="69">
        <f t="shared" si="22"/>
        <v>43952</v>
      </c>
    </row>
    <row r="1458" spans="1:8" x14ac:dyDescent="0.25">
      <c r="A1458" s="68">
        <v>43961</v>
      </c>
      <c r="B1458" s="48">
        <v>0</v>
      </c>
      <c r="C1458" s="48">
        <v>0</v>
      </c>
      <c r="D1458" s="48">
        <v>0</v>
      </c>
      <c r="E1458" s="48" t="s">
        <v>112</v>
      </c>
      <c r="F1458" s="48" t="s">
        <v>72</v>
      </c>
      <c r="G1458" s="48" t="s">
        <v>358</v>
      </c>
      <c r="H1458" s="69">
        <f t="shared" si="22"/>
        <v>43952</v>
      </c>
    </row>
    <row r="1459" spans="1:8" x14ac:dyDescent="0.25">
      <c r="A1459" s="68">
        <v>43961</v>
      </c>
      <c r="B1459" s="48">
        <v>0</v>
      </c>
      <c r="C1459" s="48">
        <v>0</v>
      </c>
      <c r="D1459" s="48">
        <v>0</v>
      </c>
      <c r="E1459" s="48" t="s">
        <v>112</v>
      </c>
      <c r="F1459" s="48" t="s">
        <v>72</v>
      </c>
      <c r="G1459" s="48" t="s">
        <v>399</v>
      </c>
      <c r="H1459" s="69">
        <f t="shared" si="22"/>
        <v>43952</v>
      </c>
    </row>
    <row r="1460" spans="1:8" x14ac:dyDescent="0.25">
      <c r="A1460" s="68">
        <v>43961</v>
      </c>
      <c r="B1460" s="48">
        <v>7</v>
      </c>
      <c r="C1460" s="48">
        <v>0</v>
      </c>
      <c r="D1460" s="48">
        <v>0</v>
      </c>
      <c r="E1460" s="48" t="s">
        <v>112</v>
      </c>
      <c r="F1460" s="48" t="s">
        <v>72</v>
      </c>
      <c r="G1460" s="48" t="s">
        <v>352</v>
      </c>
      <c r="H1460" s="69">
        <f t="shared" si="22"/>
        <v>43952</v>
      </c>
    </row>
    <row r="1461" spans="1:8" x14ac:dyDescent="0.25">
      <c r="A1461" s="68">
        <v>43961</v>
      </c>
      <c r="B1461" s="48">
        <v>0</v>
      </c>
      <c r="C1461" s="48">
        <v>0</v>
      </c>
      <c r="D1461" s="48">
        <v>0</v>
      </c>
      <c r="E1461" s="48" t="s">
        <v>112</v>
      </c>
      <c r="F1461" s="48" t="s">
        <v>72</v>
      </c>
      <c r="G1461" s="48" t="s">
        <v>359</v>
      </c>
      <c r="H1461" s="69">
        <f t="shared" si="22"/>
        <v>43952</v>
      </c>
    </row>
    <row r="1462" spans="1:8" x14ac:dyDescent="0.25">
      <c r="A1462" s="68">
        <v>43961</v>
      </c>
      <c r="B1462" s="48">
        <v>0</v>
      </c>
      <c r="C1462" s="48">
        <v>0</v>
      </c>
      <c r="D1462" s="48">
        <v>0</v>
      </c>
      <c r="E1462" s="48" t="s">
        <v>112</v>
      </c>
      <c r="F1462" s="48" t="s">
        <v>72</v>
      </c>
      <c r="G1462" s="48" t="s">
        <v>410</v>
      </c>
      <c r="H1462" s="69">
        <f t="shared" si="22"/>
        <v>43952</v>
      </c>
    </row>
    <row r="1463" spans="1:8" x14ac:dyDescent="0.25">
      <c r="A1463" s="68">
        <v>43961</v>
      </c>
      <c r="B1463" s="48">
        <v>2</v>
      </c>
      <c r="C1463" s="48">
        <v>0</v>
      </c>
      <c r="D1463" s="48">
        <v>0</v>
      </c>
      <c r="E1463" s="48" t="s">
        <v>112</v>
      </c>
      <c r="F1463" s="48" t="s">
        <v>72</v>
      </c>
      <c r="G1463" s="48" t="s">
        <v>365</v>
      </c>
      <c r="H1463" s="69">
        <f t="shared" si="22"/>
        <v>43952</v>
      </c>
    </row>
    <row r="1464" spans="1:8" x14ac:dyDescent="0.25">
      <c r="A1464" s="68">
        <v>43961</v>
      </c>
      <c r="B1464" s="48">
        <v>0</v>
      </c>
      <c r="C1464" s="48">
        <v>0</v>
      </c>
      <c r="D1464" s="48">
        <v>0</v>
      </c>
      <c r="E1464" s="48" t="s">
        <v>112</v>
      </c>
      <c r="F1464" s="48" t="s">
        <v>72</v>
      </c>
      <c r="G1464" s="48" t="s">
        <v>408</v>
      </c>
      <c r="H1464" s="69">
        <f t="shared" si="22"/>
        <v>43952</v>
      </c>
    </row>
    <row r="1465" spans="1:8" x14ac:dyDescent="0.25">
      <c r="A1465" s="68">
        <v>43961</v>
      </c>
      <c r="B1465" s="48">
        <v>0</v>
      </c>
      <c r="C1465" s="48">
        <v>0</v>
      </c>
      <c r="D1465" s="48">
        <v>0</v>
      </c>
      <c r="E1465" s="48" t="s">
        <v>112</v>
      </c>
      <c r="F1465" s="48" t="s">
        <v>72</v>
      </c>
      <c r="G1465" s="48" t="s">
        <v>411</v>
      </c>
      <c r="H1465" s="69">
        <f t="shared" si="22"/>
        <v>43952</v>
      </c>
    </row>
    <row r="1466" spans="1:8" x14ac:dyDescent="0.25">
      <c r="A1466" s="68">
        <v>43961</v>
      </c>
      <c r="B1466" s="48">
        <v>4</v>
      </c>
      <c r="C1466" s="48">
        <v>0</v>
      </c>
      <c r="D1466" s="48">
        <v>0</v>
      </c>
      <c r="E1466" s="48" t="s">
        <v>112</v>
      </c>
      <c r="F1466" s="48" t="s">
        <v>72</v>
      </c>
      <c r="G1466" s="48" t="s">
        <v>351</v>
      </c>
      <c r="H1466" s="69">
        <f t="shared" si="22"/>
        <v>43952</v>
      </c>
    </row>
    <row r="1467" spans="1:8" x14ac:dyDescent="0.25">
      <c r="A1467" s="68">
        <v>43961</v>
      </c>
      <c r="B1467" s="48">
        <v>0</v>
      </c>
      <c r="C1467" s="48">
        <v>0</v>
      </c>
      <c r="D1467" s="48">
        <v>0</v>
      </c>
      <c r="E1467" s="48" t="s">
        <v>112</v>
      </c>
      <c r="F1467" s="48" t="s">
        <v>72</v>
      </c>
      <c r="G1467" s="48" t="s">
        <v>417</v>
      </c>
      <c r="H1467" s="69">
        <f t="shared" si="22"/>
        <v>43952</v>
      </c>
    </row>
    <row r="1468" spans="1:8" x14ac:dyDescent="0.25">
      <c r="A1468" s="68">
        <v>43961</v>
      </c>
      <c r="B1468" s="48">
        <v>0</v>
      </c>
      <c r="C1468" s="48">
        <v>0</v>
      </c>
      <c r="D1468" s="48">
        <v>0</v>
      </c>
      <c r="E1468" s="48" t="s">
        <v>112</v>
      </c>
      <c r="F1468" s="48" t="s">
        <v>72</v>
      </c>
      <c r="G1468" s="48" t="s">
        <v>420</v>
      </c>
      <c r="H1468" s="69">
        <f t="shared" si="22"/>
        <v>43952</v>
      </c>
    </row>
    <row r="1469" spans="1:8" x14ac:dyDescent="0.25">
      <c r="A1469" s="68">
        <v>43961</v>
      </c>
      <c r="B1469" s="48">
        <v>475</v>
      </c>
      <c r="C1469" s="48">
        <v>3</v>
      </c>
      <c r="D1469" s="48">
        <v>109</v>
      </c>
      <c r="E1469" s="48" t="s">
        <v>112</v>
      </c>
      <c r="F1469" s="48" t="s">
        <v>71</v>
      </c>
      <c r="G1469" s="48" t="s">
        <v>92</v>
      </c>
      <c r="H1469" s="69">
        <f t="shared" si="22"/>
        <v>43952</v>
      </c>
    </row>
    <row r="1470" spans="1:8" x14ac:dyDescent="0.25">
      <c r="A1470" s="68">
        <v>43961</v>
      </c>
      <c r="B1470" s="48">
        <v>709</v>
      </c>
      <c r="C1470" s="48">
        <v>8</v>
      </c>
      <c r="D1470" s="48">
        <v>29</v>
      </c>
      <c r="E1470" s="48" t="s">
        <v>112</v>
      </c>
      <c r="F1470" s="48" t="s">
        <v>70</v>
      </c>
      <c r="G1470" s="48" t="s">
        <v>91</v>
      </c>
      <c r="H1470" s="69">
        <f t="shared" si="22"/>
        <v>43952</v>
      </c>
    </row>
    <row r="1471" spans="1:8" x14ac:dyDescent="0.25">
      <c r="A1471" s="68">
        <v>43962</v>
      </c>
      <c r="B1471" s="48">
        <v>0</v>
      </c>
      <c r="C1471" s="48">
        <v>0</v>
      </c>
      <c r="D1471" s="48">
        <v>0</v>
      </c>
      <c r="E1471" s="48" t="s">
        <v>112</v>
      </c>
      <c r="F1471" s="48" t="s">
        <v>76</v>
      </c>
      <c r="G1471" s="48" t="s">
        <v>339</v>
      </c>
      <c r="H1471" s="69">
        <f t="shared" si="22"/>
        <v>43952</v>
      </c>
    </row>
    <row r="1472" spans="1:8" x14ac:dyDescent="0.25">
      <c r="A1472" s="68">
        <v>43962</v>
      </c>
      <c r="B1472" s="48">
        <v>44</v>
      </c>
      <c r="C1472" s="48">
        <v>1</v>
      </c>
      <c r="D1472" s="48">
        <v>0</v>
      </c>
      <c r="E1472" s="48" t="s">
        <v>112</v>
      </c>
      <c r="F1472" s="48" t="s">
        <v>73</v>
      </c>
      <c r="G1472" s="48" t="s">
        <v>93</v>
      </c>
      <c r="H1472" s="69">
        <f t="shared" si="22"/>
        <v>43952</v>
      </c>
    </row>
    <row r="1473" spans="1:8" x14ac:dyDescent="0.25">
      <c r="A1473" s="68">
        <v>43962</v>
      </c>
      <c r="B1473" s="48">
        <v>14</v>
      </c>
      <c r="C1473" s="48">
        <v>0</v>
      </c>
      <c r="D1473" s="48">
        <v>16</v>
      </c>
      <c r="E1473" s="48" t="s">
        <v>112</v>
      </c>
      <c r="F1473" s="48" t="s">
        <v>75</v>
      </c>
      <c r="G1473" s="48" t="s">
        <v>103</v>
      </c>
      <c r="H1473" s="69">
        <f t="shared" si="22"/>
        <v>43952</v>
      </c>
    </row>
    <row r="1474" spans="1:8" x14ac:dyDescent="0.25">
      <c r="A1474" s="68">
        <v>43962</v>
      </c>
      <c r="B1474" s="48">
        <v>1</v>
      </c>
      <c r="C1474" s="48">
        <v>0</v>
      </c>
      <c r="D1474" s="48">
        <v>0</v>
      </c>
      <c r="E1474" s="48" t="s">
        <v>112</v>
      </c>
      <c r="F1474" s="48" t="s">
        <v>75</v>
      </c>
      <c r="G1474" s="48" t="s">
        <v>398</v>
      </c>
      <c r="H1474" s="69">
        <f t="shared" ref="H1474:H1537" si="23">DATE(YEAR(A1474),MONTH(A1474),1)</f>
        <v>43952</v>
      </c>
    </row>
    <row r="1475" spans="1:8" x14ac:dyDescent="0.25">
      <c r="A1475" s="68">
        <v>43962</v>
      </c>
      <c r="B1475" s="48">
        <v>38</v>
      </c>
      <c r="C1475" s="48">
        <v>0</v>
      </c>
      <c r="D1475" s="48">
        <v>0</v>
      </c>
      <c r="E1475" s="48" t="s">
        <v>112</v>
      </c>
      <c r="F1475" s="48" t="s">
        <v>74</v>
      </c>
      <c r="G1475" s="48" t="s">
        <v>95</v>
      </c>
      <c r="H1475" s="69">
        <f t="shared" si="23"/>
        <v>43952</v>
      </c>
    </row>
    <row r="1476" spans="1:8" x14ac:dyDescent="0.25">
      <c r="A1476" s="68">
        <v>43962</v>
      </c>
      <c r="B1476" s="48">
        <v>29</v>
      </c>
      <c r="C1476" s="48">
        <v>6</v>
      </c>
      <c r="D1476" s="48">
        <v>0</v>
      </c>
      <c r="E1476" s="48" t="s">
        <v>112</v>
      </c>
      <c r="F1476" s="48" t="s">
        <v>72</v>
      </c>
      <c r="G1476" s="48" t="s">
        <v>94</v>
      </c>
      <c r="H1476" s="69">
        <f t="shared" si="23"/>
        <v>43952</v>
      </c>
    </row>
    <row r="1477" spans="1:8" x14ac:dyDescent="0.25">
      <c r="A1477" s="68">
        <v>43962</v>
      </c>
      <c r="B1477" s="48">
        <v>3</v>
      </c>
      <c r="C1477" s="48">
        <v>0</v>
      </c>
      <c r="D1477" s="48">
        <v>0</v>
      </c>
      <c r="E1477" s="48" t="s">
        <v>112</v>
      </c>
      <c r="F1477" s="48" t="s">
        <v>72</v>
      </c>
      <c r="G1477" s="48" t="s">
        <v>341</v>
      </c>
      <c r="H1477" s="69">
        <f t="shared" si="23"/>
        <v>43952</v>
      </c>
    </row>
    <row r="1478" spans="1:8" x14ac:dyDescent="0.25">
      <c r="A1478" s="68">
        <v>43962</v>
      </c>
      <c r="B1478" s="48">
        <v>0</v>
      </c>
      <c r="C1478" s="48">
        <v>1</v>
      </c>
      <c r="D1478" s="48">
        <v>0</v>
      </c>
      <c r="E1478" s="48" t="s">
        <v>112</v>
      </c>
      <c r="F1478" s="48" t="s">
        <v>72</v>
      </c>
      <c r="G1478" s="48" t="s">
        <v>338</v>
      </c>
      <c r="H1478" s="69">
        <f t="shared" si="23"/>
        <v>43952</v>
      </c>
    </row>
    <row r="1479" spans="1:8" x14ac:dyDescent="0.25">
      <c r="A1479" s="68">
        <v>43962</v>
      </c>
      <c r="B1479" s="48">
        <v>6</v>
      </c>
      <c r="C1479" s="48">
        <v>0</v>
      </c>
      <c r="D1479" s="48">
        <v>0</v>
      </c>
      <c r="E1479" s="48" t="s">
        <v>112</v>
      </c>
      <c r="F1479" s="48" t="s">
        <v>72</v>
      </c>
      <c r="G1479" s="48" t="s">
        <v>343</v>
      </c>
      <c r="H1479" s="69">
        <f t="shared" si="23"/>
        <v>43952</v>
      </c>
    </row>
    <row r="1480" spans="1:8" x14ac:dyDescent="0.25">
      <c r="A1480" s="68">
        <v>43962</v>
      </c>
      <c r="B1480" s="48">
        <v>0</v>
      </c>
      <c r="C1480" s="48">
        <v>0</v>
      </c>
      <c r="D1480" s="48">
        <v>0</v>
      </c>
      <c r="E1480" s="48" t="s">
        <v>112</v>
      </c>
      <c r="F1480" s="48" t="s">
        <v>72</v>
      </c>
      <c r="G1480" s="48" t="s">
        <v>400</v>
      </c>
      <c r="H1480" s="69">
        <f t="shared" si="23"/>
        <v>43952</v>
      </c>
    </row>
    <row r="1481" spans="1:8" x14ac:dyDescent="0.25">
      <c r="A1481" s="68">
        <v>43962</v>
      </c>
      <c r="B1481" s="48">
        <v>44</v>
      </c>
      <c r="C1481" s="48">
        <v>3</v>
      </c>
      <c r="D1481" s="48">
        <v>0</v>
      </c>
      <c r="E1481" s="48" t="s">
        <v>112</v>
      </c>
      <c r="F1481" s="48" t="s">
        <v>72</v>
      </c>
      <c r="G1481" s="48" t="s">
        <v>102</v>
      </c>
      <c r="H1481" s="69">
        <f t="shared" si="23"/>
        <v>43952</v>
      </c>
    </row>
    <row r="1482" spans="1:8" x14ac:dyDescent="0.25">
      <c r="A1482" s="68">
        <v>43962</v>
      </c>
      <c r="B1482" s="48">
        <v>3</v>
      </c>
      <c r="C1482" s="48">
        <v>0</v>
      </c>
      <c r="D1482" s="48">
        <v>0</v>
      </c>
      <c r="E1482" s="48" t="s">
        <v>112</v>
      </c>
      <c r="F1482" s="48" t="s">
        <v>72</v>
      </c>
      <c r="G1482" s="48" t="s">
        <v>355</v>
      </c>
      <c r="H1482" s="69">
        <f t="shared" si="23"/>
        <v>43952</v>
      </c>
    </row>
    <row r="1483" spans="1:8" x14ac:dyDescent="0.25">
      <c r="A1483" s="68">
        <v>43962</v>
      </c>
      <c r="B1483" s="48">
        <v>15</v>
      </c>
      <c r="C1483" s="48">
        <v>1</v>
      </c>
      <c r="D1483" s="48">
        <v>0</v>
      </c>
      <c r="E1483" s="48" t="s">
        <v>112</v>
      </c>
      <c r="F1483" s="48" t="s">
        <v>72</v>
      </c>
      <c r="G1483" s="48" t="s">
        <v>96</v>
      </c>
      <c r="H1483" s="69">
        <f t="shared" si="23"/>
        <v>43952</v>
      </c>
    </row>
    <row r="1484" spans="1:8" x14ac:dyDescent="0.25">
      <c r="A1484" s="68">
        <v>43962</v>
      </c>
      <c r="B1484" s="48">
        <v>3</v>
      </c>
      <c r="C1484" s="48">
        <v>0</v>
      </c>
      <c r="D1484" s="48">
        <v>0</v>
      </c>
      <c r="E1484" s="48" t="s">
        <v>112</v>
      </c>
      <c r="F1484" s="48" t="s">
        <v>72</v>
      </c>
      <c r="G1484" s="48" t="s">
        <v>347</v>
      </c>
      <c r="H1484" s="69">
        <f t="shared" si="23"/>
        <v>43952</v>
      </c>
    </row>
    <row r="1485" spans="1:8" x14ac:dyDescent="0.25">
      <c r="A1485" s="68">
        <v>43962</v>
      </c>
      <c r="B1485" s="48">
        <v>6</v>
      </c>
      <c r="C1485" s="48">
        <v>0</v>
      </c>
      <c r="D1485" s="48">
        <v>0</v>
      </c>
      <c r="E1485" s="48" t="s">
        <v>112</v>
      </c>
      <c r="F1485" s="48" t="s">
        <v>72</v>
      </c>
      <c r="G1485" s="48" t="s">
        <v>335</v>
      </c>
      <c r="H1485" s="69">
        <f t="shared" si="23"/>
        <v>43952</v>
      </c>
    </row>
    <row r="1486" spans="1:8" x14ac:dyDescent="0.25">
      <c r="A1486" s="68">
        <v>43962</v>
      </c>
      <c r="B1486" s="48">
        <v>1</v>
      </c>
      <c r="C1486" s="48">
        <v>1</v>
      </c>
      <c r="D1486" s="48">
        <v>0</v>
      </c>
      <c r="E1486" s="48" t="s">
        <v>112</v>
      </c>
      <c r="F1486" s="48" t="s">
        <v>72</v>
      </c>
      <c r="G1486" s="48" t="s">
        <v>342</v>
      </c>
      <c r="H1486" s="69">
        <f t="shared" si="23"/>
        <v>43952</v>
      </c>
    </row>
    <row r="1487" spans="1:8" x14ac:dyDescent="0.25">
      <c r="A1487" s="68">
        <v>43962</v>
      </c>
      <c r="B1487" s="48">
        <v>5</v>
      </c>
      <c r="C1487" s="48">
        <v>0</v>
      </c>
      <c r="D1487" s="48">
        <v>0</v>
      </c>
      <c r="E1487" s="48" t="s">
        <v>112</v>
      </c>
      <c r="F1487" s="48" t="s">
        <v>72</v>
      </c>
      <c r="G1487" s="48" t="s">
        <v>353</v>
      </c>
      <c r="H1487" s="69">
        <f t="shared" si="23"/>
        <v>43952</v>
      </c>
    </row>
    <row r="1488" spans="1:8" x14ac:dyDescent="0.25">
      <c r="A1488" s="68">
        <v>43962</v>
      </c>
      <c r="B1488" s="48">
        <v>14</v>
      </c>
      <c r="C1488" s="48">
        <v>0</v>
      </c>
      <c r="D1488" s="48">
        <v>0</v>
      </c>
      <c r="E1488" s="48" t="s">
        <v>112</v>
      </c>
      <c r="F1488" s="48" t="s">
        <v>72</v>
      </c>
      <c r="G1488" s="48" t="s">
        <v>101</v>
      </c>
      <c r="H1488" s="69">
        <f t="shared" si="23"/>
        <v>43952</v>
      </c>
    </row>
    <row r="1489" spans="1:8" x14ac:dyDescent="0.25">
      <c r="A1489" s="68">
        <v>43962</v>
      </c>
      <c r="B1489" s="48">
        <v>0</v>
      </c>
      <c r="C1489" s="48">
        <v>0</v>
      </c>
      <c r="D1489" s="48">
        <v>0</v>
      </c>
      <c r="E1489" s="48" t="s">
        <v>112</v>
      </c>
      <c r="F1489" s="48" t="s">
        <v>72</v>
      </c>
      <c r="G1489" s="48" t="s">
        <v>387</v>
      </c>
      <c r="H1489" s="69">
        <f t="shared" si="23"/>
        <v>43952</v>
      </c>
    </row>
    <row r="1490" spans="1:8" x14ac:dyDescent="0.25">
      <c r="A1490" s="68">
        <v>43962</v>
      </c>
      <c r="B1490" s="48">
        <v>0</v>
      </c>
      <c r="C1490" s="48">
        <v>0</v>
      </c>
      <c r="D1490" s="48">
        <v>0</v>
      </c>
      <c r="E1490" s="48" t="s">
        <v>112</v>
      </c>
      <c r="F1490" s="48" t="s">
        <v>72</v>
      </c>
      <c r="G1490" s="48" t="s">
        <v>406</v>
      </c>
      <c r="H1490" s="69">
        <f t="shared" si="23"/>
        <v>43952</v>
      </c>
    </row>
    <row r="1491" spans="1:8" x14ac:dyDescent="0.25">
      <c r="A1491" s="68">
        <v>43962</v>
      </c>
      <c r="B1491" s="48">
        <v>2</v>
      </c>
      <c r="C1491" s="48">
        <v>0</v>
      </c>
      <c r="D1491" s="48">
        <v>0</v>
      </c>
      <c r="E1491" s="48" t="s">
        <v>112</v>
      </c>
      <c r="F1491" s="48" t="s">
        <v>72</v>
      </c>
      <c r="G1491" s="48" t="s">
        <v>344</v>
      </c>
      <c r="H1491" s="69">
        <f t="shared" si="23"/>
        <v>43952</v>
      </c>
    </row>
    <row r="1492" spans="1:8" x14ac:dyDescent="0.25">
      <c r="A1492" s="68">
        <v>43962</v>
      </c>
      <c r="B1492" s="48">
        <v>1</v>
      </c>
      <c r="C1492" s="48">
        <v>0</v>
      </c>
      <c r="D1492" s="48">
        <v>0</v>
      </c>
      <c r="E1492" s="48" t="s">
        <v>112</v>
      </c>
      <c r="F1492" s="48" t="s">
        <v>72</v>
      </c>
      <c r="G1492" s="48" t="s">
        <v>354</v>
      </c>
      <c r="H1492" s="69">
        <f t="shared" si="23"/>
        <v>43952</v>
      </c>
    </row>
    <row r="1493" spans="1:8" x14ac:dyDescent="0.25">
      <c r="A1493" s="68">
        <v>43962</v>
      </c>
      <c r="B1493" s="48">
        <v>1</v>
      </c>
      <c r="C1493" s="48">
        <v>0</v>
      </c>
      <c r="D1493" s="48">
        <v>0</v>
      </c>
      <c r="E1493" s="48" t="s">
        <v>112</v>
      </c>
      <c r="F1493" s="48" t="s">
        <v>72</v>
      </c>
      <c r="G1493" s="48" t="s">
        <v>337</v>
      </c>
      <c r="H1493" s="69">
        <f t="shared" si="23"/>
        <v>43952</v>
      </c>
    </row>
    <row r="1494" spans="1:8" x14ac:dyDescent="0.25">
      <c r="A1494" s="68">
        <v>43962</v>
      </c>
      <c r="B1494" s="48">
        <v>0</v>
      </c>
      <c r="C1494" s="48">
        <v>0</v>
      </c>
      <c r="D1494" s="48">
        <v>0</v>
      </c>
      <c r="E1494" s="48" t="s">
        <v>112</v>
      </c>
      <c r="F1494" s="48" t="s">
        <v>72</v>
      </c>
      <c r="G1494" s="48" t="s">
        <v>356</v>
      </c>
      <c r="H1494" s="69">
        <f t="shared" si="23"/>
        <v>43952</v>
      </c>
    </row>
    <row r="1495" spans="1:8" x14ac:dyDescent="0.25">
      <c r="A1495" s="68">
        <v>43962</v>
      </c>
      <c r="B1495" s="48">
        <v>0</v>
      </c>
      <c r="C1495" s="48">
        <v>0</v>
      </c>
      <c r="D1495" s="48">
        <v>0</v>
      </c>
      <c r="E1495" s="48" t="s">
        <v>112</v>
      </c>
      <c r="F1495" s="48" t="s">
        <v>72</v>
      </c>
      <c r="G1495" s="48" t="s">
        <v>429</v>
      </c>
      <c r="H1495" s="69">
        <f t="shared" si="23"/>
        <v>43952</v>
      </c>
    </row>
    <row r="1496" spans="1:8" x14ac:dyDescent="0.25">
      <c r="A1496" s="68">
        <v>43962</v>
      </c>
      <c r="B1496" s="48">
        <v>0</v>
      </c>
      <c r="C1496" s="48">
        <v>0</v>
      </c>
      <c r="D1496" s="48">
        <v>0</v>
      </c>
      <c r="E1496" s="48" t="s">
        <v>112</v>
      </c>
      <c r="F1496" s="48" t="s">
        <v>72</v>
      </c>
      <c r="G1496" s="48" t="s">
        <v>431</v>
      </c>
      <c r="H1496" s="69">
        <f t="shared" si="23"/>
        <v>43952</v>
      </c>
    </row>
    <row r="1497" spans="1:8" x14ac:dyDescent="0.25">
      <c r="A1497" s="68">
        <v>43962</v>
      </c>
      <c r="B1497" s="48">
        <v>0</v>
      </c>
      <c r="C1497" s="48">
        <v>0</v>
      </c>
      <c r="D1497" s="48">
        <v>0</v>
      </c>
      <c r="E1497" s="48" t="s">
        <v>112</v>
      </c>
      <c r="F1497" s="48" t="s">
        <v>72</v>
      </c>
      <c r="G1497" s="48" t="s">
        <v>426</v>
      </c>
      <c r="H1497" s="69">
        <f t="shared" si="23"/>
        <v>43952</v>
      </c>
    </row>
    <row r="1498" spans="1:8" x14ac:dyDescent="0.25">
      <c r="A1498" s="68">
        <v>43962</v>
      </c>
      <c r="B1498" s="48">
        <v>0</v>
      </c>
      <c r="C1498" s="48">
        <v>0</v>
      </c>
      <c r="D1498" s="48">
        <v>0</v>
      </c>
      <c r="E1498" s="48" t="s">
        <v>112</v>
      </c>
      <c r="F1498" s="48" t="s">
        <v>72</v>
      </c>
      <c r="G1498" s="48" t="s">
        <v>436</v>
      </c>
      <c r="H1498" s="69">
        <f t="shared" si="23"/>
        <v>43952</v>
      </c>
    </row>
    <row r="1499" spans="1:8" x14ac:dyDescent="0.25">
      <c r="A1499" s="68">
        <v>43962</v>
      </c>
      <c r="B1499" s="48">
        <v>1</v>
      </c>
      <c r="C1499" s="48">
        <v>0</v>
      </c>
      <c r="D1499" s="48">
        <v>0</v>
      </c>
      <c r="E1499" s="48" t="s">
        <v>112</v>
      </c>
      <c r="F1499" s="48" t="s">
        <v>72</v>
      </c>
      <c r="G1499" s="48" t="s">
        <v>357</v>
      </c>
      <c r="H1499" s="69">
        <f t="shared" si="23"/>
        <v>43952</v>
      </c>
    </row>
    <row r="1500" spans="1:8" x14ac:dyDescent="0.25">
      <c r="A1500" s="68">
        <v>43962</v>
      </c>
      <c r="B1500" s="48">
        <v>0</v>
      </c>
      <c r="C1500" s="48">
        <v>0</v>
      </c>
      <c r="D1500" s="48">
        <v>0</v>
      </c>
      <c r="E1500" s="48" t="s">
        <v>112</v>
      </c>
      <c r="F1500" s="48" t="s">
        <v>72</v>
      </c>
      <c r="G1500" s="48" t="s">
        <v>358</v>
      </c>
      <c r="H1500" s="69">
        <f t="shared" si="23"/>
        <v>43952</v>
      </c>
    </row>
    <row r="1501" spans="1:8" x14ac:dyDescent="0.25">
      <c r="A1501" s="68">
        <v>43962</v>
      </c>
      <c r="B1501" s="48">
        <v>0</v>
      </c>
      <c r="C1501" s="48">
        <v>0</v>
      </c>
      <c r="D1501" s="48">
        <v>0</v>
      </c>
      <c r="E1501" s="48" t="s">
        <v>112</v>
      </c>
      <c r="F1501" s="48" t="s">
        <v>72</v>
      </c>
      <c r="G1501" s="48" t="s">
        <v>399</v>
      </c>
      <c r="H1501" s="69">
        <f t="shared" si="23"/>
        <v>43952</v>
      </c>
    </row>
    <row r="1502" spans="1:8" x14ac:dyDescent="0.25">
      <c r="A1502" s="68">
        <v>43962</v>
      </c>
      <c r="B1502" s="48">
        <v>1</v>
      </c>
      <c r="C1502" s="48">
        <v>0</v>
      </c>
      <c r="D1502" s="48">
        <v>0</v>
      </c>
      <c r="E1502" s="48" t="s">
        <v>112</v>
      </c>
      <c r="F1502" s="48" t="s">
        <v>72</v>
      </c>
      <c r="G1502" s="48" t="s">
        <v>352</v>
      </c>
      <c r="H1502" s="69">
        <f t="shared" si="23"/>
        <v>43952</v>
      </c>
    </row>
    <row r="1503" spans="1:8" x14ac:dyDescent="0.25">
      <c r="A1503" s="68">
        <v>43962</v>
      </c>
      <c r="B1503" s="48">
        <v>0</v>
      </c>
      <c r="C1503" s="48">
        <v>0</v>
      </c>
      <c r="D1503" s="48">
        <v>0</v>
      </c>
      <c r="E1503" s="48" t="s">
        <v>112</v>
      </c>
      <c r="F1503" s="48" t="s">
        <v>72</v>
      </c>
      <c r="G1503" s="48" t="s">
        <v>359</v>
      </c>
      <c r="H1503" s="69">
        <f t="shared" si="23"/>
        <v>43952</v>
      </c>
    </row>
    <row r="1504" spans="1:8" x14ac:dyDescent="0.25">
      <c r="A1504" s="68">
        <v>43962</v>
      </c>
      <c r="B1504" s="48">
        <v>0</v>
      </c>
      <c r="C1504" s="48">
        <v>0</v>
      </c>
      <c r="D1504" s="48">
        <v>0</v>
      </c>
      <c r="E1504" s="48" t="s">
        <v>112</v>
      </c>
      <c r="F1504" s="48" t="s">
        <v>72</v>
      </c>
      <c r="G1504" s="48" t="s">
        <v>410</v>
      </c>
      <c r="H1504" s="69">
        <f t="shared" si="23"/>
        <v>43952</v>
      </c>
    </row>
    <row r="1505" spans="1:8" x14ac:dyDescent="0.25">
      <c r="A1505" s="68">
        <v>43962</v>
      </c>
      <c r="B1505" s="48">
        <v>2</v>
      </c>
      <c r="C1505" s="48">
        <v>0</v>
      </c>
      <c r="D1505" s="48">
        <v>0</v>
      </c>
      <c r="E1505" s="48" t="s">
        <v>112</v>
      </c>
      <c r="F1505" s="48" t="s">
        <v>72</v>
      </c>
      <c r="G1505" s="48" t="s">
        <v>365</v>
      </c>
      <c r="H1505" s="69">
        <f t="shared" si="23"/>
        <v>43952</v>
      </c>
    </row>
    <row r="1506" spans="1:8" x14ac:dyDescent="0.25">
      <c r="A1506" s="68">
        <v>43962</v>
      </c>
      <c r="B1506" s="48">
        <v>0</v>
      </c>
      <c r="C1506" s="48">
        <v>0</v>
      </c>
      <c r="D1506" s="48">
        <v>0</v>
      </c>
      <c r="E1506" s="48" t="s">
        <v>112</v>
      </c>
      <c r="F1506" s="48" t="s">
        <v>72</v>
      </c>
      <c r="G1506" s="48" t="s">
        <v>408</v>
      </c>
      <c r="H1506" s="69">
        <f t="shared" si="23"/>
        <v>43952</v>
      </c>
    </row>
    <row r="1507" spans="1:8" x14ac:dyDescent="0.25">
      <c r="A1507" s="68">
        <v>43962</v>
      </c>
      <c r="B1507" s="48">
        <v>0</v>
      </c>
      <c r="C1507" s="48">
        <v>0</v>
      </c>
      <c r="D1507" s="48">
        <v>0</v>
      </c>
      <c r="E1507" s="48" t="s">
        <v>112</v>
      </c>
      <c r="F1507" s="48" t="s">
        <v>72</v>
      </c>
      <c r="G1507" s="48" t="s">
        <v>411</v>
      </c>
      <c r="H1507" s="69">
        <f t="shared" si="23"/>
        <v>43952</v>
      </c>
    </row>
    <row r="1508" spans="1:8" x14ac:dyDescent="0.25">
      <c r="A1508" s="68">
        <v>43962</v>
      </c>
      <c r="B1508" s="48">
        <v>5</v>
      </c>
      <c r="C1508" s="48">
        <v>0</v>
      </c>
      <c r="D1508" s="48">
        <v>0</v>
      </c>
      <c r="E1508" s="48" t="s">
        <v>112</v>
      </c>
      <c r="F1508" s="48" t="s">
        <v>72</v>
      </c>
      <c r="G1508" s="48" t="s">
        <v>351</v>
      </c>
      <c r="H1508" s="69">
        <f t="shared" si="23"/>
        <v>43952</v>
      </c>
    </row>
    <row r="1509" spans="1:8" x14ac:dyDescent="0.25">
      <c r="A1509" s="68">
        <v>43962</v>
      </c>
      <c r="B1509" s="48">
        <v>2</v>
      </c>
      <c r="C1509" s="48">
        <v>0</v>
      </c>
      <c r="D1509" s="48">
        <v>0</v>
      </c>
      <c r="E1509" s="48" t="s">
        <v>112</v>
      </c>
      <c r="F1509" s="48" t="s">
        <v>72</v>
      </c>
      <c r="G1509" s="48" t="s">
        <v>417</v>
      </c>
      <c r="H1509" s="69">
        <f t="shared" si="23"/>
        <v>43952</v>
      </c>
    </row>
    <row r="1510" spans="1:8" x14ac:dyDescent="0.25">
      <c r="A1510" s="68">
        <v>43962</v>
      </c>
      <c r="B1510" s="48">
        <v>0</v>
      </c>
      <c r="C1510" s="48">
        <v>0</v>
      </c>
      <c r="D1510" s="48">
        <v>0</v>
      </c>
      <c r="E1510" s="48" t="s">
        <v>112</v>
      </c>
      <c r="F1510" s="48" t="s">
        <v>72</v>
      </c>
      <c r="G1510" s="48" t="s">
        <v>420</v>
      </c>
      <c r="H1510" s="69">
        <f t="shared" si="23"/>
        <v>43952</v>
      </c>
    </row>
    <row r="1511" spans="1:8" x14ac:dyDescent="0.25">
      <c r="A1511" s="68">
        <v>43962</v>
      </c>
      <c r="B1511" s="48">
        <v>301</v>
      </c>
      <c r="C1511" s="48">
        <v>14</v>
      </c>
      <c r="D1511" s="48">
        <v>83</v>
      </c>
      <c r="E1511" s="48" t="s">
        <v>112</v>
      </c>
      <c r="F1511" s="48" t="s">
        <v>71</v>
      </c>
      <c r="G1511" s="48" t="s">
        <v>92</v>
      </c>
      <c r="H1511" s="69">
        <f t="shared" si="23"/>
        <v>43952</v>
      </c>
    </row>
    <row r="1512" spans="1:8" x14ac:dyDescent="0.25">
      <c r="A1512" s="68">
        <v>43962</v>
      </c>
      <c r="B1512" s="48">
        <v>537</v>
      </c>
      <c r="C1512" s="48">
        <v>11</v>
      </c>
      <c r="D1512" s="48">
        <v>68</v>
      </c>
      <c r="E1512" s="48" t="s">
        <v>112</v>
      </c>
      <c r="F1512" s="48" t="s">
        <v>70</v>
      </c>
      <c r="G1512" s="48" t="s">
        <v>91</v>
      </c>
      <c r="H1512" s="69">
        <f t="shared" si="23"/>
        <v>43952</v>
      </c>
    </row>
    <row r="1513" spans="1:8" x14ac:dyDescent="0.25">
      <c r="A1513" s="68">
        <v>43963</v>
      </c>
      <c r="B1513" s="48">
        <v>2</v>
      </c>
      <c r="C1513" s="48">
        <v>0</v>
      </c>
      <c r="D1513" s="48">
        <v>4</v>
      </c>
      <c r="E1513" s="48" t="s">
        <v>112</v>
      </c>
      <c r="F1513" s="48" t="s">
        <v>76</v>
      </c>
      <c r="G1513" s="48" t="s">
        <v>339</v>
      </c>
      <c r="H1513" s="69">
        <f t="shared" si="23"/>
        <v>43952</v>
      </c>
    </row>
    <row r="1514" spans="1:8" x14ac:dyDescent="0.25">
      <c r="A1514" s="68">
        <v>43963</v>
      </c>
      <c r="B1514" s="48">
        <v>97</v>
      </c>
      <c r="C1514" s="48">
        <v>0</v>
      </c>
      <c r="D1514" s="48">
        <v>14</v>
      </c>
      <c r="E1514" s="48" t="s">
        <v>112</v>
      </c>
      <c r="F1514" s="48" t="s">
        <v>73</v>
      </c>
      <c r="G1514" s="48" t="s">
        <v>93</v>
      </c>
      <c r="H1514" s="69">
        <f t="shared" si="23"/>
        <v>43952</v>
      </c>
    </row>
    <row r="1515" spans="1:8" x14ac:dyDescent="0.25">
      <c r="A1515" s="68">
        <v>43963</v>
      </c>
      <c r="B1515" s="48">
        <v>5</v>
      </c>
      <c r="C1515" s="48">
        <v>0</v>
      </c>
      <c r="D1515" s="48">
        <v>0</v>
      </c>
      <c r="E1515" s="48" t="s">
        <v>112</v>
      </c>
      <c r="F1515" s="48" t="s">
        <v>75</v>
      </c>
      <c r="G1515" s="48" t="s">
        <v>402</v>
      </c>
      <c r="H1515" s="69">
        <f t="shared" si="23"/>
        <v>43952</v>
      </c>
    </row>
    <row r="1516" spans="1:8" x14ac:dyDescent="0.25">
      <c r="A1516" s="68">
        <v>43963</v>
      </c>
      <c r="B1516" s="48">
        <v>4</v>
      </c>
      <c r="C1516" s="48">
        <v>0</v>
      </c>
      <c r="D1516" s="48">
        <v>0</v>
      </c>
      <c r="E1516" s="48" t="s">
        <v>112</v>
      </c>
      <c r="F1516" s="48" t="s">
        <v>75</v>
      </c>
      <c r="G1516" s="48" t="s">
        <v>402</v>
      </c>
      <c r="H1516" s="69">
        <f t="shared" si="23"/>
        <v>43952</v>
      </c>
    </row>
    <row r="1517" spans="1:8" x14ac:dyDescent="0.25">
      <c r="A1517" s="68">
        <v>43963</v>
      </c>
      <c r="B1517" s="48">
        <v>13</v>
      </c>
      <c r="C1517" s="48">
        <v>0</v>
      </c>
      <c r="D1517" s="48">
        <v>0</v>
      </c>
      <c r="E1517" s="48" t="s">
        <v>112</v>
      </c>
      <c r="F1517" s="48" t="s">
        <v>75</v>
      </c>
      <c r="G1517" s="48" t="s">
        <v>103</v>
      </c>
      <c r="H1517" s="69">
        <f t="shared" si="23"/>
        <v>43952</v>
      </c>
    </row>
    <row r="1518" spans="1:8" x14ac:dyDescent="0.25">
      <c r="A1518" s="68">
        <v>43963</v>
      </c>
      <c r="B1518" s="48">
        <v>0</v>
      </c>
      <c r="C1518" s="48">
        <v>8</v>
      </c>
      <c r="D1518" s="48">
        <v>0</v>
      </c>
      <c r="E1518" s="48" t="s">
        <v>112</v>
      </c>
      <c r="F1518" s="48" t="s">
        <v>75</v>
      </c>
      <c r="G1518" s="48" t="s">
        <v>373</v>
      </c>
      <c r="H1518" s="69">
        <f t="shared" si="23"/>
        <v>43952</v>
      </c>
    </row>
    <row r="1519" spans="1:8" x14ac:dyDescent="0.25">
      <c r="A1519" s="68">
        <v>43963</v>
      </c>
      <c r="B1519" s="48">
        <v>1</v>
      </c>
      <c r="C1519" s="48">
        <v>0</v>
      </c>
      <c r="D1519" s="48">
        <v>0</v>
      </c>
      <c r="E1519" s="48" t="s">
        <v>112</v>
      </c>
      <c r="F1519" s="48" t="s">
        <v>75</v>
      </c>
      <c r="G1519" s="48" t="s">
        <v>398</v>
      </c>
      <c r="H1519" s="69">
        <f t="shared" si="23"/>
        <v>43952</v>
      </c>
    </row>
    <row r="1520" spans="1:8" x14ac:dyDescent="0.25">
      <c r="A1520" s="68">
        <v>43963</v>
      </c>
      <c r="B1520" s="48">
        <v>37</v>
      </c>
      <c r="C1520" s="48">
        <v>0</v>
      </c>
      <c r="D1520" s="48">
        <v>20</v>
      </c>
      <c r="E1520" s="48" t="s">
        <v>112</v>
      </c>
      <c r="F1520" s="48" t="s">
        <v>74</v>
      </c>
      <c r="G1520" s="48" t="s">
        <v>95</v>
      </c>
      <c r="H1520" s="69">
        <f t="shared" si="23"/>
        <v>43952</v>
      </c>
    </row>
    <row r="1521" spans="1:8" x14ac:dyDescent="0.25">
      <c r="A1521" s="68">
        <v>43963</v>
      </c>
      <c r="B1521" s="48">
        <v>57</v>
      </c>
      <c r="C1521" s="48">
        <v>5</v>
      </c>
      <c r="D1521" s="48">
        <v>0</v>
      </c>
      <c r="E1521" s="48" t="s">
        <v>112</v>
      </c>
      <c r="F1521" s="48" t="s">
        <v>72</v>
      </c>
      <c r="G1521" s="48" t="s">
        <v>94</v>
      </c>
      <c r="H1521" s="69">
        <f t="shared" si="23"/>
        <v>43952</v>
      </c>
    </row>
    <row r="1522" spans="1:8" x14ac:dyDescent="0.25">
      <c r="A1522" s="68">
        <v>43963</v>
      </c>
      <c r="B1522" s="48">
        <v>2</v>
      </c>
      <c r="C1522" s="48">
        <v>0</v>
      </c>
      <c r="D1522" s="48">
        <v>0</v>
      </c>
      <c r="E1522" s="48" t="s">
        <v>112</v>
      </c>
      <c r="F1522" s="48" t="s">
        <v>72</v>
      </c>
      <c r="G1522" s="48" t="s">
        <v>341</v>
      </c>
      <c r="H1522" s="69">
        <f t="shared" si="23"/>
        <v>43952</v>
      </c>
    </row>
    <row r="1523" spans="1:8" x14ac:dyDescent="0.25">
      <c r="A1523" s="68">
        <v>43963</v>
      </c>
      <c r="B1523" s="48">
        <v>3</v>
      </c>
      <c r="C1523" s="48">
        <v>0</v>
      </c>
      <c r="D1523" s="48">
        <v>0</v>
      </c>
      <c r="E1523" s="48" t="s">
        <v>112</v>
      </c>
      <c r="F1523" s="48" t="s">
        <v>72</v>
      </c>
      <c r="G1523" s="48" t="s">
        <v>338</v>
      </c>
      <c r="H1523" s="69">
        <f t="shared" si="23"/>
        <v>43952</v>
      </c>
    </row>
    <row r="1524" spans="1:8" x14ac:dyDescent="0.25">
      <c r="A1524" s="68">
        <v>43963</v>
      </c>
      <c r="B1524" s="48">
        <v>6</v>
      </c>
      <c r="C1524" s="48">
        <v>0</v>
      </c>
      <c r="D1524" s="48">
        <v>0</v>
      </c>
      <c r="E1524" s="48" t="s">
        <v>112</v>
      </c>
      <c r="F1524" s="48" t="s">
        <v>72</v>
      </c>
      <c r="G1524" s="48" t="s">
        <v>343</v>
      </c>
      <c r="H1524" s="69">
        <f t="shared" si="23"/>
        <v>43952</v>
      </c>
    </row>
    <row r="1525" spans="1:8" x14ac:dyDescent="0.25">
      <c r="A1525" s="68">
        <v>43963</v>
      </c>
      <c r="B1525" s="48">
        <v>0</v>
      </c>
      <c r="C1525" s="48">
        <v>0</v>
      </c>
      <c r="D1525" s="48">
        <v>0</v>
      </c>
      <c r="E1525" s="48" t="s">
        <v>112</v>
      </c>
      <c r="F1525" s="48" t="s">
        <v>72</v>
      </c>
      <c r="G1525" s="48" t="s">
        <v>400</v>
      </c>
      <c r="H1525" s="69">
        <f t="shared" si="23"/>
        <v>43952</v>
      </c>
    </row>
    <row r="1526" spans="1:8" x14ac:dyDescent="0.25">
      <c r="A1526" s="68">
        <v>43963</v>
      </c>
      <c r="B1526" s="48">
        <v>4</v>
      </c>
      <c r="C1526" s="48">
        <v>3</v>
      </c>
      <c r="D1526" s="48">
        <v>0</v>
      </c>
      <c r="E1526" s="48" t="s">
        <v>112</v>
      </c>
      <c r="F1526" s="48" t="s">
        <v>72</v>
      </c>
      <c r="G1526" s="48" t="s">
        <v>102</v>
      </c>
      <c r="H1526" s="69">
        <f t="shared" si="23"/>
        <v>43952</v>
      </c>
    </row>
    <row r="1527" spans="1:8" x14ac:dyDescent="0.25">
      <c r="A1527" s="68">
        <v>43963</v>
      </c>
      <c r="B1527" s="48">
        <v>0</v>
      </c>
      <c r="C1527" s="48">
        <v>1</v>
      </c>
      <c r="D1527" s="48">
        <v>0</v>
      </c>
      <c r="E1527" s="48" t="s">
        <v>112</v>
      </c>
      <c r="F1527" s="48" t="s">
        <v>72</v>
      </c>
      <c r="G1527" s="48" t="s">
        <v>355</v>
      </c>
      <c r="H1527" s="69">
        <f t="shared" si="23"/>
        <v>43952</v>
      </c>
    </row>
    <row r="1528" spans="1:8" x14ac:dyDescent="0.25">
      <c r="A1528" s="68">
        <v>43963</v>
      </c>
      <c r="B1528" s="48">
        <v>19</v>
      </c>
      <c r="C1528" s="48">
        <v>0</v>
      </c>
      <c r="D1528" s="48">
        <v>0</v>
      </c>
      <c r="E1528" s="48" t="s">
        <v>112</v>
      </c>
      <c r="F1528" s="48" t="s">
        <v>72</v>
      </c>
      <c r="G1528" s="48" t="s">
        <v>96</v>
      </c>
      <c r="H1528" s="69">
        <f t="shared" si="23"/>
        <v>43952</v>
      </c>
    </row>
    <row r="1529" spans="1:8" x14ac:dyDescent="0.25">
      <c r="A1529" s="68">
        <v>43963</v>
      </c>
      <c r="B1529" s="48">
        <v>8</v>
      </c>
      <c r="C1529" s="48">
        <v>0</v>
      </c>
      <c r="D1529" s="48">
        <v>0</v>
      </c>
      <c r="E1529" s="48" t="s">
        <v>112</v>
      </c>
      <c r="F1529" s="48" t="s">
        <v>72</v>
      </c>
      <c r="G1529" s="48" t="s">
        <v>347</v>
      </c>
      <c r="H1529" s="69">
        <f t="shared" si="23"/>
        <v>43952</v>
      </c>
    </row>
    <row r="1530" spans="1:8" x14ac:dyDescent="0.25">
      <c r="A1530" s="68">
        <v>43963</v>
      </c>
      <c r="B1530" s="48">
        <v>5</v>
      </c>
      <c r="C1530" s="48">
        <v>0</v>
      </c>
      <c r="D1530" s="48">
        <v>0</v>
      </c>
      <c r="E1530" s="48" t="s">
        <v>112</v>
      </c>
      <c r="F1530" s="48" t="s">
        <v>72</v>
      </c>
      <c r="G1530" s="48" t="s">
        <v>335</v>
      </c>
      <c r="H1530" s="69">
        <f t="shared" si="23"/>
        <v>43952</v>
      </c>
    </row>
    <row r="1531" spans="1:8" x14ac:dyDescent="0.25">
      <c r="A1531" s="68">
        <v>43963</v>
      </c>
      <c r="B1531" s="48">
        <v>8</v>
      </c>
      <c r="C1531" s="48">
        <v>0</v>
      </c>
      <c r="D1531" s="48">
        <v>0</v>
      </c>
      <c r="E1531" s="48" t="s">
        <v>112</v>
      </c>
      <c r="F1531" s="48" t="s">
        <v>72</v>
      </c>
      <c r="G1531" s="48" t="s">
        <v>342</v>
      </c>
      <c r="H1531" s="69">
        <f t="shared" si="23"/>
        <v>43952</v>
      </c>
    </row>
    <row r="1532" spans="1:8" x14ac:dyDescent="0.25">
      <c r="A1532" s="68">
        <v>43963</v>
      </c>
      <c r="B1532" s="48">
        <v>1</v>
      </c>
      <c r="C1532" s="48">
        <v>0</v>
      </c>
      <c r="D1532" s="48">
        <v>0</v>
      </c>
      <c r="E1532" s="48" t="s">
        <v>112</v>
      </c>
      <c r="F1532" s="48" t="s">
        <v>72</v>
      </c>
      <c r="G1532" s="48" t="s">
        <v>353</v>
      </c>
      <c r="H1532" s="69">
        <f t="shared" si="23"/>
        <v>43952</v>
      </c>
    </row>
    <row r="1533" spans="1:8" x14ac:dyDescent="0.25">
      <c r="A1533" s="68">
        <v>43963</v>
      </c>
      <c r="B1533" s="48">
        <v>9</v>
      </c>
      <c r="C1533" s="48">
        <v>1</v>
      </c>
      <c r="D1533" s="48">
        <v>0</v>
      </c>
      <c r="E1533" s="48" t="s">
        <v>112</v>
      </c>
      <c r="F1533" s="48" t="s">
        <v>72</v>
      </c>
      <c r="G1533" s="48" t="s">
        <v>101</v>
      </c>
      <c r="H1533" s="69">
        <f t="shared" si="23"/>
        <v>43952</v>
      </c>
    </row>
    <row r="1534" spans="1:8" x14ac:dyDescent="0.25">
      <c r="A1534" s="68">
        <v>43963</v>
      </c>
      <c r="B1534" s="48">
        <v>0</v>
      </c>
      <c r="C1534" s="48">
        <v>0</v>
      </c>
      <c r="D1534" s="48">
        <v>0</v>
      </c>
      <c r="E1534" s="48" t="s">
        <v>112</v>
      </c>
      <c r="F1534" s="48" t="s">
        <v>72</v>
      </c>
      <c r="G1534" s="48" t="s">
        <v>387</v>
      </c>
      <c r="H1534" s="69">
        <f t="shared" si="23"/>
        <v>43952</v>
      </c>
    </row>
    <row r="1535" spans="1:8" x14ac:dyDescent="0.25">
      <c r="A1535" s="68">
        <v>43963</v>
      </c>
      <c r="B1535" s="48">
        <v>0</v>
      </c>
      <c r="C1535" s="48">
        <v>0</v>
      </c>
      <c r="D1535" s="48">
        <v>0</v>
      </c>
      <c r="E1535" s="48" t="s">
        <v>112</v>
      </c>
      <c r="F1535" s="48" t="s">
        <v>72</v>
      </c>
      <c r="G1535" s="48" t="s">
        <v>406</v>
      </c>
      <c r="H1535" s="69">
        <f t="shared" si="23"/>
        <v>43952</v>
      </c>
    </row>
    <row r="1536" spans="1:8" x14ac:dyDescent="0.25">
      <c r="A1536" s="68">
        <v>43963</v>
      </c>
      <c r="B1536" s="48">
        <v>2</v>
      </c>
      <c r="C1536" s="48">
        <v>0</v>
      </c>
      <c r="D1536" s="48">
        <v>0</v>
      </c>
      <c r="E1536" s="48" t="s">
        <v>112</v>
      </c>
      <c r="F1536" s="48" t="s">
        <v>72</v>
      </c>
      <c r="G1536" s="48" t="s">
        <v>344</v>
      </c>
      <c r="H1536" s="69">
        <f t="shared" si="23"/>
        <v>43952</v>
      </c>
    </row>
    <row r="1537" spans="1:8" x14ac:dyDescent="0.25">
      <c r="A1537" s="68">
        <v>43963</v>
      </c>
      <c r="B1537" s="48">
        <v>0</v>
      </c>
      <c r="C1537" s="48">
        <v>0</v>
      </c>
      <c r="D1537" s="48">
        <v>0</v>
      </c>
      <c r="E1537" s="48" t="s">
        <v>112</v>
      </c>
      <c r="F1537" s="48" t="s">
        <v>72</v>
      </c>
      <c r="G1537" s="48" t="s">
        <v>354</v>
      </c>
      <c r="H1537" s="69">
        <f t="shared" si="23"/>
        <v>43952</v>
      </c>
    </row>
    <row r="1538" spans="1:8" x14ac:dyDescent="0.25">
      <c r="A1538" s="68">
        <v>43963</v>
      </c>
      <c r="B1538" s="48">
        <v>0</v>
      </c>
      <c r="C1538" s="48">
        <v>0</v>
      </c>
      <c r="D1538" s="48">
        <v>0</v>
      </c>
      <c r="E1538" s="48" t="s">
        <v>112</v>
      </c>
      <c r="F1538" s="48" t="s">
        <v>72</v>
      </c>
      <c r="G1538" s="48" t="s">
        <v>337</v>
      </c>
      <c r="H1538" s="69">
        <f t="shared" ref="H1538:H1601" si="24">DATE(YEAR(A1538),MONTH(A1538),1)</f>
        <v>43952</v>
      </c>
    </row>
    <row r="1539" spans="1:8" x14ac:dyDescent="0.25">
      <c r="A1539" s="68">
        <v>43963</v>
      </c>
      <c r="B1539" s="48">
        <v>2</v>
      </c>
      <c r="C1539" s="48">
        <v>0</v>
      </c>
      <c r="D1539" s="48">
        <v>0</v>
      </c>
      <c r="E1539" s="48" t="s">
        <v>112</v>
      </c>
      <c r="F1539" s="48" t="s">
        <v>72</v>
      </c>
      <c r="G1539" s="48" t="s">
        <v>356</v>
      </c>
      <c r="H1539" s="69">
        <f t="shared" si="24"/>
        <v>43952</v>
      </c>
    </row>
    <row r="1540" spans="1:8" x14ac:dyDescent="0.25">
      <c r="A1540" s="68">
        <v>43963</v>
      </c>
      <c r="B1540" s="48">
        <v>0</v>
      </c>
      <c r="C1540" s="48">
        <v>0</v>
      </c>
      <c r="D1540" s="48">
        <v>0</v>
      </c>
      <c r="E1540" s="48" t="s">
        <v>112</v>
      </c>
      <c r="F1540" s="48" t="s">
        <v>72</v>
      </c>
      <c r="G1540" s="48" t="s">
        <v>429</v>
      </c>
      <c r="H1540" s="69">
        <f t="shared" si="24"/>
        <v>43952</v>
      </c>
    </row>
    <row r="1541" spans="1:8" x14ac:dyDescent="0.25">
      <c r="A1541" s="68">
        <v>43963</v>
      </c>
      <c r="B1541" s="48">
        <v>0</v>
      </c>
      <c r="C1541" s="48">
        <v>0</v>
      </c>
      <c r="D1541" s="48">
        <v>0</v>
      </c>
      <c r="E1541" s="48" t="s">
        <v>112</v>
      </c>
      <c r="F1541" s="48" t="s">
        <v>72</v>
      </c>
      <c r="G1541" s="48" t="s">
        <v>431</v>
      </c>
      <c r="H1541" s="69">
        <f t="shared" si="24"/>
        <v>43952</v>
      </c>
    </row>
    <row r="1542" spans="1:8" x14ac:dyDescent="0.25">
      <c r="A1542" s="68">
        <v>43963</v>
      </c>
      <c r="B1542" s="48">
        <v>0</v>
      </c>
      <c r="C1542" s="48">
        <v>0</v>
      </c>
      <c r="D1542" s="48">
        <v>0</v>
      </c>
      <c r="E1542" s="48" t="s">
        <v>112</v>
      </c>
      <c r="F1542" s="48" t="s">
        <v>72</v>
      </c>
      <c r="G1542" s="48" t="s">
        <v>426</v>
      </c>
      <c r="H1542" s="69">
        <f t="shared" si="24"/>
        <v>43952</v>
      </c>
    </row>
    <row r="1543" spans="1:8" x14ac:dyDescent="0.25">
      <c r="A1543" s="68">
        <v>43963</v>
      </c>
      <c r="B1543" s="48">
        <v>0</v>
      </c>
      <c r="C1543" s="48">
        <v>0</v>
      </c>
      <c r="D1543" s="48">
        <v>0</v>
      </c>
      <c r="E1543" s="48" t="s">
        <v>112</v>
      </c>
      <c r="F1543" s="48" t="s">
        <v>72</v>
      </c>
      <c r="G1543" s="48" t="s">
        <v>436</v>
      </c>
      <c r="H1543" s="69">
        <f t="shared" si="24"/>
        <v>43952</v>
      </c>
    </row>
    <row r="1544" spans="1:8" x14ac:dyDescent="0.25">
      <c r="A1544" s="68">
        <v>43963</v>
      </c>
      <c r="B1544" s="48">
        <v>9</v>
      </c>
      <c r="C1544" s="48">
        <v>0</v>
      </c>
      <c r="D1544" s="48">
        <v>0</v>
      </c>
      <c r="E1544" s="48" t="s">
        <v>112</v>
      </c>
      <c r="F1544" s="48" t="s">
        <v>72</v>
      </c>
      <c r="G1544" s="48" t="s">
        <v>357</v>
      </c>
      <c r="H1544" s="69">
        <f t="shared" si="24"/>
        <v>43952</v>
      </c>
    </row>
    <row r="1545" spans="1:8" x14ac:dyDescent="0.25">
      <c r="A1545" s="68">
        <v>43963</v>
      </c>
      <c r="B1545" s="48">
        <v>0</v>
      </c>
      <c r="C1545" s="48">
        <v>0</v>
      </c>
      <c r="D1545" s="48">
        <v>0</v>
      </c>
      <c r="E1545" s="48" t="s">
        <v>112</v>
      </c>
      <c r="F1545" s="48" t="s">
        <v>72</v>
      </c>
      <c r="G1545" s="48" t="s">
        <v>358</v>
      </c>
      <c r="H1545" s="69">
        <f t="shared" si="24"/>
        <v>43952</v>
      </c>
    </row>
    <row r="1546" spans="1:8" x14ac:dyDescent="0.25">
      <c r="A1546" s="68">
        <v>43963</v>
      </c>
      <c r="B1546" s="48">
        <v>0</v>
      </c>
      <c r="C1546" s="48">
        <v>0</v>
      </c>
      <c r="D1546" s="48">
        <v>0</v>
      </c>
      <c r="E1546" s="48" t="s">
        <v>112</v>
      </c>
      <c r="F1546" s="48" t="s">
        <v>72</v>
      </c>
      <c r="G1546" s="48" t="s">
        <v>399</v>
      </c>
      <c r="H1546" s="69">
        <f t="shared" si="24"/>
        <v>43952</v>
      </c>
    </row>
    <row r="1547" spans="1:8" x14ac:dyDescent="0.25">
      <c r="A1547" s="68">
        <v>43963</v>
      </c>
      <c r="B1547" s="48">
        <v>2</v>
      </c>
      <c r="C1547" s="48">
        <v>0</v>
      </c>
      <c r="D1547" s="48">
        <v>0</v>
      </c>
      <c r="E1547" s="48" t="s">
        <v>112</v>
      </c>
      <c r="F1547" s="48" t="s">
        <v>72</v>
      </c>
      <c r="G1547" s="48" t="s">
        <v>352</v>
      </c>
      <c r="H1547" s="69">
        <f t="shared" si="24"/>
        <v>43952</v>
      </c>
    </row>
    <row r="1548" spans="1:8" x14ac:dyDescent="0.25">
      <c r="A1548" s="68">
        <v>43963</v>
      </c>
      <c r="B1548" s="48">
        <v>0</v>
      </c>
      <c r="C1548" s="48">
        <v>0</v>
      </c>
      <c r="D1548" s="48">
        <v>0</v>
      </c>
      <c r="E1548" s="48" t="s">
        <v>112</v>
      </c>
      <c r="F1548" s="48" t="s">
        <v>72</v>
      </c>
      <c r="G1548" s="48" t="s">
        <v>359</v>
      </c>
      <c r="H1548" s="69">
        <f t="shared" si="24"/>
        <v>43952</v>
      </c>
    </row>
    <row r="1549" spans="1:8" x14ac:dyDescent="0.25">
      <c r="A1549" s="68">
        <v>43963</v>
      </c>
      <c r="B1549" s="48">
        <v>0</v>
      </c>
      <c r="C1549" s="48">
        <v>0</v>
      </c>
      <c r="D1549" s="48">
        <v>0</v>
      </c>
      <c r="E1549" s="48" t="s">
        <v>112</v>
      </c>
      <c r="F1549" s="48" t="s">
        <v>72</v>
      </c>
      <c r="G1549" s="48" t="s">
        <v>410</v>
      </c>
      <c r="H1549" s="69">
        <f t="shared" si="24"/>
        <v>43952</v>
      </c>
    </row>
    <row r="1550" spans="1:8" x14ac:dyDescent="0.25">
      <c r="A1550" s="68">
        <v>43963</v>
      </c>
      <c r="B1550" s="48">
        <v>4</v>
      </c>
      <c r="C1550" s="48">
        <v>0</v>
      </c>
      <c r="D1550" s="48">
        <v>0</v>
      </c>
      <c r="E1550" s="48" t="s">
        <v>112</v>
      </c>
      <c r="F1550" s="48" t="s">
        <v>72</v>
      </c>
      <c r="G1550" s="48" t="s">
        <v>365</v>
      </c>
      <c r="H1550" s="69">
        <f t="shared" si="24"/>
        <v>43952</v>
      </c>
    </row>
    <row r="1551" spans="1:8" x14ac:dyDescent="0.25">
      <c r="A1551" s="68">
        <v>43963</v>
      </c>
      <c r="B1551" s="48">
        <v>0</v>
      </c>
      <c r="C1551" s="48">
        <v>0</v>
      </c>
      <c r="D1551" s="48">
        <v>0</v>
      </c>
      <c r="E1551" s="48" t="s">
        <v>112</v>
      </c>
      <c r="F1551" s="48" t="s">
        <v>72</v>
      </c>
      <c r="G1551" s="48" t="s">
        <v>408</v>
      </c>
      <c r="H1551" s="69">
        <f t="shared" si="24"/>
        <v>43952</v>
      </c>
    </row>
    <row r="1552" spans="1:8" x14ac:dyDescent="0.25">
      <c r="A1552" s="68">
        <v>43963</v>
      </c>
      <c r="B1552" s="48">
        <v>2</v>
      </c>
      <c r="C1552" s="48">
        <v>0</v>
      </c>
      <c r="D1552" s="48">
        <v>0</v>
      </c>
      <c r="E1552" s="48" t="s">
        <v>112</v>
      </c>
      <c r="F1552" s="48" t="s">
        <v>72</v>
      </c>
      <c r="G1552" s="48" t="s">
        <v>411</v>
      </c>
      <c r="H1552" s="69">
        <f t="shared" si="24"/>
        <v>43952</v>
      </c>
    </row>
    <row r="1553" spans="1:8" x14ac:dyDescent="0.25">
      <c r="A1553" s="68">
        <v>43963</v>
      </c>
      <c r="B1553" s="48">
        <v>3</v>
      </c>
      <c r="C1553" s="48">
        <v>0</v>
      </c>
      <c r="D1553" s="48">
        <v>0</v>
      </c>
      <c r="E1553" s="48" t="s">
        <v>112</v>
      </c>
      <c r="F1553" s="48" t="s">
        <v>72</v>
      </c>
      <c r="G1553" s="48" t="s">
        <v>351</v>
      </c>
      <c r="H1553" s="69">
        <f t="shared" si="24"/>
        <v>43952</v>
      </c>
    </row>
    <row r="1554" spans="1:8" x14ac:dyDescent="0.25">
      <c r="A1554" s="68">
        <v>43963</v>
      </c>
      <c r="B1554" s="48">
        <v>0</v>
      </c>
      <c r="C1554" s="48">
        <v>0</v>
      </c>
      <c r="D1554" s="48">
        <v>0</v>
      </c>
      <c r="E1554" s="48" t="s">
        <v>112</v>
      </c>
      <c r="F1554" s="48" t="s">
        <v>72</v>
      </c>
      <c r="G1554" s="48" t="s">
        <v>417</v>
      </c>
      <c r="H1554" s="69">
        <f t="shared" si="24"/>
        <v>43952</v>
      </c>
    </row>
    <row r="1555" spans="1:8" x14ac:dyDescent="0.25">
      <c r="A1555" s="68">
        <v>43963</v>
      </c>
      <c r="B1555" s="48">
        <v>0</v>
      </c>
      <c r="C1555" s="48">
        <v>0</v>
      </c>
      <c r="D1555" s="48">
        <v>0</v>
      </c>
      <c r="E1555" s="48" t="s">
        <v>112</v>
      </c>
      <c r="F1555" s="48" t="s">
        <v>72</v>
      </c>
      <c r="G1555" s="48" t="s">
        <v>420</v>
      </c>
      <c r="H1555" s="69">
        <f t="shared" si="24"/>
        <v>43952</v>
      </c>
    </row>
    <row r="1556" spans="1:8" x14ac:dyDescent="0.25">
      <c r="A1556" s="68">
        <v>43963</v>
      </c>
      <c r="B1556" s="48">
        <v>1356</v>
      </c>
      <c r="C1556" s="48">
        <v>3</v>
      </c>
      <c r="D1556" s="48">
        <v>129</v>
      </c>
      <c r="E1556" s="48" t="s">
        <v>112</v>
      </c>
      <c r="F1556" s="48" t="s">
        <v>71</v>
      </c>
      <c r="G1556" s="48" t="s">
        <v>92</v>
      </c>
      <c r="H1556" s="69">
        <f t="shared" si="24"/>
        <v>43952</v>
      </c>
    </row>
    <row r="1557" spans="1:8" x14ac:dyDescent="0.25">
      <c r="A1557" s="68">
        <v>43963</v>
      </c>
      <c r="B1557" s="48">
        <v>593</v>
      </c>
      <c r="C1557" s="48">
        <v>18</v>
      </c>
      <c r="D1557" s="48">
        <v>80</v>
      </c>
      <c r="E1557" s="48" t="s">
        <v>112</v>
      </c>
      <c r="F1557" s="48" t="s">
        <v>70</v>
      </c>
      <c r="G1557" s="48" t="s">
        <v>91</v>
      </c>
      <c r="H1557" s="69">
        <f t="shared" si="24"/>
        <v>43952</v>
      </c>
    </row>
    <row r="1558" spans="1:8" x14ac:dyDescent="0.25">
      <c r="A1558" s="68">
        <v>43964</v>
      </c>
      <c r="B1558" s="48">
        <v>3</v>
      </c>
      <c r="C1558" s="48">
        <v>0</v>
      </c>
      <c r="D1558" s="48">
        <v>1</v>
      </c>
      <c r="E1558" s="48" t="s">
        <v>112</v>
      </c>
      <c r="F1558" s="48" t="s">
        <v>76</v>
      </c>
      <c r="G1558" s="48" t="s">
        <v>339</v>
      </c>
      <c r="H1558" s="69">
        <f t="shared" si="24"/>
        <v>43952</v>
      </c>
    </row>
    <row r="1559" spans="1:8" x14ac:dyDescent="0.25">
      <c r="A1559" s="68">
        <v>43964</v>
      </c>
      <c r="B1559" s="48">
        <v>81</v>
      </c>
      <c r="C1559" s="48">
        <v>0</v>
      </c>
      <c r="D1559" s="48">
        <v>70</v>
      </c>
      <c r="E1559" s="48" t="s">
        <v>112</v>
      </c>
      <c r="F1559" s="48" t="s">
        <v>73</v>
      </c>
      <c r="G1559" s="48" t="s">
        <v>93</v>
      </c>
      <c r="H1559" s="69">
        <f t="shared" si="24"/>
        <v>43952</v>
      </c>
    </row>
    <row r="1560" spans="1:8" x14ac:dyDescent="0.25">
      <c r="A1560" s="68">
        <v>43964</v>
      </c>
      <c r="B1560" s="48">
        <v>1</v>
      </c>
      <c r="C1560" s="48">
        <v>0</v>
      </c>
      <c r="D1560" s="48">
        <v>0</v>
      </c>
      <c r="E1560" s="48" t="s">
        <v>112</v>
      </c>
      <c r="F1560" s="48" t="s">
        <v>75</v>
      </c>
      <c r="G1560" s="48" t="s">
        <v>402</v>
      </c>
      <c r="H1560" s="69">
        <f t="shared" si="24"/>
        <v>43952</v>
      </c>
    </row>
    <row r="1561" spans="1:8" x14ac:dyDescent="0.25">
      <c r="A1561" s="68">
        <v>43964</v>
      </c>
      <c r="B1561" s="48">
        <v>4</v>
      </c>
      <c r="C1561" s="48">
        <v>0</v>
      </c>
      <c r="D1561" s="48">
        <v>0</v>
      </c>
      <c r="E1561" s="48" t="s">
        <v>112</v>
      </c>
      <c r="F1561" s="48" t="s">
        <v>75</v>
      </c>
      <c r="G1561" s="48" t="s">
        <v>103</v>
      </c>
      <c r="H1561" s="69">
        <f t="shared" si="24"/>
        <v>43952</v>
      </c>
    </row>
    <row r="1562" spans="1:8" x14ac:dyDescent="0.25">
      <c r="A1562" s="68">
        <v>43964</v>
      </c>
      <c r="B1562" s="48">
        <v>1</v>
      </c>
      <c r="C1562" s="48">
        <v>0</v>
      </c>
      <c r="D1562" s="48">
        <v>0</v>
      </c>
      <c r="E1562" s="48" t="s">
        <v>112</v>
      </c>
      <c r="F1562" s="48" t="s">
        <v>75</v>
      </c>
      <c r="G1562" s="48" t="s">
        <v>390</v>
      </c>
      <c r="H1562" s="69">
        <f t="shared" si="24"/>
        <v>43952</v>
      </c>
    </row>
    <row r="1563" spans="1:8" x14ac:dyDescent="0.25">
      <c r="A1563" s="68">
        <v>43964</v>
      </c>
      <c r="B1563" s="48">
        <v>0</v>
      </c>
      <c r="C1563" s="48">
        <v>4</v>
      </c>
      <c r="D1563" s="48">
        <v>0</v>
      </c>
      <c r="E1563" s="48" t="s">
        <v>112</v>
      </c>
      <c r="F1563" s="48" t="s">
        <v>75</v>
      </c>
      <c r="G1563" s="48" t="s">
        <v>373</v>
      </c>
      <c r="H1563" s="69">
        <f t="shared" si="24"/>
        <v>43952</v>
      </c>
    </row>
    <row r="1564" spans="1:8" x14ac:dyDescent="0.25">
      <c r="A1564" s="68">
        <v>43964</v>
      </c>
      <c r="B1564" s="48">
        <v>43</v>
      </c>
      <c r="C1564" s="48">
        <v>0</v>
      </c>
      <c r="D1564" s="48">
        <v>0</v>
      </c>
      <c r="E1564" s="48" t="s">
        <v>112</v>
      </c>
      <c r="F1564" s="48" t="s">
        <v>74</v>
      </c>
      <c r="G1564" s="48" t="s">
        <v>95</v>
      </c>
      <c r="H1564" s="69">
        <f t="shared" si="24"/>
        <v>43952</v>
      </c>
    </row>
    <row r="1565" spans="1:8" x14ac:dyDescent="0.25">
      <c r="A1565" s="68">
        <v>43964</v>
      </c>
      <c r="B1565" s="48">
        <v>112</v>
      </c>
      <c r="C1565" s="48">
        <v>4</v>
      </c>
      <c r="D1565" s="48">
        <v>0</v>
      </c>
      <c r="E1565" s="48" t="s">
        <v>112</v>
      </c>
      <c r="F1565" s="48" t="s">
        <v>72</v>
      </c>
      <c r="G1565" s="48" t="s">
        <v>94</v>
      </c>
      <c r="H1565" s="69">
        <f t="shared" si="24"/>
        <v>43952</v>
      </c>
    </row>
    <row r="1566" spans="1:8" x14ac:dyDescent="0.25">
      <c r="A1566" s="68">
        <v>43964</v>
      </c>
      <c r="B1566" s="48">
        <v>2</v>
      </c>
      <c r="C1566" s="48">
        <v>0</v>
      </c>
      <c r="D1566" s="48">
        <v>0</v>
      </c>
      <c r="E1566" s="48" t="s">
        <v>112</v>
      </c>
      <c r="F1566" s="48" t="s">
        <v>72</v>
      </c>
      <c r="G1566" s="48" t="s">
        <v>341</v>
      </c>
      <c r="H1566" s="69">
        <f t="shared" si="24"/>
        <v>43952</v>
      </c>
    </row>
    <row r="1567" spans="1:8" x14ac:dyDescent="0.25">
      <c r="A1567" s="68">
        <v>43964</v>
      </c>
      <c r="B1567" s="48">
        <v>19</v>
      </c>
      <c r="C1567" s="48">
        <v>2</v>
      </c>
      <c r="D1567" s="48">
        <v>0</v>
      </c>
      <c r="E1567" s="48" t="s">
        <v>112</v>
      </c>
      <c r="F1567" s="48" t="s">
        <v>72</v>
      </c>
      <c r="G1567" s="48" t="s">
        <v>338</v>
      </c>
      <c r="H1567" s="69">
        <f t="shared" si="24"/>
        <v>43952</v>
      </c>
    </row>
    <row r="1568" spans="1:8" x14ac:dyDescent="0.25">
      <c r="A1568" s="68">
        <v>43964</v>
      </c>
      <c r="B1568" s="48">
        <v>15</v>
      </c>
      <c r="C1568" s="48">
        <v>1</v>
      </c>
      <c r="D1568" s="48">
        <v>0</v>
      </c>
      <c r="E1568" s="48" t="s">
        <v>112</v>
      </c>
      <c r="F1568" s="48" t="s">
        <v>72</v>
      </c>
      <c r="G1568" s="48" t="s">
        <v>343</v>
      </c>
      <c r="H1568" s="69">
        <f t="shared" si="24"/>
        <v>43952</v>
      </c>
    </row>
    <row r="1569" spans="1:8" x14ac:dyDescent="0.25">
      <c r="A1569" s="68">
        <v>43964</v>
      </c>
      <c r="B1569" s="48">
        <v>0</v>
      </c>
      <c r="C1569" s="48">
        <v>0</v>
      </c>
      <c r="D1569" s="48">
        <v>0</v>
      </c>
      <c r="E1569" s="48" t="s">
        <v>112</v>
      </c>
      <c r="F1569" s="48" t="s">
        <v>72</v>
      </c>
      <c r="G1569" s="48" t="s">
        <v>400</v>
      </c>
      <c r="H1569" s="69">
        <f t="shared" si="24"/>
        <v>43952</v>
      </c>
    </row>
    <row r="1570" spans="1:8" x14ac:dyDescent="0.25">
      <c r="A1570" s="68">
        <v>43964</v>
      </c>
      <c r="B1570" s="48">
        <v>3</v>
      </c>
      <c r="C1570" s="48">
        <v>0</v>
      </c>
      <c r="D1570" s="48">
        <v>0</v>
      </c>
      <c r="E1570" s="48" t="s">
        <v>112</v>
      </c>
      <c r="F1570" s="48" t="s">
        <v>72</v>
      </c>
      <c r="G1570" s="48" t="s">
        <v>102</v>
      </c>
      <c r="H1570" s="69">
        <f t="shared" si="24"/>
        <v>43952</v>
      </c>
    </row>
    <row r="1571" spans="1:8" x14ac:dyDescent="0.25">
      <c r="A1571" s="68">
        <v>43964</v>
      </c>
      <c r="B1571" s="48">
        <v>4</v>
      </c>
      <c r="C1571" s="48">
        <v>0</v>
      </c>
      <c r="D1571" s="48">
        <v>0</v>
      </c>
      <c r="E1571" s="48" t="s">
        <v>112</v>
      </c>
      <c r="F1571" s="48" t="s">
        <v>72</v>
      </c>
      <c r="G1571" s="48" t="s">
        <v>355</v>
      </c>
      <c r="H1571" s="69">
        <f t="shared" si="24"/>
        <v>43952</v>
      </c>
    </row>
    <row r="1572" spans="1:8" x14ac:dyDescent="0.25">
      <c r="A1572" s="68">
        <v>43964</v>
      </c>
      <c r="B1572" s="48">
        <v>1</v>
      </c>
      <c r="C1572" s="48">
        <v>0</v>
      </c>
      <c r="D1572" s="48">
        <v>0</v>
      </c>
      <c r="E1572" s="48" t="s">
        <v>112</v>
      </c>
      <c r="F1572" s="48" t="s">
        <v>72</v>
      </c>
      <c r="G1572" s="48" t="s">
        <v>96</v>
      </c>
      <c r="H1572" s="69">
        <f t="shared" si="24"/>
        <v>43952</v>
      </c>
    </row>
    <row r="1573" spans="1:8" x14ac:dyDescent="0.25">
      <c r="A1573" s="68">
        <v>43964</v>
      </c>
      <c r="B1573" s="48">
        <v>3</v>
      </c>
      <c r="C1573" s="48">
        <v>0</v>
      </c>
      <c r="D1573" s="48">
        <v>0</v>
      </c>
      <c r="E1573" s="48" t="s">
        <v>112</v>
      </c>
      <c r="F1573" s="48" t="s">
        <v>72</v>
      </c>
      <c r="G1573" s="48" t="s">
        <v>347</v>
      </c>
      <c r="H1573" s="69">
        <f t="shared" si="24"/>
        <v>43952</v>
      </c>
    </row>
    <row r="1574" spans="1:8" x14ac:dyDescent="0.25">
      <c r="A1574" s="68">
        <v>43964</v>
      </c>
      <c r="B1574" s="48">
        <v>13</v>
      </c>
      <c r="C1574" s="48">
        <v>0</v>
      </c>
      <c r="D1574" s="48">
        <v>0</v>
      </c>
      <c r="E1574" s="48" t="s">
        <v>112</v>
      </c>
      <c r="F1574" s="48" t="s">
        <v>72</v>
      </c>
      <c r="G1574" s="48" t="s">
        <v>335</v>
      </c>
      <c r="H1574" s="69">
        <f t="shared" si="24"/>
        <v>43952</v>
      </c>
    </row>
    <row r="1575" spans="1:8" x14ac:dyDescent="0.25">
      <c r="A1575" s="68">
        <v>43964</v>
      </c>
      <c r="B1575" s="48">
        <v>4</v>
      </c>
      <c r="C1575" s="48">
        <v>0</v>
      </c>
      <c r="D1575" s="48">
        <v>0</v>
      </c>
      <c r="E1575" s="48" t="s">
        <v>112</v>
      </c>
      <c r="F1575" s="48" t="s">
        <v>72</v>
      </c>
      <c r="G1575" s="48" t="s">
        <v>342</v>
      </c>
      <c r="H1575" s="69">
        <f t="shared" si="24"/>
        <v>43952</v>
      </c>
    </row>
    <row r="1576" spans="1:8" x14ac:dyDescent="0.25">
      <c r="A1576" s="68">
        <v>43964</v>
      </c>
      <c r="B1576" s="48">
        <v>0</v>
      </c>
      <c r="C1576" s="48">
        <v>0</v>
      </c>
      <c r="D1576" s="48">
        <v>0</v>
      </c>
      <c r="E1576" s="48" t="s">
        <v>112</v>
      </c>
      <c r="F1576" s="48" t="s">
        <v>72</v>
      </c>
      <c r="G1576" s="48" t="s">
        <v>353</v>
      </c>
      <c r="H1576" s="69">
        <f t="shared" si="24"/>
        <v>43952</v>
      </c>
    </row>
    <row r="1577" spans="1:8" x14ac:dyDescent="0.25">
      <c r="A1577" s="68">
        <v>43964</v>
      </c>
      <c r="B1577" s="48">
        <v>0</v>
      </c>
      <c r="C1577" s="48">
        <v>0</v>
      </c>
      <c r="D1577" s="48">
        <v>0</v>
      </c>
      <c r="E1577" s="48" t="s">
        <v>112</v>
      </c>
      <c r="F1577" s="48" t="s">
        <v>72</v>
      </c>
      <c r="G1577" s="48" t="s">
        <v>101</v>
      </c>
      <c r="H1577" s="69">
        <f t="shared" si="24"/>
        <v>43952</v>
      </c>
    </row>
    <row r="1578" spans="1:8" x14ac:dyDescent="0.25">
      <c r="A1578" s="68">
        <v>43964</v>
      </c>
      <c r="B1578" s="48">
        <v>0</v>
      </c>
      <c r="C1578" s="48">
        <v>0</v>
      </c>
      <c r="D1578" s="48">
        <v>0</v>
      </c>
      <c r="E1578" s="48" t="s">
        <v>112</v>
      </c>
      <c r="F1578" s="48" t="s">
        <v>72</v>
      </c>
      <c r="G1578" s="48" t="s">
        <v>387</v>
      </c>
      <c r="H1578" s="69">
        <f t="shared" si="24"/>
        <v>43952</v>
      </c>
    </row>
    <row r="1579" spans="1:8" x14ac:dyDescent="0.25">
      <c r="A1579" s="68">
        <v>43964</v>
      </c>
      <c r="B1579" s="48">
        <v>0</v>
      </c>
      <c r="C1579" s="48">
        <v>0</v>
      </c>
      <c r="D1579" s="48">
        <v>0</v>
      </c>
      <c r="E1579" s="48" t="s">
        <v>112</v>
      </c>
      <c r="F1579" s="48" t="s">
        <v>72</v>
      </c>
      <c r="G1579" s="48" t="s">
        <v>406</v>
      </c>
      <c r="H1579" s="69">
        <f t="shared" si="24"/>
        <v>43952</v>
      </c>
    </row>
    <row r="1580" spans="1:8" x14ac:dyDescent="0.25">
      <c r="A1580" s="68">
        <v>43964</v>
      </c>
      <c r="B1580" s="48">
        <v>8</v>
      </c>
      <c r="C1580" s="48">
        <v>0</v>
      </c>
      <c r="D1580" s="48">
        <v>0</v>
      </c>
      <c r="E1580" s="48" t="s">
        <v>112</v>
      </c>
      <c r="F1580" s="48" t="s">
        <v>72</v>
      </c>
      <c r="G1580" s="48" t="s">
        <v>344</v>
      </c>
      <c r="H1580" s="69">
        <f t="shared" si="24"/>
        <v>43952</v>
      </c>
    </row>
    <row r="1581" spans="1:8" x14ac:dyDescent="0.25">
      <c r="A1581" s="68">
        <v>43964</v>
      </c>
      <c r="B1581" s="48">
        <v>10</v>
      </c>
      <c r="C1581" s="48">
        <v>0</v>
      </c>
      <c r="D1581" s="48">
        <v>0</v>
      </c>
      <c r="E1581" s="48" t="s">
        <v>112</v>
      </c>
      <c r="F1581" s="48" t="s">
        <v>72</v>
      </c>
      <c r="G1581" s="48" t="s">
        <v>354</v>
      </c>
      <c r="H1581" s="69">
        <f t="shared" si="24"/>
        <v>43952</v>
      </c>
    </row>
    <row r="1582" spans="1:8" x14ac:dyDescent="0.25">
      <c r="A1582" s="68">
        <v>43964</v>
      </c>
      <c r="B1582" s="48">
        <v>18</v>
      </c>
      <c r="C1582" s="48">
        <v>0</v>
      </c>
      <c r="D1582" s="48">
        <v>0</v>
      </c>
      <c r="E1582" s="48" t="s">
        <v>112</v>
      </c>
      <c r="F1582" s="48" t="s">
        <v>72</v>
      </c>
      <c r="G1582" s="48" t="s">
        <v>337</v>
      </c>
      <c r="H1582" s="69">
        <f t="shared" si="24"/>
        <v>43952</v>
      </c>
    </row>
    <row r="1583" spans="1:8" x14ac:dyDescent="0.25">
      <c r="A1583" s="68">
        <v>43964</v>
      </c>
      <c r="B1583" s="48">
        <v>10</v>
      </c>
      <c r="C1583" s="48">
        <v>0</v>
      </c>
      <c r="D1583" s="48">
        <v>0</v>
      </c>
      <c r="E1583" s="48" t="s">
        <v>112</v>
      </c>
      <c r="F1583" s="48" t="s">
        <v>72</v>
      </c>
      <c r="G1583" s="48" t="s">
        <v>356</v>
      </c>
      <c r="H1583" s="69">
        <f t="shared" si="24"/>
        <v>43952</v>
      </c>
    </row>
    <row r="1584" spans="1:8" x14ac:dyDescent="0.25">
      <c r="A1584" s="68">
        <v>43964</v>
      </c>
      <c r="B1584" s="48">
        <v>0</v>
      </c>
      <c r="C1584" s="48">
        <v>0</v>
      </c>
      <c r="D1584" s="48">
        <v>0</v>
      </c>
      <c r="E1584" s="48" t="s">
        <v>112</v>
      </c>
      <c r="F1584" s="48" t="s">
        <v>72</v>
      </c>
      <c r="G1584" s="48" t="s">
        <v>429</v>
      </c>
      <c r="H1584" s="69">
        <f t="shared" si="24"/>
        <v>43952</v>
      </c>
    </row>
    <row r="1585" spans="1:8" x14ac:dyDescent="0.25">
      <c r="A1585" s="68">
        <v>43964</v>
      </c>
      <c r="B1585" s="48">
        <v>0</v>
      </c>
      <c r="C1585" s="48">
        <v>0</v>
      </c>
      <c r="D1585" s="48">
        <v>0</v>
      </c>
      <c r="E1585" s="48" t="s">
        <v>112</v>
      </c>
      <c r="F1585" s="48" t="s">
        <v>72</v>
      </c>
      <c r="G1585" s="48" t="s">
        <v>431</v>
      </c>
      <c r="H1585" s="69">
        <f t="shared" si="24"/>
        <v>43952</v>
      </c>
    </row>
    <row r="1586" spans="1:8" x14ac:dyDescent="0.25">
      <c r="A1586" s="68">
        <v>43964</v>
      </c>
      <c r="B1586" s="48">
        <v>0</v>
      </c>
      <c r="C1586" s="48">
        <v>0</v>
      </c>
      <c r="D1586" s="48">
        <v>0</v>
      </c>
      <c r="E1586" s="48" t="s">
        <v>112</v>
      </c>
      <c r="F1586" s="48" t="s">
        <v>72</v>
      </c>
      <c r="G1586" s="48" t="s">
        <v>426</v>
      </c>
      <c r="H1586" s="69">
        <f t="shared" si="24"/>
        <v>43952</v>
      </c>
    </row>
    <row r="1587" spans="1:8" x14ac:dyDescent="0.25">
      <c r="A1587" s="68">
        <v>43964</v>
      </c>
      <c r="B1587" s="48">
        <v>0</v>
      </c>
      <c r="C1587" s="48">
        <v>0</v>
      </c>
      <c r="D1587" s="48">
        <v>0</v>
      </c>
      <c r="E1587" s="48" t="s">
        <v>112</v>
      </c>
      <c r="F1587" s="48" t="s">
        <v>72</v>
      </c>
      <c r="G1587" s="48" t="s">
        <v>436</v>
      </c>
      <c r="H1587" s="69">
        <f t="shared" si="24"/>
        <v>43952</v>
      </c>
    </row>
    <row r="1588" spans="1:8" x14ac:dyDescent="0.25">
      <c r="A1588" s="68">
        <v>43964</v>
      </c>
      <c r="B1588" s="48">
        <v>0</v>
      </c>
      <c r="C1588" s="48">
        <v>0</v>
      </c>
      <c r="D1588" s="48">
        <v>0</v>
      </c>
      <c r="E1588" s="48" t="s">
        <v>112</v>
      </c>
      <c r="F1588" s="48" t="s">
        <v>72</v>
      </c>
      <c r="G1588" s="48" t="s">
        <v>357</v>
      </c>
      <c r="H1588" s="69">
        <f t="shared" si="24"/>
        <v>43952</v>
      </c>
    </row>
    <row r="1589" spans="1:8" x14ac:dyDescent="0.25">
      <c r="A1589" s="68">
        <v>43964</v>
      </c>
      <c r="B1589" s="48">
        <v>1</v>
      </c>
      <c r="C1589" s="48">
        <v>0</v>
      </c>
      <c r="D1589" s="48">
        <v>0</v>
      </c>
      <c r="E1589" s="48" t="s">
        <v>112</v>
      </c>
      <c r="F1589" s="48" t="s">
        <v>72</v>
      </c>
      <c r="G1589" s="48" t="s">
        <v>358</v>
      </c>
      <c r="H1589" s="69">
        <f t="shared" si="24"/>
        <v>43952</v>
      </c>
    </row>
    <row r="1590" spans="1:8" x14ac:dyDescent="0.25">
      <c r="A1590" s="68">
        <v>43964</v>
      </c>
      <c r="B1590" s="48">
        <v>0</v>
      </c>
      <c r="C1590" s="48">
        <v>0</v>
      </c>
      <c r="D1590" s="48">
        <v>0</v>
      </c>
      <c r="E1590" s="48" t="s">
        <v>112</v>
      </c>
      <c r="F1590" s="48" t="s">
        <v>72</v>
      </c>
      <c r="G1590" s="48" t="s">
        <v>399</v>
      </c>
      <c r="H1590" s="69">
        <f t="shared" si="24"/>
        <v>43952</v>
      </c>
    </row>
    <row r="1591" spans="1:8" x14ac:dyDescent="0.25">
      <c r="A1591" s="68">
        <v>43964</v>
      </c>
      <c r="B1591" s="48">
        <v>0</v>
      </c>
      <c r="C1591" s="48">
        <v>0</v>
      </c>
      <c r="D1591" s="48">
        <v>0</v>
      </c>
      <c r="E1591" s="48" t="s">
        <v>112</v>
      </c>
      <c r="F1591" s="48" t="s">
        <v>72</v>
      </c>
      <c r="G1591" s="48" t="s">
        <v>352</v>
      </c>
      <c r="H1591" s="69">
        <f t="shared" si="24"/>
        <v>43952</v>
      </c>
    </row>
    <row r="1592" spans="1:8" x14ac:dyDescent="0.25">
      <c r="A1592" s="68">
        <v>43964</v>
      </c>
      <c r="B1592" s="48">
        <v>0</v>
      </c>
      <c r="C1592" s="48">
        <v>0</v>
      </c>
      <c r="D1592" s="48">
        <v>0</v>
      </c>
      <c r="E1592" s="48" t="s">
        <v>112</v>
      </c>
      <c r="F1592" s="48" t="s">
        <v>72</v>
      </c>
      <c r="G1592" s="48" t="s">
        <v>359</v>
      </c>
      <c r="H1592" s="69">
        <f t="shared" si="24"/>
        <v>43952</v>
      </c>
    </row>
    <row r="1593" spans="1:8" x14ac:dyDescent="0.25">
      <c r="A1593" s="68">
        <v>43964</v>
      </c>
      <c r="B1593" s="48">
        <v>0</v>
      </c>
      <c r="C1593" s="48">
        <v>0</v>
      </c>
      <c r="D1593" s="48">
        <v>0</v>
      </c>
      <c r="E1593" s="48" t="s">
        <v>112</v>
      </c>
      <c r="F1593" s="48" t="s">
        <v>72</v>
      </c>
      <c r="G1593" s="48" t="s">
        <v>410</v>
      </c>
      <c r="H1593" s="69">
        <f t="shared" si="24"/>
        <v>43952</v>
      </c>
    </row>
    <row r="1594" spans="1:8" x14ac:dyDescent="0.25">
      <c r="A1594" s="68">
        <v>43964</v>
      </c>
      <c r="B1594" s="48">
        <v>2</v>
      </c>
      <c r="C1594" s="48">
        <v>0</v>
      </c>
      <c r="D1594" s="48">
        <v>0</v>
      </c>
      <c r="E1594" s="48" t="s">
        <v>112</v>
      </c>
      <c r="F1594" s="48" t="s">
        <v>72</v>
      </c>
      <c r="G1594" s="48" t="s">
        <v>365</v>
      </c>
      <c r="H1594" s="69">
        <f t="shared" si="24"/>
        <v>43952</v>
      </c>
    </row>
    <row r="1595" spans="1:8" x14ac:dyDescent="0.25">
      <c r="A1595" s="68">
        <v>43964</v>
      </c>
      <c r="B1595" s="48">
        <v>0</v>
      </c>
      <c r="C1595" s="48">
        <v>0</v>
      </c>
      <c r="D1595" s="48">
        <v>0</v>
      </c>
      <c r="E1595" s="48" t="s">
        <v>112</v>
      </c>
      <c r="F1595" s="48" t="s">
        <v>72</v>
      </c>
      <c r="G1595" s="48" t="s">
        <v>408</v>
      </c>
      <c r="H1595" s="69">
        <f t="shared" si="24"/>
        <v>43952</v>
      </c>
    </row>
    <row r="1596" spans="1:8" x14ac:dyDescent="0.25">
      <c r="A1596" s="68">
        <v>43964</v>
      </c>
      <c r="B1596" s="48">
        <v>1</v>
      </c>
      <c r="C1596" s="48">
        <v>0</v>
      </c>
      <c r="D1596" s="48">
        <v>0</v>
      </c>
      <c r="E1596" s="48" t="s">
        <v>112</v>
      </c>
      <c r="F1596" s="48" t="s">
        <v>72</v>
      </c>
      <c r="G1596" s="48" t="s">
        <v>411</v>
      </c>
      <c r="H1596" s="69">
        <f t="shared" si="24"/>
        <v>43952</v>
      </c>
    </row>
    <row r="1597" spans="1:8" x14ac:dyDescent="0.25">
      <c r="A1597" s="68">
        <v>43964</v>
      </c>
      <c r="B1597" s="48">
        <v>5</v>
      </c>
      <c r="C1597" s="48">
        <v>0</v>
      </c>
      <c r="D1597" s="48">
        <v>0</v>
      </c>
      <c r="E1597" s="48" t="s">
        <v>112</v>
      </c>
      <c r="F1597" s="48" t="s">
        <v>72</v>
      </c>
      <c r="G1597" s="48" t="s">
        <v>351</v>
      </c>
      <c r="H1597" s="69">
        <f t="shared" si="24"/>
        <v>43952</v>
      </c>
    </row>
    <row r="1598" spans="1:8" x14ac:dyDescent="0.25">
      <c r="A1598" s="68">
        <v>43964</v>
      </c>
      <c r="B1598" s="48">
        <v>0</v>
      </c>
      <c r="C1598" s="48">
        <v>0</v>
      </c>
      <c r="D1598" s="48">
        <v>0</v>
      </c>
      <c r="E1598" s="48" t="s">
        <v>112</v>
      </c>
      <c r="F1598" s="48" t="s">
        <v>72</v>
      </c>
      <c r="G1598" s="48" t="s">
        <v>417</v>
      </c>
      <c r="H1598" s="69">
        <f t="shared" si="24"/>
        <v>43952</v>
      </c>
    </row>
    <row r="1599" spans="1:8" x14ac:dyDescent="0.25">
      <c r="A1599" s="68">
        <v>43964</v>
      </c>
      <c r="B1599" s="48">
        <v>0</v>
      </c>
      <c r="C1599" s="48">
        <v>0</v>
      </c>
      <c r="D1599" s="48">
        <v>0</v>
      </c>
      <c r="E1599" s="48" t="s">
        <v>112</v>
      </c>
      <c r="F1599" s="48" t="s">
        <v>72</v>
      </c>
      <c r="G1599" s="48" t="s">
        <v>420</v>
      </c>
      <c r="H1599" s="69">
        <f t="shared" si="24"/>
        <v>43952</v>
      </c>
    </row>
    <row r="1600" spans="1:8" x14ac:dyDescent="0.25">
      <c r="A1600" s="68">
        <v>43964</v>
      </c>
      <c r="B1600" s="48">
        <v>336</v>
      </c>
      <c r="C1600" s="48">
        <v>9</v>
      </c>
      <c r="D1600" s="48">
        <v>79</v>
      </c>
      <c r="E1600" s="48" t="s">
        <v>112</v>
      </c>
      <c r="F1600" s="48" t="s">
        <v>71</v>
      </c>
      <c r="G1600" s="48" t="s">
        <v>92</v>
      </c>
      <c r="H1600" s="69">
        <f t="shared" si="24"/>
        <v>43952</v>
      </c>
    </row>
    <row r="1601" spans="1:8" x14ac:dyDescent="0.25">
      <c r="A1601" s="68">
        <v>43964</v>
      </c>
      <c r="B1601" s="48">
        <v>731</v>
      </c>
      <c r="C1601" s="48">
        <v>16</v>
      </c>
      <c r="D1601" s="48">
        <v>606</v>
      </c>
      <c r="E1601" s="48" t="s">
        <v>112</v>
      </c>
      <c r="F1601" s="48" t="s">
        <v>70</v>
      </c>
      <c r="G1601" s="48" t="s">
        <v>91</v>
      </c>
      <c r="H1601" s="69">
        <f t="shared" si="24"/>
        <v>43952</v>
      </c>
    </row>
    <row r="1602" spans="1:8" x14ac:dyDescent="0.25">
      <c r="A1602" s="68">
        <v>43965</v>
      </c>
      <c r="B1602" s="48">
        <v>14</v>
      </c>
      <c r="C1602" s="48">
        <v>0</v>
      </c>
      <c r="D1602" s="48">
        <v>7</v>
      </c>
      <c r="E1602" s="48" t="s">
        <v>112</v>
      </c>
      <c r="F1602" s="48" t="s">
        <v>76</v>
      </c>
      <c r="G1602" s="48" t="s">
        <v>339</v>
      </c>
      <c r="H1602" s="69">
        <f t="shared" ref="H1602:H1665" si="25">DATE(YEAR(A1602),MONTH(A1602),1)</f>
        <v>43952</v>
      </c>
    </row>
    <row r="1603" spans="1:8" x14ac:dyDescent="0.25">
      <c r="A1603" s="68">
        <v>43965</v>
      </c>
      <c r="B1603" s="48">
        <v>71</v>
      </c>
      <c r="C1603" s="48">
        <v>3</v>
      </c>
      <c r="D1603" s="48">
        <v>16</v>
      </c>
      <c r="E1603" s="48" t="s">
        <v>112</v>
      </c>
      <c r="F1603" s="48" t="s">
        <v>73</v>
      </c>
      <c r="G1603" s="48" t="s">
        <v>93</v>
      </c>
      <c r="H1603" s="69">
        <f t="shared" si="25"/>
        <v>43952</v>
      </c>
    </row>
    <row r="1604" spans="1:8" x14ac:dyDescent="0.25">
      <c r="A1604" s="68">
        <v>43965</v>
      </c>
      <c r="B1604" s="48">
        <v>1</v>
      </c>
      <c r="C1604" s="48">
        <v>0</v>
      </c>
      <c r="D1604" s="48">
        <v>0</v>
      </c>
      <c r="E1604" s="48" t="s">
        <v>112</v>
      </c>
      <c r="F1604" s="48" t="s">
        <v>75</v>
      </c>
      <c r="G1604" s="48" t="s">
        <v>402</v>
      </c>
      <c r="H1604" s="69">
        <f t="shared" si="25"/>
        <v>43952</v>
      </c>
    </row>
    <row r="1605" spans="1:8" x14ac:dyDescent="0.25">
      <c r="A1605" s="68">
        <v>43965</v>
      </c>
      <c r="B1605" s="48">
        <v>5</v>
      </c>
      <c r="C1605" s="48">
        <v>0</v>
      </c>
      <c r="D1605" s="48">
        <v>0</v>
      </c>
      <c r="E1605" s="48" t="s">
        <v>112</v>
      </c>
      <c r="F1605" s="48" t="s">
        <v>75</v>
      </c>
      <c r="G1605" s="48" t="s">
        <v>398</v>
      </c>
      <c r="H1605" s="69">
        <f t="shared" si="25"/>
        <v>43952</v>
      </c>
    </row>
    <row r="1606" spans="1:8" x14ac:dyDescent="0.25">
      <c r="A1606" s="68">
        <v>43965</v>
      </c>
      <c r="B1606" s="48">
        <v>3</v>
      </c>
      <c r="C1606" s="48">
        <v>0</v>
      </c>
      <c r="D1606" s="48">
        <v>0</v>
      </c>
      <c r="E1606" s="48" t="s">
        <v>112</v>
      </c>
      <c r="F1606" s="48" t="s">
        <v>75</v>
      </c>
      <c r="G1606" s="48" t="s">
        <v>373</v>
      </c>
      <c r="H1606" s="69">
        <f t="shared" si="25"/>
        <v>43952</v>
      </c>
    </row>
    <row r="1607" spans="1:8" x14ac:dyDescent="0.25">
      <c r="A1607" s="68">
        <v>43965</v>
      </c>
      <c r="B1607" s="48">
        <v>9</v>
      </c>
      <c r="C1607" s="48">
        <v>0</v>
      </c>
      <c r="D1607" s="48">
        <v>0</v>
      </c>
      <c r="E1607" s="48" t="s">
        <v>112</v>
      </c>
      <c r="F1607" s="48" t="s">
        <v>75</v>
      </c>
      <c r="G1607" s="48" t="s">
        <v>103</v>
      </c>
      <c r="H1607" s="69">
        <f t="shared" si="25"/>
        <v>43952</v>
      </c>
    </row>
    <row r="1608" spans="1:8" x14ac:dyDescent="0.25">
      <c r="A1608" s="68">
        <v>43965</v>
      </c>
      <c r="B1608" s="48">
        <v>1</v>
      </c>
      <c r="C1608" s="48">
        <v>0</v>
      </c>
      <c r="D1608" s="48">
        <v>0</v>
      </c>
      <c r="E1608" s="48" t="s">
        <v>112</v>
      </c>
      <c r="F1608" s="48" t="s">
        <v>75</v>
      </c>
      <c r="G1608" s="48" t="s">
        <v>390</v>
      </c>
      <c r="H1608" s="69">
        <f t="shared" si="25"/>
        <v>43952</v>
      </c>
    </row>
    <row r="1609" spans="1:8" x14ac:dyDescent="0.25">
      <c r="A1609" s="68">
        <v>43965</v>
      </c>
      <c r="B1609" s="48">
        <v>63</v>
      </c>
      <c r="C1609" s="48">
        <v>1</v>
      </c>
      <c r="D1609" s="48">
        <v>8</v>
      </c>
      <c r="E1609" s="48" t="s">
        <v>112</v>
      </c>
      <c r="F1609" s="48" t="s">
        <v>74</v>
      </c>
      <c r="G1609" s="48" t="s">
        <v>95</v>
      </c>
      <c r="H1609" s="69">
        <f t="shared" si="25"/>
        <v>43952</v>
      </c>
    </row>
    <row r="1610" spans="1:8" x14ac:dyDescent="0.25">
      <c r="A1610" s="68">
        <v>43965</v>
      </c>
      <c r="B1610" s="48">
        <v>73</v>
      </c>
      <c r="C1610" s="48">
        <v>4</v>
      </c>
      <c r="D1610" s="48">
        <v>0</v>
      </c>
      <c r="E1610" s="48" t="s">
        <v>112</v>
      </c>
      <c r="F1610" s="48" t="s">
        <v>72</v>
      </c>
      <c r="G1610" s="48" t="s">
        <v>94</v>
      </c>
      <c r="H1610" s="69">
        <f t="shared" si="25"/>
        <v>43952</v>
      </c>
    </row>
    <row r="1611" spans="1:8" x14ac:dyDescent="0.25">
      <c r="A1611" s="68">
        <v>43965</v>
      </c>
      <c r="B1611" s="48">
        <v>2</v>
      </c>
      <c r="C1611" s="48">
        <v>1</v>
      </c>
      <c r="D1611" s="48">
        <v>0</v>
      </c>
      <c r="E1611" s="48" t="s">
        <v>112</v>
      </c>
      <c r="F1611" s="48" t="s">
        <v>72</v>
      </c>
      <c r="G1611" s="48" t="s">
        <v>341</v>
      </c>
      <c r="H1611" s="69">
        <f t="shared" si="25"/>
        <v>43952</v>
      </c>
    </row>
    <row r="1612" spans="1:8" x14ac:dyDescent="0.25">
      <c r="A1612" s="68">
        <v>43965</v>
      </c>
      <c r="B1612" s="48">
        <v>1</v>
      </c>
      <c r="C1612" s="48">
        <v>0</v>
      </c>
      <c r="D1612" s="48">
        <v>0</v>
      </c>
      <c r="E1612" s="48" t="s">
        <v>112</v>
      </c>
      <c r="F1612" s="48" t="s">
        <v>72</v>
      </c>
      <c r="G1612" s="48" t="s">
        <v>338</v>
      </c>
      <c r="H1612" s="69">
        <f t="shared" si="25"/>
        <v>43952</v>
      </c>
    </row>
    <row r="1613" spans="1:8" x14ac:dyDescent="0.25">
      <c r="A1613" s="68">
        <v>43965</v>
      </c>
      <c r="B1613" s="48">
        <v>4</v>
      </c>
      <c r="C1613" s="48">
        <v>0</v>
      </c>
      <c r="D1613" s="48">
        <v>0</v>
      </c>
      <c r="E1613" s="48" t="s">
        <v>112</v>
      </c>
      <c r="F1613" s="48" t="s">
        <v>72</v>
      </c>
      <c r="G1613" s="48" t="s">
        <v>343</v>
      </c>
      <c r="H1613" s="69">
        <f t="shared" si="25"/>
        <v>43952</v>
      </c>
    </row>
    <row r="1614" spans="1:8" x14ac:dyDescent="0.25">
      <c r="A1614" s="68">
        <v>43965</v>
      </c>
      <c r="B1614" s="48">
        <v>0</v>
      </c>
      <c r="C1614" s="48">
        <v>0</v>
      </c>
      <c r="D1614" s="48">
        <v>0</v>
      </c>
      <c r="E1614" s="48" t="s">
        <v>112</v>
      </c>
      <c r="F1614" s="48" t="s">
        <v>72</v>
      </c>
      <c r="G1614" s="48" t="s">
        <v>400</v>
      </c>
      <c r="H1614" s="69">
        <f t="shared" si="25"/>
        <v>43952</v>
      </c>
    </row>
    <row r="1615" spans="1:8" x14ac:dyDescent="0.25">
      <c r="A1615" s="68">
        <v>43965</v>
      </c>
      <c r="B1615" s="48">
        <v>18</v>
      </c>
      <c r="C1615" s="48">
        <v>1</v>
      </c>
      <c r="D1615" s="48">
        <v>0</v>
      </c>
      <c r="E1615" s="48" t="s">
        <v>112</v>
      </c>
      <c r="F1615" s="48" t="s">
        <v>72</v>
      </c>
      <c r="G1615" s="48" t="s">
        <v>102</v>
      </c>
      <c r="H1615" s="69">
        <f t="shared" si="25"/>
        <v>43952</v>
      </c>
    </row>
    <row r="1616" spans="1:8" x14ac:dyDescent="0.25">
      <c r="A1616" s="68">
        <v>43965</v>
      </c>
      <c r="B1616" s="48">
        <v>2</v>
      </c>
      <c r="C1616" s="48">
        <v>1</v>
      </c>
      <c r="D1616" s="48">
        <v>0</v>
      </c>
      <c r="E1616" s="48" t="s">
        <v>112</v>
      </c>
      <c r="F1616" s="48" t="s">
        <v>72</v>
      </c>
      <c r="G1616" s="48" t="s">
        <v>355</v>
      </c>
      <c r="H1616" s="69">
        <f t="shared" si="25"/>
        <v>43952</v>
      </c>
    </row>
    <row r="1617" spans="1:8" x14ac:dyDescent="0.25">
      <c r="A1617" s="68">
        <v>43965</v>
      </c>
      <c r="B1617" s="48">
        <v>16</v>
      </c>
      <c r="C1617" s="48">
        <v>1</v>
      </c>
      <c r="D1617" s="48">
        <v>0</v>
      </c>
      <c r="E1617" s="48" t="s">
        <v>112</v>
      </c>
      <c r="F1617" s="48" t="s">
        <v>72</v>
      </c>
      <c r="G1617" s="48" t="s">
        <v>96</v>
      </c>
      <c r="H1617" s="69">
        <f t="shared" si="25"/>
        <v>43952</v>
      </c>
    </row>
    <row r="1618" spans="1:8" x14ac:dyDescent="0.25">
      <c r="A1618" s="68">
        <v>43965</v>
      </c>
      <c r="B1618" s="48">
        <v>3</v>
      </c>
      <c r="C1618" s="48">
        <v>0</v>
      </c>
      <c r="D1618" s="48">
        <v>0</v>
      </c>
      <c r="E1618" s="48" t="s">
        <v>112</v>
      </c>
      <c r="F1618" s="48" t="s">
        <v>72</v>
      </c>
      <c r="G1618" s="48" t="s">
        <v>347</v>
      </c>
      <c r="H1618" s="69">
        <f t="shared" si="25"/>
        <v>43952</v>
      </c>
    </row>
    <row r="1619" spans="1:8" x14ac:dyDescent="0.25">
      <c r="A1619" s="68">
        <v>43965</v>
      </c>
      <c r="B1619" s="48">
        <v>2</v>
      </c>
      <c r="C1619" s="48">
        <v>0</v>
      </c>
      <c r="D1619" s="48">
        <v>0</v>
      </c>
      <c r="E1619" s="48" t="s">
        <v>112</v>
      </c>
      <c r="F1619" s="48" t="s">
        <v>72</v>
      </c>
      <c r="G1619" s="48" t="s">
        <v>335</v>
      </c>
      <c r="H1619" s="69">
        <f t="shared" si="25"/>
        <v>43952</v>
      </c>
    </row>
    <row r="1620" spans="1:8" x14ac:dyDescent="0.25">
      <c r="A1620" s="68">
        <v>43965</v>
      </c>
      <c r="B1620" s="48">
        <v>0</v>
      </c>
      <c r="C1620" s="48">
        <v>0</v>
      </c>
      <c r="D1620" s="48">
        <v>0</v>
      </c>
      <c r="E1620" s="48" t="s">
        <v>112</v>
      </c>
      <c r="F1620" s="48" t="s">
        <v>72</v>
      </c>
      <c r="G1620" s="48" t="s">
        <v>342</v>
      </c>
      <c r="H1620" s="69">
        <f t="shared" si="25"/>
        <v>43952</v>
      </c>
    </row>
    <row r="1621" spans="1:8" x14ac:dyDescent="0.25">
      <c r="A1621" s="68">
        <v>43965</v>
      </c>
      <c r="B1621" s="48">
        <v>4</v>
      </c>
      <c r="C1621" s="48">
        <v>0</v>
      </c>
      <c r="D1621" s="48">
        <v>0</v>
      </c>
      <c r="E1621" s="48" t="s">
        <v>112</v>
      </c>
      <c r="F1621" s="48" t="s">
        <v>72</v>
      </c>
      <c r="G1621" s="48" t="s">
        <v>353</v>
      </c>
      <c r="H1621" s="69">
        <f t="shared" si="25"/>
        <v>43952</v>
      </c>
    </row>
    <row r="1622" spans="1:8" x14ac:dyDescent="0.25">
      <c r="A1622" s="68">
        <v>43965</v>
      </c>
      <c r="B1622" s="48">
        <v>21</v>
      </c>
      <c r="C1622" s="48">
        <v>1</v>
      </c>
      <c r="D1622" s="48">
        <v>0</v>
      </c>
      <c r="E1622" s="48" t="s">
        <v>112</v>
      </c>
      <c r="F1622" s="48" t="s">
        <v>72</v>
      </c>
      <c r="G1622" s="48" t="s">
        <v>101</v>
      </c>
      <c r="H1622" s="69">
        <f t="shared" si="25"/>
        <v>43952</v>
      </c>
    </row>
    <row r="1623" spans="1:8" x14ac:dyDescent="0.25">
      <c r="A1623" s="68">
        <v>43965</v>
      </c>
      <c r="B1623" s="48">
        <v>0</v>
      </c>
      <c r="C1623" s="48">
        <v>0</v>
      </c>
      <c r="D1623" s="48">
        <v>0</v>
      </c>
      <c r="E1623" s="48" t="s">
        <v>112</v>
      </c>
      <c r="F1623" s="48" t="s">
        <v>72</v>
      </c>
      <c r="G1623" s="48" t="s">
        <v>387</v>
      </c>
      <c r="H1623" s="69">
        <f t="shared" si="25"/>
        <v>43952</v>
      </c>
    </row>
    <row r="1624" spans="1:8" x14ac:dyDescent="0.25">
      <c r="A1624" s="68">
        <v>43965</v>
      </c>
      <c r="B1624" s="48">
        <v>0</v>
      </c>
      <c r="C1624" s="48">
        <v>0</v>
      </c>
      <c r="D1624" s="48">
        <v>0</v>
      </c>
      <c r="E1624" s="48" t="s">
        <v>112</v>
      </c>
      <c r="F1624" s="48" t="s">
        <v>72</v>
      </c>
      <c r="G1624" s="48" t="s">
        <v>406</v>
      </c>
      <c r="H1624" s="69">
        <f t="shared" si="25"/>
        <v>43952</v>
      </c>
    </row>
    <row r="1625" spans="1:8" x14ac:dyDescent="0.25">
      <c r="A1625" s="68">
        <v>43965</v>
      </c>
      <c r="B1625" s="48">
        <v>4</v>
      </c>
      <c r="C1625" s="48">
        <v>0</v>
      </c>
      <c r="D1625" s="48">
        <v>0</v>
      </c>
      <c r="E1625" s="48" t="s">
        <v>112</v>
      </c>
      <c r="F1625" s="48" t="s">
        <v>72</v>
      </c>
      <c r="G1625" s="48" t="s">
        <v>344</v>
      </c>
      <c r="H1625" s="69">
        <f t="shared" si="25"/>
        <v>43952</v>
      </c>
    </row>
    <row r="1626" spans="1:8" x14ac:dyDescent="0.25">
      <c r="A1626" s="68">
        <v>43965</v>
      </c>
      <c r="B1626" s="48">
        <v>0</v>
      </c>
      <c r="C1626" s="48">
        <v>0</v>
      </c>
      <c r="D1626" s="48">
        <v>0</v>
      </c>
      <c r="E1626" s="48" t="s">
        <v>112</v>
      </c>
      <c r="F1626" s="48" t="s">
        <v>72</v>
      </c>
      <c r="G1626" s="48" t="s">
        <v>354</v>
      </c>
      <c r="H1626" s="69">
        <f t="shared" si="25"/>
        <v>43952</v>
      </c>
    </row>
    <row r="1627" spans="1:8" x14ac:dyDescent="0.25">
      <c r="A1627" s="68">
        <v>43965</v>
      </c>
      <c r="B1627" s="48">
        <v>3</v>
      </c>
      <c r="C1627" s="48">
        <v>0</v>
      </c>
      <c r="D1627" s="48">
        <v>0</v>
      </c>
      <c r="E1627" s="48" t="s">
        <v>112</v>
      </c>
      <c r="F1627" s="48" t="s">
        <v>72</v>
      </c>
      <c r="G1627" s="48" t="s">
        <v>337</v>
      </c>
      <c r="H1627" s="69">
        <f t="shared" si="25"/>
        <v>43952</v>
      </c>
    </row>
    <row r="1628" spans="1:8" x14ac:dyDescent="0.25">
      <c r="A1628" s="68">
        <v>43965</v>
      </c>
      <c r="B1628" s="48">
        <v>10</v>
      </c>
      <c r="C1628" s="48">
        <v>0</v>
      </c>
      <c r="D1628" s="48">
        <v>0</v>
      </c>
      <c r="E1628" s="48" t="s">
        <v>112</v>
      </c>
      <c r="F1628" s="48" t="s">
        <v>72</v>
      </c>
      <c r="G1628" s="48" t="s">
        <v>356</v>
      </c>
      <c r="H1628" s="69">
        <f t="shared" si="25"/>
        <v>43952</v>
      </c>
    </row>
    <row r="1629" spans="1:8" x14ac:dyDescent="0.25">
      <c r="A1629" s="68">
        <v>43965</v>
      </c>
      <c r="B1629" s="48">
        <v>0</v>
      </c>
      <c r="C1629" s="48">
        <v>0</v>
      </c>
      <c r="D1629" s="48">
        <v>0</v>
      </c>
      <c r="E1629" s="48" t="s">
        <v>112</v>
      </c>
      <c r="F1629" s="48" t="s">
        <v>72</v>
      </c>
      <c r="G1629" s="48" t="s">
        <v>429</v>
      </c>
      <c r="H1629" s="69">
        <f t="shared" si="25"/>
        <v>43952</v>
      </c>
    </row>
    <row r="1630" spans="1:8" x14ac:dyDescent="0.25">
      <c r="A1630" s="68">
        <v>43965</v>
      </c>
      <c r="B1630" s="48">
        <v>0</v>
      </c>
      <c r="C1630" s="48">
        <v>0</v>
      </c>
      <c r="D1630" s="48">
        <v>0</v>
      </c>
      <c r="E1630" s="48" t="s">
        <v>112</v>
      </c>
      <c r="F1630" s="48" t="s">
        <v>72</v>
      </c>
      <c r="G1630" s="48" t="s">
        <v>431</v>
      </c>
      <c r="H1630" s="69">
        <f t="shared" si="25"/>
        <v>43952</v>
      </c>
    </row>
    <row r="1631" spans="1:8" x14ac:dyDescent="0.25">
      <c r="A1631" s="68">
        <v>43965</v>
      </c>
      <c r="B1631" s="48">
        <v>0</v>
      </c>
      <c r="C1631" s="48">
        <v>0</v>
      </c>
      <c r="D1631" s="48">
        <v>0</v>
      </c>
      <c r="E1631" s="48" t="s">
        <v>112</v>
      </c>
      <c r="F1631" s="48" t="s">
        <v>72</v>
      </c>
      <c r="G1631" s="48" t="s">
        <v>426</v>
      </c>
      <c r="H1631" s="69">
        <f t="shared" si="25"/>
        <v>43952</v>
      </c>
    </row>
    <row r="1632" spans="1:8" x14ac:dyDescent="0.25">
      <c r="A1632" s="68">
        <v>43965</v>
      </c>
      <c r="B1632" s="48">
        <v>0</v>
      </c>
      <c r="C1632" s="48">
        <v>0</v>
      </c>
      <c r="D1632" s="48">
        <v>0</v>
      </c>
      <c r="E1632" s="48" t="s">
        <v>112</v>
      </c>
      <c r="F1632" s="48" t="s">
        <v>72</v>
      </c>
      <c r="G1632" s="48" t="s">
        <v>436</v>
      </c>
      <c r="H1632" s="69">
        <f t="shared" si="25"/>
        <v>43952</v>
      </c>
    </row>
    <row r="1633" spans="1:8" x14ac:dyDescent="0.25">
      <c r="A1633" s="68">
        <v>43965</v>
      </c>
      <c r="B1633" s="48">
        <v>1</v>
      </c>
      <c r="C1633" s="48">
        <v>0</v>
      </c>
      <c r="D1633" s="48">
        <v>0</v>
      </c>
      <c r="E1633" s="48" t="s">
        <v>112</v>
      </c>
      <c r="F1633" s="48" t="s">
        <v>72</v>
      </c>
      <c r="G1633" s="48" t="s">
        <v>357</v>
      </c>
      <c r="H1633" s="69">
        <f t="shared" si="25"/>
        <v>43952</v>
      </c>
    </row>
    <row r="1634" spans="1:8" x14ac:dyDescent="0.25">
      <c r="A1634" s="68">
        <v>43965</v>
      </c>
      <c r="B1634" s="48">
        <v>4</v>
      </c>
      <c r="C1634" s="48">
        <v>0</v>
      </c>
      <c r="D1634" s="48">
        <v>0</v>
      </c>
      <c r="E1634" s="48" t="s">
        <v>112</v>
      </c>
      <c r="F1634" s="48" t="s">
        <v>72</v>
      </c>
      <c r="G1634" s="48" t="s">
        <v>358</v>
      </c>
      <c r="H1634" s="69">
        <f t="shared" si="25"/>
        <v>43952</v>
      </c>
    </row>
    <row r="1635" spans="1:8" x14ac:dyDescent="0.25">
      <c r="A1635" s="68">
        <v>43965</v>
      </c>
      <c r="B1635" s="48">
        <v>1</v>
      </c>
      <c r="C1635" s="48">
        <v>0</v>
      </c>
      <c r="D1635" s="48">
        <v>0</v>
      </c>
      <c r="E1635" s="48" t="s">
        <v>112</v>
      </c>
      <c r="F1635" s="48" t="s">
        <v>72</v>
      </c>
      <c r="G1635" s="48" t="s">
        <v>399</v>
      </c>
      <c r="H1635" s="69">
        <f t="shared" si="25"/>
        <v>43952</v>
      </c>
    </row>
    <row r="1636" spans="1:8" x14ac:dyDescent="0.25">
      <c r="A1636" s="68">
        <v>43965</v>
      </c>
      <c r="B1636" s="48">
        <v>0</v>
      </c>
      <c r="C1636" s="48">
        <v>0</v>
      </c>
      <c r="D1636" s="48">
        <v>0</v>
      </c>
      <c r="E1636" s="48" t="s">
        <v>112</v>
      </c>
      <c r="F1636" s="48" t="s">
        <v>72</v>
      </c>
      <c r="G1636" s="48" t="s">
        <v>352</v>
      </c>
      <c r="H1636" s="69">
        <f t="shared" si="25"/>
        <v>43952</v>
      </c>
    </row>
    <row r="1637" spans="1:8" x14ac:dyDescent="0.25">
      <c r="A1637" s="68">
        <v>43965</v>
      </c>
      <c r="B1637" s="48">
        <v>1</v>
      </c>
      <c r="C1637" s="48">
        <v>0</v>
      </c>
      <c r="D1637" s="48">
        <v>0</v>
      </c>
      <c r="E1637" s="48" t="s">
        <v>112</v>
      </c>
      <c r="F1637" s="48" t="s">
        <v>72</v>
      </c>
      <c r="G1637" s="48" t="s">
        <v>359</v>
      </c>
      <c r="H1637" s="69">
        <f t="shared" si="25"/>
        <v>43952</v>
      </c>
    </row>
    <row r="1638" spans="1:8" x14ac:dyDescent="0.25">
      <c r="A1638" s="68">
        <v>43965</v>
      </c>
      <c r="B1638" s="48">
        <v>0</v>
      </c>
      <c r="C1638" s="48">
        <v>0</v>
      </c>
      <c r="D1638" s="48">
        <v>0</v>
      </c>
      <c r="E1638" s="48" t="s">
        <v>112</v>
      </c>
      <c r="F1638" s="48" t="s">
        <v>72</v>
      </c>
      <c r="G1638" s="48" t="s">
        <v>410</v>
      </c>
      <c r="H1638" s="69">
        <f t="shared" si="25"/>
        <v>43952</v>
      </c>
    </row>
    <row r="1639" spans="1:8" x14ac:dyDescent="0.25">
      <c r="A1639" s="68">
        <v>43965</v>
      </c>
      <c r="B1639" s="48">
        <v>1</v>
      </c>
      <c r="C1639" s="48">
        <v>0</v>
      </c>
      <c r="D1639" s="48">
        <v>0</v>
      </c>
      <c r="E1639" s="48" t="s">
        <v>112</v>
      </c>
      <c r="F1639" s="48" t="s">
        <v>72</v>
      </c>
      <c r="G1639" s="48" t="s">
        <v>365</v>
      </c>
      <c r="H1639" s="69">
        <f t="shared" si="25"/>
        <v>43952</v>
      </c>
    </row>
    <row r="1640" spans="1:8" x14ac:dyDescent="0.25">
      <c r="A1640" s="68">
        <v>43965</v>
      </c>
      <c r="B1640" s="48">
        <v>0</v>
      </c>
      <c r="C1640" s="48">
        <v>0</v>
      </c>
      <c r="D1640" s="48">
        <v>0</v>
      </c>
      <c r="E1640" s="48" t="s">
        <v>112</v>
      </c>
      <c r="F1640" s="48" t="s">
        <v>72</v>
      </c>
      <c r="G1640" s="48" t="s">
        <v>408</v>
      </c>
      <c r="H1640" s="69">
        <f t="shared" si="25"/>
        <v>43952</v>
      </c>
    </row>
    <row r="1641" spans="1:8" x14ac:dyDescent="0.25">
      <c r="A1641" s="68">
        <v>43965</v>
      </c>
      <c r="B1641" s="48">
        <v>0</v>
      </c>
      <c r="C1641" s="48">
        <v>0</v>
      </c>
      <c r="D1641" s="48">
        <v>0</v>
      </c>
      <c r="E1641" s="48" t="s">
        <v>112</v>
      </c>
      <c r="F1641" s="48" t="s">
        <v>72</v>
      </c>
      <c r="G1641" s="48" t="s">
        <v>411</v>
      </c>
      <c r="H1641" s="69">
        <f t="shared" si="25"/>
        <v>43952</v>
      </c>
    </row>
    <row r="1642" spans="1:8" x14ac:dyDescent="0.25">
      <c r="A1642" s="68">
        <v>43965</v>
      </c>
      <c r="B1642" s="48">
        <v>0</v>
      </c>
      <c r="C1642" s="48">
        <v>0</v>
      </c>
      <c r="D1642" s="48">
        <v>0</v>
      </c>
      <c r="E1642" s="48" t="s">
        <v>112</v>
      </c>
      <c r="F1642" s="48" t="s">
        <v>72</v>
      </c>
      <c r="G1642" s="48" t="s">
        <v>351</v>
      </c>
      <c r="H1642" s="69">
        <f t="shared" si="25"/>
        <v>43952</v>
      </c>
    </row>
    <row r="1643" spans="1:8" x14ac:dyDescent="0.25">
      <c r="A1643" s="68">
        <v>43965</v>
      </c>
      <c r="B1643" s="48">
        <v>0</v>
      </c>
      <c r="C1643" s="48">
        <v>0</v>
      </c>
      <c r="D1643" s="48">
        <v>0</v>
      </c>
      <c r="E1643" s="48" t="s">
        <v>112</v>
      </c>
      <c r="F1643" s="48" t="s">
        <v>72</v>
      </c>
      <c r="G1643" s="48" t="s">
        <v>417</v>
      </c>
      <c r="H1643" s="69">
        <f t="shared" si="25"/>
        <v>43952</v>
      </c>
    </row>
    <row r="1644" spans="1:8" x14ac:dyDescent="0.25">
      <c r="A1644" s="68">
        <v>43965</v>
      </c>
      <c r="B1644" s="48">
        <v>0</v>
      </c>
      <c r="C1644" s="48">
        <v>0</v>
      </c>
      <c r="D1644" s="48">
        <v>0</v>
      </c>
      <c r="E1644" s="48" t="s">
        <v>112</v>
      </c>
      <c r="F1644" s="48" t="s">
        <v>72</v>
      </c>
      <c r="G1644" s="48" t="s">
        <v>420</v>
      </c>
      <c r="H1644" s="69">
        <f t="shared" si="25"/>
        <v>43952</v>
      </c>
    </row>
    <row r="1645" spans="1:8" x14ac:dyDescent="0.25">
      <c r="A1645" s="68">
        <v>43965</v>
      </c>
      <c r="B1645" s="48">
        <v>353</v>
      </c>
      <c r="C1645" s="48">
        <v>11</v>
      </c>
      <c r="D1645" s="48">
        <v>105</v>
      </c>
      <c r="E1645" s="48" t="s">
        <v>112</v>
      </c>
      <c r="F1645" s="48" t="s">
        <v>71</v>
      </c>
      <c r="G1645" s="48" t="s">
        <v>92</v>
      </c>
      <c r="H1645" s="69">
        <f t="shared" si="25"/>
        <v>43952</v>
      </c>
    </row>
    <row r="1646" spans="1:8" x14ac:dyDescent="0.25">
      <c r="A1646" s="68">
        <v>43965</v>
      </c>
      <c r="B1646" s="48">
        <v>758</v>
      </c>
      <c r="C1646" s="48">
        <v>9</v>
      </c>
      <c r="D1646" s="48">
        <v>238</v>
      </c>
      <c r="E1646" s="48" t="s">
        <v>112</v>
      </c>
      <c r="F1646" s="48" t="s">
        <v>70</v>
      </c>
      <c r="G1646" s="48" t="s">
        <v>91</v>
      </c>
      <c r="H1646" s="69">
        <f t="shared" si="25"/>
        <v>43952</v>
      </c>
    </row>
    <row r="1647" spans="1:8" x14ac:dyDescent="0.25">
      <c r="A1647" s="68">
        <v>43966</v>
      </c>
      <c r="B1647" s="48">
        <v>3</v>
      </c>
      <c r="C1647" s="48">
        <v>0</v>
      </c>
      <c r="D1647" s="48">
        <v>0</v>
      </c>
      <c r="E1647" s="48" t="s">
        <v>112</v>
      </c>
      <c r="F1647" s="48" t="s">
        <v>76</v>
      </c>
      <c r="G1647" s="48" t="s">
        <v>339</v>
      </c>
      <c r="H1647" s="69">
        <f t="shared" si="25"/>
        <v>43952</v>
      </c>
    </row>
    <row r="1648" spans="1:8" x14ac:dyDescent="0.25">
      <c r="A1648" s="68">
        <v>43966</v>
      </c>
      <c r="B1648" s="48">
        <v>147</v>
      </c>
      <c r="C1648" s="48">
        <v>1</v>
      </c>
      <c r="D1648" s="48">
        <v>41</v>
      </c>
      <c r="E1648" s="48" t="s">
        <v>112</v>
      </c>
      <c r="F1648" s="48" t="s">
        <v>73</v>
      </c>
      <c r="G1648" s="48" t="s">
        <v>93</v>
      </c>
      <c r="H1648" s="69">
        <f t="shared" si="25"/>
        <v>43952</v>
      </c>
    </row>
    <row r="1649" spans="1:8" x14ac:dyDescent="0.25">
      <c r="A1649" s="68">
        <v>43966</v>
      </c>
      <c r="B1649" s="48">
        <v>16</v>
      </c>
      <c r="C1649" s="48">
        <v>0</v>
      </c>
      <c r="D1649" s="48">
        <v>6</v>
      </c>
      <c r="E1649" s="48" t="s">
        <v>112</v>
      </c>
      <c r="F1649" s="48" t="s">
        <v>75</v>
      </c>
      <c r="G1649" s="48" t="s">
        <v>103</v>
      </c>
      <c r="H1649" s="69">
        <f t="shared" si="25"/>
        <v>43952</v>
      </c>
    </row>
    <row r="1650" spans="1:8" x14ac:dyDescent="0.25">
      <c r="A1650" s="68">
        <v>43966</v>
      </c>
      <c r="B1650" s="48">
        <v>0</v>
      </c>
      <c r="C1650" s="48">
        <v>0</v>
      </c>
      <c r="D1650" s="48">
        <v>1</v>
      </c>
      <c r="E1650" s="48" t="s">
        <v>112</v>
      </c>
      <c r="F1650" s="48" t="s">
        <v>75</v>
      </c>
      <c r="G1650" s="48" t="s">
        <v>373</v>
      </c>
      <c r="H1650" s="69">
        <f t="shared" si="25"/>
        <v>43952</v>
      </c>
    </row>
    <row r="1651" spans="1:8" x14ac:dyDescent="0.25">
      <c r="A1651" s="68">
        <v>43966</v>
      </c>
      <c r="B1651" s="48">
        <v>1</v>
      </c>
      <c r="C1651" s="48">
        <v>0</v>
      </c>
      <c r="D1651" s="48">
        <v>0</v>
      </c>
      <c r="E1651" s="48" t="s">
        <v>112</v>
      </c>
      <c r="F1651" s="48" t="s">
        <v>75</v>
      </c>
      <c r="G1651" s="48" t="s">
        <v>393</v>
      </c>
      <c r="H1651" s="69">
        <f t="shared" si="25"/>
        <v>43952</v>
      </c>
    </row>
    <row r="1652" spans="1:8" x14ac:dyDescent="0.25">
      <c r="A1652" s="68">
        <v>43966</v>
      </c>
      <c r="B1652" s="48">
        <v>44</v>
      </c>
      <c r="C1652" s="48">
        <v>0</v>
      </c>
      <c r="D1652" s="48">
        <v>0</v>
      </c>
      <c r="E1652" s="48" t="s">
        <v>112</v>
      </c>
      <c r="F1652" s="48" t="s">
        <v>74</v>
      </c>
      <c r="G1652" s="48" t="s">
        <v>95</v>
      </c>
      <c r="H1652" s="69">
        <f t="shared" si="25"/>
        <v>43952</v>
      </c>
    </row>
    <row r="1653" spans="1:8" x14ac:dyDescent="0.25">
      <c r="A1653" s="68">
        <v>43966</v>
      </c>
      <c r="B1653" s="48">
        <v>94</v>
      </c>
      <c r="C1653" s="48">
        <v>4</v>
      </c>
      <c r="D1653" s="48">
        <v>0</v>
      </c>
      <c r="E1653" s="48" t="s">
        <v>112</v>
      </c>
      <c r="F1653" s="48" t="s">
        <v>72</v>
      </c>
      <c r="G1653" s="48" t="s">
        <v>94</v>
      </c>
      <c r="H1653" s="69">
        <f t="shared" si="25"/>
        <v>43952</v>
      </c>
    </row>
    <row r="1654" spans="1:8" x14ac:dyDescent="0.25">
      <c r="A1654" s="68">
        <v>43966</v>
      </c>
      <c r="B1654" s="48">
        <v>2</v>
      </c>
      <c r="C1654" s="48">
        <v>0</v>
      </c>
      <c r="D1654" s="48">
        <v>0</v>
      </c>
      <c r="E1654" s="48" t="s">
        <v>112</v>
      </c>
      <c r="F1654" s="48" t="s">
        <v>72</v>
      </c>
      <c r="G1654" s="48" t="s">
        <v>341</v>
      </c>
      <c r="H1654" s="69">
        <f t="shared" si="25"/>
        <v>43952</v>
      </c>
    </row>
    <row r="1655" spans="1:8" x14ac:dyDescent="0.25">
      <c r="A1655" s="68">
        <v>43966</v>
      </c>
      <c r="B1655" s="48">
        <v>2</v>
      </c>
      <c r="C1655" s="48">
        <v>0</v>
      </c>
      <c r="D1655" s="48">
        <v>0</v>
      </c>
      <c r="E1655" s="48" t="s">
        <v>112</v>
      </c>
      <c r="F1655" s="48" t="s">
        <v>72</v>
      </c>
      <c r="G1655" s="48" t="s">
        <v>338</v>
      </c>
      <c r="H1655" s="69">
        <f t="shared" si="25"/>
        <v>43952</v>
      </c>
    </row>
    <row r="1656" spans="1:8" x14ac:dyDescent="0.25">
      <c r="A1656" s="68">
        <v>43966</v>
      </c>
      <c r="B1656" s="48">
        <v>11</v>
      </c>
      <c r="C1656" s="48">
        <v>0</v>
      </c>
      <c r="D1656" s="48">
        <v>0</v>
      </c>
      <c r="E1656" s="48" t="s">
        <v>112</v>
      </c>
      <c r="F1656" s="48" t="s">
        <v>72</v>
      </c>
      <c r="G1656" s="48" t="s">
        <v>343</v>
      </c>
      <c r="H1656" s="69">
        <f t="shared" si="25"/>
        <v>43952</v>
      </c>
    </row>
    <row r="1657" spans="1:8" x14ac:dyDescent="0.25">
      <c r="A1657" s="68">
        <v>43966</v>
      </c>
      <c r="B1657" s="48">
        <v>1</v>
      </c>
      <c r="C1657" s="48">
        <v>0</v>
      </c>
      <c r="D1657" s="48">
        <v>0</v>
      </c>
      <c r="E1657" s="48" t="s">
        <v>112</v>
      </c>
      <c r="F1657" s="48" t="s">
        <v>72</v>
      </c>
      <c r="G1657" s="48" t="s">
        <v>400</v>
      </c>
      <c r="H1657" s="69">
        <f t="shared" si="25"/>
        <v>43952</v>
      </c>
    </row>
    <row r="1658" spans="1:8" x14ac:dyDescent="0.25">
      <c r="A1658" s="68">
        <v>43966</v>
      </c>
      <c r="B1658" s="48">
        <v>15</v>
      </c>
      <c r="C1658" s="48">
        <v>2</v>
      </c>
      <c r="D1658" s="48">
        <v>0</v>
      </c>
      <c r="E1658" s="48" t="s">
        <v>112</v>
      </c>
      <c r="F1658" s="48" t="s">
        <v>72</v>
      </c>
      <c r="G1658" s="48" t="s">
        <v>102</v>
      </c>
      <c r="H1658" s="69">
        <f t="shared" si="25"/>
        <v>43952</v>
      </c>
    </row>
    <row r="1659" spans="1:8" x14ac:dyDescent="0.25">
      <c r="A1659" s="68">
        <v>43966</v>
      </c>
      <c r="B1659" s="48">
        <v>9</v>
      </c>
      <c r="C1659" s="48">
        <v>1</v>
      </c>
      <c r="D1659" s="48">
        <v>0</v>
      </c>
      <c r="E1659" s="48" t="s">
        <v>112</v>
      </c>
      <c r="F1659" s="48" t="s">
        <v>72</v>
      </c>
      <c r="G1659" s="48" t="s">
        <v>355</v>
      </c>
      <c r="H1659" s="69">
        <f t="shared" si="25"/>
        <v>43952</v>
      </c>
    </row>
    <row r="1660" spans="1:8" x14ac:dyDescent="0.25">
      <c r="A1660" s="68">
        <v>43966</v>
      </c>
      <c r="B1660" s="48">
        <v>31</v>
      </c>
      <c r="C1660" s="48">
        <v>0</v>
      </c>
      <c r="D1660" s="48">
        <v>0</v>
      </c>
      <c r="E1660" s="48" t="s">
        <v>112</v>
      </c>
      <c r="F1660" s="48" t="s">
        <v>72</v>
      </c>
      <c r="G1660" s="48" t="s">
        <v>96</v>
      </c>
      <c r="H1660" s="69">
        <f t="shared" si="25"/>
        <v>43952</v>
      </c>
    </row>
    <row r="1661" spans="1:8" x14ac:dyDescent="0.25">
      <c r="A1661" s="68">
        <v>43966</v>
      </c>
      <c r="B1661" s="48">
        <v>2</v>
      </c>
      <c r="C1661" s="48">
        <v>0</v>
      </c>
      <c r="D1661" s="48">
        <v>0</v>
      </c>
      <c r="E1661" s="48" t="s">
        <v>112</v>
      </c>
      <c r="F1661" s="48" t="s">
        <v>72</v>
      </c>
      <c r="G1661" s="48" t="s">
        <v>347</v>
      </c>
      <c r="H1661" s="69">
        <f t="shared" si="25"/>
        <v>43952</v>
      </c>
    </row>
    <row r="1662" spans="1:8" x14ac:dyDescent="0.25">
      <c r="A1662" s="68">
        <v>43966</v>
      </c>
      <c r="B1662" s="48">
        <v>1</v>
      </c>
      <c r="C1662" s="48">
        <v>0</v>
      </c>
      <c r="D1662" s="48">
        <v>0</v>
      </c>
      <c r="E1662" s="48" t="s">
        <v>112</v>
      </c>
      <c r="F1662" s="48" t="s">
        <v>72</v>
      </c>
      <c r="G1662" s="48" t="s">
        <v>335</v>
      </c>
      <c r="H1662" s="69">
        <f t="shared" si="25"/>
        <v>43952</v>
      </c>
    </row>
    <row r="1663" spans="1:8" x14ac:dyDescent="0.25">
      <c r="A1663" s="68">
        <v>43966</v>
      </c>
      <c r="B1663" s="48">
        <v>0</v>
      </c>
      <c r="C1663" s="48">
        <v>0</v>
      </c>
      <c r="D1663" s="48">
        <v>0</v>
      </c>
      <c r="E1663" s="48" t="s">
        <v>112</v>
      </c>
      <c r="F1663" s="48" t="s">
        <v>72</v>
      </c>
      <c r="G1663" s="48" t="s">
        <v>342</v>
      </c>
      <c r="H1663" s="69">
        <f t="shared" si="25"/>
        <v>43952</v>
      </c>
    </row>
    <row r="1664" spans="1:8" x14ac:dyDescent="0.25">
      <c r="A1664" s="68">
        <v>43966</v>
      </c>
      <c r="B1664" s="48">
        <v>0</v>
      </c>
      <c r="C1664" s="48">
        <v>0</v>
      </c>
      <c r="D1664" s="48">
        <v>0</v>
      </c>
      <c r="E1664" s="48" t="s">
        <v>112</v>
      </c>
      <c r="F1664" s="48" t="s">
        <v>72</v>
      </c>
      <c r="G1664" s="48" t="s">
        <v>353</v>
      </c>
      <c r="H1664" s="69">
        <f t="shared" si="25"/>
        <v>43952</v>
      </c>
    </row>
    <row r="1665" spans="1:8" x14ac:dyDescent="0.25">
      <c r="A1665" s="68">
        <v>43966</v>
      </c>
      <c r="B1665" s="48">
        <v>1</v>
      </c>
      <c r="C1665" s="48">
        <v>0</v>
      </c>
      <c r="D1665" s="48">
        <v>0</v>
      </c>
      <c r="E1665" s="48" t="s">
        <v>112</v>
      </c>
      <c r="F1665" s="48" t="s">
        <v>72</v>
      </c>
      <c r="G1665" s="48" t="s">
        <v>101</v>
      </c>
      <c r="H1665" s="69">
        <f t="shared" si="25"/>
        <v>43952</v>
      </c>
    </row>
    <row r="1666" spans="1:8" x14ac:dyDescent="0.25">
      <c r="A1666" s="68">
        <v>43966</v>
      </c>
      <c r="B1666" s="48">
        <v>5</v>
      </c>
      <c r="C1666" s="48">
        <v>0</v>
      </c>
      <c r="D1666" s="48">
        <v>0</v>
      </c>
      <c r="E1666" s="48" t="s">
        <v>112</v>
      </c>
      <c r="F1666" s="48" t="s">
        <v>72</v>
      </c>
      <c r="G1666" s="48" t="s">
        <v>387</v>
      </c>
      <c r="H1666" s="69">
        <f t="shared" ref="H1666:H1729" si="26">DATE(YEAR(A1666),MONTH(A1666),1)</f>
        <v>43952</v>
      </c>
    </row>
    <row r="1667" spans="1:8" x14ac:dyDescent="0.25">
      <c r="A1667" s="68">
        <v>43966</v>
      </c>
      <c r="B1667" s="48">
        <v>1</v>
      </c>
      <c r="C1667" s="48">
        <v>0</v>
      </c>
      <c r="D1667" s="48">
        <v>0</v>
      </c>
      <c r="E1667" s="48" t="s">
        <v>112</v>
      </c>
      <c r="F1667" s="48" t="s">
        <v>72</v>
      </c>
      <c r="G1667" s="48" t="s">
        <v>406</v>
      </c>
      <c r="H1667" s="69">
        <f t="shared" si="26"/>
        <v>43952</v>
      </c>
    </row>
    <row r="1668" spans="1:8" x14ac:dyDescent="0.25">
      <c r="A1668" s="68">
        <v>43966</v>
      </c>
      <c r="B1668" s="48">
        <v>6</v>
      </c>
      <c r="C1668" s="48">
        <v>0</v>
      </c>
      <c r="D1668" s="48">
        <v>0</v>
      </c>
      <c r="E1668" s="48" t="s">
        <v>112</v>
      </c>
      <c r="F1668" s="48" t="s">
        <v>72</v>
      </c>
      <c r="G1668" s="48" t="s">
        <v>344</v>
      </c>
      <c r="H1668" s="69">
        <f t="shared" si="26"/>
        <v>43952</v>
      </c>
    </row>
    <row r="1669" spans="1:8" x14ac:dyDescent="0.25">
      <c r="A1669" s="68">
        <v>43966</v>
      </c>
      <c r="B1669" s="48">
        <v>2</v>
      </c>
      <c r="C1669" s="48">
        <v>0</v>
      </c>
      <c r="D1669" s="48">
        <v>0</v>
      </c>
      <c r="E1669" s="48" t="s">
        <v>112</v>
      </c>
      <c r="F1669" s="48" t="s">
        <v>72</v>
      </c>
      <c r="G1669" s="48" t="s">
        <v>354</v>
      </c>
      <c r="H1669" s="69">
        <f t="shared" si="26"/>
        <v>43952</v>
      </c>
    </row>
    <row r="1670" spans="1:8" x14ac:dyDescent="0.25">
      <c r="A1670" s="68">
        <v>43966</v>
      </c>
      <c r="B1670" s="48">
        <v>10</v>
      </c>
      <c r="C1670" s="48">
        <v>0</v>
      </c>
      <c r="D1670" s="48">
        <v>0</v>
      </c>
      <c r="E1670" s="48" t="s">
        <v>112</v>
      </c>
      <c r="F1670" s="48" t="s">
        <v>72</v>
      </c>
      <c r="G1670" s="48" t="s">
        <v>337</v>
      </c>
      <c r="H1670" s="69">
        <f t="shared" si="26"/>
        <v>43952</v>
      </c>
    </row>
    <row r="1671" spans="1:8" x14ac:dyDescent="0.25">
      <c r="A1671" s="68">
        <v>43966</v>
      </c>
      <c r="B1671" s="48">
        <v>3</v>
      </c>
      <c r="C1671" s="48">
        <v>0</v>
      </c>
      <c r="D1671" s="48">
        <v>0</v>
      </c>
      <c r="E1671" s="48" t="s">
        <v>112</v>
      </c>
      <c r="F1671" s="48" t="s">
        <v>72</v>
      </c>
      <c r="G1671" s="48" t="s">
        <v>356</v>
      </c>
      <c r="H1671" s="69">
        <f t="shared" si="26"/>
        <v>43952</v>
      </c>
    </row>
    <row r="1672" spans="1:8" x14ac:dyDescent="0.25">
      <c r="A1672" s="68">
        <v>43966</v>
      </c>
      <c r="B1672" s="48">
        <v>0</v>
      </c>
      <c r="C1672" s="48">
        <v>0</v>
      </c>
      <c r="D1672" s="48">
        <v>0</v>
      </c>
      <c r="E1672" s="48" t="s">
        <v>112</v>
      </c>
      <c r="F1672" s="48" t="s">
        <v>72</v>
      </c>
      <c r="G1672" s="48" t="s">
        <v>429</v>
      </c>
      <c r="H1672" s="69">
        <f t="shared" si="26"/>
        <v>43952</v>
      </c>
    </row>
    <row r="1673" spans="1:8" x14ac:dyDescent="0.25">
      <c r="A1673" s="68">
        <v>43966</v>
      </c>
      <c r="B1673" s="48">
        <v>0</v>
      </c>
      <c r="C1673" s="48">
        <v>0</v>
      </c>
      <c r="D1673" s="48">
        <v>0</v>
      </c>
      <c r="E1673" s="48" t="s">
        <v>112</v>
      </c>
      <c r="F1673" s="48" t="s">
        <v>72</v>
      </c>
      <c r="G1673" s="48" t="s">
        <v>431</v>
      </c>
      <c r="H1673" s="69">
        <f t="shared" si="26"/>
        <v>43952</v>
      </c>
    </row>
    <row r="1674" spans="1:8" x14ac:dyDescent="0.25">
      <c r="A1674" s="68">
        <v>43966</v>
      </c>
      <c r="B1674" s="48">
        <v>0</v>
      </c>
      <c r="C1674" s="48">
        <v>0</v>
      </c>
      <c r="D1674" s="48">
        <v>0</v>
      </c>
      <c r="E1674" s="48" t="s">
        <v>112</v>
      </c>
      <c r="F1674" s="48" t="s">
        <v>72</v>
      </c>
      <c r="G1674" s="48" t="s">
        <v>426</v>
      </c>
      <c r="H1674" s="69">
        <f t="shared" si="26"/>
        <v>43952</v>
      </c>
    </row>
    <row r="1675" spans="1:8" x14ac:dyDescent="0.25">
      <c r="A1675" s="68">
        <v>43966</v>
      </c>
      <c r="B1675" s="48">
        <v>0</v>
      </c>
      <c r="C1675" s="48">
        <v>0</v>
      </c>
      <c r="D1675" s="48">
        <v>0</v>
      </c>
      <c r="E1675" s="48" t="s">
        <v>112</v>
      </c>
      <c r="F1675" s="48" t="s">
        <v>72</v>
      </c>
      <c r="G1675" s="48" t="s">
        <v>436</v>
      </c>
      <c r="H1675" s="69">
        <f t="shared" si="26"/>
        <v>43952</v>
      </c>
    </row>
    <row r="1676" spans="1:8" x14ac:dyDescent="0.25">
      <c r="A1676" s="68">
        <v>43966</v>
      </c>
      <c r="B1676" s="48">
        <v>0</v>
      </c>
      <c r="C1676" s="48">
        <v>0</v>
      </c>
      <c r="D1676" s="48">
        <v>0</v>
      </c>
      <c r="E1676" s="48" t="s">
        <v>112</v>
      </c>
      <c r="F1676" s="48" t="s">
        <v>72</v>
      </c>
      <c r="G1676" s="48" t="s">
        <v>357</v>
      </c>
      <c r="H1676" s="69">
        <f t="shared" si="26"/>
        <v>43952</v>
      </c>
    </row>
    <row r="1677" spans="1:8" x14ac:dyDescent="0.25">
      <c r="A1677" s="68">
        <v>43966</v>
      </c>
      <c r="B1677" s="48">
        <v>0</v>
      </c>
      <c r="C1677" s="48">
        <v>0</v>
      </c>
      <c r="D1677" s="48">
        <v>0</v>
      </c>
      <c r="E1677" s="48" t="s">
        <v>112</v>
      </c>
      <c r="F1677" s="48" t="s">
        <v>72</v>
      </c>
      <c r="G1677" s="48" t="s">
        <v>358</v>
      </c>
      <c r="H1677" s="69">
        <f t="shared" si="26"/>
        <v>43952</v>
      </c>
    </row>
    <row r="1678" spans="1:8" x14ac:dyDescent="0.25">
      <c r="A1678" s="68">
        <v>43966</v>
      </c>
      <c r="B1678" s="48">
        <v>0</v>
      </c>
      <c r="C1678" s="48">
        <v>0</v>
      </c>
      <c r="D1678" s="48">
        <v>0</v>
      </c>
      <c r="E1678" s="48" t="s">
        <v>112</v>
      </c>
      <c r="F1678" s="48" t="s">
        <v>72</v>
      </c>
      <c r="G1678" s="48" t="s">
        <v>399</v>
      </c>
      <c r="H1678" s="69">
        <f t="shared" si="26"/>
        <v>43952</v>
      </c>
    </row>
    <row r="1679" spans="1:8" x14ac:dyDescent="0.25">
      <c r="A1679" s="68">
        <v>43966</v>
      </c>
      <c r="B1679" s="48">
        <v>1</v>
      </c>
      <c r="C1679" s="48">
        <v>0</v>
      </c>
      <c r="D1679" s="48">
        <v>0</v>
      </c>
      <c r="E1679" s="48" t="s">
        <v>112</v>
      </c>
      <c r="F1679" s="48" t="s">
        <v>72</v>
      </c>
      <c r="G1679" s="48" t="s">
        <v>352</v>
      </c>
      <c r="H1679" s="69">
        <f t="shared" si="26"/>
        <v>43952</v>
      </c>
    </row>
    <row r="1680" spans="1:8" x14ac:dyDescent="0.25">
      <c r="A1680" s="68">
        <v>43966</v>
      </c>
      <c r="B1680" s="48">
        <v>0</v>
      </c>
      <c r="C1680" s="48">
        <v>0</v>
      </c>
      <c r="D1680" s="48">
        <v>0</v>
      </c>
      <c r="E1680" s="48" t="s">
        <v>112</v>
      </c>
      <c r="F1680" s="48" t="s">
        <v>72</v>
      </c>
      <c r="G1680" s="48" t="s">
        <v>359</v>
      </c>
      <c r="H1680" s="69">
        <f t="shared" si="26"/>
        <v>43952</v>
      </c>
    </row>
    <row r="1681" spans="1:8" x14ac:dyDescent="0.25">
      <c r="A1681" s="68">
        <v>43966</v>
      </c>
      <c r="B1681" s="48">
        <v>0</v>
      </c>
      <c r="C1681" s="48">
        <v>0</v>
      </c>
      <c r="D1681" s="48">
        <v>0</v>
      </c>
      <c r="E1681" s="48" t="s">
        <v>112</v>
      </c>
      <c r="F1681" s="48" t="s">
        <v>72</v>
      </c>
      <c r="G1681" s="48" t="s">
        <v>410</v>
      </c>
      <c r="H1681" s="69">
        <f t="shared" si="26"/>
        <v>43952</v>
      </c>
    </row>
    <row r="1682" spans="1:8" x14ac:dyDescent="0.25">
      <c r="A1682" s="68">
        <v>43966</v>
      </c>
      <c r="B1682" s="48">
        <v>1</v>
      </c>
      <c r="C1682" s="48">
        <v>0</v>
      </c>
      <c r="D1682" s="48">
        <v>0</v>
      </c>
      <c r="E1682" s="48" t="s">
        <v>112</v>
      </c>
      <c r="F1682" s="48" t="s">
        <v>72</v>
      </c>
      <c r="G1682" s="48" t="s">
        <v>365</v>
      </c>
      <c r="H1682" s="69">
        <f t="shared" si="26"/>
        <v>43952</v>
      </c>
    </row>
    <row r="1683" spans="1:8" x14ac:dyDescent="0.25">
      <c r="A1683" s="68">
        <v>43966</v>
      </c>
      <c r="B1683" s="48">
        <v>0</v>
      </c>
      <c r="C1683" s="48">
        <v>0</v>
      </c>
      <c r="D1683" s="48">
        <v>0</v>
      </c>
      <c r="E1683" s="48" t="s">
        <v>112</v>
      </c>
      <c r="F1683" s="48" t="s">
        <v>72</v>
      </c>
      <c r="G1683" s="48" t="s">
        <v>408</v>
      </c>
      <c r="H1683" s="69">
        <f t="shared" si="26"/>
        <v>43952</v>
      </c>
    </row>
    <row r="1684" spans="1:8" x14ac:dyDescent="0.25">
      <c r="A1684" s="68">
        <v>43966</v>
      </c>
      <c r="B1684" s="48">
        <v>0</v>
      </c>
      <c r="C1684" s="48">
        <v>0</v>
      </c>
      <c r="D1684" s="48">
        <v>0</v>
      </c>
      <c r="E1684" s="48" t="s">
        <v>112</v>
      </c>
      <c r="F1684" s="48" t="s">
        <v>72</v>
      </c>
      <c r="G1684" s="48" t="s">
        <v>411</v>
      </c>
      <c r="H1684" s="69">
        <f t="shared" si="26"/>
        <v>43952</v>
      </c>
    </row>
    <row r="1685" spans="1:8" x14ac:dyDescent="0.25">
      <c r="A1685" s="68">
        <v>43966</v>
      </c>
      <c r="B1685" s="48">
        <v>2</v>
      </c>
      <c r="C1685" s="48">
        <v>0</v>
      </c>
      <c r="D1685" s="48">
        <v>0</v>
      </c>
      <c r="E1685" s="48" t="s">
        <v>112</v>
      </c>
      <c r="F1685" s="48" t="s">
        <v>72</v>
      </c>
      <c r="G1685" s="48" t="s">
        <v>351</v>
      </c>
      <c r="H1685" s="69">
        <f t="shared" si="26"/>
        <v>43952</v>
      </c>
    </row>
    <row r="1686" spans="1:8" x14ac:dyDescent="0.25">
      <c r="A1686" s="68">
        <v>43966</v>
      </c>
      <c r="B1686" s="48">
        <v>0</v>
      </c>
      <c r="C1686" s="48">
        <v>0</v>
      </c>
      <c r="D1686" s="48">
        <v>0</v>
      </c>
      <c r="E1686" s="48" t="s">
        <v>112</v>
      </c>
      <c r="F1686" s="48" t="s">
        <v>72</v>
      </c>
      <c r="G1686" s="48" t="s">
        <v>417</v>
      </c>
      <c r="H1686" s="69">
        <f t="shared" si="26"/>
        <v>43952</v>
      </c>
    </row>
    <row r="1687" spans="1:8" x14ac:dyDescent="0.25">
      <c r="A1687" s="68">
        <v>43966</v>
      </c>
      <c r="B1687" s="48">
        <v>0</v>
      </c>
      <c r="C1687" s="48">
        <v>0</v>
      </c>
      <c r="D1687" s="48">
        <v>0</v>
      </c>
      <c r="E1687" s="48" t="s">
        <v>112</v>
      </c>
      <c r="F1687" s="48" t="s">
        <v>72</v>
      </c>
      <c r="G1687" s="48" t="s">
        <v>420</v>
      </c>
      <c r="H1687" s="69">
        <f t="shared" si="26"/>
        <v>43952</v>
      </c>
    </row>
    <row r="1688" spans="1:8" x14ac:dyDescent="0.25">
      <c r="A1688" s="68">
        <v>43966</v>
      </c>
      <c r="B1688" s="48">
        <v>287</v>
      </c>
      <c r="C1688" s="48">
        <v>11</v>
      </c>
      <c r="D1688" s="48">
        <v>84</v>
      </c>
      <c r="E1688" s="48" t="s">
        <v>112</v>
      </c>
      <c r="F1688" s="48" t="s">
        <v>71</v>
      </c>
      <c r="G1688" s="48" t="s">
        <v>92</v>
      </c>
      <c r="H1688" s="69">
        <f t="shared" si="26"/>
        <v>43952</v>
      </c>
    </row>
    <row r="1689" spans="1:8" x14ac:dyDescent="0.25">
      <c r="A1689" s="68">
        <v>43966</v>
      </c>
      <c r="B1689" s="48">
        <v>817</v>
      </c>
      <c r="C1689" s="48">
        <v>12</v>
      </c>
      <c r="D1689" s="48">
        <v>533</v>
      </c>
      <c r="E1689" s="48" t="s">
        <v>112</v>
      </c>
      <c r="F1689" s="48" t="s">
        <v>70</v>
      </c>
      <c r="G1689" s="48" t="s">
        <v>91</v>
      </c>
      <c r="H1689" s="69">
        <f t="shared" si="26"/>
        <v>43952</v>
      </c>
    </row>
    <row r="1690" spans="1:8" x14ac:dyDescent="0.25">
      <c r="A1690" s="68">
        <v>43967</v>
      </c>
      <c r="B1690" s="48">
        <v>4</v>
      </c>
      <c r="C1690" s="48">
        <v>0</v>
      </c>
      <c r="D1690" s="48">
        <v>1</v>
      </c>
      <c r="E1690" s="48" t="s">
        <v>112</v>
      </c>
      <c r="F1690" s="48" t="s">
        <v>76</v>
      </c>
      <c r="G1690" s="48" t="s">
        <v>339</v>
      </c>
      <c r="H1690" s="69">
        <f t="shared" si="26"/>
        <v>43952</v>
      </c>
    </row>
    <row r="1691" spans="1:8" x14ac:dyDescent="0.25">
      <c r="A1691" s="68">
        <v>43967</v>
      </c>
      <c r="B1691" s="48">
        <v>87</v>
      </c>
      <c r="C1691" s="48">
        <v>5</v>
      </c>
      <c r="D1691" s="48">
        <v>34</v>
      </c>
      <c r="E1691" s="48" t="s">
        <v>112</v>
      </c>
      <c r="F1691" s="48" t="s">
        <v>73</v>
      </c>
      <c r="G1691" s="48" t="s">
        <v>93</v>
      </c>
      <c r="H1691" s="69">
        <f t="shared" si="26"/>
        <v>43952</v>
      </c>
    </row>
    <row r="1692" spans="1:8" x14ac:dyDescent="0.25">
      <c r="A1692" s="68">
        <v>43967</v>
      </c>
      <c r="B1692" s="48">
        <v>6</v>
      </c>
      <c r="C1692" s="48">
        <v>0</v>
      </c>
      <c r="D1692" s="48">
        <v>0</v>
      </c>
      <c r="E1692" s="48" t="s">
        <v>112</v>
      </c>
      <c r="F1692" s="48" t="s">
        <v>75</v>
      </c>
      <c r="G1692" s="48" t="s">
        <v>103</v>
      </c>
      <c r="H1692" s="69">
        <f t="shared" si="26"/>
        <v>43952</v>
      </c>
    </row>
    <row r="1693" spans="1:8" x14ac:dyDescent="0.25">
      <c r="A1693" s="68">
        <v>43967</v>
      </c>
      <c r="B1693" s="48">
        <v>0</v>
      </c>
      <c r="C1693" s="48">
        <v>0</v>
      </c>
      <c r="D1693" s="48">
        <v>1</v>
      </c>
      <c r="E1693" s="48" t="s">
        <v>112</v>
      </c>
      <c r="F1693" s="48" t="s">
        <v>75</v>
      </c>
      <c r="G1693" s="48" t="s">
        <v>373</v>
      </c>
      <c r="H1693" s="69">
        <f t="shared" si="26"/>
        <v>43952</v>
      </c>
    </row>
    <row r="1694" spans="1:8" x14ac:dyDescent="0.25">
      <c r="A1694" s="68">
        <v>43967</v>
      </c>
      <c r="B1694" s="48">
        <v>1</v>
      </c>
      <c r="C1694" s="48">
        <v>0</v>
      </c>
      <c r="D1694" s="48">
        <v>0</v>
      </c>
      <c r="E1694" s="48" t="s">
        <v>112</v>
      </c>
      <c r="F1694" s="48" t="s">
        <v>75</v>
      </c>
      <c r="G1694" s="48" t="s">
        <v>368</v>
      </c>
      <c r="H1694" s="69">
        <f t="shared" si="26"/>
        <v>43952</v>
      </c>
    </row>
    <row r="1695" spans="1:8" x14ac:dyDescent="0.25">
      <c r="A1695" s="68">
        <v>43967</v>
      </c>
      <c r="B1695" s="48">
        <v>55</v>
      </c>
      <c r="C1695" s="48">
        <v>0</v>
      </c>
      <c r="D1695" s="48">
        <v>13</v>
      </c>
      <c r="E1695" s="48" t="s">
        <v>112</v>
      </c>
      <c r="F1695" s="48" t="s">
        <v>74</v>
      </c>
      <c r="G1695" s="48" t="s">
        <v>95</v>
      </c>
      <c r="H1695" s="69">
        <f t="shared" si="26"/>
        <v>43952</v>
      </c>
    </row>
    <row r="1696" spans="1:8" x14ac:dyDescent="0.25">
      <c r="A1696" s="68">
        <v>43967</v>
      </c>
      <c r="B1696" s="48">
        <v>77</v>
      </c>
      <c r="C1696" s="48">
        <v>7</v>
      </c>
      <c r="D1696" s="48">
        <v>0</v>
      </c>
      <c r="E1696" s="48" t="s">
        <v>112</v>
      </c>
      <c r="F1696" s="48" t="s">
        <v>72</v>
      </c>
      <c r="G1696" s="48" t="s">
        <v>94</v>
      </c>
      <c r="H1696" s="69">
        <f t="shared" si="26"/>
        <v>43952</v>
      </c>
    </row>
    <row r="1697" spans="1:8" x14ac:dyDescent="0.25">
      <c r="A1697" s="68">
        <v>43967</v>
      </c>
      <c r="B1697" s="48">
        <v>3</v>
      </c>
      <c r="C1697" s="48">
        <v>0</v>
      </c>
      <c r="D1697" s="48">
        <v>0</v>
      </c>
      <c r="E1697" s="48" t="s">
        <v>112</v>
      </c>
      <c r="F1697" s="48" t="s">
        <v>72</v>
      </c>
      <c r="G1697" s="48" t="s">
        <v>341</v>
      </c>
      <c r="H1697" s="69">
        <f t="shared" si="26"/>
        <v>43952</v>
      </c>
    </row>
    <row r="1698" spans="1:8" x14ac:dyDescent="0.25">
      <c r="A1698" s="68">
        <v>43967</v>
      </c>
      <c r="B1698" s="48">
        <v>6</v>
      </c>
      <c r="C1698" s="48">
        <v>0</v>
      </c>
      <c r="D1698" s="48">
        <v>0</v>
      </c>
      <c r="E1698" s="48" t="s">
        <v>112</v>
      </c>
      <c r="F1698" s="48" t="s">
        <v>72</v>
      </c>
      <c r="G1698" s="48" t="s">
        <v>338</v>
      </c>
      <c r="H1698" s="69">
        <f t="shared" si="26"/>
        <v>43952</v>
      </c>
    </row>
    <row r="1699" spans="1:8" x14ac:dyDescent="0.25">
      <c r="A1699" s="68">
        <v>43967</v>
      </c>
      <c r="B1699" s="48">
        <v>12</v>
      </c>
      <c r="C1699" s="48">
        <v>0</v>
      </c>
      <c r="D1699" s="48">
        <v>0</v>
      </c>
      <c r="E1699" s="48" t="s">
        <v>112</v>
      </c>
      <c r="F1699" s="48" t="s">
        <v>72</v>
      </c>
      <c r="G1699" s="48" t="s">
        <v>343</v>
      </c>
      <c r="H1699" s="69">
        <f t="shared" si="26"/>
        <v>43952</v>
      </c>
    </row>
    <row r="1700" spans="1:8" x14ac:dyDescent="0.25">
      <c r="A1700" s="68">
        <v>43967</v>
      </c>
      <c r="B1700" s="48">
        <v>0</v>
      </c>
      <c r="C1700" s="48">
        <v>0</v>
      </c>
      <c r="D1700" s="48">
        <v>0</v>
      </c>
      <c r="E1700" s="48" t="s">
        <v>112</v>
      </c>
      <c r="F1700" s="48" t="s">
        <v>72</v>
      </c>
      <c r="G1700" s="48" t="s">
        <v>400</v>
      </c>
      <c r="H1700" s="69">
        <f t="shared" si="26"/>
        <v>43952</v>
      </c>
    </row>
    <row r="1701" spans="1:8" x14ac:dyDescent="0.25">
      <c r="A1701" s="68">
        <v>43967</v>
      </c>
      <c r="B1701" s="48">
        <v>7</v>
      </c>
      <c r="C1701" s="48">
        <v>1</v>
      </c>
      <c r="D1701" s="48">
        <v>0</v>
      </c>
      <c r="E1701" s="48" t="s">
        <v>112</v>
      </c>
      <c r="F1701" s="48" t="s">
        <v>72</v>
      </c>
      <c r="G1701" s="48" t="s">
        <v>102</v>
      </c>
      <c r="H1701" s="69">
        <f t="shared" si="26"/>
        <v>43952</v>
      </c>
    </row>
    <row r="1702" spans="1:8" x14ac:dyDescent="0.25">
      <c r="A1702" s="68">
        <v>43967</v>
      </c>
      <c r="B1702" s="48">
        <v>1</v>
      </c>
      <c r="C1702" s="48">
        <v>0</v>
      </c>
      <c r="D1702" s="48">
        <v>0</v>
      </c>
      <c r="E1702" s="48" t="s">
        <v>112</v>
      </c>
      <c r="F1702" s="48" t="s">
        <v>72</v>
      </c>
      <c r="G1702" s="48" t="s">
        <v>355</v>
      </c>
      <c r="H1702" s="69">
        <f t="shared" si="26"/>
        <v>43952</v>
      </c>
    </row>
    <row r="1703" spans="1:8" x14ac:dyDescent="0.25">
      <c r="A1703" s="68">
        <v>43967</v>
      </c>
      <c r="B1703" s="48">
        <v>25</v>
      </c>
      <c r="C1703" s="48">
        <v>3</v>
      </c>
      <c r="D1703" s="48">
        <v>0</v>
      </c>
      <c r="E1703" s="48" t="s">
        <v>112</v>
      </c>
      <c r="F1703" s="48" t="s">
        <v>72</v>
      </c>
      <c r="G1703" s="48" t="s">
        <v>96</v>
      </c>
      <c r="H1703" s="69">
        <f t="shared" si="26"/>
        <v>43952</v>
      </c>
    </row>
    <row r="1704" spans="1:8" x14ac:dyDescent="0.25">
      <c r="A1704" s="68">
        <v>43967</v>
      </c>
      <c r="B1704" s="48">
        <v>0</v>
      </c>
      <c r="C1704" s="48">
        <v>0</v>
      </c>
      <c r="D1704" s="48">
        <v>0</v>
      </c>
      <c r="E1704" s="48" t="s">
        <v>112</v>
      </c>
      <c r="F1704" s="48" t="s">
        <v>72</v>
      </c>
      <c r="G1704" s="48" t="s">
        <v>347</v>
      </c>
      <c r="H1704" s="69">
        <f t="shared" si="26"/>
        <v>43952</v>
      </c>
    </row>
    <row r="1705" spans="1:8" x14ac:dyDescent="0.25">
      <c r="A1705" s="68">
        <v>43967</v>
      </c>
      <c r="B1705" s="48">
        <v>3</v>
      </c>
      <c r="C1705" s="48">
        <v>1</v>
      </c>
      <c r="D1705" s="48">
        <v>0</v>
      </c>
      <c r="E1705" s="48" t="s">
        <v>112</v>
      </c>
      <c r="F1705" s="48" t="s">
        <v>72</v>
      </c>
      <c r="G1705" s="48" t="s">
        <v>335</v>
      </c>
      <c r="H1705" s="69">
        <f t="shared" si="26"/>
        <v>43952</v>
      </c>
    </row>
    <row r="1706" spans="1:8" x14ac:dyDescent="0.25">
      <c r="A1706" s="68">
        <v>43967</v>
      </c>
      <c r="B1706" s="48">
        <v>0</v>
      </c>
      <c r="C1706" s="48">
        <v>0</v>
      </c>
      <c r="D1706" s="48">
        <v>0</v>
      </c>
      <c r="E1706" s="48" t="s">
        <v>112</v>
      </c>
      <c r="F1706" s="48" t="s">
        <v>72</v>
      </c>
      <c r="G1706" s="48" t="s">
        <v>342</v>
      </c>
      <c r="H1706" s="69">
        <f t="shared" si="26"/>
        <v>43952</v>
      </c>
    </row>
    <row r="1707" spans="1:8" x14ac:dyDescent="0.25">
      <c r="A1707" s="68">
        <v>43967</v>
      </c>
      <c r="B1707" s="48">
        <v>0</v>
      </c>
      <c r="C1707" s="48">
        <v>0</v>
      </c>
      <c r="D1707" s="48">
        <v>0</v>
      </c>
      <c r="E1707" s="48" t="s">
        <v>112</v>
      </c>
      <c r="F1707" s="48" t="s">
        <v>72</v>
      </c>
      <c r="G1707" s="48" t="s">
        <v>353</v>
      </c>
      <c r="H1707" s="69">
        <f t="shared" si="26"/>
        <v>43952</v>
      </c>
    </row>
    <row r="1708" spans="1:8" x14ac:dyDescent="0.25">
      <c r="A1708" s="68">
        <v>43967</v>
      </c>
      <c r="B1708" s="48">
        <v>5</v>
      </c>
      <c r="C1708" s="48">
        <v>0</v>
      </c>
      <c r="D1708" s="48">
        <v>0</v>
      </c>
      <c r="E1708" s="48" t="s">
        <v>112</v>
      </c>
      <c r="F1708" s="48" t="s">
        <v>72</v>
      </c>
      <c r="G1708" s="48" t="s">
        <v>101</v>
      </c>
      <c r="H1708" s="69">
        <f t="shared" si="26"/>
        <v>43952</v>
      </c>
    </row>
    <row r="1709" spans="1:8" x14ac:dyDescent="0.25">
      <c r="A1709" s="68">
        <v>43967</v>
      </c>
      <c r="B1709" s="48">
        <v>1</v>
      </c>
      <c r="C1709" s="48">
        <v>0</v>
      </c>
      <c r="D1709" s="48">
        <v>0</v>
      </c>
      <c r="E1709" s="48" t="s">
        <v>112</v>
      </c>
      <c r="F1709" s="48" t="s">
        <v>72</v>
      </c>
      <c r="G1709" s="48" t="s">
        <v>387</v>
      </c>
      <c r="H1709" s="69">
        <f t="shared" si="26"/>
        <v>43952</v>
      </c>
    </row>
    <row r="1710" spans="1:8" x14ac:dyDescent="0.25">
      <c r="A1710" s="68">
        <v>43967</v>
      </c>
      <c r="B1710" s="48">
        <v>0</v>
      </c>
      <c r="C1710" s="48">
        <v>0</v>
      </c>
      <c r="D1710" s="48">
        <v>0</v>
      </c>
      <c r="E1710" s="48" t="s">
        <v>112</v>
      </c>
      <c r="F1710" s="48" t="s">
        <v>72</v>
      </c>
      <c r="G1710" s="48" t="s">
        <v>406</v>
      </c>
      <c r="H1710" s="69">
        <f t="shared" si="26"/>
        <v>43952</v>
      </c>
    </row>
    <row r="1711" spans="1:8" x14ac:dyDescent="0.25">
      <c r="A1711" s="68">
        <v>43967</v>
      </c>
      <c r="B1711" s="48">
        <v>3</v>
      </c>
      <c r="C1711" s="48">
        <v>1</v>
      </c>
      <c r="D1711" s="48">
        <v>0</v>
      </c>
      <c r="E1711" s="48" t="s">
        <v>112</v>
      </c>
      <c r="F1711" s="48" t="s">
        <v>72</v>
      </c>
      <c r="G1711" s="48" t="s">
        <v>344</v>
      </c>
      <c r="H1711" s="69">
        <f t="shared" si="26"/>
        <v>43952</v>
      </c>
    </row>
    <row r="1712" spans="1:8" x14ac:dyDescent="0.25">
      <c r="A1712" s="68">
        <v>43967</v>
      </c>
      <c r="B1712" s="48">
        <v>0</v>
      </c>
      <c r="C1712" s="48">
        <v>0</v>
      </c>
      <c r="D1712" s="48">
        <v>0</v>
      </c>
      <c r="E1712" s="48" t="s">
        <v>112</v>
      </c>
      <c r="F1712" s="48" t="s">
        <v>72</v>
      </c>
      <c r="G1712" s="48" t="s">
        <v>354</v>
      </c>
      <c r="H1712" s="69">
        <f t="shared" si="26"/>
        <v>43952</v>
      </c>
    </row>
    <row r="1713" spans="1:8" x14ac:dyDescent="0.25">
      <c r="A1713" s="68">
        <v>43967</v>
      </c>
      <c r="B1713" s="48">
        <v>5</v>
      </c>
      <c r="C1713" s="48">
        <v>0</v>
      </c>
      <c r="D1713" s="48">
        <v>0</v>
      </c>
      <c r="E1713" s="48" t="s">
        <v>112</v>
      </c>
      <c r="F1713" s="48" t="s">
        <v>72</v>
      </c>
      <c r="G1713" s="48" t="s">
        <v>337</v>
      </c>
      <c r="H1713" s="69">
        <f t="shared" si="26"/>
        <v>43952</v>
      </c>
    </row>
    <row r="1714" spans="1:8" x14ac:dyDescent="0.25">
      <c r="A1714" s="68">
        <v>43967</v>
      </c>
      <c r="B1714" s="48">
        <v>5</v>
      </c>
      <c r="C1714" s="48">
        <v>0</v>
      </c>
      <c r="D1714" s="48">
        <v>0</v>
      </c>
      <c r="E1714" s="48" t="s">
        <v>112</v>
      </c>
      <c r="F1714" s="48" t="s">
        <v>72</v>
      </c>
      <c r="G1714" s="48" t="s">
        <v>356</v>
      </c>
      <c r="H1714" s="69">
        <f t="shared" si="26"/>
        <v>43952</v>
      </c>
    </row>
    <row r="1715" spans="1:8" x14ac:dyDescent="0.25">
      <c r="A1715" s="68">
        <v>43967</v>
      </c>
      <c r="B1715" s="48">
        <v>0</v>
      </c>
      <c r="C1715" s="48">
        <v>0</v>
      </c>
      <c r="D1715" s="48">
        <v>0</v>
      </c>
      <c r="E1715" s="48" t="s">
        <v>112</v>
      </c>
      <c r="F1715" s="48" t="s">
        <v>72</v>
      </c>
      <c r="G1715" s="48" t="s">
        <v>429</v>
      </c>
      <c r="H1715" s="69">
        <f t="shared" si="26"/>
        <v>43952</v>
      </c>
    </row>
    <row r="1716" spans="1:8" x14ac:dyDescent="0.25">
      <c r="A1716" s="68">
        <v>43967</v>
      </c>
      <c r="B1716" s="48">
        <v>0</v>
      </c>
      <c r="C1716" s="48">
        <v>0</v>
      </c>
      <c r="D1716" s="48">
        <v>0</v>
      </c>
      <c r="E1716" s="48" t="s">
        <v>112</v>
      </c>
      <c r="F1716" s="48" t="s">
        <v>72</v>
      </c>
      <c r="G1716" s="48" t="s">
        <v>431</v>
      </c>
      <c r="H1716" s="69">
        <f t="shared" si="26"/>
        <v>43952</v>
      </c>
    </row>
    <row r="1717" spans="1:8" x14ac:dyDescent="0.25">
      <c r="A1717" s="68">
        <v>43967</v>
      </c>
      <c r="B1717" s="48">
        <v>0</v>
      </c>
      <c r="C1717" s="48">
        <v>0</v>
      </c>
      <c r="D1717" s="48">
        <v>0</v>
      </c>
      <c r="E1717" s="48" t="s">
        <v>112</v>
      </c>
      <c r="F1717" s="48" t="s">
        <v>72</v>
      </c>
      <c r="G1717" s="48" t="s">
        <v>426</v>
      </c>
      <c r="H1717" s="69">
        <f t="shared" si="26"/>
        <v>43952</v>
      </c>
    </row>
    <row r="1718" spans="1:8" x14ac:dyDescent="0.25">
      <c r="A1718" s="68">
        <v>43967</v>
      </c>
      <c r="B1718" s="48">
        <v>0</v>
      </c>
      <c r="C1718" s="48">
        <v>0</v>
      </c>
      <c r="D1718" s="48">
        <v>0</v>
      </c>
      <c r="E1718" s="48" t="s">
        <v>112</v>
      </c>
      <c r="F1718" s="48" t="s">
        <v>72</v>
      </c>
      <c r="G1718" s="48" t="s">
        <v>436</v>
      </c>
      <c r="H1718" s="69">
        <f t="shared" si="26"/>
        <v>43952</v>
      </c>
    </row>
    <row r="1719" spans="1:8" x14ac:dyDescent="0.25">
      <c r="A1719" s="68">
        <v>43967</v>
      </c>
      <c r="B1719" s="48">
        <v>3</v>
      </c>
      <c r="C1719" s="48">
        <v>0</v>
      </c>
      <c r="D1719" s="48">
        <v>0</v>
      </c>
      <c r="E1719" s="48" t="s">
        <v>112</v>
      </c>
      <c r="F1719" s="48" t="s">
        <v>72</v>
      </c>
      <c r="G1719" s="48" t="s">
        <v>357</v>
      </c>
      <c r="H1719" s="69">
        <f t="shared" si="26"/>
        <v>43952</v>
      </c>
    </row>
    <row r="1720" spans="1:8" x14ac:dyDescent="0.25">
      <c r="A1720" s="68">
        <v>43967</v>
      </c>
      <c r="B1720" s="48">
        <v>3</v>
      </c>
      <c r="C1720" s="48">
        <v>1</v>
      </c>
      <c r="D1720" s="48">
        <v>0</v>
      </c>
      <c r="E1720" s="48" t="s">
        <v>112</v>
      </c>
      <c r="F1720" s="48" t="s">
        <v>72</v>
      </c>
      <c r="G1720" s="48" t="s">
        <v>358</v>
      </c>
      <c r="H1720" s="69">
        <f t="shared" si="26"/>
        <v>43952</v>
      </c>
    </row>
    <row r="1721" spans="1:8" x14ac:dyDescent="0.25">
      <c r="A1721" s="68">
        <v>43967</v>
      </c>
      <c r="B1721" s="48">
        <v>0</v>
      </c>
      <c r="C1721" s="48">
        <v>0</v>
      </c>
      <c r="D1721" s="48">
        <v>0</v>
      </c>
      <c r="E1721" s="48" t="s">
        <v>112</v>
      </c>
      <c r="F1721" s="48" t="s">
        <v>72</v>
      </c>
      <c r="G1721" s="48" t="s">
        <v>399</v>
      </c>
      <c r="H1721" s="69">
        <f t="shared" si="26"/>
        <v>43952</v>
      </c>
    </row>
    <row r="1722" spans="1:8" x14ac:dyDescent="0.25">
      <c r="A1722" s="68">
        <v>43967</v>
      </c>
      <c r="B1722" s="48">
        <v>0</v>
      </c>
      <c r="C1722" s="48">
        <v>0</v>
      </c>
      <c r="D1722" s="48">
        <v>0</v>
      </c>
      <c r="E1722" s="48" t="s">
        <v>112</v>
      </c>
      <c r="F1722" s="48" t="s">
        <v>72</v>
      </c>
      <c r="G1722" s="48" t="s">
        <v>352</v>
      </c>
      <c r="H1722" s="69">
        <f t="shared" si="26"/>
        <v>43952</v>
      </c>
    </row>
    <row r="1723" spans="1:8" x14ac:dyDescent="0.25">
      <c r="A1723" s="68">
        <v>43967</v>
      </c>
      <c r="B1723" s="48">
        <v>2</v>
      </c>
      <c r="C1723" s="48">
        <v>0</v>
      </c>
      <c r="D1723" s="48">
        <v>0</v>
      </c>
      <c r="E1723" s="48" t="s">
        <v>112</v>
      </c>
      <c r="F1723" s="48" t="s">
        <v>72</v>
      </c>
      <c r="G1723" s="48" t="s">
        <v>359</v>
      </c>
      <c r="H1723" s="69">
        <f t="shared" si="26"/>
        <v>43952</v>
      </c>
    </row>
    <row r="1724" spans="1:8" x14ac:dyDescent="0.25">
      <c r="A1724" s="68">
        <v>43967</v>
      </c>
      <c r="B1724" s="48">
        <v>0</v>
      </c>
      <c r="C1724" s="48">
        <v>0</v>
      </c>
      <c r="D1724" s="48">
        <v>0</v>
      </c>
      <c r="E1724" s="48" t="s">
        <v>112</v>
      </c>
      <c r="F1724" s="48" t="s">
        <v>72</v>
      </c>
      <c r="G1724" s="48" t="s">
        <v>410</v>
      </c>
      <c r="H1724" s="69">
        <f t="shared" si="26"/>
        <v>43952</v>
      </c>
    </row>
    <row r="1725" spans="1:8" x14ac:dyDescent="0.25">
      <c r="A1725" s="68">
        <v>43967</v>
      </c>
      <c r="B1725" s="48">
        <v>0</v>
      </c>
      <c r="C1725" s="48">
        <v>0</v>
      </c>
      <c r="D1725" s="48">
        <v>0</v>
      </c>
      <c r="E1725" s="48" t="s">
        <v>112</v>
      </c>
      <c r="F1725" s="48" t="s">
        <v>72</v>
      </c>
      <c r="G1725" s="48" t="s">
        <v>365</v>
      </c>
      <c r="H1725" s="69">
        <f t="shared" si="26"/>
        <v>43952</v>
      </c>
    </row>
    <row r="1726" spans="1:8" x14ac:dyDescent="0.25">
      <c r="A1726" s="68">
        <v>43967</v>
      </c>
      <c r="B1726" s="48">
        <v>0</v>
      </c>
      <c r="C1726" s="48">
        <v>0</v>
      </c>
      <c r="D1726" s="48">
        <v>0</v>
      </c>
      <c r="E1726" s="48" t="s">
        <v>112</v>
      </c>
      <c r="F1726" s="48" t="s">
        <v>72</v>
      </c>
      <c r="G1726" s="48" t="s">
        <v>408</v>
      </c>
      <c r="H1726" s="69">
        <f t="shared" si="26"/>
        <v>43952</v>
      </c>
    </row>
    <row r="1727" spans="1:8" x14ac:dyDescent="0.25">
      <c r="A1727" s="68">
        <v>43967</v>
      </c>
      <c r="B1727" s="48">
        <v>0</v>
      </c>
      <c r="C1727" s="48">
        <v>0</v>
      </c>
      <c r="D1727" s="48">
        <v>0</v>
      </c>
      <c r="E1727" s="48" t="s">
        <v>112</v>
      </c>
      <c r="F1727" s="48" t="s">
        <v>72</v>
      </c>
      <c r="G1727" s="48" t="s">
        <v>411</v>
      </c>
      <c r="H1727" s="69">
        <f t="shared" si="26"/>
        <v>43952</v>
      </c>
    </row>
    <row r="1728" spans="1:8" x14ac:dyDescent="0.25">
      <c r="A1728" s="68">
        <v>43967</v>
      </c>
      <c r="B1728" s="48">
        <v>1</v>
      </c>
      <c r="C1728" s="48">
        <v>0</v>
      </c>
      <c r="D1728" s="48">
        <v>0</v>
      </c>
      <c r="E1728" s="48" t="s">
        <v>112</v>
      </c>
      <c r="F1728" s="48" t="s">
        <v>72</v>
      </c>
      <c r="G1728" s="48" t="s">
        <v>351</v>
      </c>
      <c r="H1728" s="69">
        <f t="shared" si="26"/>
        <v>43952</v>
      </c>
    </row>
    <row r="1729" spans="1:8" x14ac:dyDescent="0.25">
      <c r="A1729" s="68">
        <v>43967</v>
      </c>
      <c r="B1729" s="48">
        <v>0</v>
      </c>
      <c r="C1729" s="48">
        <v>0</v>
      </c>
      <c r="D1729" s="48">
        <v>0</v>
      </c>
      <c r="E1729" s="48" t="s">
        <v>112</v>
      </c>
      <c r="F1729" s="48" t="s">
        <v>72</v>
      </c>
      <c r="G1729" s="48" t="s">
        <v>417</v>
      </c>
      <c r="H1729" s="69">
        <f t="shared" si="26"/>
        <v>43952</v>
      </c>
    </row>
    <row r="1730" spans="1:8" x14ac:dyDescent="0.25">
      <c r="A1730" s="68">
        <v>43967</v>
      </c>
      <c r="B1730" s="48">
        <v>0</v>
      </c>
      <c r="C1730" s="48">
        <v>0</v>
      </c>
      <c r="D1730" s="48">
        <v>0</v>
      </c>
      <c r="E1730" s="48" t="s">
        <v>112</v>
      </c>
      <c r="F1730" s="48" t="s">
        <v>72</v>
      </c>
      <c r="G1730" s="48" t="s">
        <v>420</v>
      </c>
      <c r="H1730" s="69">
        <f t="shared" ref="H1730:H1793" si="27">DATE(YEAR(A1730),MONTH(A1730),1)</f>
        <v>43952</v>
      </c>
    </row>
    <row r="1731" spans="1:8" x14ac:dyDescent="0.25">
      <c r="A1731" s="68">
        <v>43967</v>
      </c>
      <c r="B1731" s="48">
        <v>383</v>
      </c>
      <c r="C1731" s="48">
        <v>7</v>
      </c>
      <c r="D1731" s="48">
        <v>37</v>
      </c>
      <c r="E1731" s="48" t="s">
        <v>112</v>
      </c>
      <c r="F1731" s="48" t="s">
        <v>71</v>
      </c>
      <c r="G1731" s="48" t="s">
        <v>92</v>
      </c>
      <c r="H1731" s="69">
        <f t="shared" si="27"/>
        <v>43952</v>
      </c>
    </row>
    <row r="1732" spans="1:8" x14ac:dyDescent="0.25">
      <c r="A1732" s="68">
        <v>43967</v>
      </c>
      <c r="B1732" s="48">
        <v>674</v>
      </c>
      <c r="C1732" s="48">
        <v>13</v>
      </c>
      <c r="D1732" s="48">
        <v>198</v>
      </c>
      <c r="E1732" s="48" t="s">
        <v>112</v>
      </c>
      <c r="F1732" s="48" t="s">
        <v>70</v>
      </c>
      <c r="G1732" s="48" t="s">
        <v>91</v>
      </c>
      <c r="H1732" s="69">
        <f t="shared" si="27"/>
        <v>43952</v>
      </c>
    </row>
    <row r="1733" spans="1:8" x14ac:dyDescent="0.25">
      <c r="A1733" s="68">
        <v>43968</v>
      </c>
      <c r="B1733" s="48">
        <v>50</v>
      </c>
      <c r="C1733" s="48">
        <v>0</v>
      </c>
      <c r="D1733" s="48">
        <v>0</v>
      </c>
      <c r="E1733" s="48" t="s">
        <v>112</v>
      </c>
      <c r="F1733" s="48" t="s">
        <v>74</v>
      </c>
      <c r="G1733" s="48" t="s">
        <v>95</v>
      </c>
      <c r="H1733" s="69">
        <f t="shared" si="27"/>
        <v>43952</v>
      </c>
    </row>
    <row r="1734" spans="1:8" x14ac:dyDescent="0.25">
      <c r="A1734" s="68">
        <v>43968</v>
      </c>
      <c r="B1734" s="48">
        <v>67</v>
      </c>
      <c r="C1734" s="48">
        <v>8</v>
      </c>
      <c r="D1734" s="48">
        <v>0</v>
      </c>
      <c r="E1734" s="48" t="s">
        <v>112</v>
      </c>
      <c r="F1734" s="48" t="s">
        <v>72</v>
      </c>
      <c r="G1734" s="48" t="s">
        <v>94</v>
      </c>
      <c r="H1734" s="69">
        <f t="shared" si="27"/>
        <v>43952</v>
      </c>
    </row>
    <row r="1735" spans="1:8" x14ac:dyDescent="0.25">
      <c r="A1735" s="68">
        <v>43968</v>
      </c>
      <c r="B1735" s="48">
        <v>10</v>
      </c>
      <c r="C1735" s="48">
        <v>0</v>
      </c>
      <c r="D1735" s="48">
        <v>0</v>
      </c>
      <c r="E1735" s="48" t="s">
        <v>112</v>
      </c>
      <c r="F1735" s="48" t="s">
        <v>72</v>
      </c>
      <c r="G1735" s="48" t="s">
        <v>341</v>
      </c>
      <c r="H1735" s="69">
        <f t="shared" si="27"/>
        <v>43952</v>
      </c>
    </row>
    <row r="1736" spans="1:8" x14ac:dyDescent="0.25">
      <c r="A1736" s="68">
        <v>43968</v>
      </c>
      <c r="B1736" s="48">
        <v>8</v>
      </c>
      <c r="C1736" s="48">
        <v>0</v>
      </c>
      <c r="D1736" s="48">
        <v>0</v>
      </c>
      <c r="E1736" s="48" t="s">
        <v>112</v>
      </c>
      <c r="F1736" s="48" t="s">
        <v>72</v>
      </c>
      <c r="G1736" s="48" t="s">
        <v>338</v>
      </c>
      <c r="H1736" s="69">
        <f t="shared" si="27"/>
        <v>43952</v>
      </c>
    </row>
    <row r="1737" spans="1:8" x14ac:dyDescent="0.25">
      <c r="A1737" s="68">
        <v>43968</v>
      </c>
      <c r="B1737" s="48">
        <v>4</v>
      </c>
      <c r="C1737" s="48">
        <v>0</v>
      </c>
      <c r="D1737" s="48">
        <v>0</v>
      </c>
      <c r="E1737" s="48" t="s">
        <v>112</v>
      </c>
      <c r="F1737" s="48" t="s">
        <v>72</v>
      </c>
      <c r="G1737" s="48" t="s">
        <v>343</v>
      </c>
      <c r="H1737" s="69">
        <f t="shared" si="27"/>
        <v>43952</v>
      </c>
    </row>
    <row r="1738" spans="1:8" x14ac:dyDescent="0.25">
      <c r="A1738" s="68">
        <v>43968</v>
      </c>
      <c r="B1738" s="48">
        <v>1</v>
      </c>
      <c r="C1738" s="48">
        <v>0</v>
      </c>
      <c r="D1738" s="48">
        <v>0</v>
      </c>
      <c r="E1738" s="48" t="s">
        <v>112</v>
      </c>
      <c r="F1738" s="48" t="s">
        <v>72</v>
      </c>
      <c r="G1738" s="48" t="s">
        <v>400</v>
      </c>
      <c r="H1738" s="69">
        <f t="shared" si="27"/>
        <v>43952</v>
      </c>
    </row>
    <row r="1739" spans="1:8" x14ac:dyDescent="0.25">
      <c r="A1739" s="68">
        <v>43968</v>
      </c>
      <c r="B1739" s="48">
        <v>23</v>
      </c>
      <c r="C1739" s="48">
        <v>0</v>
      </c>
      <c r="D1739" s="48">
        <v>0</v>
      </c>
      <c r="E1739" s="48" t="s">
        <v>112</v>
      </c>
      <c r="F1739" s="48" t="s">
        <v>72</v>
      </c>
      <c r="G1739" s="48" t="s">
        <v>102</v>
      </c>
      <c r="H1739" s="69">
        <f t="shared" si="27"/>
        <v>43952</v>
      </c>
    </row>
    <row r="1740" spans="1:8" x14ac:dyDescent="0.25">
      <c r="A1740" s="68">
        <v>43968</v>
      </c>
      <c r="B1740" s="48">
        <v>3</v>
      </c>
      <c r="C1740" s="48">
        <v>1</v>
      </c>
      <c r="D1740" s="48">
        <v>0</v>
      </c>
      <c r="E1740" s="48" t="s">
        <v>112</v>
      </c>
      <c r="F1740" s="48" t="s">
        <v>72</v>
      </c>
      <c r="G1740" s="48" t="s">
        <v>355</v>
      </c>
      <c r="H1740" s="69">
        <f t="shared" si="27"/>
        <v>43952</v>
      </c>
    </row>
    <row r="1741" spans="1:8" x14ac:dyDescent="0.25">
      <c r="A1741" s="68">
        <v>43968</v>
      </c>
      <c r="B1741" s="48">
        <v>37</v>
      </c>
      <c r="C1741" s="48">
        <v>2</v>
      </c>
      <c r="D1741" s="48">
        <v>0</v>
      </c>
      <c r="E1741" s="48" t="s">
        <v>112</v>
      </c>
      <c r="F1741" s="48" t="s">
        <v>72</v>
      </c>
      <c r="G1741" s="48" t="s">
        <v>96</v>
      </c>
      <c r="H1741" s="69">
        <f t="shared" si="27"/>
        <v>43952</v>
      </c>
    </row>
    <row r="1742" spans="1:8" x14ac:dyDescent="0.25">
      <c r="A1742" s="68">
        <v>43968</v>
      </c>
      <c r="B1742" s="48">
        <v>0</v>
      </c>
      <c r="C1742" s="48">
        <v>0</v>
      </c>
      <c r="D1742" s="48">
        <v>0</v>
      </c>
      <c r="E1742" s="48" t="s">
        <v>112</v>
      </c>
      <c r="F1742" s="48" t="s">
        <v>72</v>
      </c>
      <c r="G1742" s="48" t="s">
        <v>347</v>
      </c>
      <c r="H1742" s="69">
        <f t="shared" si="27"/>
        <v>43952</v>
      </c>
    </row>
    <row r="1743" spans="1:8" x14ac:dyDescent="0.25">
      <c r="A1743" s="68">
        <v>43968</v>
      </c>
      <c r="B1743" s="48">
        <v>1</v>
      </c>
      <c r="C1743" s="48">
        <v>0</v>
      </c>
      <c r="D1743" s="48">
        <v>0</v>
      </c>
      <c r="E1743" s="48" t="s">
        <v>112</v>
      </c>
      <c r="F1743" s="48" t="s">
        <v>72</v>
      </c>
      <c r="G1743" s="48" t="s">
        <v>335</v>
      </c>
      <c r="H1743" s="69">
        <f t="shared" si="27"/>
        <v>43952</v>
      </c>
    </row>
    <row r="1744" spans="1:8" x14ac:dyDescent="0.25">
      <c r="A1744" s="68">
        <v>43968</v>
      </c>
      <c r="B1744" s="48">
        <v>19</v>
      </c>
      <c r="C1744" s="48">
        <v>0</v>
      </c>
      <c r="D1744" s="48">
        <v>0</v>
      </c>
      <c r="E1744" s="48" t="s">
        <v>112</v>
      </c>
      <c r="F1744" s="48" t="s">
        <v>72</v>
      </c>
      <c r="G1744" s="48" t="s">
        <v>342</v>
      </c>
      <c r="H1744" s="69">
        <f t="shared" si="27"/>
        <v>43952</v>
      </c>
    </row>
    <row r="1745" spans="1:8" x14ac:dyDescent="0.25">
      <c r="A1745" s="68">
        <v>43968</v>
      </c>
      <c r="B1745" s="48">
        <v>0</v>
      </c>
      <c r="C1745" s="48">
        <v>0</v>
      </c>
      <c r="D1745" s="48">
        <v>0</v>
      </c>
      <c r="E1745" s="48" t="s">
        <v>112</v>
      </c>
      <c r="F1745" s="48" t="s">
        <v>72</v>
      </c>
      <c r="G1745" s="48" t="s">
        <v>353</v>
      </c>
      <c r="H1745" s="69">
        <f t="shared" si="27"/>
        <v>43952</v>
      </c>
    </row>
    <row r="1746" spans="1:8" x14ac:dyDescent="0.25">
      <c r="A1746" s="68">
        <v>43968</v>
      </c>
      <c r="B1746" s="48">
        <v>9</v>
      </c>
      <c r="C1746" s="48">
        <v>0</v>
      </c>
      <c r="D1746" s="48">
        <v>0</v>
      </c>
      <c r="E1746" s="48" t="s">
        <v>112</v>
      </c>
      <c r="F1746" s="48" t="s">
        <v>72</v>
      </c>
      <c r="G1746" s="48" t="s">
        <v>101</v>
      </c>
      <c r="H1746" s="69">
        <f t="shared" si="27"/>
        <v>43952</v>
      </c>
    </row>
    <row r="1747" spans="1:8" x14ac:dyDescent="0.25">
      <c r="A1747" s="68">
        <v>43968</v>
      </c>
      <c r="B1747" s="48">
        <v>0</v>
      </c>
      <c r="C1747" s="48">
        <v>0</v>
      </c>
      <c r="D1747" s="48">
        <v>0</v>
      </c>
      <c r="E1747" s="48" t="s">
        <v>112</v>
      </c>
      <c r="F1747" s="48" t="s">
        <v>72</v>
      </c>
      <c r="G1747" s="48" t="s">
        <v>387</v>
      </c>
      <c r="H1747" s="69">
        <f t="shared" si="27"/>
        <v>43952</v>
      </c>
    </row>
    <row r="1748" spans="1:8" x14ac:dyDescent="0.25">
      <c r="A1748" s="68">
        <v>43968</v>
      </c>
      <c r="B1748" s="48">
        <v>0</v>
      </c>
      <c r="C1748" s="48">
        <v>0</v>
      </c>
      <c r="D1748" s="48">
        <v>0</v>
      </c>
      <c r="E1748" s="48" t="s">
        <v>112</v>
      </c>
      <c r="F1748" s="48" t="s">
        <v>72</v>
      </c>
      <c r="G1748" s="48" t="s">
        <v>406</v>
      </c>
      <c r="H1748" s="69">
        <f t="shared" si="27"/>
        <v>43952</v>
      </c>
    </row>
    <row r="1749" spans="1:8" x14ac:dyDescent="0.25">
      <c r="A1749" s="68">
        <v>43968</v>
      </c>
      <c r="B1749" s="48">
        <v>12</v>
      </c>
      <c r="C1749" s="48">
        <v>0</v>
      </c>
      <c r="D1749" s="48">
        <v>0</v>
      </c>
      <c r="E1749" s="48" t="s">
        <v>112</v>
      </c>
      <c r="F1749" s="48" t="s">
        <v>72</v>
      </c>
      <c r="G1749" s="48" t="s">
        <v>344</v>
      </c>
      <c r="H1749" s="69">
        <f t="shared" si="27"/>
        <v>43952</v>
      </c>
    </row>
    <row r="1750" spans="1:8" x14ac:dyDescent="0.25">
      <c r="A1750" s="68">
        <v>43968</v>
      </c>
      <c r="B1750" s="48">
        <v>0</v>
      </c>
      <c r="C1750" s="48">
        <v>0</v>
      </c>
      <c r="D1750" s="48">
        <v>0</v>
      </c>
      <c r="E1750" s="48" t="s">
        <v>112</v>
      </c>
      <c r="F1750" s="48" t="s">
        <v>72</v>
      </c>
      <c r="G1750" s="48" t="s">
        <v>354</v>
      </c>
      <c r="H1750" s="69">
        <f t="shared" si="27"/>
        <v>43952</v>
      </c>
    </row>
    <row r="1751" spans="1:8" x14ac:dyDescent="0.25">
      <c r="A1751" s="68">
        <v>43968</v>
      </c>
      <c r="B1751" s="48">
        <v>1</v>
      </c>
      <c r="C1751" s="48">
        <v>0</v>
      </c>
      <c r="D1751" s="48">
        <v>0</v>
      </c>
      <c r="E1751" s="48" t="s">
        <v>112</v>
      </c>
      <c r="F1751" s="48" t="s">
        <v>72</v>
      </c>
      <c r="G1751" s="48" t="s">
        <v>337</v>
      </c>
      <c r="H1751" s="69">
        <f t="shared" si="27"/>
        <v>43952</v>
      </c>
    </row>
    <row r="1752" spans="1:8" x14ac:dyDescent="0.25">
      <c r="A1752" s="68">
        <v>43968</v>
      </c>
      <c r="B1752" s="48">
        <v>1</v>
      </c>
      <c r="C1752" s="48">
        <v>0</v>
      </c>
      <c r="D1752" s="48">
        <v>0</v>
      </c>
      <c r="E1752" s="48" t="s">
        <v>112</v>
      </c>
      <c r="F1752" s="48" t="s">
        <v>72</v>
      </c>
      <c r="G1752" s="48" t="s">
        <v>356</v>
      </c>
      <c r="H1752" s="69">
        <f t="shared" si="27"/>
        <v>43952</v>
      </c>
    </row>
    <row r="1753" spans="1:8" x14ac:dyDescent="0.25">
      <c r="A1753" s="68">
        <v>43968</v>
      </c>
      <c r="B1753" s="48">
        <v>0</v>
      </c>
      <c r="C1753" s="48">
        <v>0</v>
      </c>
      <c r="D1753" s="48">
        <v>0</v>
      </c>
      <c r="E1753" s="48" t="s">
        <v>112</v>
      </c>
      <c r="F1753" s="48" t="s">
        <v>72</v>
      </c>
      <c r="G1753" s="48" t="s">
        <v>429</v>
      </c>
      <c r="H1753" s="69">
        <f t="shared" si="27"/>
        <v>43952</v>
      </c>
    </row>
    <row r="1754" spans="1:8" x14ac:dyDescent="0.25">
      <c r="A1754" s="68">
        <v>43968</v>
      </c>
      <c r="B1754" s="48">
        <v>0</v>
      </c>
      <c r="C1754" s="48">
        <v>0</v>
      </c>
      <c r="D1754" s="48">
        <v>0</v>
      </c>
      <c r="E1754" s="48" t="s">
        <v>112</v>
      </c>
      <c r="F1754" s="48" t="s">
        <v>72</v>
      </c>
      <c r="G1754" s="48" t="s">
        <v>431</v>
      </c>
      <c r="H1754" s="69">
        <f t="shared" si="27"/>
        <v>43952</v>
      </c>
    </row>
    <row r="1755" spans="1:8" x14ac:dyDescent="0.25">
      <c r="A1755" s="68">
        <v>43968</v>
      </c>
      <c r="B1755" s="48">
        <v>0</v>
      </c>
      <c r="C1755" s="48">
        <v>0</v>
      </c>
      <c r="D1755" s="48">
        <v>0</v>
      </c>
      <c r="E1755" s="48" t="s">
        <v>112</v>
      </c>
      <c r="F1755" s="48" t="s">
        <v>72</v>
      </c>
      <c r="G1755" s="48" t="s">
        <v>426</v>
      </c>
      <c r="H1755" s="69">
        <f t="shared" si="27"/>
        <v>43952</v>
      </c>
    </row>
    <row r="1756" spans="1:8" x14ac:dyDescent="0.25">
      <c r="A1756" s="68">
        <v>43968</v>
      </c>
      <c r="B1756" s="48">
        <v>0</v>
      </c>
      <c r="C1756" s="48">
        <v>0</v>
      </c>
      <c r="D1756" s="48">
        <v>0</v>
      </c>
      <c r="E1756" s="48" t="s">
        <v>112</v>
      </c>
      <c r="F1756" s="48" t="s">
        <v>72</v>
      </c>
      <c r="G1756" s="48" t="s">
        <v>436</v>
      </c>
      <c r="H1756" s="69">
        <f t="shared" si="27"/>
        <v>43952</v>
      </c>
    </row>
    <row r="1757" spans="1:8" x14ac:dyDescent="0.25">
      <c r="A1757" s="68">
        <v>43968</v>
      </c>
      <c r="B1757" s="48">
        <v>0</v>
      </c>
      <c r="C1757" s="48">
        <v>0</v>
      </c>
      <c r="D1757" s="48">
        <v>0</v>
      </c>
      <c r="E1757" s="48" t="s">
        <v>112</v>
      </c>
      <c r="F1757" s="48" t="s">
        <v>72</v>
      </c>
      <c r="G1757" s="48" t="s">
        <v>357</v>
      </c>
      <c r="H1757" s="69">
        <f t="shared" si="27"/>
        <v>43952</v>
      </c>
    </row>
    <row r="1758" spans="1:8" x14ac:dyDescent="0.25">
      <c r="A1758" s="68">
        <v>43968</v>
      </c>
      <c r="B1758" s="48">
        <v>2</v>
      </c>
      <c r="C1758" s="48">
        <v>1</v>
      </c>
      <c r="D1758" s="48">
        <v>0</v>
      </c>
      <c r="E1758" s="48" t="s">
        <v>112</v>
      </c>
      <c r="F1758" s="48" t="s">
        <v>72</v>
      </c>
      <c r="G1758" s="48" t="s">
        <v>358</v>
      </c>
      <c r="H1758" s="69">
        <f t="shared" si="27"/>
        <v>43952</v>
      </c>
    </row>
    <row r="1759" spans="1:8" x14ac:dyDescent="0.25">
      <c r="A1759" s="68">
        <v>43968</v>
      </c>
      <c r="B1759" s="48">
        <v>1</v>
      </c>
      <c r="C1759" s="48">
        <v>0</v>
      </c>
      <c r="D1759" s="48">
        <v>0</v>
      </c>
      <c r="E1759" s="48" t="s">
        <v>112</v>
      </c>
      <c r="F1759" s="48" t="s">
        <v>72</v>
      </c>
      <c r="G1759" s="48" t="s">
        <v>399</v>
      </c>
      <c r="H1759" s="69">
        <f t="shared" si="27"/>
        <v>43952</v>
      </c>
    </row>
    <row r="1760" spans="1:8" x14ac:dyDescent="0.25">
      <c r="A1760" s="68">
        <v>43968</v>
      </c>
      <c r="B1760" s="48">
        <v>3</v>
      </c>
      <c r="C1760" s="48">
        <v>1</v>
      </c>
      <c r="D1760" s="48">
        <v>0</v>
      </c>
      <c r="E1760" s="48" t="s">
        <v>112</v>
      </c>
      <c r="F1760" s="48" t="s">
        <v>72</v>
      </c>
      <c r="G1760" s="48" t="s">
        <v>352</v>
      </c>
      <c r="H1760" s="69">
        <f t="shared" si="27"/>
        <v>43952</v>
      </c>
    </row>
    <row r="1761" spans="1:8" x14ac:dyDescent="0.25">
      <c r="A1761" s="68">
        <v>43968</v>
      </c>
      <c r="B1761" s="48">
        <v>0</v>
      </c>
      <c r="C1761" s="48">
        <v>0</v>
      </c>
      <c r="D1761" s="48">
        <v>0</v>
      </c>
      <c r="E1761" s="48" t="s">
        <v>112</v>
      </c>
      <c r="F1761" s="48" t="s">
        <v>72</v>
      </c>
      <c r="G1761" s="48" t="s">
        <v>359</v>
      </c>
      <c r="H1761" s="69">
        <f t="shared" si="27"/>
        <v>43952</v>
      </c>
    </row>
    <row r="1762" spans="1:8" x14ac:dyDescent="0.25">
      <c r="A1762" s="68">
        <v>43968</v>
      </c>
      <c r="B1762" s="48">
        <v>0</v>
      </c>
      <c r="C1762" s="48">
        <v>0</v>
      </c>
      <c r="D1762" s="48">
        <v>0</v>
      </c>
      <c r="E1762" s="48" t="s">
        <v>112</v>
      </c>
      <c r="F1762" s="48" t="s">
        <v>72</v>
      </c>
      <c r="G1762" s="48" t="s">
        <v>410</v>
      </c>
      <c r="H1762" s="69">
        <f t="shared" si="27"/>
        <v>43952</v>
      </c>
    </row>
    <row r="1763" spans="1:8" x14ac:dyDescent="0.25">
      <c r="A1763" s="68">
        <v>43968</v>
      </c>
      <c r="B1763" s="48">
        <v>0</v>
      </c>
      <c r="C1763" s="48">
        <v>0</v>
      </c>
      <c r="D1763" s="48">
        <v>0</v>
      </c>
      <c r="E1763" s="48" t="s">
        <v>112</v>
      </c>
      <c r="F1763" s="48" t="s">
        <v>72</v>
      </c>
      <c r="G1763" s="48" t="s">
        <v>365</v>
      </c>
      <c r="H1763" s="69">
        <f t="shared" si="27"/>
        <v>43952</v>
      </c>
    </row>
    <row r="1764" spans="1:8" x14ac:dyDescent="0.25">
      <c r="A1764" s="68">
        <v>43968</v>
      </c>
      <c r="B1764" s="48">
        <v>0</v>
      </c>
      <c r="C1764" s="48">
        <v>0</v>
      </c>
      <c r="D1764" s="48">
        <v>0</v>
      </c>
      <c r="E1764" s="48" t="s">
        <v>112</v>
      </c>
      <c r="F1764" s="48" t="s">
        <v>72</v>
      </c>
      <c r="G1764" s="48" t="s">
        <v>408</v>
      </c>
      <c r="H1764" s="69">
        <f t="shared" si="27"/>
        <v>43952</v>
      </c>
    </row>
    <row r="1765" spans="1:8" x14ac:dyDescent="0.25">
      <c r="A1765" s="68">
        <v>43968</v>
      </c>
      <c r="B1765" s="48">
        <v>0</v>
      </c>
      <c r="C1765" s="48">
        <v>0</v>
      </c>
      <c r="D1765" s="48">
        <v>0</v>
      </c>
      <c r="E1765" s="48" t="s">
        <v>112</v>
      </c>
      <c r="F1765" s="48" t="s">
        <v>72</v>
      </c>
      <c r="G1765" s="48" t="s">
        <v>411</v>
      </c>
      <c r="H1765" s="69">
        <f t="shared" si="27"/>
        <v>43952</v>
      </c>
    </row>
    <row r="1766" spans="1:8" x14ac:dyDescent="0.25">
      <c r="A1766" s="68">
        <v>43968</v>
      </c>
      <c r="B1766" s="48">
        <v>2</v>
      </c>
      <c r="C1766" s="48">
        <v>0</v>
      </c>
      <c r="D1766" s="48">
        <v>0</v>
      </c>
      <c r="E1766" s="48" t="s">
        <v>112</v>
      </c>
      <c r="F1766" s="48" t="s">
        <v>72</v>
      </c>
      <c r="G1766" s="48" t="s">
        <v>351</v>
      </c>
      <c r="H1766" s="69">
        <f t="shared" si="27"/>
        <v>43952</v>
      </c>
    </row>
    <row r="1767" spans="1:8" x14ac:dyDescent="0.25">
      <c r="A1767" s="68">
        <v>43968</v>
      </c>
      <c r="B1767" s="48">
        <v>0</v>
      </c>
      <c r="C1767" s="48">
        <v>0</v>
      </c>
      <c r="D1767" s="48">
        <v>0</v>
      </c>
      <c r="E1767" s="48" t="s">
        <v>112</v>
      </c>
      <c r="F1767" s="48" t="s">
        <v>72</v>
      </c>
      <c r="G1767" s="48" t="s">
        <v>417</v>
      </c>
      <c r="H1767" s="69">
        <f t="shared" si="27"/>
        <v>43952</v>
      </c>
    </row>
    <row r="1768" spans="1:8" x14ac:dyDescent="0.25">
      <c r="A1768" s="68">
        <v>43968</v>
      </c>
      <c r="B1768" s="48">
        <v>1</v>
      </c>
      <c r="C1768" s="48">
        <v>0</v>
      </c>
      <c r="D1768" s="48">
        <v>0</v>
      </c>
      <c r="E1768" s="48" t="s">
        <v>112</v>
      </c>
      <c r="F1768" s="48" t="s">
        <v>72</v>
      </c>
      <c r="G1768" s="48" t="s">
        <v>420</v>
      </c>
      <c r="H1768" s="69">
        <f t="shared" si="27"/>
        <v>43952</v>
      </c>
    </row>
    <row r="1769" spans="1:8" x14ac:dyDescent="0.25">
      <c r="A1769" s="68">
        <v>43968</v>
      </c>
      <c r="B1769" s="48">
        <v>1</v>
      </c>
      <c r="C1769" s="48">
        <v>0</v>
      </c>
      <c r="D1769" s="48">
        <v>0</v>
      </c>
      <c r="E1769" s="48" t="s">
        <v>112</v>
      </c>
      <c r="F1769" s="48" t="s">
        <v>75</v>
      </c>
      <c r="G1769" s="48" t="s">
        <v>394</v>
      </c>
      <c r="H1769" s="69">
        <f t="shared" si="27"/>
        <v>43952</v>
      </c>
    </row>
    <row r="1770" spans="1:8" x14ac:dyDescent="0.25">
      <c r="A1770" s="68">
        <v>43968</v>
      </c>
      <c r="B1770" s="48">
        <v>1</v>
      </c>
      <c r="C1770" s="48">
        <v>0</v>
      </c>
      <c r="D1770" s="48">
        <v>0</v>
      </c>
      <c r="E1770" s="48" t="s">
        <v>112</v>
      </c>
      <c r="F1770" s="48" t="s">
        <v>75</v>
      </c>
      <c r="G1770" s="48" t="s">
        <v>361</v>
      </c>
      <c r="H1770" s="69">
        <f t="shared" si="27"/>
        <v>43952</v>
      </c>
    </row>
    <row r="1771" spans="1:8" x14ac:dyDescent="0.25">
      <c r="A1771" s="68">
        <v>43968</v>
      </c>
      <c r="B1771" s="48">
        <v>0</v>
      </c>
      <c r="C1771" s="48">
        <v>0</v>
      </c>
      <c r="D1771" s="48">
        <v>2</v>
      </c>
      <c r="E1771" s="48" t="s">
        <v>112</v>
      </c>
      <c r="F1771" s="48" t="s">
        <v>75</v>
      </c>
      <c r="G1771" s="48" t="s">
        <v>103</v>
      </c>
      <c r="H1771" s="69">
        <f t="shared" si="27"/>
        <v>43952</v>
      </c>
    </row>
    <row r="1772" spans="1:8" x14ac:dyDescent="0.25">
      <c r="A1772" s="68">
        <v>43968</v>
      </c>
      <c r="B1772" s="48">
        <v>0</v>
      </c>
      <c r="C1772" s="48">
        <v>0</v>
      </c>
      <c r="D1772" s="48">
        <v>7</v>
      </c>
      <c r="E1772" s="48" t="s">
        <v>112</v>
      </c>
      <c r="F1772" s="48" t="s">
        <v>75</v>
      </c>
      <c r="G1772" s="48" t="s">
        <v>373</v>
      </c>
      <c r="H1772" s="69">
        <f t="shared" si="27"/>
        <v>43952</v>
      </c>
    </row>
    <row r="1773" spans="1:8" x14ac:dyDescent="0.25">
      <c r="A1773" s="68">
        <v>43968</v>
      </c>
      <c r="B1773" s="48">
        <v>2</v>
      </c>
      <c r="C1773" s="48">
        <v>0</v>
      </c>
      <c r="D1773" s="48">
        <v>0</v>
      </c>
      <c r="E1773" s="48" t="s">
        <v>112</v>
      </c>
      <c r="F1773" s="48" t="s">
        <v>75</v>
      </c>
      <c r="G1773" s="48" t="s">
        <v>393</v>
      </c>
      <c r="H1773" s="69">
        <f t="shared" si="27"/>
        <v>43952</v>
      </c>
    </row>
    <row r="1774" spans="1:8" x14ac:dyDescent="0.25">
      <c r="A1774" s="68">
        <v>43968</v>
      </c>
      <c r="B1774" s="48">
        <v>787</v>
      </c>
      <c r="C1774" s="48">
        <v>9</v>
      </c>
      <c r="D1774" s="48">
        <v>405</v>
      </c>
      <c r="E1774" s="48" t="s">
        <v>112</v>
      </c>
      <c r="F1774" s="48" t="s">
        <v>70</v>
      </c>
      <c r="G1774" s="48" t="s">
        <v>91</v>
      </c>
      <c r="H1774" s="69">
        <f t="shared" si="27"/>
        <v>43952</v>
      </c>
    </row>
    <row r="1775" spans="1:8" x14ac:dyDescent="0.25">
      <c r="A1775" s="68">
        <v>43968</v>
      </c>
      <c r="B1775" s="48">
        <v>0</v>
      </c>
      <c r="C1775" s="48">
        <v>0</v>
      </c>
      <c r="D1775" s="48">
        <v>0</v>
      </c>
      <c r="E1775" s="48" t="s">
        <v>112</v>
      </c>
      <c r="F1775" s="48" t="s">
        <v>76</v>
      </c>
      <c r="G1775" s="48" t="s">
        <v>339</v>
      </c>
      <c r="H1775" s="69">
        <f t="shared" si="27"/>
        <v>43952</v>
      </c>
    </row>
    <row r="1776" spans="1:8" x14ac:dyDescent="0.25">
      <c r="A1776" s="68">
        <v>43968</v>
      </c>
      <c r="B1776" s="48">
        <v>148</v>
      </c>
      <c r="C1776" s="48">
        <v>0</v>
      </c>
      <c r="D1776" s="48">
        <v>37</v>
      </c>
      <c r="E1776" s="48" t="s">
        <v>112</v>
      </c>
      <c r="F1776" s="48" t="s">
        <v>73</v>
      </c>
      <c r="G1776" s="48" t="s">
        <v>93</v>
      </c>
      <c r="H1776" s="69">
        <f t="shared" si="27"/>
        <v>43952</v>
      </c>
    </row>
    <row r="1777" spans="1:8" x14ac:dyDescent="0.25">
      <c r="A1777" s="68">
        <v>43968</v>
      </c>
      <c r="B1777" s="48">
        <v>762</v>
      </c>
      <c r="C1777" s="48">
        <v>8</v>
      </c>
      <c r="D1777" s="48">
        <v>35</v>
      </c>
      <c r="E1777" s="48" t="s">
        <v>112</v>
      </c>
      <c r="F1777" s="48" t="s">
        <v>71</v>
      </c>
      <c r="G1777" s="48" t="s">
        <v>92</v>
      </c>
      <c r="H1777" s="69">
        <f t="shared" si="27"/>
        <v>43952</v>
      </c>
    </row>
    <row r="1778" spans="1:8" x14ac:dyDescent="0.25">
      <c r="A1778" s="68">
        <v>43969</v>
      </c>
      <c r="B1778" s="48">
        <v>37</v>
      </c>
      <c r="C1778" s="48">
        <v>2</v>
      </c>
      <c r="D1778" s="48">
        <v>0</v>
      </c>
      <c r="E1778" s="48" t="s">
        <v>112</v>
      </c>
      <c r="F1778" s="48" t="s">
        <v>74</v>
      </c>
      <c r="G1778" s="48" t="s">
        <v>95</v>
      </c>
      <c r="H1778" s="69">
        <f t="shared" si="27"/>
        <v>43952</v>
      </c>
    </row>
    <row r="1779" spans="1:8" x14ac:dyDescent="0.25">
      <c r="A1779" s="68">
        <v>43969</v>
      </c>
      <c r="B1779" s="48">
        <v>1</v>
      </c>
      <c r="C1779" s="48">
        <v>0</v>
      </c>
      <c r="D1779" s="48">
        <v>0</v>
      </c>
      <c r="E1779" s="48" t="s">
        <v>112</v>
      </c>
      <c r="F1779" s="48" t="s">
        <v>75</v>
      </c>
      <c r="G1779" s="48" t="s">
        <v>404</v>
      </c>
      <c r="H1779" s="69">
        <f t="shared" si="27"/>
        <v>43952</v>
      </c>
    </row>
    <row r="1780" spans="1:8" x14ac:dyDescent="0.25">
      <c r="A1780" s="68">
        <v>43969</v>
      </c>
      <c r="B1780" s="48">
        <v>1</v>
      </c>
      <c r="C1780" s="48">
        <v>0</v>
      </c>
      <c r="D1780" s="48">
        <v>0</v>
      </c>
      <c r="E1780" s="48" t="s">
        <v>112</v>
      </c>
      <c r="F1780" s="48" t="s">
        <v>75</v>
      </c>
      <c r="G1780" s="48" t="s">
        <v>368</v>
      </c>
      <c r="H1780" s="69">
        <f t="shared" si="27"/>
        <v>43952</v>
      </c>
    </row>
    <row r="1781" spans="1:8" x14ac:dyDescent="0.25">
      <c r="A1781" s="68">
        <v>43969</v>
      </c>
      <c r="B1781" s="48">
        <v>0</v>
      </c>
      <c r="C1781" s="48">
        <v>0</v>
      </c>
      <c r="D1781" s="48">
        <v>2</v>
      </c>
      <c r="E1781" s="48" t="s">
        <v>112</v>
      </c>
      <c r="F1781" s="48" t="s">
        <v>75</v>
      </c>
      <c r="G1781" s="48" t="s">
        <v>390</v>
      </c>
      <c r="H1781" s="69">
        <f t="shared" si="27"/>
        <v>43952</v>
      </c>
    </row>
    <row r="1782" spans="1:8" x14ac:dyDescent="0.25">
      <c r="A1782" s="68">
        <v>43969</v>
      </c>
      <c r="B1782" s="48">
        <v>7</v>
      </c>
      <c r="C1782" s="48">
        <v>0</v>
      </c>
      <c r="D1782" s="48">
        <v>0</v>
      </c>
      <c r="E1782" s="48" t="s">
        <v>112</v>
      </c>
      <c r="F1782" s="48" t="s">
        <v>75</v>
      </c>
      <c r="G1782" s="48" t="s">
        <v>103</v>
      </c>
      <c r="H1782" s="69">
        <f t="shared" si="27"/>
        <v>43952</v>
      </c>
    </row>
    <row r="1783" spans="1:8" x14ac:dyDescent="0.25">
      <c r="A1783" s="68">
        <v>43969</v>
      </c>
      <c r="B1783" s="48">
        <v>1</v>
      </c>
      <c r="C1783" s="48">
        <v>0</v>
      </c>
      <c r="D1783" s="48">
        <v>0</v>
      </c>
      <c r="E1783" s="48" t="s">
        <v>112</v>
      </c>
      <c r="F1783" s="48" t="s">
        <v>75</v>
      </c>
      <c r="G1783" s="48" t="s">
        <v>361</v>
      </c>
      <c r="H1783" s="69">
        <f t="shared" si="27"/>
        <v>43952</v>
      </c>
    </row>
    <row r="1784" spans="1:8" x14ac:dyDescent="0.25">
      <c r="A1784" s="68">
        <v>43969</v>
      </c>
      <c r="B1784" s="48">
        <v>14</v>
      </c>
      <c r="C1784" s="48">
        <v>12</v>
      </c>
      <c r="D1784" s="48">
        <v>3</v>
      </c>
      <c r="E1784" s="48" t="s">
        <v>112</v>
      </c>
      <c r="F1784" s="48" t="s">
        <v>72</v>
      </c>
      <c r="G1784" s="48" t="s">
        <v>94</v>
      </c>
      <c r="H1784" s="69">
        <f t="shared" si="27"/>
        <v>43952</v>
      </c>
    </row>
    <row r="1785" spans="1:8" x14ac:dyDescent="0.25">
      <c r="A1785" s="68">
        <v>43969</v>
      </c>
      <c r="B1785" s="48">
        <v>8</v>
      </c>
      <c r="C1785" s="48">
        <v>0</v>
      </c>
      <c r="D1785" s="48">
        <v>1</v>
      </c>
      <c r="E1785" s="48" t="s">
        <v>112</v>
      </c>
      <c r="F1785" s="48" t="s">
        <v>72</v>
      </c>
      <c r="G1785" s="48" t="s">
        <v>341</v>
      </c>
      <c r="H1785" s="69">
        <f t="shared" si="27"/>
        <v>43952</v>
      </c>
    </row>
    <row r="1786" spans="1:8" x14ac:dyDescent="0.25">
      <c r="A1786" s="68">
        <v>43969</v>
      </c>
      <c r="B1786" s="48">
        <v>3</v>
      </c>
      <c r="C1786" s="48">
        <v>0</v>
      </c>
      <c r="D1786" s="48">
        <v>0</v>
      </c>
      <c r="E1786" s="48" t="s">
        <v>112</v>
      </c>
      <c r="F1786" s="48" t="s">
        <v>72</v>
      </c>
      <c r="G1786" s="48" t="s">
        <v>338</v>
      </c>
      <c r="H1786" s="69">
        <f t="shared" si="27"/>
        <v>43952</v>
      </c>
    </row>
    <row r="1787" spans="1:8" x14ac:dyDescent="0.25">
      <c r="A1787" s="68">
        <v>43969</v>
      </c>
      <c r="B1787" s="48">
        <v>0</v>
      </c>
      <c r="C1787" s="48">
        <v>0</v>
      </c>
      <c r="D1787" s="48">
        <v>0</v>
      </c>
      <c r="E1787" s="48" t="s">
        <v>112</v>
      </c>
      <c r="F1787" s="48" t="s">
        <v>72</v>
      </c>
      <c r="G1787" s="48" t="s">
        <v>343</v>
      </c>
      <c r="H1787" s="69">
        <f t="shared" si="27"/>
        <v>43952</v>
      </c>
    </row>
    <row r="1788" spans="1:8" x14ac:dyDescent="0.25">
      <c r="A1788" s="68">
        <v>43969</v>
      </c>
      <c r="B1788" s="48">
        <v>0</v>
      </c>
      <c r="C1788" s="48">
        <v>0</v>
      </c>
      <c r="D1788" s="48">
        <v>2</v>
      </c>
      <c r="E1788" s="48" t="s">
        <v>112</v>
      </c>
      <c r="F1788" s="48" t="s">
        <v>72</v>
      </c>
      <c r="G1788" s="48" t="s">
        <v>400</v>
      </c>
      <c r="H1788" s="69">
        <f t="shared" si="27"/>
        <v>43952</v>
      </c>
    </row>
    <row r="1789" spans="1:8" x14ac:dyDescent="0.25">
      <c r="A1789" s="68">
        <v>43969</v>
      </c>
      <c r="B1789" s="48">
        <v>0</v>
      </c>
      <c r="C1789" s="48">
        <v>0</v>
      </c>
      <c r="D1789" s="48">
        <v>17</v>
      </c>
      <c r="E1789" s="48" t="s">
        <v>112</v>
      </c>
      <c r="F1789" s="48" t="s">
        <v>72</v>
      </c>
      <c r="G1789" s="48" t="s">
        <v>102</v>
      </c>
      <c r="H1789" s="69">
        <f t="shared" si="27"/>
        <v>43952</v>
      </c>
    </row>
    <row r="1790" spans="1:8" x14ac:dyDescent="0.25">
      <c r="A1790" s="68">
        <v>43969</v>
      </c>
      <c r="B1790" s="48">
        <v>9</v>
      </c>
      <c r="C1790" s="48">
        <v>1</v>
      </c>
      <c r="D1790" s="48">
        <v>3</v>
      </c>
      <c r="E1790" s="48" t="s">
        <v>112</v>
      </c>
      <c r="F1790" s="48" t="s">
        <v>72</v>
      </c>
      <c r="G1790" s="48" t="s">
        <v>355</v>
      </c>
      <c r="H1790" s="69">
        <f t="shared" si="27"/>
        <v>43952</v>
      </c>
    </row>
    <row r="1791" spans="1:8" x14ac:dyDescent="0.25">
      <c r="A1791" s="68">
        <v>43969</v>
      </c>
      <c r="B1791" s="48">
        <v>31</v>
      </c>
      <c r="C1791" s="48">
        <v>1</v>
      </c>
      <c r="D1791" s="48">
        <v>9</v>
      </c>
      <c r="E1791" s="48" t="s">
        <v>112</v>
      </c>
      <c r="F1791" s="48" t="s">
        <v>72</v>
      </c>
      <c r="G1791" s="48" t="s">
        <v>96</v>
      </c>
      <c r="H1791" s="69">
        <f t="shared" si="27"/>
        <v>43952</v>
      </c>
    </row>
    <row r="1792" spans="1:8" x14ac:dyDescent="0.25">
      <c r="A1792" s="68">
        <v>43969</v>
      </c>
      <c r="B1792" s="48">
        <v>5</v>
      </c>
      <c r="C1792" s="48">
        <v>1</v>
      </c>
      <c r="D1792" s="48">
        <v>1</v>
      </c>
      <c r="E1792" s="48" t="s">
        <v>112</v>
      </c>
      <c r="F1792" s="48" t="s">
        <v>72</v>
      </c>
      <c r="G1792" s="48" t="s">
        <v>347</v>
      </c>
      <c r="H1792" s="69">
        <f t="shared" si="27"/>
        <v>43952</v>
      </c>
    </row>
    <row r="1793" spans="1:8" x14ac:dyDescent="0.25">
      <c r="A1793" s="68">
        <v>43969</v>
      </c>
      <c r="B1793" s="48">
        <v>25</v>
      </c>
      <c r="C1793" s="48">
        <v>0</v>
      </c>
      <c r="D1793" s="48">
        <v>43</v>
      </c>
      <c r="E1793" s="48" t="s">
        <v>112</v>
      </c>
      <c r="F1793" s="48" t="s">
        <v>72</v>
      </c>
      <c r="G1793" s="48" t="s">
        <v>335</v>
      </c>
      <c r="H1793" s="69">
        <f t="shared" si="27"/>
        <v>43952</v>
      </c>
    </row>
    <row r="1794" spans="1:8" x14ac:dyDescent="0.25">
      <c r="A1794" s="68">
        <v>43969</v>
      </c>
      <c r="B1794" s="48">
        <v>1</v>
      </c>
      <c r="C1794" s="48">
        <v>0</v>
      </c>
      <c r="D1794" s="48">
        <v>0</v>
      </c>
      <c r="E1794" s="48" t="s">
        <v>112</v>
      </c>
      <c r="F1794" s="48" t="s">
        <v>72</v>
      </c>
      <c r="G1794" s="48" t="s">
        <v>342</v>
      </c>
      <c r="H1794" s="69">
        <f t="shared" ref="H1794:H1857" si="28">DATE(YEAR(A1794),MONTH(A1794),1)</f>
        <v>43952</v>
      </c>
    </row>
    <row r="1795" spans="1:8" x14ac:dyDescent="0.25">
      <c r="A1795" s="68">
        <v>43969</v>
      </c>
      <c r="B1795" s="48">
        <v>0</v>
      </c>
      <c r="C1795" s="48">
        <v>0</v>
      </c>
      <c r="D1795" s="48">
        <v>0</v>
      </c>
      <c r="E1795" s="48" t="s">
        <v>112</v>
      </c>
      <c r="F1795" s="48" t="s">
        <v>72</v>
      </c>
      <c r="G1795" s="48" t="s">
        <v>353</v>
      </c>
      <c r="H1795" s="69">
        <f t="shared" si="28"/>
        <v>43952</v>
      </c>
    </row>
    <row r="1796" spans="1:8" x14ac:dyDescent="0.25">
      <c r="A1796" s="68">
        <v>43969</v>
      </c>
      <c r="B1796" s="48">
        <v>13</v>
      </c>
      <c r="C1796" s="48">
        <v>0</v>
      </c>
      <c r="D1796" s="48">
        <v>12</v>
      </c>
      <c r="E1796" s="48" t="s">
        <v>112</v>
      </c>
      <c r="F1796" s="48" t="s">
        <v>72</v>
      </c>
      <c r="G1796" s="48" t="s">
        <v>101</v>
      </c>
      <c r="H1796" s="69">
        <f t="shared" si="28"/>
        <v>43952</v>
      </c>
    </row>
    <row r="1797" spans="1:8" x14ac:dyDescent="0.25">
      <c r="A1797" s="68">
        <v>43969</v>
      </c>
      <c r="B1797" s="48">
        <v>0</v>
      </c>
      <c r="C1797" s="48">
        <v>0</v>
      </c>
      <c r="D1797" s="48">
        <v>2</v>
      </c>
      <c r="E1797" s="48" t="s">
        <v>112</v>
      </c>
      <c r="F1797" s="48" t="s">
        <v>72</v>
      </c>
      <c r="G1797" s="48" t="s">
        <v>387</v>
      </c>
      <c r="H1797" s="69">
        <f t="shared" si="28"/>
        <v>43952</v>
      </c>
    </row>
    <row r="1798" spans="1:8" x14ac:dyDescent="0.25">
      <c r="A1798" s="68">
        <v>43969</v>
      </c>
      <c r="B1798" s="48">
        <v>0</v>
      </c>
      <c r="C1798" s="48">
        <v>0</v>
      </c>
      <c r="D1798" s="48">
        <v>0</v>
      </c>
      <c r="E1798" s="48" t="s">
        <v>112</v>
      </c>
      <c r="F1798" s="48" t="s">
        <v>72</v>
      </c>
      <c r="G1798" s="48" t="s">
        <v>406</v>
      </c>
      <c r="H1798" s="69">
        <f t="shared" si="28"/>
        <v>43952</v>
      </c>
    </row>
    <row r="1799" spans="1:8" x14ac:dyDescent="0.25">
      <c r="A1799" s="68">
        <v>43969</v>
      </c>
      <c r="B1799" s="48">
        <v>3</v>
      </c>
      <c r="C1799" s="48">
        <v>0</v>
      </c>
      <c r="D1799" s="48">
        <v>0</v>
      </c>
      <c r="E1799" s="48" t="s">
        <v>112</v>
      </c>
      <c r="F1799" s="48" t="s">
        <v>72</v>
      </c>
      <c r="G1799" s="48" t="s">
        <v>344</v>
      </c>
      <c r="H1799" s="69">
        <f t="shared" si="28"/>
        <v>43952</v>
      </c>
    </row>
    <row r="1800" spans="1:8" x14ac:dyDescent="0.25">
      <c r="A1800" s="68">
        <v>43969</v>
      </c>
      <c r="B1800" s="48">
        <v>0</v>
      </c>
      <c r="C1800" s="48">
        <v>0</v>
      </c>
      <c r="D1800" s="48">
        <v>9</v>
      </c>
      <c r="E1800" s="48" t="s">
        <v>112</v>
      </c>
      <c r="F1800" s="48" t="s">
        <v>72</v>
      </c>
      <c r="G1800" s="48" t="s">
        <v>354</v>
      </c>
      <c r="H1800" s="69">
        <f t="shared" si="28"/>
        <v>43952</v>
      </c>
    </row>
    <row r="1801" spans="1:8" x14ac:dyDescent="0.25">
      <c r="A1801" s="68">
        <v>43969</v>
      </c>
      <c r="B1801" s="48">
        <v>5</v>
      </c>
      <c r="C1801" s="48">
        <v>0</v>
      </c>
      <c r="D1801" s="48">
        <v>5</v>
      </c>
      <c r="E1801" s="48" t="s">
        <v>112</v>
      </c>
      <c r="F1801" s="48" t="s">
        <v>72</v>
      </c>
      <c r="G1801" s="48" t="s">
        <v>337</v>
      </c>
      <c r="H1801" s="69">
        <f t="shared" si="28"/>
        <v>43952</v>
      </c>
    </row>
    <row r="1802" spans="1:8" x14ac:dyDescent="0.25">
      <c r="A1802" s="68">
        <v>43969</v>
      </c>
      <c r="B1802" s="48">
        <v>3</v>
      </c>
      <c r="C1802" s="48">
        <v>0</v>
      </c>
      <c r="D1802" s="48">
        <v>6</v>
      </c>
      <c r="E1802" s="48" t="s">
        <v>112</v>
      </c>
      <c r="F1802" s="48" t="s">
        <v>72</v>
      </c>
      <c r="G1802" s="48" t="s">
        <v>356</v>
      </c>
      <c r="H1802" s="69">
        <f t="shared" si="28"/>
        <v>43952</v>
      </c>
    </row>
    <row r="1803" spans="1:8" x14ac:dyDescent="0.25">
      <c r="A1803" s="68">
        <v>43969</v>
      </c>
      <c r="B1803" s="48">
        <v>0</v>
      </c>
      <c r="C1803" s="48">
        <v>0</v>
      </c>
      <c r="D1803" s="48">
        <v>0</v>
      </c>
      <c r="E1803" s="48" t="s">
        <v>112</v>
      </c>
      <c r="F1803" s="48" t="s">
        <v>72</v>
      </c>
      <c r="G1803" s="48" t="s">
        <v>429</v>
      </c>
      <c r="H1803" s="69">
        <f t="shared" si="28"/>
        <v>43952</v>
      </c>
    </row>
    <row r="1804" spans="1:8" x14ac:dyDescent="0.25">
      <c r="A1804" s="68">
        <v>43969</v>
      </c>
      <c r="B1804" s="48">
        <v>0</v>
      </c>
      <c r="C1804" s="48">
        <v>0</v>
      </c>
      <c r="D1804" s="48">
        <v>0</v>
      </c>
      <c r="E1804" s="48" t="s">
        <v>112</v>
      </c>
      <c r="F1804" s="48" t="s">
        <v>72</v>
      </c>
      <c r="G1804" s="48" t="s">
        <v>431</v>
      </c>
      <c r="H1804" s="69">
        <f t="shared" si="28"/>
        <v>43952</v>
      </c>
    </row>
    <row r="1805" spans="1:8" x14ac:dyDescent="0.25">
      <c r="A1805" s="68">
        <v>43969</v>
      </c>
      <c r="B1805" s="48">
        <v>0</v>
      </c>
      <c r="C1805" s="48">
        <v>0</v>
      </c>
      <c r="D1805" s="48">
        <v>0</v>
      </c>
      <c r="E1805" s="48" t="s">
        <v>112</v>
      </c>
      <c r="F1805" s="48" t="s">
        <v>72</v>
      </c>
      <c r="G1805" s="48" t="s">
        <v>426</v>
      </c>
      <c r="H1805" s="69">
        <f t="shared" si="28"/>
        <v>43952</v>
      </c>
    </row>
    <row r="1806" spans="1:8" x14ac:dyDescent="0.25">
      <c r="A1806" s="68">
        <v>43969</v>
      </c>
      <c r="B1806" s="48">
        <v>0</v>
      </c>
      <c r="C1806" s="48">
        <v>0</v>
      </c>
      <c r="D1806" s="48">
        <v>0</v>
      </c>
      <c r="E1806" s="48" t="s">
        <v>112</v>
      </c>
      <c r="F1806" s="48" t="s">
        <v>72</v>
      </c>
      <c r="G1806" s="48" t="s">
        <v>436</v>
      </c>
      <c r="H1806" s="69">
        <f t="shared" si="28"/>
        <v>43952</v>
      </c>
    </row>
    <row r="1807" spans="1:8" x14ac:dyDescent="0.25">
      <c r="A1807" s="68">
        <v>43969</v>
      </c>
      <c r="B1807" s="48">
        <v>2</v>
      </c>
      <c r="C1807" s="48">
        <v>0</v>
      </c>
      <c r="D1807" s="48">
        <v>12</v>
      </c>
      <c r="E1807" s="48" t="s">
        <v>112</v>
      </c>
      <c r="F1807" s="48" t="s">
        <v>72</v>
      </c>
      <c r="G1807" s="48" t="s">
        <v>357</v>
      </c>
      <c r="H1807" s="69">
        <f t="shared" si="28"/>
        <v>43952</v>
      </c>
    </row>
    <row r="1808" spans="1:8" x14ac:dyDescent="0.25">
      <c r="A1808" s="68">
        <v>43969</v>
      </c>
      <c r="B1808" s="48">
        <v>2</v>
      </c>
      <c r="C1808" s="48">
        <v>0</v>
      </c>
      <c r="D1808" s="48">
        <v>3</v>
      </c>
      <c r="E1808" s="48" t="s">
        <v>112</v>
      </c>
      <c r="F1808" s="48" t="s">
        <v>72</v>
      </c>
      <c r="G1808" s="48" t="s">
        <v>358</v>
      </c>
      <c r="H1808" s="69">
        <f t="shared" si="28"/>
        <v>43952</v>
      </c>
    </row>
    <row r="1809" spans="1:8" x14ac:dyDescent="0.25">
      <c r="A1809" s="68">
        <v>43969</v>
      </c>
      <c r="B1809" s="48">
        <v>0</v>
      </c>
      <c r="C1809" s="48">
        <v>0</v>
      </c>
      <c r="D1809" s="48">
        <v>2</v>
      </c>
      <c r="E1809" s="48" t="s">
        <v>112</v>
      </c>
      <c r="F1809" s="48" t="s">
        <v>72</v>
      </c>
      <c r="G1809" s="48" t="s">
        <v>399</v>
      </c>
      <c r="H1809" s="69">
        <f t="shared" si="28"/>
        <v>43952</v>
      </c>
    </row>
    <row r="1810" spans="1:8" x14ac:dyDescent="0.25">
      <c r="A1810" s="68">
        <v>43969</v>
      </c>
      <c r="B1810" s="48">
        <v>0</v>
      </c>
      <c r="C1810" s="48">
        <v>0</v>
      </c>
      <c r="D1810" s="48">
        <v>1</v>
      </c>
      <c r="E1810" s="48" t="s">
        <v>112</v>
      </c>
      <c r="F1810" s="48" t="s">
        <v>72</v>
      </c>
      <c r="G1810" s="48" t="s">
        <v>352</v>
      </c>
      <c r="H1810" s="69">
        <f t="shared" si="28"/>
        <v>43952</v>
      </c>
    </row>
    <row r="1811" spans="1:8" x14ac:dyDescent="0.25">
      <c r="A1811" s="68">
        <v>43969</v>
      </c>
      <c r="B1811" s="48">
        <v>0</v>
      </c>
      <c r="C1811" s="48">
        <v>0</v>
      </c>
      <c r="D1811" s="48">
        <v>0</v>
      </c>
      <c r="E1811" s="48" t="s">
        <v>112</v>
      </c>
      <c r="F1811" s="48" t="s">
        <v>72</v>
      </c>
      <c r="G1811" s="48" t="s">
        <v>359</v>
      </c>
      <c r="H1811" s="69">
        <f t="shared" si="28"/>
        <v>43952</v>
      </c>
    </row>
    <row r="1812" spans="1:8" x14ac:dyDescent="0.25">
      <c r="A1812" s="68">
        <v>43969</v>
      </c>
      <c r="B1812" s="48">
        <v>0</v>
      </c>
      <c r="C1812" s="48">
        <v>0</v>
      </c>
      <c r="D1812" s="48">
        <v>1</v>
      </c>
      <c r="E1812" s="48" t="s">
        <v>112</v>
      </c>
      <c r="F1812" s="48" t="s">
        <v>72</v>
      </c>
      <c r="G1812" s="48" t="s">
        <v>410</v>
      </c>
      <c r="H1812" s="69">
        <f t="shared" si="28"/>
        <v>43952</v>
      </c>
    </row>
    <row r="1813" spans="1:8" x14ac:dyDescent="0.25">
      <c r="A1813" s="68">
        <v>43969</v>
      </c>
      <c r="B1813" s="48">
        <v>0</v>
      </c>
      <c r="C1813" s="48">
        <v>0</v>
      </c>
      <c r="D1813" s="48">
        <v>1</v>
      </c>
      <c r="E1813" s="48" t="s">
        <v>112</v>
      </c>
      <c r="F1813" s="48" t="s">
        <v>72</v>
      </c>
      <c r="G1813" s="48" t="s">
        <v>365</v>
      </c>
      <c r="H1813" s="69">
        <f t="shared" si="28"/>
        <v>43952</v>
      </c>
    </row>
    <row r="1814" spans="1:8" x14ac:dyDescent="0.25">
      <c r="A1814" s="68">
        <v>43969</v>
      </c>
      <c r="B1814" s="48">
        <v>0</v>
      </c>
      <c r="C1814" s="48">
        <v>0</v>
      </c>
      <c r="D1814" s="48">
        <v>0</v>
      </c>
      <c r="E1814" s="48" t="s">
        <v>112</v>
      </c>
      <c r="F1814" s="48" t="s">
        <v>72</v>
      </c>
      <c r="G1814" s="48" t="s">
        <v>408</v>
      </c>
      <c r="H1814" s="69">
        <f t="shared" si="28"/>
        <v>43952</v>
      </c>
    </row>
    <row r="1815" spans="1:8" x14ac:dyDescent="0.25">
      <c r="A1815" s="68">
        <v>43969</v>
      </c>
      <c r="B1815" s="48">
        <v>0</v>
      </c>
      <c r="C1815" s="48">
        <v>0</v>
      </c>
      <c r="D1815" s="48">
        <v>0</v>
      </c>
      <c r="E1815" s="48" t="s">
        <v>112</v>
      </c>
      <c r="F1815" s="48" t="s">
        <v>72</v>
      </c>
      <c r="G1815" s="48" t="s">
        <v>411</v>
      </c>
      <c r="H1815" s="69">
        <f t="shared" si="28"/>
        <v>43952</v>
      </c>
    </row>
    <row r="1816" spans="1:8" x14ac:dyDescent="0.25">
      <c r="A1816" s="68">
        <v>43969</v>
      </c>
      <c r="B1816" s="48">
        <v>4</v>
      </c>
      <c r="C1816" s="48">
        <v>1</v>
      </c>
      <c r="D1816" s="48">
        <v>9</v>
      </c>
      <c r="E1816" s="48" t="s">
        <v>112</v>
      </c>
      <c r="F1816" s="48" t="s">
        <v>72</v>
      </c>
      <c r="G1816" s="48" t="s">
        <v>351</v>
      </c>
      <c r="H1816" s="69">
        <f t="shared" si="28"/>
        <v>43952</v>
      </c>
    </row>
    <row r="1817" spans="1:8" x14ac:dyDescent="0.25">
      <c r="A1817" s="68">
        <v>43969</v>
      </c>
      <c r="B1817" s="48">
        <v>0</v>
      </c>
      <c r="C1817" s="48">
        <v>0</v>
      </c>
      <c r="D1817" s="48">
        <v>0</v>
      </c>
      <c r="E1817" s="48" t="s">
        <v>112</v>
      </c>
      <c r="F1817" s="48" t="s">
        <v>72</v>
      </c>
      <c r="G1817" s="48" t="s">
        <v>417</v>
      </c>
      <c r="H1817" s="69">
        <f t="shared" si="28"/>
        <v>43952</v>
      </c>
    </row>
    <row r="1818" spans="1:8" x14ac:dyDescent="0.25">
      <c r="A1818" s="68">
        <v>43969</v>
      </c>
      <c r="B1818" s="48">
        <v>0</v>
      </c>
      <c r="C1818" s="48">
        <v>0</v>
      </c>
      <c r="D1818" s="48">
        <v>0</v>
      </c>
      <c r="E1818" s="48" t="s">
        <v>112</v>
      </c>
      <c r="F1818" s="48" t="s">
        <v>72</v>
      </c>
      <c r="G1818" s="48" t="s">
        <v>420</v>
      </c>
      <c r="H1818" s="69">
        <f t="shared" si="28"/>
        <v>43952</v>
      </c>
    </row>
    <row r="1819" spans="1:8" x14ac:dyDescent="0.25">
      <c r="A1819" s="68">
        <v>43969</v>
      </c>
      <c r="B1819" s="48">
        <v>733</v>
      </c>
      <c r="C1819" s="48">
        <v>8</v>
      </c>
      <c r="D1819" s="48">
        <v>511</v>
      </c>
      <c r="E1819" s="48" t="s">
        <v>112</v>
      </c>
      <c r="F1819" s="48" t="s">
        <v>70</v>
      </c>
      <c r="G1819" s="48" t="s">
        <v>91</v>
      </c>
      <c r="H1819" s="69">
        <f t="shared" si="28"/>
        <v>43952</v>
      </c>
    </row>
    <row r="1820" spans="1:8" x14ac:dyDescent="0.25">
      <c r="A1820" s="68">
        <v>43969</v>
      </c>
      <c r="B1820" s="48">
        <v>30</v>
      </c>
      <c r="C1820" s="48">
        <v>2</v>
      </c>
      <c r="D1820" s="48">
        <v>3</v>
      </c>
      <c r="E1820" s="48" t="s">
        <v>112</v>
      </c>
      <c r="F1820" s="48" t="s">
        <v>70</v>
      </c>
      <c r="G1820" s="48" t="s">
        <v>99</v>
      </c>
      <c r="H1820" s="69">
        <f t="shared" si="28"/>
        <v>43952</v>
      </c>
    </row>
    <row r="1821" spans="1:8" x14ac:dyDescent="0.25">
      <c r="A1821" s="68">
        <v>43969</v>
      </c>
      <c r="B1821" s="48">
        <v>0</v>
      </c>
      <c r="C1821" s="48">
        <v>0</v>
      </c>
      <c r="D1821" s="48">
        <v>0</v>
      </c>
      <c r="E1821" s="48" t="s">
        <v>112</v>
      </c>
      <c r="F1821" s="48" t="s">
        <v>70</v>
      </c>
      <c r="G1821" s="48" t="s">
        <v>363</v>
      </c>
      <c r="H1821" s="69">
        <f t="shared" si="28"/>
        <v>43952</v>
      </c>
    </row>
    <row r="1822" spans="1:8" x14ac:dyDescent="0.25">
      <c r="A1822" s="68">
        <v>43969</v>
      </c>
      <c r="B1822" s="48">
        <v>1</v>
      </c>
      <c r="C1822" s="48">
        <v>0</v>
      </c>
      <c r="D1822" s="48">
        <v>0</v>
      </c>
      <c r="E1822" s="48" t="s">
        <v>112</v>
      </c>
      <c r="F1822" s="48" t="s">
        <v>70</v>
      </c>
      <c r="G1822" s="48" t="s">
        <v>377</v>
      </c>
      <c r="H1822" s="69">
        <f t="shared" si="28"/>
        <v>43952</v>
      </c>
    </row>
    <row r="1823" spans="1:8" x14ac:dyDescent="0.25">
      <c r="A1823" s="68">
        <v>43969</v>
      </c>
      <c r="B1823" s="48">
        <v>1</v>
      </c>
      <c r="C1823" s="48">
        <v>0</v>
      </c>
      <c r="D1823" s="48">
        <v>0</v>
      </c>
      <c r="E1823" s="48" t="s">
        <v>112</v>
      </c>
      <c r="F1823" s="48" t="s">
        <v>70</v>
      </c>
      <c r="G1823" s="48" t="s">
        <v>349</v>
      </c>
      <c r="H1823" s="69">
        <f t="shared" si="28"/>
        <v>43952</v>
      </c>
    </row>
    <row r="1824" spans="1:8" x14ac:dyDescent="0.25">
      <c r="A1824" s="68">
        <v>43969</v>
      </c>
      <c r="B1824" s="48">
        <v>2</v>
      </c>
      <c r="C1824" s="48">
        <v>0</v>
      </c>
      <c r="D1824" s="48">
        <v>0</v>
      </c>
      <c r="E1824" s="48" t="s">
        <v>112</v>
      </c>
      <c r="F1824" s="48" t="s">
        <v>70</v>
      </c>
      <c r="G1824" s="48" t="s">
        <v>385</v>
      </c>
      <c r="H1824" s="69">
        <f t="shared" si="28"/>
        <v>43952</v>
      </c>
    </row>
    <row r="1825" spans="1:8" x14ac:dyDescent="0.25">
      <c r="A1825" s="68">
        <v>43969</v>
      </c>
      <c r="B1825" s="48">
        <v>0</v>
      </c>
      <c r="C1825" s="48">
        <v>0</v>
      </c>
      <c r="D1825" s="48">
        <v>0</v>
      </c>
      <c r="E1825" s="48" t="s">
        <v>112</v>
      </c>
      <c r="F1825" s="48" t="s">
        <v>70</v>
      </c>
      <c r="G1825" s="48" t="s">
        <v>388</v>
      </c>
      <c r="H1825" s="69">
        <f t="shared" si="28"/>
        <v>43952</v>
      </c>
    </row>
    <row r="1826" spans="1:8" x14ac:dyDescent="0.25">
      <c r="A1826" s="68">
        <v>43969</v>
      </c>
      <c r="B1826" s="48">
        <v>5</v>
      </c>
      <c r="C1826" s="48">
        <v>0</v>
      </c>
      <c r="D1826" s="48">
        <v>3</v>
      </c>
      <c r="E1826" s="48" t="s">
        <v>112</v>
      </c>
      <c r="F1826" s="48" t="s">
        <v>70</v>
      </c>
      <c r="G1826" s="48" t="s">
        <v>381</v>
      </c>
      <c r="H1826" s="69">
        <f t="shared" si="28"/>
        <v>43952</v>
      </c>
    </row>
    <row r="1827" spans="1:8" x14ac:dyDescent="0.25">
      <c r="A1827" s="68">
        <v>43969</v>
      </c>
      <c r="B1827" s="48">
        <v>0</v>
      </c>
      <c r="C1827" s="48">
        <v>0</v>
      </c>
      <c r="D1827" s="48">
        <v>7</v>
      </c>
      <c r="E1827" s="48" t="s">
        <v>112</v>
      </c>
      <c r="F1827" s="48" t="s">
        <v>70</v>
      </c>
      <c r="G1827" s="48" t="s">
        <v>374</v>
      </c>
      <c r="H1827" s="69">
        <f t="shared" si="28"/>
        <v>43952</v>
      </c>
    </row>
    <row r="1828" spans="1:8" x14ac:dyDescent="0.25">
      <c r="A1828" s="68">
        <v>43969</v>
      </c>
      <c r="B1828" s="48">
        <v>0</v>
      </c>
      <c r="C1828" s="48">
        <v>0</v>
      </c>
      <c r="D1828" s="48">
        <v>2</v>
      </c>
      <c r="E1828" s="48" t="s">
        <v>112</v>
      </c>
      <c r="F1828" s="48" t="s">
        <v>70</v>
      </c>
      <c r="G1828" s="48" t="s">
        <v>386</v>
      </c>
      <c r="H1828" s="69">
        <f t="shared" si="28"/>
        <v>43952</v>
      </c>
    </row>
    <row r="1829" spans="1:8" x14ac:dyDescent="0.25">
      <c r="A1829" s="68">
        <v>43969</v>
      </c>
      <c r="B1829" s="48">
        <v>0</v>
      </c>
      <c r="C1829" s="48">
        <v>0</v>
      </c>
      <c r="D1829" s="48">
        <v>0</v>
      </c>
      <c r="E1829" s="48" t="s">
        <v>112</v>
      </c>
      <c r="F1829" s="48" t="s">
        <v>70</v>
      </c>
      <c r="G1829" s="48" t="s">
        <v>415</v>
      </c>
      <c r="H1829" s="69">
        <f t="shared" si="28"/>
        <v>43952</v>
      </c>
    </row>
    <row r="1830" spans="1:8" x14ac:dyDescent="0.25">
      <c r="A1830" s="68">
        <v>43969</v>
      </c>
      <c r="B1830" s="48">
        <v>31</v>
      </c>
      <c r="C1830" s="48">
        <v>0</v>
      </c>
      <c r="D1830" s="48">
        <v>3</v>
      </c>
      <c r="E1830" s="48" t="s">
        <v>112</v>
      </c>
      <c r="F1830" s="48" t="s">
        <v>70</v>
      </c>
      <c r="G1830" s="48" t="s">
        <v>105</v>
      </c>
      <c r="H1830" s="69">
        <f t="shared" si="28"/>
        <v>43952</v>
      </c>
    </row>
    <row r="1831" spans="1:8" x14ac:dyDescent="0.25">
      <c r="A1831" s="68">
        <v>43969</v>
      </c>
      <c r="B1831" s="48">
        <v>17</v>
      </c>
      <c r="C1831" s="48">
        <v>1</v>
      </c>
      <c r="D1831" s="48">
        <v>28</v>
      </c>
      <c r="E1831" s="48" t="s">
        <v>112</v>
      </c>
      <c r="F1831" s="48" t="s">
        <v>70</v>
      </c>
      <c r="G1831" s="48" t="s">
        <v>98</v>
      </c>
      <c r="H1831" s="69">
        <f t="shared" si="28"/>
        <v>43952</v>
      </c>
    </row>
    <row r="1832" spans="1:8" x14ac:dyDescent="0.25">
      <c r="A1832" s="68">
        <v>43969</v>
      </c>
      <c r="B1832" s="48">
        <v>1</v>
      </c>
      <c r="C1832" s="48">
        <v>0</v>
      </c>
      <c r="D1832" s="48">
        <v>19</v>
      </c>
      <c r="E1832" s="48" t="s">
        <v>112</v>
      </c>
      <c r="F1832" s="48" t="s">
        <v>70</v>
      </c>
      <c r="G1832" s="48" t="s">
        <v>336</v>
      </c>
      <c r="H1832" s="69">
        <f t="shared" si="28"/>
        <v>43952</v>
      </c>
    </row>
    <row r="1833" spans="1:8" x14ac:dyDescent="0.25">
      <c r="A1833" s="68">
        <v>43969</v>
      </c>
      <c r="B1833" s="48">
        <v>21</v>
      </c>
      <c r="C1833" s="48">
        <v>0</v>
      </c>
      <c r="D1833" s="48">
        <v>34</v>
      </c>
      <c r="E1833" s="48" t="s">
        <v>112</v>
      </c>
      <c r="F1833" s="48" t="s">
        <v>70</v>
      </c>
      <c r="G1833" s="48" t="s">
        <v>104</v>
      </c>
      <c r="H1833" s="69">
        <f t="shared" si="28"/>
        <v>43952</v>
      </c>
    </row>
    <row r="1834" spans="1:8" x14ac:dyDescent="0.25">
      <c r="A1834" s="68">
        <v>43969</v>
      </c>
      <c r="B1834" s="48">
        <v>0</v>
      </c>
      <c r="C1834" s="48">
        <v>0</v>
      </c>
      <c r="D1834" s="48">
        <v>0</v>
      </c>
      <c r="E1834" s="48" t="s">
        <v>112</v>
      </c>
      <c r="F1834" s="48" t="s">
        <v>70</v>
      </c>
      <c r="G1834" s="48" t="s">
        <v>379</v>
      </c>
      <c r="H1834" s="69">
        <f t="shared" si="28"/>
        <v>43952</v>
      </c>
    </row>
    <row r="1835" spans="1:8" x14ac:dyDescent="0.25">
      <c r="A1835" s="68">
        <v>43969</v>
      </c>
      <c r="B1835" s="48">
        <v>7</v>
      </c>
      <c r="C1835" s="48">
        <v>0</v>
      </c>
      <c r="D1835" s="48">
        <v>1</v>
      </c>
      <c r="E1835" s="48" t="s">
        <v>112</v>
      </c>
      <c r="F1835" s="48" t="s">
        <v>70</v>
      </c>
      <c r="G1835" s="48" t="s">
        <v>360</v>
      </c>
      <c r="H1835" s="69">
        <f t="shared" si="28"/>
        <v>43952</v>
      </c>
    </row>
    <row r="1836" spans="1:8" x14ac:dyDescent="0.25">
      <c r="A1836" s="68">
        <v>43969</v>
      </c>
      <c r="B1836" s="48">
        <v>2</v>
      </c>
      <c r="C1836" s="48">
        <v>1</v>
      </c>
      <c r="D1836" s="48">
        <v>6</v>
      </c>
      <c r="E1836" s="48" t="s">
        <v>112</v>
      </c>
      <c r="F1836" s="48" t="s">
        <v>70</v>
      </c>
      <c r="G1836" s="48" t="s">
        <v>407</v>
      </c>
      <c r="H1836" s="69">
        <f t="shared" si="28"/>
        <v>43952</v>
      </c>
    </row>
    <row r="1837" spans="1:8" x14ac:dyDescent="0.25">
      <c r="A1837" s="68">
        <v>43969</v>
      </c>
      <c r="B1837" s="48">
        <v>5</v>
      </c>
      <c r="C1837" s="48">
        <v>0</v>
      </c>
      <c r="D1837" s="48">
        <v>1</v>
      </c>
      <c r="E1837" s="48" t="s">
        <v>112</v>
      </c>
      <c r="F1837" s="48" t="s">
        <v>70</v>
      </c>
      <c r="G1837" s="48" t="s">
        <v>384</v>
      </c>
      <c r="H1837" s="69">
        <f t="shared" si="28"/>
        <v>43952</v>
      </c>
    </row>
    <row r="1838" spans="1:8" x14ac:dyDescent="0.25">
      <c r="A1838" s="68">
        <v>43969</v>
      </c>
      <c r="B1838" s="48">
        <v>0</v>
      </c>
      <c r="C1838" s="48">
        <v>1</v>
      </c>
      <c r="D1838" s="48">
        <v>1</v>
      </c>
      <c r="E1838" s="48" t="s">
        <v>112</v>
      </c>
      <c r="F1838" s="48" t="s">
        <v>70</v>
      </c>
      <c r="G1838" s="48" t="s">
        <v>383</v>
      </c>
      <c r="H1838" s="69">
        <f t="shared" si="28"/>
        <v>43952</v>
      </c>
    </row>
    <row r="1839" spans="1:8" x14ac:dyDescent="0.25">
      <c r="A1839" s="68">
        <v>43969</v>
      </c>
      <c r="B1839" s="48">
        <v>0</v>
      </c>
      <c r="C1839" s="48">
        <v>0</v>
      </c>
      <c r="D1839" s="48">
        <v>0</v>
      </c>
      <c r="E1839" s="48" t="s">
        <v>112</v>
      </c>
      <c r="F1839" s="48" t="s">
        <v>70</v>
      </c>
      <c r="G1839" s="48" t="s">
        <v>414</v>
      </c>
      <c r="H1839" s="69">
        <f t="shared" si="28"/>
        <v>43952</v>
      </c>
    </row>
    <row r="1840" spans="1:8" x14ac:dyDescent="0.25">
      <c r="A1840" s="68">
        <v>43969</v>
      </c>
      <c r="B1840" s="48">
        <v>0</v>
      </c>
      <c r="C1840" s="48">
        <v>0</v>
      </c>
      <c r="D1840" s="48">
        <v>0</v>
      </c>
      <c r="E1840" s="48" t="s">
        <v>112</v>
      </c>
      <c r="F1840" s="48" t="s">
        <v>70</v>
      </c>
      <c r="G1840" s="48" t="s">
        <v>423</v>
      </c>
      <c r="H1840" s="69">
        <f t="shared" si="28"/>
        <v>43952</v>
      </c>
    </row>
    <row r="1841" spans="1:8" x14ac:dyDescent="0.25">
      <c r="A1841" s="68">
        <v>43969</v>
      </c>
      <c r="B1841" s="48">
        <v>7</v>
      </c>
      <c r="C1841" s="48">
        <v>0</v>
      </c>
      <c r="D1841" s="48">
        <v>40</v>
      </c>
      <c r="E1841" s="48" t="s">
        <v>112</v>
      </c>
      <c r="F1841" s="48" t="s">
        <v>70</v>
      </c>
      <c r="G1841" s="48" t="s">
        <v>345</v>
      </c>
      <c r="H1841" s="69">
        <f t="shared" si="28"/>
        <v>43952</v>
      </c>
    </row>
    <row r="1842" spans="1:8" x14ac:dyDescent="0.25">
      <c r="A1842" s="68">
        <v>43969</v>
      </c>
      <c r="B1842" s="48">
        <v>1</v>
      </c>
      <c r="C1842" s="48">
        <v>0</v>
      </c>
      <c r="D1842" s="48">
        <v>2</v>
      </c>
      <c r="E1842" s="48" t="s">
        <v>112</v>
      </c>
      <c r="F1842" s="48" t="s">
        <v>70</v>
      </c>
      <c r="G1842" s="48" t="s">
        <v>367</v>
      </c>
      <c r="H1842" s="69">
        <f t="shared" si="28"/>
        <v>43952</v>
      </c>
    </row>
    <row r="1843" spans="1:8" x14ac:dyDescent="0.25">
      <c r="A1843" s="68">
        <v>43969</v>
      </c>
      <c r="B1843" s="48">
        <v>0</v>
      </c>
      <c r="C1843" s="48">
        <v>0</v>
      </c>
      <c r="D1843" s="48">
        <v>23</v>
      </c>
      <c r="E1843" s="48" t="s">
        <v>112</v>
      </c>
      <c r="F1843" s="48" t="s">
        <v>70</v>
      </c>
      <c r="G1843" s="48" t="s">
        <v>380</v>
      </c>
      <c r="H1843" s="69">
        <f t="shared" si="28"/>
        <v>43952</v>
      </c>
    </row>
    <row r="1844" spans="1:8" x14ac:dyDescent="0.25">
      <c r="A1844" s="68">
        <v>43969</v>
      </c>
      <c r="B1844" s="48">
        <v>3</v>
      </c>
      <c r="C1844" s="48">
        <v>0</v>
      </c>
      <c r="D1844" s="48">
        <v>0</v>
      </c>
      <c r="E1844" s="48" t="s">
        <v>112</v>
      </c>
      <c r="F1844" s="48" t="s">
        <v>76</v>
      </c>
      <c r="G1844" s="48" t="s">
        <v>339</v>
      </c>
      <c r="H1844" s="69">
        <f t="shared" si="28"/>
        <v>43952</v>
      </c>
    </row>
    <row r="1845" spans="1:8" x14ac:dyDescent="0.25">
      <c r="A1845" s="68">
        <v>43969</v>
      </c>
      <c r="B1845" s="48">
        <v>128</v>
      </c>
      <c r="C1845" s="48">
        <v>2</v>
      </c>
      <c r="D1845" s="48">
        <v>70</v>
      </c>
      <c r="E1845" s="48" t="s">
        <v>112</v>
      </c>
      <c r="F1845" s="48" t="s">
        <v>73</v>
      </c>
      <c r="G1845" s="48" t="s">
        <v>93</v>
      </c>
      <c r="H1845" s="69">
        <f t="shared" si="28"/>
        <v>43952</v>
      </c>
    </row>
    <row r="1846" spans="1:8" x14ac:dyDescent="0.25">
      <c r="A1846" s="68">
        <v>43969</v>
      </c>
      <c r="B1846" s="48">
        <v>630</v>
      </c>
      <c r="C1846" s="48">
        <v>13</v>
      </c>
      <c r="D1846" s="48">
        <v>56</v>
      </c>
      <c r="E1846" s="48" t="s">
        <v>112</v>
      </c>
      <c r="F1846" s="48" t="s">
        <v>71</v>
      </c>
      <c r="G1846" s="48" t="s">
        <v>92</v>
      </c>
      <c r="H1846" s="69">
        <f t="shared" si="28"/>
        <v>43952</v>
      </c>
    </row>
    <row r="1847" spans="1:8" x14ac:dyDescent="0.25">
      <c r="A1847" s="68">
        <v>43970</v>
      </c>
      <c r="B1847" s="48">
        <v>104</v>
      </c>
      <c r="C1847" s="48">
        <v>0</v>
      </c>
      <c r="D1847" s="48">
        <v>38</v>
      </c>
      <c r="E1847" s="48" t="s">
        <v>112</v>
      </c>
      <c r="F1847" s="48" t="s">
        <v>74</v>
      </c>
      <c r="G1847" s="48" t="s">
        <v>95</v>
      </c>
      <c r="H1847" s="69">
        <f t="shared" si="28"/>
        <v>43952</v>
      </c>
    </row>
    <row r="1848" spans="1:8" x14ac:dyDescent="0.25">
      <c r="A1848" s="68">
        <v>43970</v>
      </c>
      <c r="B1848" s="48">
        <v>0</v>
      </c>
      <c r="C1848" s="48">
        <v>0</v>
      </c>
      <c r="D1848" s="48">
        <v>12</v>
      </c>
      <c r="E1848" s="48" t="s">
        <v>112</v>
      </c>
      <c r="F1848" s="48" t="s">
        <v>75</v>
      </c>
      <c r="G1848" s="48" t="s">
        <v>373</v>
      </c>
      <c r="H1848" s="69">
        <f t="shared" si="28"/>
        <v>43952</v>
      </c>
    </row>
    <row r="1849" spans="1:8" x14ac:dyDescent="0.25">
      <c r="A1849" s="68">
        <v>43970</v>
      </c>
      <c r="B1849" s="48">
        <v>1</v>
      </c>
      <c r="C1849" s="48">
        <v>0</v>
      </c>
      <c r="D1849" s="48">
        <v>0</v>
      </c>
      <c r="E1849" s="48" t="s">
        <v>112</v>
      </c>
      <c r="F1849" s="48" t="s">
        <v>75</v>
      </c>
      <c r="G1849" s="48" t="s">
        <v>402</v>
      </c>
      <c r="H1849" s="69">
        <f t="shared" si="28"/>
        <v>43952</v>
      </c>
    </row>
    <row r="1850" spans="1:8" x14ac:dyDescent="0.25">
      <c r="A1850" s="68">
        <v>43970</v>
      </c>
      <c r="B1850" s="48">
        <v>0</v>
      </c>
      <c r="C1850" s="48">
        <v>0</v>
      </c>
      <c r="D1850" s="48">
        <v>4</v>
      </c>
      <c r="E1850" s="48" t="s">
        <v>112</v>
      </c>
      <c r="F1850" s="48" t="s">
        <v>75</v>
      </c>
      <c r="G1850" s="48" t="s">
        <v>103</v>
      </c>
      <c r="H1850" s="69">
        <f t="shared" si="28"/>
        <v>43952</v>
      </c>
    </row>
    <row r="1851" spans="1:8" x14ac:dyDescent="0.25">
      <c r="A1851" s="68">
        <v>43970</v>
      </c>
      <c r="B1851" s="48">
        <v>98</v>
      </c>
      <c r="C1851" s="48">
        <v>7</v>
      </c>
      <c r="D1851" s="48">
        <v>0</v>
      </c>
      <c r="E1851" s="48" t="s">
        <v>112</v>
      </c>
      <c r="F1851" s="48" t="s">
        <v>72</v>
      </c>
      <c r="G1851" s="48" t="s">
        <v>94</v>
      </c>
      <c r="H1851" s="69">
        <f t="shared" si="28"/>
        <v>43952</v>
      </c>
    </row>
    <row r="1852" spans="1:8" x14ac:dyDescent="0.25">
      <c r="A1852" s="68">
        <v>43970</v>
      </c>
      <c r="B1852" s="48">
        <v>12</v>
      </c>
      <c r="C1852" s="48">
        <v>0</v>
      </c>
      <c r="D1852" s="48">
        <v>0</v>
      </c>
      <c r="E1852" s="48" t="s">
        <v>112</v>
      </c>
      <c r="F1852" s="48" t="s">
        <v>72</v>
      </c>
      <c r="G1852" s="48" t="s">
        <v>341</v>
      </c>
      <c r="H1852" s="69">
        <f t="shared" si="28"/>
        <v>43952</v>
      </c>
    </row>
    <row r="1853" spans="1:8" x14ac:dyDescent="0.25">
      <c r="A1853" s="68">
        <v>43970</v>
      </c>
      <c r="B1853" s="48">
        <v>26</v>
      </c>
      <c r="C1853" s="48">
        <v>1</v>
      </c>
      <c r="D1853" s="48">
        <v>2</v>
      </c>
      <c r="E1853" s="48" t="s">
        <v>112</v>
      </c>
      <c r="F1853" s="48" t="s">
        <v>72</v>
      </c>
      <c r="G1853" s="48" t="s">
        <v>338</v>
      </c>
      <c r="H1853" s="69">
        <f t="shared" si="28"/>
        <v>43952</v>
      </c>
    </row>
    <row r="1854" spans="1:8" x14ac:dyDescent="0.25">
      <c r="A1854" s="68">
        <v>43970</v>
      </c>
      <c r="B1854" s="48">
        <v>4</v>
      </c>
      <c r="C1854" s="48">
        <v>0</v>
      </c>
      <c r="D1854" s="48">
        <v>5</v>
      </c>
      <c r="E1854" s="48" t="s">
        <v>112</v>
      </c>
      <c r="F1854" s="48" t="s">
        <v>72</v>
      </c>
      <c r="G1854" s="48" t="s">
        <v>343</v>
      </c>
      <c r="H1854" s="69">
        <f t="shared" si="28"/>
        <v>43952</v>
      </c>
    </row>
    <row r="1855" spans="1:8" x14ac:dyDescent="0.25">
      <c r="A1855" s="68">
        <v>43970</v>
      </c>
      <c r="B1855" s="48">
        <v>0</v>
      </c>
      <c r="C1855" s="48">
        <v>0</v>
      </c>
      <c r="D1855" s="48">
        <v>0</v>
      </c>
      <c r="E1855" s="48" t="s">
        <v>112</v>
      </c>
      <c r="F1855" s="48" t="s">
        <v>72</v>
      </c>
      <c r="G1855" s="48" t="s">
        <v>400</v>
      </c>
      <c r="H1855" s="69">
        <f t="shared" si="28"/>
        <v>43952</v>
      </c>
    </row>
    <row r="1856" spans="1:8" x14ac:dyDescent="0.25">
      <c r="A1856" s="68">
        <v>43970</v>
      </c>
      <c r="B1856" s="48">
        <v>23</v>
      </c>
      <c r="C1856" s="48">
        <v>0</v>
      </c>
      <c r="D1856" s="48">
        <v>7</v>
      </c>
      <c r="E1856" s="48" t="s">
        <v>112</v>
      </c>
      <c r="F1856" s="48" t="s">
        <v>72</v>
      </c>
      <c r="G1856" s="48" t="s">
        <v>102</v>
      </c>
      <c r="H1856" s="69">
        <f t="shared" si="28"/>
        <v>43952</v>
      </c>
    </row>
    <row r="1857" spans="1:8" x14ac:dyDescent="0.25">
      <c r="A1857" s="68">
        <v>43970</v>
      </c>
      <c r="B1857" s="48">
        <v>8</v>
      </c>
      <c r="C1857" s="48">
        <v>0</v>
      </c>
      <c r="D1857" s="48">
        <v>7</v>
      </c>
      <c r="E1857" s="48" t="s">
        <v>112</v>
      </c>
      <c r="F1857" s="48" t="s">
        <v>72</v>
      </c>
      <c r="G1857" s="48" t="s">
        <v>355</v>
      </c>
      <c r="H1857" s="69">
        <f t="shared" si="28"/>
        <v>43952</v>
      </c>
    </row>
    <row r="1858" spans="1:8" x14ac:dyDescent="0.25">
      <c r="A1858" s="68">
        <v>43970</v>
      </c>
      <c r="B1858" s="48">
        <v>34</v>
      </c>
      <c r="C1858" s="48">
        <v>0</v>
      </c>
      <c r="D1858" s="48">
        <v>36</v>
      </c>
      <c r="E1858" s="48" t="s">
        <v>112</v>
      </c>
      <c r="F1858" s="48" t="s">
        <v>72</v>
      </c>
      <c r="G1858" s="48" t="s">
        <v>96</v>
      </c>
      <c r="H1858" s="69">
        <f t="shared" ref="H1858:H1921" si="29">DATE(YEAR(A1858),MONTH(A1858),1)</f>
        <v>43952</v>
      </c>
    </row>
    <row r="1859" spans="1:8" x14ac:dyDescent="0.25">
      <c r="A1859" s="68">
        <v>43970</v>
      </c>
      <c r="B1859" s="48">
        <v>0</v>
      </c>
      <c r="C1859" s="48">
        <v>0</v>
      </c>
      <c r="D1859" s="48">
        <v>0</v>
      </c>
      <c r="E1859" s="48" t="s">
        <v>112</v>
      </c>
      <c r="F1859" s="48" t="s">
        <v>72</v>
      </c>
      <c r="G1859" s="48" t="s">
        <v>347</v>
      </c>
      <c r="H1859" s="69">
        <f t="shared" si="29"/>
        <v>43952</v>
      </c>
    </row>
    <row r="1860" spans="1:8" x14ac:dyDescent="0.25">
      <c r="A1860" s="68">
        <v>43970</v>
      </c>
      <c r="B1860" s="48">
        <v>18</v>
      </c>
      <c r="C1860" s="48">
        <v>0</v>
      </c>
      <c r="D1860" s="48">
        <v>0</v>
      </c>
      <c r="E1860" s="48" t="s">
        <v>112</v>
      </c>
      <c r="F1860" s="48" t="s">
        <v>72</v>
      </c>
      <c r="G1860" s="48" t="s">
        <v>335</v>
      </c>
      <c r="H1860" s="69">
        <f t="shared" si="29"/>
        <v>43952</v>
      </c>
    </row>
    <row r="1861" spans="1:8" x14ac:dyDescent="0.25">
      <c r="A1861" s="68">
        <v>43970</v>
      </c>
      <c r="B1861" s="48">
        <v>5</v>
      </c>
      <c r="C1861" s="48">
        <v>0</v>
      </c>
      <c r="D1861" s="48">
        <v>13</v>
      </c>
      <c r="E1861" s="48" t="s">
        <v>112</v>
      </c>
      <c r="F1861" s="48" t="s">
        <v>72</v>
      </c>
      <c r="G1861" s="48" t="s">
        <v>342</v>
      </c>
      <c r="H1861" s="69">
        <f t="shared" si="29"/>
        <v>43952</v>
      </c>
    </row>
    <row r="1862" spans="1:8" x14ac:dyDescent="0.25">
      <c r="A1862" s="68">
        <v>43970</v>
      </c>
      <c r="B1862" s="48">
        <v>2</v>
      </c>
      <c r="C1862" s="48">
        <v>0</v>
      </c>
      <c r="D1862" s="48">
        <v>0</v>
      </c>
      <c r="E1862" s="48" t="s">
        <v>112</v>
      </c>
      <c r="F1862" s="48" t="s">
        <v>72</v>
      </c>
      <c r="G1862" s="48" t="s">
        <v>353</v>
      </c>
      <c r="H1862" s="69">
        <f t="shared" si="29"/>
        <v>43952</v>
      </c>
    </row>
    <row r="1863" spans="1:8" x14ac:dyDescent="0.25">
      <c r="A1863" s="68">
        <v>43970</v>
      </c>
      <c r="B1863" s="48">
        <v>9</v>
      </c>
      <c r="C1863" s="48">
        <v>0</v>
      </c>
      <c r="D1863" s="48">
        <v>0</v>
      </c>
      <c r="E1863" s="48" t="s">
        <v>112</v>
      </c>
      <c r="F1863" s="48" t="s">
        <v>72</v>
      </c>
      <c r="G1863" s="48" t="s">
        <v>101</v>
      </c>
      <c r="H1863" s="69">
        <f t="shared" si="29"/>
        <v>43952</v>
      </c>
    </row>
    <row r="1864" spans="1:8" x14ac:dyDescent="0.25">
      <c r="A1864" s="68">
        <v>43970</v>
      </c>
      <c r="B1864" s="48">
        <v>2</v>
      </c>
      <c r="C1864" s="48">
        <v>0</v>
      </c>
      <c r="D1864" s="48">
        <v>5</v>
      </c>
      <c r="E1864" s="48" t="s">
        <v>112</v>
      </c>
      <c r="F1864" s="48" t="s">
        <v>72</v>
      </c>
      <c r="G1864" s="48" t="s">
        <v>387</v>
      </c>
      <c r="H1864" s="69">
        <f t="shared" si="29"/>
        <v>43952</v>
      </c>
    </row>
    <row r="1865" spans="1:8" x14ac:dyDescent="0.25">
      <c r="A1865" s="68">
        <v>43970</v>
      </c>
      <c r="B1865" s="48">
        <v>1</v>
      </c>
      <c r="C1865" s="48">
        <v>0</v>
      </c>
      <c r="D1865" s="48">
        <v>0</v>
      </c>
      <c r="E1865" s="48" t="s">
        <v>112</v>
      </c>
      <c r="F1865" s="48" t="s">
        <v>72</v>
      </c>
      <c r="G1865" s="48" t="s">
        <v>406</v>
      </c>
      <c r="H1865" s="69">
        <f t="shared" si="29"/>
        <v>43952</v>
      </c>
    </row>
    <row r="1866" spans="1:8" x14ac:dyDescent="0.25">
      <c r="A1866" s="68">
        <v>43970</v>
      </c>
      <c r="B1866" s="48">
        <v>6</v>
      </c>
      <c r="C1866" s="48">
        <v>1</v>
      </c>
      <c r="D1866" s="48">
        <v>14</v>
      </c>
      <c r="E1866" s="48" t="s">
        <v>112</v>
      </c>
      <c r="F1866" s="48" t="s">
        <v>72</v>
      </c>
      <c r="G1866" s="48" t="s">
        <v>344</v>
      </c>
      <c r="H1866" s="69">
        <f t="shared" si="29"/>
        <v>43952</v>
      </c>
    </row>
    <row r="1867" spans="1:8" x14ac:dyDescent="0.25">
      <c r="A1867" s="68">
        <v>43970</v>
      </c>
      <c r="B1867" s="48">
        <v>3</v>
      </c>
      <c r="C1867" s="48">
        <v>0</v>
      </c>
      <c r="D1867" s="48">
        <v>0</v>
      </c>
      <c r="E1867" s="48" t="s">
        <v>112</v>
      </c>
      <c r="F1867" s="48" t="s">
        <v>72</v>
      </c>
      <c r="G1867" s="48" t="s">
        <v>354</v>
      </c>
      <c r="H1867" s="69">
        <f t="shared" si="29"/>
        <v>43952</v>
      </c>
    </row>
    <row r="1868" spans="1:8" x14ac:dyDescent="0.25">
      <c r="A1868" s="68">
        <v>43970</v>
      </c>
      <c r="B1868" s="48">
        <v>4</v>
      </c>
      <c r="C1868" s="48">
        <v>2</v>
      </c>
      <c r="D1868" s="48">
        <v>2</v>
      </c>
      <c r="E1868" s="48" t="s">
        <v>112</v>
      </c>
      <c r="F1868" s="48" t="s">
        <v>72</v>
      </c>
      <c r="G1868" s="48" t="s">
        <v>337</v>
      </c>
      <c r="H1868" s="69">
        <f t="shared" si="29"/>
        <v>43952</v>
      </c>
    </row>
    <row r="1869" spans="1:8" x14ac:dyDescent="0.25">
      <c r="A1869" s="68">
        <v>43970</v>
      </c>
      <c r="B1869" s="48">
        <v>1</v>
      </c>
      <c r="C1869" s="48">
        <v>0</v>
      </c>
      <c r="D1869" s="48">
        <v>0</v>
      </c>
      <c r="E1869" s="48" t="s">
        <v>112</v>
      </c>
      <c r="F1869" s="48" t="s">
        <v>72</v>
      </c>
      <c r="G1869" s="48" t="s">
        <v>356</v>
      </c>
      <c r="H1869" s="69">
        <f t="shared" si="29"/>
        <v>43952</v>
      </c>
    </row>
    <row r="1870" spans="1:8" x14ac:dyDescent="0.25">
      <c r="A1870" s="68">
        <v>43970</v>
      </c>
      <c r="B1870" s="48">
        <v>0</v>
      </c>
      <c r="C1870" s="48">
        <v>0</v>
      </c>
      <c r="D1870" s="48">
        <v>0</v>
      </c>
      <c r="E1870" s="48" t="s">
        <v>112</v>
      </c>
      <c r="F1870" s="48" t="s">
        <v>72</v>
      </c>
      <c r="G1870" s="48" t="s">
        <v>429</v>
      </c>
      <c r="H1870" s="69">
        <f t="shared" si="29"/>
        <v>43952</v>
      </c>
    </row>
    <row r="1871" spans="1:8" x14ac:dyDescent="0.25">
      <c r="A1871" s="68">
        <v>43970</v>
      </c>
      <c r="B1871" s="48">
        <v>0</v>
      </c>
      <c r="C1871" s="48">
        <v>0</v>
      </c>
      <c r="D1871" s="48">
        <v>0</v>
      </c>
      <c r="E1871" s="48" t="s">
        <v>112</v>
      </c>
      <c r="F1871" s="48" t="s">
        <v>72</v>
      </c>
      <c r="G1871" s="48" t="s">
        <v>431</v>
      </c>
      <c r="H1871" s="69">
        <f t="shared" si="29"/>
        <v>43952</v>
      </c>
    </row>
    <row r="1872" spans="1:8" x14ac:dyDescent="0.25">
      <c r="A1872" s="68">
        <v>43970</v>
      </c>
      <c r="B1872" s="48">
        <v>0</v>
      </c>
      <c r="C1872" s="48">
        <v>0</v>
      </c>
      <c r="D1872" s="48">
        <v>0</v>
      </c>
      <c r="E1872" s="48" t="s">
        <v>112</v>
      </c>
      <c r="F1872" s="48" t="s">
        <v>72</v>
      </c>
      <c r="G1872" s="48" t="s">
        <v>426</v>
      </c>
      <c r="H1872" s="69">
        <f t="shared" si="29"/>
        <v>43952</v>
      </c>
    </row>
    <row r="1873" spans="1:8" x14ac:dyDescent="0.25">
      <c r="A1873" s="68">
        <v>43970</v>
      </c>
      <c r="B1873" s="48">
        <v>0</v>
      </c>
      <c r="C1873" s="48">
        <v>0</v>
      </c>
      <c r="D1873" s="48">
        <v>0</v>
      </c>
      <c r="E1873" s="48" t="s">
        <v>112</v>
      </c>
      <c r="F1873" s="48" t="s">
        <v>72</v>
      </c>
      <c r="G1873" s="48" t="s">
        <v>436</v>
      </c>
      <c r="H1873" s="69">
        <f t="shared" si="29"/>
        <v>43952</v>
      </c>
    </row>
    <row r="1874" spans="1:8" x14ac:dyDescent="0.25">
      <c r="A1874" s="68">
        <v>43970</v>
      </c>
      <c r="B1874" s="48">
        <v>0</v>
      </c>
      <c r="C1874" s="48">
        <v>0</v>
      </c>
      <c r="D1874" s="48">
        <v>0</v>
      </c>
      <c r="E1874" s="48" t="s">
        <v>112</v>
      </c>
      <c r="F1874" s="48" t="s">
        <v>72</v>
      </c>
      <c r="G1874" s="48" t="s">
        <v>357</v>
      </c>
      <c r="H1874" s="69">
        <f t="shared" si="29"/>
        <v>43952</v>
      </c>
    </row>
    <row r="1875" spans="1:8" x14ac:dyDescent="0.25">
      <c r="A1875" s="68">
        <v>43970</v>
      </c>
      <c r="B1875" s="48">
        <v>2</v>
      </c>
      <c r="C1875" s="48">
        <v>0</v>
      </c>
      <c r="D1875" s="48">
        <v>0</v>
      </c>
      <c r="E1875" s="48" t="s">
        <v>112</v>
      </c>
      <c r="F1875" s="48" t="s">
        <v>72</v>
      </c>
      <c r="G1875" s="48" t="s">
        <v>358</v>
      </c>
      <c r="H1875" s="69">
        <f t="shared" si="29"/>
        <v>43952</v>
      </c>
    </row>
    <row r="1876" spans="1:8" x14ac:dyDescent="0.25">
      <c r="A1876" s="68">
        <v>43970</v>
      </c>
      <c r="B1876" s="48">
        <v>0</v>
      </c>
      <c r="C1876" s="48">
        <v>0</v>
      </c>
      <c r="D1876" s="48">
        <v>0</v>
      </c>
      <c r="E1876" s="48" t="s">
        <v>112</v>
      </c>
      <c r="F1876" s="48" t="s">
        <v>72</v>
      </c>
      <c r="G1876" s="48" t="s">
        <v>399</v>
      </c>
      <c r="H1876" s="69">
        <f t="shared" si="29"/>
        <v>43952</v>
      </c>
    </row>
    <row r="1877" spans="1:8" x14ac:dyDescent="0.25">
      <c r="A1877" s="68">
        <v>43970</v>
      </c>
      <c r="B1877" s="48">
        <v>3</v>
      </c>
      <c r="C1877" s="48">
        <v>0</v>
      </c>
      <c r="D1877" s="48">
        <v>0</v>
      </c>
      <c r="E1877" s="48" t="s">
        <v>112</v>
      </c>
      <c r="F1877" s="48" t="s">
        <v>72</v>
      </c>
      <c r="G1877" s="48" t="s">
        <v>352</v>
      </c>
      <c r="H1877" s="69">
        <f t="shared" si="29"/>
        <v>43952</v>
      </c>
    </row>
    <row r="1878" spans="1:8" x14ac:dyDescent="0.25">
      <c r="A1878" s="68">
        <v>43970</v>
      </c>
      <c r="B1878" s="48">
        <v>3</v>
      </c>
      <c r="C1878" s="48">
        <v>0</v>
      </c>
      <c r="D1878" s="48">
        <v>0</v>
      </c>
      <c r="E1878" s="48" t="s">
        <v>112</v>
      </c>
      <c r="F1878" s="48" t="s">
        <v>72</v>
      </c>
      <c r="G1878" s="48" t="s">
        <v>359</v>
      </c>
      <c r="H1878" s="69">
        <f t="shared" si="29"/>
        <v>43952</v>
      </c>
    </row>
    <row r="1879" spans="1:8" x14ac:dyDescent="0.25">
      <c r="A1879" s="68">
        <v>43970</v>
      </c>
      <c r="B1879" s="48">
        <v>0</v>
      </c>
      <c r="C1879" s="48">
        <v>0</v>
      </c>
      <c r="D1879" s="48">
        <v>0</v>
      </c>
      <c r="E1879" s="48" t="s">
        <v>112</v>
      </c>
      <c r="F1879" s="48" t="s">
        <v>72</v>
      </c>
      <c r="G1879" s="48" t="s">
        <v>410</v>
      </c>
      <c r="H1879" s="69">
        <f t="shared" si="29"/>
        <v>43952</v>
      </c>
    </row>
    <row r="1880" spans="1:8" x14ac:dyDescent="0.25">
      <c r="A1880" s="68">
        <v>43970</v>
      </c>
      <c r="B1880" s="48">
        <v>0</v>
      </c>
      <c r="C1880" s="48">
        <v>0</v>
      </c>
      <c r="D1880" s="48">
        <v>0</v>
      </c>
      <c r="E1880" s="48" t="s">
        <v>112</v>
      </c>
      <c r="F1880" s="48" t="s">
        <v>72</v>
      </c>
      <c r="G1880" s="48" t="s">
        <v>365</v>
      </c>
      <c r="H1880" s="69">
        <f t="shared" si="29"/>
        <v>43952</v>
      </c>
    </row>
    <row r="1881" spans="1:8" x14ac:dyDescent="0.25">
      <c r="A1881" s="68">
        <v>43970</v>
      </c>
      <c r="B1881" s="48">
        <v>0</v>
      </c>
      <c r="C1881" s="48">
        <v>0</v>
      </c>
      <c r="D1881" s="48">
        <v>0</v>
      </c>
      <c r="E1881" s="48" t="s">
        <v>112</v>
      </c>
      <c r="F1881" s="48" t="s">
        <v>72</v>
      </c>
      <c r="G1881" s="48" t="s">
        <v>408</v>
      </c>
      <c r="H1881" s="69">
        <f t="shared" si="29"/>
        <v>43952</v>
      </c>
    </row>
    <row r="1882" spans="1:8" x14ac:dyDescent="0.25">
      <c r="A1882" s="68">
        <v>43970</v>
      </c>
      <c r="B1882" s="48">
        <v>0</v>
      </c>
      <c r="C1882" s="48">
        <v>0</v>
      </c>
      <c r="D1882" s="48">
        <v>0</v>
      </c>
      <c r="E1882" s="48" t="s">
        <v>112</v>
      </c>
      <c r="F1882" s="48" t="s">
        <v>72</v>
      </c>
      <c r="G1882" s="48" t="s">
        <v>411</v>
      </c>
      <c r="H1882" s="69">
        <f t="shared" si="29"/>
        <v>43952</v>
      </c>
    </row>
    <row r="1883" spans="1:8" x14ac:dyDescent="0.25">
      <c r="A1883" s="68">
        <v>43970</v>
      </c>
      <c r="B1883" s="48">
        <v>7</v>
      </c>
      <c r="C1883" s="48">
        <v>0</v>
      </c>
      <c r="D1883" s="48">
        <v>16</v>
      </c>
      <c r="E1883" s="48" t="s">
        <v>112</v>
      </c>
      <c r="F1883" s="48" t="s">
        <v>72</v>
      </c>
      <c r="G1883" s="48" t="s">
        <v>351</v>
      </c>
      <c r="H1883" s="69">
        <f t="shared" si="29"/>
        <v>43952</v>
      </c>
    </row>
    <row r="1884" spans="1:8" x14ac:dyDescent="0.25">
      <c r="A1884" s="68">
        <v>43970</v>
      </c>
      <c r="B1884" s="48">
        <v>0</v>
      </c>
      <c r="C1884" s="48">
        <v>0</v>
      </c>
      <c r="D1884" s="48">
        <v>0</v>
      </c>
      <c r="E1884" s="48" t="s">
        <v>112</v>
      </c>
      <c r="F1884" s="48" t="s">
        <v>72</v>
      </c>
      <c r="G1884" s="48" t="s">
        <v>417</v>
      </c>
      <c r="H1884" s="69">
        <f t="shared" si="29"/>
        <v>43952</v>
      </c>
    </row>
    <row r="1885" spans="1:8" x14ac:dyDescent="0.25">
      <c r="A1885" s="68">
        <v>43970</v>
      </c>
      <c r="B1885" s="48">
        <v>0</v>
      </c>
      <c r="C1885" s="48">
        <v>0</v>
      </c>
      <c r="D1885" s="48">
        <v>0</v>
      </c>
      <c r="E1885" s="48" t="s">
        <v>112</v>
      </c>
      <c r="F1885" s="48" t="s">
        <v>72</v>
      </c>
      <c r="G1885" s="48" t="s">
        <v>420</v>
      </c>
      <c r="H1885" s="69">
        <f t="shared" si="29"/>
        <v>43952</v>
      </c>
    </row>
    <row r="1886" spans="1:8" x14ac:dyDescent="0.25">
      <c r="A1886" s="68">
        <v>43970</v>
      </c>
      <c r="B1886" s="48">
        <v>608</v>
      </c>
      <c r="C1886" s="48">
        <v>14</v>
      </c>
      <c r="D1886" s="48">
        <v>200</v>
      </c>
      <c r="E1886" s="48" t="s">
        <v>112</v>
      </c>
      <c r="F1886" s="48" t="s">
        <v>70</v>
      </c>
      <c r="G1886" s="48" t="s">
        <v>91</v>
      </c>
      <c r="H1886" s="69">
        <f t="shared" si="29"/>
        <v>43952</v>
      </c>
    </row>
    <row r="1887" spans="1:8" x14ac:dyDescent="0.25">
      <c r="A1887" s="68">
        <v>43970</v>
      </c>
      <c r="B1887" s="48">
        <v>20</v>
      </c>
      <c r="C1887" s="48">
        <v>0</v>
      </c>
      <c r="D1887" s="48">
        <v>3</v>
      </c>
      <c r="E1887" s="48" t="s">
        <v>112</v>
      </c>
      <c r="F1887" s="48" t="s">
        <v>70</v>
      </c>
      <c r="G1887" s="48" t="s">
        <v>99</v>
      </c>
      <c r="H1887" s="69">
        <f t="shared" si="29"/>
        <v>43952</v>
      </c>
    </row>
    <row r="1888" spans="1:8" x14ac:dyDescent="0.25">
      <c r="A1888" s="68">
        <v>43970</v>
      </c>
      <c r="B1888" s="48">
        <v>10</v>
      </c>
      <c r="C1888" s="48">
        <v>0</v>
      </c>
      <c r="D1888" s="48">
        <v>0</v>
      </c>
      <c r="E1888" s="48" t="s">
        <v>112</v>
      </c>
      <c r="F1888" s="48" t="s">
        <v>70</v>
      </c>
      <c r="G1888" s="48" t="s">
        <v>363</v>
      </c>
      <c r="H1888" s="69">
        <f t="shared" si="29"/>
        <v>43952</v>
      </c>
    </row>
    <row r="1889" spans="1:8" x14ac:dyDescent="0.25">
      <c r="A1889" s="68">
        <v>43970</v>
      </c>
      <c r="B1889" s="48">
        <v>1</v>
      </c>
      <c r="C1889" s="48">
        <v>0</v>
      </c>
      <c r="D1889" s="48">
        <v>0</v>
      </c>
      <c r="E1889" s="48" t="s">
        <v>112</v>
      </c>
      <c r="F1889" s="48" t="s">
        <v>70</v>
      </c>
      <c r="G1889" s="48" t="s">
        <v>377</v>
      </c>
      <c r="H1889" s="69">
        <f t="shared" si="29"/>
        <v>43952</v>
      </c>
    </row>
    <row r="1890" spans="1:8" x14ac:dyDescent="0.25">
      <c r="A1890" s="68">
        <v>43970</v>
      </c>
      <c r="B1890" s="48">
        <v>0</v>
      </c>
      <c r="C1890" s="48">
        <v>0</v>
      </c>
      <c r="D1890" s="48">
        <v>0</v>
      </c>
      <c r="E1890" s="48" t="s">
        <v>112</v>
      </c>
      <c r="F1890" s="48" t="s">
        <v>70</v>
      </c>
      <c r="G1890" s="48" t="s">
        <v>349</v>
      </c>
      <c r="H1890" s="69">
        <f t="shared" si="29"/>
        <v>43952</v>
      </c>
    </row>
    <row r="1891" spans="1:8" x14ac:dyDescent="0.25">
      <c r="A1891" s="68">
        <v>43970</v>
      </c>
      <c r="B1891" s="48">
        <v>0</v>
      </c>
      <c r="C1891" s="48">
        <v>0</v>
      </c>
      <c r="D1891" s="48">
        <v>0</v>
      </c>
      <c r="E1891" s="48" t="s">
        <v>112</v>
      </c>
      <c r="F1891" s="48" t="s">
        <v>70</v>
      </c>
      <c r="G1891" s="48" t="s">
        <v>385</v>
      </c>
      <c r="H1891" s="69">
        <f t="shared" si="29"/>
        <v>43952</v>
      </c>
    </row>
    <row r="1892" spans="1:8" x14ac:dyDescent="0.25">
      <c r="A1892" s="68">
        <v>43970</v>
      </c>
      <c r="B1892" s="48">
        <v>0</v>
      </c>
      <c r="C1892" s="48">
        <v>0</v>
      </c>
      <c r="D1892" s="48">
        <v>0</v>
      </c>
      <c r="E1892" s="48" t="s">
        <v>112</v>
      </c>
      <c r="F1892" s="48" t="s">
        <v>70</v>
      </c>
      <c r="G1892" s="48" t="s">
        <v>388</v>
      </c>
      <c r="H1892" s="69">
        <f t="shared" si="29"/>
        <v>43952</v>
      </c>
    </row>
    <row r="1893" spans="1:8" x14ac:dyDescent="0.25">
      <c r="A1893" s="68">
        <v>43970</v>
      </c>
      <c r="B1893" s="48">
        <v>0</v>
      </c>
      <c r="C1893" s="48">
        <v>1</v>
      </c>
      <c r="D1893" s="48">
        <v>0</v>
      </c>
      <c r="E1893" s="48" t="s">
        <v>112</v>
      </c>
      <c r="F1893" s="48" t="s">
        <v>70</v>
      </c>
      <c r="G1893" s="48" t="s">
        <v>381</v>
      </c>
      <c r="H1893" s="69">
        <f t="shared" si="29"/>
        <v>43952</v>
      </c>
    </row>
    <row r="1894" spans="1:8" x14ac:dyDescent="0.25">
      <c r="A1894" s="68">
        <v>43970</v>
      </c>
      <c r="B1894" s="48">
        <v>3</v>
      </c>
      <c r="C1894" s="48">
        <v>0</v>
      </c>
      <c r="D1894" s="48">
        <v>0</v>
      </c>
      <c r="E1894" s="48" t="s">
        <v>112</v>
      </c>
      <c r="F1894" s="48" t="s">
        <v>70</v>
      </c>
      <c r="G1894" s="48" t="s">
        <v>374</v>
      </c>
      <c r="H1894" s="69">
        <f t="shared" si="29"/>
        <v>43952</v>
      </c>
    </row>
    <row r="1895" spans="1:8" x14ac:dyDescent="0.25">
      <c r="A1895" s="68">
        <v>43970</v>
      </c>
      <c r="B1895" s="48">
        <v>0</v>
      </c>
      <c r="C1895" s="48">
        <v>0</v>
      </c>
      <c r="D1895" s="48">
        <v>0</v>
      </c>
      <c r="E1895" s="48" t="s">
        <v>112</v>
      </c>
      <c r="F1895" s="48" t="s">
        <v>70</v>
      </c>
      <c r="G1895" s="48" t="s">
        <v>386</v>
      </c>
      <c r="H1895" s="69">
        <f t="shared" si="29"/>
        <v>43952</v>
      </c>
    </row>
    <row r="1896" spans="1:8" x14ac:dyDescent="0.25">
      <c r="A1896" s="68">
        <v>43970</v>
      </c>
      <c r="B1896" s="48">
        <v>1</v>
      </c>
      <c r="C1896" s="48">
        <v>0</v>
      </c>
      <c r="D1896" s="48">
        <v>0</v>
      </c>
      <c r="E1896" s="48" t="s">
        <v>112</v>
      </c>
      <c r="F1896" s="48" t="s">
        <v>70</v>
      </c>
      <c r="G1896" s="48" t="s">
        <v>415</v>
      </c>
      <c r="H1896" s="69">
        <f t="shared" si="29"/>
        <v>43952</v>
      </c>
    </row>
    <row r="1897" spans="1:8" x14ac:dyDescent="0.25">
      <c r="A1897" s="68">
        <v>43970</v>
      </c>
      <c r="B1897" s="48">
        <v>2</v>
      </c>
      <c r="C1897" s="48">
        <v>0</v>
      </c>
      <c r="D1897" s="48">
        <v>4</v>
      </c>
      <c r="E1897" s="48" t="s">
        <v>112</v>
      </c>
      <c r="F1897" s="48" t="s">
        <v>70</v>
      </c>
      <c r="G1897" s="48" t="s">
        <v>105</v>
      </c>
      <c r="H1897" s="69">
        <f t="shared" si="29"/>
        <v>43952</v>
      </c>
    </row>
    <row r="1898" spans="1:8" x14ac:dyDescent="0.25">
      <c r="A1898" s="68">
        <v>43970</v>
      </c>
      <c r="B1898" s="48">
        <v>6</v>
      </c>
      <c r="C1898" s="48">
        <v>0</v>
      </c>
      <c r="D1898" s="48">
        <v>0</v>
      </c>
      <c r="E1898" s="48" t="s">
        <v>112</v>
      </c>
      <c r="F1898" s="48" t="s">
        <v>70</v>
      </c>
      <c r="G1898" s="48" t="s">
        <v>98</v>
      </c>
      <c r="H1898" s="69">
        <f t="shared" si="29"/>
        <v>43952</v>
      </c>
    </row>
    <row r="1899" spans="1:8" x14ac:dyDescent="0.25">
      <c r="A1899" s="68">
        <v>43970</v>
      </c>
      <c r="B1899" s="48">
        <v>5</v>
      </c>
      <c r="C1899" s="48">
        <v>0</v>
      </c>
      <c r="D1899" s="48">
        <v>3</v>
      </c>
      <c r="E1899" s="48" t="s">
        <v>112</v>
      </c>
      <c r="F1899" s="48" t="s">
        <v>70</v>
      </c>
      <c r="G1899" s="48" t="s">
        <v>336</v>
      </c>
      <c r="H1899" s="69">
        <f t="shared" si="29"/>
        <v>43952</v>
      </c>
    </row>
    <row r="1900" spans="1:8" x14ac:dyDescent="0.25">
      <c r="A1900" s="68">
        <v>43970</v>
      </c>
      <c r="B1900" s="48">
        <v>16</v>
      </c>
      <c r="C1900" s="48">
        <v>0</v>
      </c>
      <c r="D1900" s="48">
        <v>5</v>
      </c>
      <c r="E1900" s="48" t="s">
        <v>112</v>
      </c>
      <c r="F1900" s="48" t="s">
        <v>70</v>
      </c>
      <c r="G1900" s="48" t="s">
        <v>104</v>
      </c>
      <c r="H1900" s="69">
        <f t="shared" si="29"/>
        <v>43952</v>
      </c>
    </row>
    <row r="1901" spans="1:8" x14ac:dyDescent="0.25">
      <c r="A1901" s="68">
        <v>43970</v>
      </c>
      <c r="B1901" s="48">
        <v>2</v>
      </c>
      <c r="C1901" s="48">
        <v>0</v>
      </c>
      <c r="D1901" s="48">
        <v>0</v>
      </c>
      <c r="E1901" s="48" t="s">
        <v>112</v>
      </c>
      <c r="F1901" s="48" t="s">
        <v>70</v>
      </c>
      <c r="G1901" s="48" t="s">
        <v>379</v>
      </c>
      <c r="H1901" s="69">
        <f t="shared" si="29"/>
        <v>43952</v>
      </c>
    </row>
    <row r="1902" spans="1:8" x14ac:dyDescent="0.25">
      <c r="A1902" s="68">
        <v>43970</v>
      </c>
      <c r="B1902" s="48">
        <v>12</v>
      </c>
      <c r="C1902" s="48">
        <v>0</v>
      </c>
      <c r="D1902" s="48">
        <v>2</v>
      </c>
      <c r="E1902" s="48" t="s">
        <v>112</v>
      </c>
      <c r="F1902" s="48" t="s">
        <v>70</v>
      </c>
      <c r="G1902" s="48" t="s">
        <v>360</v>
      </c>
      <c r="H1902" s="69">
        <f t="shared" si="29"/>
        <v>43952</v>
      </c>
    </row>
    <row r="1903" spans="1:8" x14ac:dyDescent="0.25">
      <c r="A1903" s="68">
        <v>43970</v>
      </c>
      <c r="B1903" s="48">
        <v>0</v>
      </c>
      <c r="C1903" s="48">
        <v>0</v>
      </c>
      <c r="D1903" s="48">
        <v>6</v>
      </c>
      <c r="E1903" s="48" t="s">
        <v>112</v>
      </c>
      <c r="F1903" s="48" t="s">
        <v>70</v>
      </c>
      <c r="G1903" s="48" t="s">
        <v>407</v>
      </c>
      <c r="H1903" s="69">
        <f t="shared" si="29"/>
        <v>43952</v>
      </c>
    </row>
    <row r="1904" spans="1:8" x14ac:dyDescent="0.25">
      <c r="A1904" s="68">
        <v>43970</v>
      </c>
      <c r="B1904" s="48">
        <v>2</v>
      </c>
      <c r="C1904" s="48">
        <v>0</v>
      </c>
      <c r="D1904" s="48">
        <v>0</v>
      </c>
      <c r="E1904" s="48" t="s">
        <v>112</v>
      </c>
      <c r="F1904" s="48" t="s">
        <v>70</v>
      </c>
      <c r="G1904" s="48" t="s">
        <v>384</v>
      </c>
      <c r="H1904" s="69">
        <f t="shared" si="29"/>
        <v>43952</v>
      </c>
    </row>
    <row r="1905" spans="1:8" x14ac:dyDescent="0.25">
      <c r="A1905" s="68">
        <v>43970</v>
      </c>
      <c r="B1905" s="48">
        <v>3</v>
      </c>
      <c r="C1905" s="48">
        <v>0</v>
      </c>
      <c r="D1905" s="48">
        <v>0</v>
      </c>
      <c r="E1905" s="48" t="s">
        <v>112</v>
      </c>
      <c r="F1905" s="48" t="s">
        <v>70</v>
      </c>
      <c r="G1905" s="48" t="s">
        <v>383</v>
      </c>
      <c r="H1905" s="69">
        <f t="shared" si="29"/>
        <v>43952</v>
      </c>
    </row>
    <row r="1906" spans="1:8" x14ac:dyDescent="0.25">
      <c r="A1906" s="68">
        <v>43970</v>
      </c>
      <c r="B1906" s="48">
        <v>0</v>
      </c>
      <c r="C1906" s="48">
        <v>0</v>
      </c>
      <c r="D1906" s="48">
        <v>0</v>
      </c>
      <c r="E1906" s="48" t="s">
        <v>112</v>
      </c>
      <c r="F1906" s="48" t="s">
        <v>70</v>
      </c>
      <c r="G1906" s="48" t="s">
        <v>414</v>
      </c>
      <c r="H1906" s="69">
        <f t="shared" si="29"/>
        <v>43952</v>
      </c>
    </row>
    <row r="1907" spans="1:8" x14ac:dyDescent="0.25">
      <c r="A1907" s="68">
        <v>43970</v>
      </c>
      <c r="B1907" s="48">
        <v>0</v>
      </c>
      <c r="C1907" s="48">
        <v>0</v>
      </c>
      <c r="D1907" s="48">
        <v>0</v>
      </c>
      <c r="E1907" s="48" t="s">
        <v>112</v>
      </c>
      <c r="F1907" s="48" t="s">
        <v>70</v>
      </c>
      <c r="G1907" s="48" t="s">
        <v>423</v>
      </c>
      <c r="H1907" s="69">
        <f t="shared" si="29"/>
        <v>43952</v>
      </c>
    </row>
    <row r="1908" spans="1:8" x14ac:dyDescent="0.25">
      <c r="A1908" s="68">
        <v>43970</v>
      </c>
      <c r="B1908" s="48">
        <v>6</v>
      </c>
      <c r="C1908" s="48">
        <v>2</v>
      </c>
      <c r="D1908" s="48">
        <v>26</v>
      </c>
      <c r="E1908" s="48" t="s">
        <v>112</v>
      </c>
      <c r="F1908" s="48" t="s">
        <v>70</v>
      </c>
      <c r="G1908" s="48" t="s">
        <v>345</v>
      </c>
      <c r="H1908" s="69">
        <f t="shared" si="29"/>
        <v>43952</v>
      </c>
    </row>
    <row r="1909" spans="1:8" x14ac:dyDescent="0.25">
      <c r="A1909" s="68">
        <v>43970</v>
      </c>
      <c r="B1909" s="48">
        <v>4</v>
      </c>
      <c r="C1909" s="48">
        <v>0</v>
      </c>
      <c r="D1909" s="48">
        <v>0</v>
      </c>
      <c r="E1909" s="48" t="s">
        <v>112</v>
      </c>
      <c r="F1909" s="48" t="s">
        <v>70</v>
      </c>
      <c r="G1909" s="48" t="s">
        <v>367</v>
      </c>
      <c r="H1909" s="69">
        <f t="shared" si="29"/>
        <v>43952</v>
      </c>
    </row>
    <row r="1910" spans="1:8" x14ac:dyDescent="0.25">
      <c r="A1910" s="68">
        <v>43970</v>
      </c>
      <c r="B1910" s="48">
        <v>5</v>
      </c>
      <c r="C1910" s="48">
        <v>2</v>
      </c>
      <c r="D1910" s="48">
        <v>1</v>
      </c>
      <c r="E1910" s="48" t="s">
        <v>112</v>
      </c>
      <c r="F1910" s="48" t="s">
        <v>70</v>
      </c>
      <c r="G1910" s="48" t="s">
        <v>380</v>
      </c>
      <c r="H1910" s="69">
        <f t="shared" si="29"/>
        <v>43952</v>
      </c>
    </row>
    <row r="1911" spans="1:8" x14ac:dyDescent="0.25">
      <c r="A1911" s="68">
        <v>43970</v>
      </c>
      <c r="B1911" s="48">
        <v>18</v>
      </c>
      <c r="C1911" s="48">
        <v>0</v>
      </c>
      <c r="D1911" s="48">
        <v>0</v>
      </c>
      <c r="E1911" s="48" t="s">
        <v>112</v>
      </c>
      <c r="F1911" s="48" t="s">
        <v>76</v>
      </c>
      <c r="G1911" s="48" t="s">
        <v>339</v>
      </c>
      <c r="H1911" s="69">
        <f t="shared" si="29"/>
        <v>43952</v>
      </c>
    </row>
    <row r="1912" spans="1:8" x14ac:dyDescent="0.25">
      <c r="A1912" s="68">
        <v>43970</v>
      </c>
      <c r="B1912" s="48">
        <v>65</v>
      </c>
      <c r="C1912" s="48">
        <v>0</v>
      </c>
      <c r="D1912" s="48">
        <v>84</v>
      </c>
      <c r="E1912" s="48" t="s">
        <v>112</v>
      </c>
      <c r="F1912" s="48" t="s">
        <v>73</v>
      </c>
      <c r="G1912" s="48" t="s">
        <v>93</v>
      </c>
      <c r="H1912" s="69">
        <f t="shared" si="29"/>
        <v>43952</v>
      </c>
    </row>
    <row r="1913" spans="1:8" x14ac:dyDescent="0.25">
      <c r="A1913" s="68">
        <v>43970</v>
      </c>
      <c r="B1913" s="48">
        <v>709</v>
      </c>
      <c r="C1913" s="48">
        <v>16</v>
      </c>
      <c r="D1913" s="48">
        <v>102</v>
      </c>
      <c r="E1913" s="48" t="s">
        <v>112</v>
      </c>
      <c r="F1913" s="48" t="s">
        <v>71</v>
      </c>
      <c r="G1913" s="48" t="s">
        <v>92</v>
      </c>
      <c r="H1913" s="69">
        <f t="shared" si="29"/>
        <v>43952</v>
      </c>
    </row>
    <row r="1914" spans="1:8" x14ac:dyDescent="0.25">
      <c r="A1914" s="68">
        <v>43971</v>
      </c>
      <c r="B1914" s="48">
        <v>97</v>
      </c>
      <c r="C1914" s="48">
        <v>1</v>
      </c>
      <c r="D1914" s="48">
        <v>0</v>
      </c>
      <c r="E1914" s="48" t="s">
        <v>112</v>
      </c>
      <c r="F1914" s="48" t="s">
        <v>74</v>
      </c>
      <c r="G1914" s="48" t="s">
        <v>95</v>
      </c>
      <c r="H1914" s="69">
        <f t="shared" si="29"/>
        <v>43952</v>
      </c>
    </row>
    <row r="1915" spans="1:8" x14ac:dyDescent="0.25">
      <c r="A1915" s="68">
        <v>43971</v>
      </c>
      <c r="B1915" s="48">
        <v>4</v>
      </c>
      <c r="C1915" s="48">
        <v>0</v>
      </c>
      <c r="D1915" s="48">
        <v>0</v>
      </c>
      <c r="E1915" s="48" t="s">
        <v>112</v>
      </c>
      <c r="F1915" s="48" t="s">
        <v>75</v>
      </c>
      <c r="G1915" s="48" t="s">
        <v>393</v>
      </c>
      <c r="H1915" s="69">
        <f t="shared" si="29"/>
        <v>43952</v>
      </c>
    </row>
    <row r="1916" spans="1:8" x14ac:dyDescent="0.25">
      <c r="A1916" s="68">
        <v>43971</v>
      </c>
      <c r="B1916" s="48">
        <v>0</v>
      </c>
      <c r="C1916" s="48">
        <v>0</v>
      </c>
      <c r="D1916" s="48">
        <v>0</v>
      </c>
      <c r="E1916" s="48" t="s">
        <v>112</v>
      </c>
      <c r="F1916" s="48" t="s">
        <v>75</v>
      </c>
      <c r="G1916" s="48" t="s">
        <v>368</v>
      </c>
      <c r="H1916" s="69">
        <f t="shared" si="29"/>
        <v>43952</v>
      </c>
    </row>
    <row r="1917" spans="1:8" x14ac:dyDescent="0.25">
      <c r="A1917" s="68">
        <v>43971</v>
      </c>
      <c r="B1917" s="48">
        <v>3</v>
      </c>
      <c r="C1917" s="48">
        <v>0</v>
      </c>
      <c r="D1917" s="48">
        <v>0</v>
      </c>
      <c r="E1917" s="48" t="s">
        <v>112</v>
      </c>
      <c r="F1917" s="48" t="s">
        <v>75</v>
      </c>
      <c r="G1917" s="48" t="s">
        <v>373</v>
      </c>
      <c r="H1917" s="69">
        <f t="shared" si="29"/>
        <v>43952</v>
      </c>
    </row>
    <row r="1918" spans="1:8" x14ac:dyDescent="0.25">
      <c r="A1918" s="68">
        <v>43971</v>
      </c>
      <c r="B1918" s="48">
        <v>1</v>
      </c>
      <c r="C1918" s="48">
        <v>0</v>
      </c>
      <c r="D1918" s="48">
        <v>0</v>
      </c>
      <c r="E1918" s="48" t="s">
        <v>112</v>
      </c>
      <c r="F1918" s="48" t="s">
        <v>75</v>
      </c>
      <c r="G1918" s="48" t="s">
        <v>103</v>
      </c>
      <c r="H1918" s="69">
        <f t="shared" si="29"/>
        <v>43952</v>
      </c>
    </row>
    <row r="1919" spans="1:8" x14ac:dyDescent="0.25">
      <c r="A1919" s="68">
        <v>43971</v>
      </c>
      <c r="B1919" s="48">
        <v>0</v>
      </c>
      <c r="C1919" s="48">
        <v>0</v>
      </c>
      <c r="D1919" s="48">
        <v>3</v>
      </c>
      <c r="E1919" s="48" t="s">
        <v>112</v>
      </c>
      <c r="F1919" s="48" t="s">
        <v>75</v>
      </c>
      <c r="G1919" s="48" t="s">
        <v>398</v>
      </c>
      <c r="H1919" s="69">
        <f t="shared" si="29"/>
        <v>43952</v>
      </c>
    </row>
    <row r="1920" spans="1:8" x14ac:dyDescent="0.25">
      <c r="A1920" s="68">
        <v>43971</v>
      </c>
      <c r="B1920" s="48">
        <v>7</v>
      </c>
      <c r="C1920" s="48">
        <v>0</v>
      </c>
      <c r="D1920" s="48">
        <v>0</v>
      </c>
      <c r="E1920" s="48" t="s">
        <v>112</v>
      </c>
      <c r="F1920" s="48" t="s">
        <v>75</v>
      </c>
      <c r="G1920" s="48" t="s">
        <v>394</v>
      </c>
      <c r="H1920" s="69">
        <f t="shared" si="29"/>
        <v>43952</v>
      </c>
    </row>
    <row r="1921" spans="1:8" x14ac:dyDescent="0.25">
      <c r="A1921" s="68">
        <v>43971</v>
      </c>
      <c r="B1921" s="48">
        <v>94</v>
      </c>
      <c r="C1921" s="48">
        <v>3</v>
      </c>
      <c r="D1921" s="48">
        <v>0</v>
      </c>
      <c r="E1921" s="48" t="s">
        <v>112</v>
      </c>
      <c r="F1921" s="48" t="s">
        <v>72</v>
      </c>
      <c r="G1921" s="48" t="s">
        <v>94</v>
      </c>
      <c r="H1921" s="69">
        <f t="shared" si="29"/>
        <v>43952</v>
      </c>
    </row>
    <row r="1922" spans="1:8" x14ac:dyDescent="0.25">
      <c r="A1922" s="68">
        <v>43971</v>
      </c>
      <c r="B1922" s="48">
        <v>1</v>
      </c>
      <c r="C1922" s="48">
        <v>0</v>
      </c>
      <c r="D1922" s="48">
        <v>0</v>
      </c>
      <c r="E1922" s="48" t="s">
        <v>112</v>
      </c>
      <c r="F1922" s="48" t="s">
        <v>72</v>
      </c>
      <c r="G1922" s="48" t="s">
        <v>341</v>
      </c>
      <c r="H1922" s="69">
        <f t="shared" ref="H1922:H1985" si="30">DATE(YEAR(A1922),MONTH(A1922),1)</f>
        <v>43952</v>
      </c>
    </row>
    <row r="1923" spans="1:8" x14ac:dyDescent="0.25">
      <c r="A1923" s="68">
        <v>43971</v>
      </c>
      <c r="B1923" s="48">
        <v>14</v>
      </c>
      <c r="C1923" s="48">
        <v>1</v>
      </c>
      <c r="D1923" s="48">
        <v>0</v>
      </c>
      <c r="E1923" s="48" t="s">
        <v>112</v>
      </c>
      <c r="F1923" s="48" t="s">
        <v>72</v>
      </c>
      <c r="G1923" s="48" t="s">
        <v>338</v>
      </c>
      <c r="H1923" s="69">
        <f t="shared" si="30"/>
        <v>43952</v>
      </c>
    </row>
    <row r="1924" spans="1:8" x14ac:dyDescent="0.25">
      <c r="A1924" s="68">
        <v>43971</v>
      </c>
      <c r="B1924" s="48">
        <v>6</v>
      </c>
      <c r="C1924" s="48">
        <v>0</v>
      </c>
      <c r="D1924" s="48">
        <v>12</v>
      </c>
      <c r="E1924" s="48" t="s">
        <v>112</v>
      </c>
      <c r="F1924" s="48" t="s">
        <v>72</v>
      </c>
      <c r="G1924" s="48" t="s">
        <v>343</v>
      </c>
      <c r="H1924" s="69">
        <f t="shared" si="30"/>
        <v>43952</v>
      </c>
    </row>
    <row r="1925" spans="1:8" x14ac:dyDescent="0.25">
      <c r="A1925" s="68">
        <v>43971</v>
      </c>
      <c r="B1925" s="48">
        <v>2</v>
      </c>
      <c r="C1925" s="48">
        <v>0</v>
      </c>
      <c r="D1925" s="48">
        <v>0</v>
      </c>
      <c r="E1925" s="48" t="s">
        <v>112</v>
      </c>
      <c r="F1925" s="48" t="s">
        <v>72</v>
      </c>
      <c r="G1925" s="48" t="s">
        <v>400</v>
      </c>
      <c r="H1925" s="69">
        <f t="shared" si="30"/>
        <v>43952</v>
      </c>
    </row>
    <row r="1926" spans="1:8" x14ac:dyDescent="0.25">
      <c r="A1926" s="68">
        <v>43971</v>
      </c>
      <c r="B1926" s="48">
        <v>3</v>
      </c>
      <c r="C1926" s="48">
        <v>0</v>
      </c>
      <c r="D1926" s="48">
        <v>9</v>
      </c>
      <c r="E1926" s="48" t="s">
        <v>112</v>
      </c>
      <c r="F1926" s="48" t="s">
        <v>72</v>
      </c>
      <c r="G1926" s="48" t="s">
        <v>102</v>
      </c>
      <c r="H1926" s="69">
        <f t="shared" si="30"/>
        <v>43952</v>
      </c>
    </row>
    <row r="1927" spans="1:8" x14ac:dyDescent="0.25">
      <c r="A1927" s="68">
        <v>43971</v>
      </c>
      <c r="B1927" s="48">
        <v>1</v>
      </c>
      <c r="C1927" s="48">
        <v>0</v>
      </c>
      <c r="D1927" s="48">
        <v>0</v>
      </c>
      <c r="E1927" s="48" t="s">
        <v>112</v>
      </c>
      <c r="F1927" s="48" t="s">
        <v>72</v>
      </c>
      <c r="G1927" s="48" t="s">
        <v>355</v>
      </c>
      <c r="H1927" s="69">
        <f t="shared" si="30"/>
        <v>43952</v>
      </c>
    </row>
    <row r="1928" spans="1:8" x14ac:dyDescent="0.25">
      <c r="A1928" s="68">
        <v>43971</v>
      </c>
      <c r="B1928" s="48">
        <v>24</v>
      </c>
      <c r="C1928" s="48">
        <v>1</v>
      </c>
      <c r="D1928" s="48">
        <v>7</v>
      </c>
      <c r="E1928" s="48" t="s">
        <v>112</v>
      </c>
      <c r="F1928" s="48" t="s">
        <v>72</v>
      </c>
      <c r="G1928" s="48" t="s">
        <v>96</v>
      </c>
      <c r="H1928" s="69">
        <f t="shared" si="30"/>
        <v>43952</v>
      </c>
    </row>
    <row r="1929" spans="1:8" x14ac:dyDescent="0.25">
      <c r="A1929" s="68">
        <v>43971</v>
      </c>
      <c r="B1929" s="48">
        <v>1</v>
      </c>
      <c r="C1929" s="48">
        <v>0</v>
      </c>
      <c r="D1929" s="48">
        <v>10</v>
      </c>
      <c r="E1929" s="48" t="s">
        <v>112</v>
      </c>
      <c r="F1929" s="48" t="s">
        <v>72</v>
      </c>
      <c r="G1929" s="48" t="s">
        <v>347</v>
      </c>
      <c r="H1929" s="69">
        <f t="shared" si="30"/>
        <v>43952</v>
      </c>
    </row>
    <row r="1930" spans="1:8" x14ac:dyDescent="0.25">
      <c r="A1930" s="68">
        <v>43971</v>
      </c>
      <c r="B1930" s="48">
        <v>0</v>
      </c>
      <c r="C1930" s="48">
        <v>1</v>
      </c>
      <c r="D1930" s="48">
        <v>0</v>
      </c>
      <c r="E1930" s="48" t="s">
        <v>112</v>
      </c>
      <c r="F1930" s="48" t="s">
        <v>72</v>
      </c>
      <c r="G1930" s="48" t="s">
        <v>335</v>
      </c>
      <c r="H1930" s="69">
        <f t="shared" si="30"/>
        <v>43952</v>
      </c>
    </row>
    <row r="1931" spans="1:8" x14ac:dyDescent="0.25">
      <c r="A1931" s="68">
        <v>43971</v>
      </c>
      <c r="B1931" s="48">
        <v>1</v>
      </c>
      <c r="C1931" s="48">
        <v>0</v>
      </c>
      <c r="D1931" s="48">
        <v>1</v>
      </c>
      <c r="E1931" s="48" t="s">
        <v>112</v>
      </c>
      <c r="F1931" s="48" t="s">
        <v>72</v>
      </c>
      <c r="G1931" s="48" t="s">
        <v>342</v>
      </c>
      <c r="H1931" s="69">
        <f t="shared" si="30"/>
        <v>43952</v>
      </c>
    </row>
    <row r="1932" spans="1:8" x14ac:dyDescent="0.25">
      <c r="A1932" s="68">
        <v>43971</v>
      </c>
      <c r="B1932" s="48">
        <v>8</v>
      </c>
      <c r="C1932" s="48">
        <v>0</v>
      </c>
      <c r="D1932" s="48">
        <v>1</v>
      </c>
      <c r="E1932" s="48" t="s">
        <v>112</v>
      </c>
      <c r="F1932" s="48" t="s">
        <v>72</v>
      </c>
      <c r="G1932" s="48" t="s">
        <v>353</v>
      </c>
      <c r="H1932" s="69">
        <f t="shared" si="30"/>
        <v>43952</v>
      </c>
    </row>
    <row r="1933" spans="1:8" x14ac:dyDescent="0.25">
      <c r="A1933" s="68">
        <v>43971</v>
      </c>
      <c r="B1933" s="48">
        <v>7</v>
      </c>
      <c r="C1933" s="48">
        <v>0</v>
      </c>
      <c r="D1933" s="48">
        <v>0</v>
      </c>
      <c r="E1933" s="48" t="s">
        <v>112</v>
      </c>
      <c r="F1933" s="48" t="s">
        <v>72</v>
      </c>
      <c r="G1933" s="48" t="s">
        <v>101</v>
      </c>
      <c r="H1933" s="69">
        <f t="shared" si="30"/>
        <v>43952</v>
      </c>
    </row>
    <row r="1934" spans="1:8" x14ac:dyDescent="0.25">
      <c r="A1934" s="68">
        <v>43971</v>
      </c>
      <c r="B1934" s="48">
        <v>0</v>
      </c>
      <c r="C1934" s="48">
        <v>0</v>
      </c>
      <c r="D1934" s="48">
        <v>1</v>
      </c>
      <c r="E1934" s="48" t="s">
        <v>112</v>
      </c>
      <c r="F1934" s="48" t="s">
        <v>72</v>
      </c>
      <c r="G1934" s="48" t="s">
        <v>387</v>
      </c>
      <c r="H1934" s="69">
        <f t="shared" si="30"/>
        <v>43952</v>
      </c>
    </row>
    <row r="1935" spans="1:8" x14ac:dyDescent="0.25">
      <c r="A1935" s="68">
        <v>43971</v>
      </c>
      <c r="B1935" s="48">
        <v>0</v>
      </c>
      <c r="C1935" s="48">
        <v>0</v>
      </c>
      <c r="D1935" s="48">
        <v>0</v>
      </c>
      <c r="E1935" s="48" t="s">
        <v>112</v>
      </c>
      <c r="F1935" s="48" t="s">
        <v>72</v>
      </c>
      <c r="G1935" s="48" t="s">
        <v>406</v>
      </c>
      <c r="H1935" s="69">
        <f t="shared" si="30"/>
        <v>43952</v>
      </c>
    </row>
    <row r="1936" spans="1:8" x14ac:dyDescent="0.25">
      <c r="A1936" s="68">
        <v>43971</v>
      </c>
      <c r="B1936" s="48">
        <v>6</v>
      </c>
      <c r="C1936" s="48">
        <v>0</v>
      </c>
      <c r="D1936" s="48">
        <v>5</v>
      </c>
      <c r="E1936" s="48" t="s">
        <v>112</v>
      </c>
      <c r="F1936" s="48" t="s">
        <v>72</v>
      </c>
      <c r="G1936" s="48" t="s">
        <v>344</v>
      </c>
      <c r="H1936" s="69">
        <f t="shared" si="30"/>
        <v>43952</v>
      </c>
    </row>
    <row r="1937" spans="1:8" x14ac:dyDescent="0.25">
      <c r="A1937" s="68">
        <v>43971</v>
      </c>
      <c r="B1937" s="48">
        <v>0</v>
      </c>
      <c r="C1937" s="48">
        <v>0</v>
      </c>
      <c r="D1937" s="48">
        <v>0</v>
      </c>
      <c r="E1937" s="48" t="s">
        <v>112</v>
      </c>
      <c r="F1937" s="48" t="s">
        <v>72</v>
      </c>
      <c r="G1937" s="48" t="s">
        <v>354</v>
      </c>
      <c r="H1937" s="69">
        <f t="shared" si="30"/>
        <v>43952</v>
      </c>
    </row>
    <row r="1938" spans="1:8" x14ac:dyDescent="0.25">
      <c r="A1938" s="68">
        <v>43971</v>
      </c>
      <c r="B1938" s="48">
        <v>7</v>
      </c>
      <c r="C1938" s="48">
        <v>0</v>
      </c>
      <c r="D1938" s="48">
        <v>2</v>
      </c>
      <c r="E1938" s="48" t="s">
        <v>112</v>
      </c>
      <c r="F1938" s="48" t="s">
        <v>72</v>
      </c>
      <c r="G1938" s="48" t="s">
        <v>337</v>
      </c>
      <c r="H1938" s="69">
        <f t="shared" si="30"/>
        <v>43952</v>
      </c>
    </row>
    <row r="1939" spans="1:8" x14ac:dyDescent="0.25">
      <c r="A1939" s="68">
        <v>43971</v>
      </c>
      <c r="B1939" s="48">
        <v>5</v>
      </c>
      <c r="C1939" s="48">
        <v>0</v>
      </c>
      <c r="D1939" s="48">
        <v>0</v>
      </c>
      <c r="E1939" s="48" t="s">
        <v>112</v>
      </c>
      <c r="F1939" s="48" t="s">
        <v>72</v>
      </c>
      <c r="G1939" s="48" t="s">
        <v>356</v>
      </c>
      <c r="H1939" s="69">
        <f t="shared" si="30"/>
        <v>43952</v>
      </c>
    </row>
    <row r="1940" spans="1:8" x14ac:dyDescent="0.25">
      <c r="A1940" s="68">
        <v>43971</v>
      </c>
      <c r="B1940" s="48">
        <v>0</v>
      </c>
      <c r="C1940" s="48">
        <v>0</v>
      </c>
      <c r="D1940" s="48">
        <v>0</v>
      </c>
      <c r="E1940" s="48" t="s">
        <v>112</v>
      </c>
      <c r="F1940" s="48" t="s">
        <v>72</v>
      </c>
      <c r="G1940" s="48" t="s">
        <v>429</v>
      </c>
      <c r="H1940" s="69">
        <f t="shared" si="30"/>
        <v>43952</v>
      </c>
    </row>
    <row r="1941" spans="1:8" x14ac:dyDescent="0.25">
      <c r="A1941" s="68">
        <v>43971</v>
      </c>
      <c r="B1941" s="48">
        <v>0</v>
      </c>
      <c r="C1941" s="48">
        <v>0</v>
      </c>
      <c r="D1941" s="48">
        <v>0</v>
      </c>
      <c r="E1941" s="48" t="s">
        <v>112</v>
      </c>
      <c r="F1941" s="48" t="s">
        <v>72</v>
      </c>
      <c r="G1941" s="48" t="s">
        <v>431</v>
      </c>
      <c r="H1941" s="69">
        <f t="shared" si="30"/>
        <v>43952</v>
      </c>
    </row>
    <row r="1942" spans="1:8" x14ac:dyDescent="0.25">
      <c r="A1942" s="68">
        <v>43971</v>
      </c>
      <c r="B1942" s="48">
        <v>0</v>
      </c>
      <c r="C1942" s="48">
        <v>0</v>
      </c>
      <c r="D1942" s="48">
        <v>0</v>
      </c>
      <c r="E1942" s="48" t="s">
        <v>112</v>
      </c>
      <c r="F1942" s="48" t="s">
        <v>72</v>
      </c>
      <c r="G1942" s="48" t="s">
        <v>426</v>
      </c>
      <c r="H1942" s="69">
        <f t="shared" si="30"/>
        <v>43952</v>
      </c>
    </row>
    <row r="1943" spans="1:8" x14ac:dyDescent="0.25">
      <c r="A1943" s="68">
        <v>43971</v>
      </c>
      <c r="B1943" s="48">
        <v>0</v>
      </c>
      <c r="C1943" s="48">
        <v>0</v>
      </c>
      <c r="D1943" s="48">
        <v>0</v>
      </c>
      <c r="E1943" s="48" t="s">
        <v>112</v>
      </c>
      <c r="F1943" s="48" t="s">
        <v>72</v>
      </c>
      <c r="G1943" s="48" t="s">
        <v>436</v>
      </c>
      <c r="H1943" s="69">
        <f t="shared" si="30"/>
        <v>43952</v>
      </c>
    </row>
    <row r="1944" spans="1:8" x14ac:dyDescent="0.25">
      <c r="A1944" s="68">
        <v>43971</v>
      </c>
      <c r="B1944" s="48">
        <v>1</v>
      </c>
      <c r="C1944" s="48">
        <v>0</v>
      </c>
      <c r="D1944" s="48">
        <v>8</v>
      </c>
      <c r="E1944" s="48" t="s">
        <v>112</v>
      </c>
      <c r="F1944" s="48" t="s">
        <v>72</v>
      </c>
      <c r="G1944" s="48" t="s">
        <v>357</v>
      </c>
      <c r="H1944" s="69">
        <f t="shared" si="30"/>
        <v>43952</v>
      </c>
    </row>
    <row r="1945" spans="1:8" x14ac:dyDescent="0.25">
      <c r="A1945" s="68">
        <v>43971</v>
      </c>
      <c r="B1945" s="48">
        <v>2</v>
      </c>
      <c r="C1945" s="48">
        <v>0</v>
      </c>
      <c r="D1945" s="48">
        <v>1</v>
      </c>
      <c r="E1945" s="48" t="s">
        <v>112</v>
      </c>
      <c r="F1945" s="48" t="s">
        <v>72</v>
      </c>
      <c r="G1945" s="48" t="s">
        <v>358</v>
      </c>
      <c r="H1945" s="69">
        <f t="shared" si="30"/>
        <v>43952</v>
      </c>
    </row>
    <row r="1946" spans="1:8" x14ac:dyDescent="0.25">
      <c r="A1946" s="68">
        <v>43971</v>
      </c>
      <c r="B1946" s="48">
        <v>0</v>
      </c>
      <c r="C1946" s="48">
        <v>0</v>
      </c>
      <c r="D1946" s="48">
        <v>0</v>
      </c>
      <c r="E1946" s="48" t="s">
        <v>112</v>
      </c>
      <c r="F1946" s="48" t="s">
        <v>72</v>
      </c>
      <c r="G1946" s="48" t="s">
        <v>399</v>
      </c>
      <c r="H1946" s="69">
        <f t="shared" si="30"/>
        <v>43952</v>
      </c>
    </row>
    <row r="1947" spans="1:8" x14ac:dyDescent="0.25">
      <c r="A1947" s="68">
        <v>43971</v>
      </c>
      <c r="B1947" s="48">
        <v>0</v>
      </c>
      <c r="C1947" s="48">
        <v>0</v>
      </c>
      <c r="D1947" s="48">
        <v>0</v>
      </c>
      <c r="E1947" s="48" t="s">
        <v>112</v>
      </c>
      <c r="F1947" s="48" t="s">
        <v>72</v>
      </c>
      <c r="G1947" s="48" t="s">
        <v>352</v>
      </c>
      <c r="H1947" s="69">
        <f t="shared" si="30"/>
        <v>43952</v>
      </c>
    </row>
    <row r="1948" spans="1:8" x14ac:dyDescent="0.25">
      <c r="A1948" s="68">
        <v>43971</v>
      </c>
      <c r="B1948" s="48">
        <v>0</v>
      </c>
      <c r="C1948" s="48">
        <v>0</v>
      </c>
      <c r="D1948" s="48">
        <v>0</v>
      </c>
      <c r="E1948" s="48" t="s">
        <v>112</v>
      </c>
      <c r="F1948" s="48" t="s">
        <v>72</v>
      </c>
      <c r="G1948" s="48" t="s">
        <v>359</v>
      </c>
      <c r="H1948" s="69">
        <f t="shared" si="30"/>
        <v>43952</v>
      </c>
    </row>
    <row r="1949" spans="1:8" x14ac:dyDescent="0.25">
      <c r="A1949" s="68">
        <v>43971</v>
      </c>
      <c r="B1949" s="48">
        <v>0</v>
      </c>
      <c r="C1949" s="48">
        <v>0</v>
      </c>
      <c r="D1949" s="48">
        <v>0</v>
      </c>
      <c r="E1949" s="48" t="s">
        <v>112</v>
      </c>
      <c r="F1949" s="48" t="s">
        <v>72</v>
      </c>
      <c r="G1949" s="48" t="s">
        <v>410</v>
      </c>
      <c r="H1949" s="69">
        <f t="shared" si="30"/>
        <v>43952</v>
      </c>
    </row>
    <row r="1950" spans="1:8" x14ac:dyDescent="0.25">
      <c r="A1950" s="68">
        <v>43971</v>
      </c>
      <c r="B1950" s="48">
        <v>0</v>
      </c>
      <c r="C1950" s="48">
        <v>0</v>
      </c>
      <c r="D1950" s="48">
        <v>0</v>
      </c>
      <c r="E1950" s="48" t="s">
        <v>112</v>
      </c>
      <c r="F1950" s="48" t="s">
        <v>72</v>
      </c>
      <c r="G1950" s="48" t="s">
        <v>365</v>
      </c>
      <c r="H1950" s="69">
        <f t="shared" si="30"/>
        <v>43952</v>
      </c>
    </row>
    <row r="1951" spans="1:8" x14ac:dyDescent="0.25">
      <c r="A1951" s="68">
        <v>43971</v>
      </c>
      <c r="B1951" s="48">
        <v>0</v>
      </c>
      <c r="C1951" s="48">
        <v>0</v>
      </c>
      <c r="D1951" s="48">
        <v>0</v>
      </c>
      <c r="E1951" s="48" t="s">
        <v>112</v>
      </c>
      <c r="F1951" s="48" t="s">
        <v>72</v>
      </c>
      <c r="G1951" s="48" t="s">
        <v>408</v>
      </c>
      <c r="H1951" s="69">
        <f t="shared" si="30"/>
        <v>43952</v>
      </c>
    </row>
    <row r="1952" spans="1:8" x14ac:dyDescent="0.25">
      <c r="A1952" s="68">
        <v>43971</v>
      </c>
      <c r="B1952" s="48">
        <v>0</v>
      </c>
      <c r="C1952" s="48">
        <v>0</v>
      </c>
      <c r="D1952" s="48">
        <v>0</v>
      </c>
      <c r="E1952" s="48" t="s">
        <v>112</v>
      </c>
      <c r="F1952" s="48" t="s">
        <v>72</v>
      </c>
      <c r="G1952" s="48" t="s">
        <v>411</v>
      </c>
      <c r="H1952" s="69">
        <f t="shared" si="30"/>
        <v>43952</v>
      </c>
    </row>
    <row r="1953" spans="1:8" x14ac:dyDescent="0.25">
      <c r="A1953" s="68">
        <v>43971</v>
      </c>
      <c r="B1953" s="48">
        <v>8</v>
      </c>
      <c r="C1953" s="48">
        <v>0</v>
      </c>
      <c r="D1953" s="48">
        <v>0</v>
      </c>
      <c r="E1953" s="48" t="s">
        <v>112</v>
      </c>
      <c r="F1953" s="48" t="s">
        <v>72</v>
      </c>
      <c r="G1953" s="48" t="s">
        <v>351</v>
      </c>
      <c r="H1953" s="69">
        <f t="shared" si="30"/>
        <v>43952</v>
      </c>
    </row>
    <row r="1954" spans="1:8" x14ac:dyDescent="0.25">
      <c r="A1954" s="68">
        <v>43971</v>
      </c>
      <c r="B1954" s="48">
        <v>0</v>
      </c>
      <c r="C1954" s="48">
        <v>0</v>
      </c>
      <c r="D1954" s="48">
        <v>6</v>
      </c>
      <c r="E1954" s="48" t="s">
        <v>112</v>
      </c>
      <c r="F1954" s="48" t="s">
        <v>72</v>
      </c>
      <c r="G1954" s="48" t="s">
        <v>417</v>
      </c>
      <c r="H1954" s="69">
        <f t="shared" si="30"/>
        <v>43952</v>
      </c>
    </row>
    <row r="1955" spans="1:8" x14ac:dyDescent="0.25">
      <c r="A1955" s="68">
        <v>43971</v>
      </c>
      <c r="B1955" s="48">
        <v>0</v>
      </c>
      <c r="C1955" s="48">
        <v>0</v>
      </c>
      <c r="D1955" s="48">
        <v>0</v>
      </c>
      <c r="E1955" s="48" t="s">
        <v>112</v>
      </c>
      <c r="F1955" s="48" t="s">
        <v>72</v>
      </c>
      <c r="G1955" s="48" t="s">
        <v>420</v>
      </c>
      <c r="H1955" s="69">
        <f t="shared" si="30"/>
        <v>43952</v>
      </c>
    </row>
    <row r="1956" spans="1:8" x14ac:dyDescent="0.25">
      <c r="A1956" s="68">
        <v>43971</v>
      </c>
      <c r="B1956" s="48">
        <v>872</v>
      </c>
      <c r="C1956" s="48">
        <v>12</v>
      </c>
      <c r="D1956" s="48">
        <v>741</v>
      </c>
      <c r="E1956" s="48" t="s">
        <v>112</v>
      </c>
      <c r="F1956" s="48" t="s">
        <v>70</v>
      </c>
      <c r="G1956" s="48" t="s">
        <v>91</v>
      </c>
      <c r="H1956" s="69">
        <f t="shared" si="30"/>
        <v>43952</v>
      </c>
    </row>
    <row r="1957" spans="1:8" x14ac:dyDescent="0.25">
      <c r="A1957" s="68">
        <v>43971</v>
      </c>
      <c r="B1957" s="48">
        <v>27</v>
      </c>
      <c r="C1957" s="48">
        <v>2</v>
      </c>
      <c r="D1957" s="48">
        <v>1</v>
      </c>
      <c r="E1957" s="48" t="s">
        <v>112</v>
      </c>
      <c r="F1957" s="48" t="s">
        <v>70</v>
      </c>
      <c r="G1957" s="48" t="s">
        <v>99</v>
      </c>
      <c r="H1957" s="69">
        <f t="shared" si="30"/>
        <v>43952</v>
      </c>
    </row>
    <row r="1958" spans="1:8" x14ac:dyDescent="0.25">
      <c r="A1958" s="68">
        <v>43971</v>
      </c>
      <c r="B1958" s="48">
        <v>0</v>
      </c>
      <c r="C1958" s="48">
        <v>0</v>
      </c>
      <c r="D1958" s="48">
        <v>9</v>
      </c>
      <c r="E1958" s="48" t="s">
        <v>112</v>
      </c>
      <c r="F1958" s="48" t="s">
        <v>70</v>
      </c>
      <c r="G1958" s="48" t="s">
        <v>363</v>
      </c>
      <c r="H1958" s="69">
        <f t="shared" si="30"/>
        <v>43952</v>
      </c>
    </row>
    <row r="1959" spans="1:8" x14ac:dyDescent="0.25">
      <c r="A1959" s="68">
        <v>43971</v>
      </c>
      <c r="B1959" s="48">
        <v>8</v>
      </c>
      <c r="C1959" s="48">
        <v>1</v>
      </c>
      <c r="D1959" s="48">
        <v>2</v>
      </c>
      <c r="E1959" s="48" t="s">
        <v>112</v>
      </c>
      <c r="F1959" s="48" t="s">
        <v>70</v>
      </c>
      <c r="G1959" s="48" t="s">
        <v>377</v>
      </c>
      <c r="H1959" s="69">
        <f t="shared" si="30"/>
        <v>43952</v>
      </c>
    </row>
    <row r="1960" spans="1:8" x14ac:dyDescent="0.25">
      <c r="A1960" s="68">
        <v>43971</v>
      </c>
      <c r="B1960" s="48">
        <v>6</v>
      </c>
      <c r="C1960" s="48">
        <v>1</v>
      </c>
      <c r="D1960" s="48">
        <v>21</v>
      </c>
      <c r="E1960" s="48" t="s">
        <v>112</v>
      </c>
      <c r="F1960" s="48" t="s">
        <v>70</v>
      </c>
      <c r="G1960" s="48" t="s">
        <v>349</v>
      </c>
      <c r="H1960" s="69">
        <f t="shared" si="30"/>
        <v>43952</v>
      </c>
    </row>
    <row r="1961" spans="1:8" x14ac:dyDescent="0.25">
      <c r="A1961" s="68">
        <v>43971</v>
      </c>
      <c r="B1961" s="48">
        <v>0</v>
      </c>
      <c r="C1961" s="48">
        <v>0</v>
      </c>
      <c r="D1961" s="48">
        <v>10</v>
      </c>
      <c r="E1961" s="48" t="s">
        <v>112</v>
      </c>
      <c r="F1961" s="48" t="s">
        <v>70</v>
      </c>
      <c r="G1961" s="48" t="s">
        <v>385</v>
      </c>
      <c r="H1961" s="69">
        <f t="shared" si="30"/>
        <v>43952</v>
      </c>
    </row>
    <row r="1962" spans="1:8" x14ac:dyDescent="0.25">
      <c r="A1962" s="68">
        <v>43971</v>
      </c>
      <c r="B1962" s="48">
        <v>2</v>
      </c>
      <c r="C1962" s="48">
        <v>0</v>
      </c>
      <c r="D1962" s="48">
        <v>8</v>
      </c>
      <c r="E1962" s="48" t="s">
        <v>112</v>
      </c>
      <c r="F1962" s="48" t="s">
        <v>70</v>
      </c>
      <c r="G1962" s="48" t="s">
        <v>388</v>
      </c>
      <c r="H1962" s="69">
        <f t="shared" si="30"/>
        <v>43952</v>
      </c>
    </row>
    <row r="1963" spans="1:8" x14ac:dyDescent="0.25">
      <c r="A1963" s="68">
        <v>43971</v>
      </c>
      <c r="B1963" s="48">
        <v>7</v>
      </c>
      <c r="C1963" s="48">
        <v>0</v>
      </c>
      <c r="D1963" s="48">
        <v>0</v>
      </c>
      <c r="E1963" s="48" t="s">
        <v>112</v>
      </c>
      <c r="F1963" s="48" t="s">
        <v>70</v>
      </c>
      <c r="G1963" s="48" t="s">
        <v>381</v>
      </c>
      <c r="H1963" s="69">
        <f t="shared" si="30"/>
        <v>43952</v>
      </c>
    </row>
    <row r="1964" spans="1:8" x14ac:dyDescent="0.25">
      <c r="A1964" s="68">
        <v>43971</v>
      </c>
      <c r="B1964" s="48">
        <v>4</v>
      </c>
      <c r="C1964" s="48">
        <v>0</v>
      </c>
      <c r="D1964" s="48">
        <v>9</v>
      </c>
      <c r="E1964" s="48" t="s">
        <v>112</v>
      </c>
      <c r="F1964" s="48" t="s">
        <v>70</v>
      </c>
      <c r="G1964" s="48" t="s">
        <v>374</v>
      </c>
      <c r="H1964" s="69">
        <f t="shared" si="30"/>
        <v>43952</v>
      </c>
    </row>
    <row r="1965" spans="1:8" x14ac:dyDescent="0.25">
      <c r="A1965" s="68">
        <v>43971</v>
      </c>
      <c r="B1965" s="48">
        <v>0</v>
      </c>
      <c r="C1965" s="48">
        <v>0</v>
      </c>
      <c r="D1965" s="48">
        <v>0</v>
      </c>
      <c r="E1965" s="48" t="s">
        <v>112</v>
      </c>
      <c r="F1965" s="48" t="s">
        <v>70</v>
      </c>
      <c r="G1965" s="48" t="s">
        <v>386</v>
      </c>
      <c r="H1965" s="69">
        <f t="shared" si="30"/>
        <v>43952</v>
      </c>
    </row>
    <row r="1966" spans="1:8" x14ac:dyDescent="0.25">
      <c r="A1966" s="68">
        <v>43971</v>
      </c>
      <c r="B1966" s="48">
        <v>0</v>
      </c>
      <c r="C1966" s="48">
        <v>0</v>
      </c>
      <c r="D1966" s="48">
        <v>5</v>
      </c>
      <c r="E1966" s="48" t="s">
        <v>112</v>
      </c>
      <c r="F1966" s="48" t="s">
        <v>70</v>
      </c>
      <c r="G1966" s="48" t="s">
        <v>415</v>
      </c>
      <c r="H1966" s="69">
        <f t="shared" si="30"/>
        <v>43952</v>
      </c>
    </row>
    <row r="1967" spans="1:8" x14ac:dyDescent="0.25">
      <c r="A1967" s="68">
        <v>43971</v>
      </c>
      <c r="B1967" s="48">
        <v>15</v>
      </c>
      <c r="C1967" s="48">
        <v>0</v>
      </c>
      <c r="D1967" s="48">
        <v>1</v>
      </c>
      <c r="E1967" s="48" t="s">
        <v>112</v>
      </c>
      <c r="F1967" s="48" t="s">
        <v>70</v>
      </c>
      <c r="G1967" s="48" t="s">
        <v>105</v>
      </c>
      <c r="H1967" s="69">
        <f t="shared" si="30"/>
        <v>43952</v>
      </c>
    </row>
    <row r="1968" spans="1:8" x14ac:dyDescent="0.25">
      <c r="A1968" s="68">
        <v>43971</v>
      </c>
      <c r="B1968" s="48">
        <v>15</v>
      </c>
      <c r="C1968" s="48">
        <v>0</v>
      </c>
      <c r="D1968" s="48">
        <v>0</v>
      </c>
      <c r="E1968" s="48" t="s">
        <v>112</v>
      </c>
      <c r="F1968" s="48" t="s">
        <v>70</v>
      </c>
      <c r="G1968" s="48" t="s">
        <v>98</v>
      </c>
      <c r="H1968" s="69">
        <f t="shared" si="30"/>
        <v>43952</v>
      </c>
    </row>
    <row r="1969" spans="1:8" x14ac:dyDescent="0.25">
      <c r="A1969" s="68">
        <v>43971</v>
      </c>
      <c r="B1969" s="48">
        <v>0</v>
      </c>
      <c r="C1969" s="48">
        <v>0</v>
      </c>
      <c r="D1969" s="48">
        <v>3</v>
      </c>
      <c r="E1969" s="48" t="s">
        <v>112</v>
      </c>
      <c r="F1969" s="48" t="s">
        <v>70</v>
      </c>
      <c r="G1969" s="48" t="s">
        <v>336</v>
      </c>
      <c r="H1969" s="69">
        <f t="shared" si="30"/>
        <v>43952</v>
      </c>
    </row>
    <row r="1970" spans="1:8" x14ac:dyDescent="0.25">
      <c r="A1970" s="68">
        <v>43971</v>
      </c>
      <c r="B1970" s="48">
        <v>26</v>
      </c>
      <c r="C1970" s="48">
        <v>0</v>
      </c>
      <c r="D1970" s="48">
        <v>59</v>
      </c>
      <c r="E1970" s="48" t="s">
        <v>112</v>
      </c>
      <c r="F1970" s="48" t="s">
        <v>70</v>
      </c>
      <c r="G1970" s="48" t="s">
        <v>104</v>
      </c>
      <c r="H1970" s="69">
        <f t="shared" si="30"/>
        <v>43952</v>
      </c>
    </row>
    <row r="1971" spans="1:8" x14ac:dyDescent="0.25">
      <c r="A1971" s="68">
        <v>43971</v>
      </c>
      <c r="B1971" s="48">
        <v>3</v>
      </c>
      <c r="C1971" s="48">
        <v>0</v>
      </c>
      <c r="D1971" s="48">
        <v>1</v>
      </c>
      <c r="E1971" s="48" t="s">
        <v>112</v>
      </c>
      <c r="F1971" s="48" t="s">
        <v>70</v>
      </c>
      <c r="G1971" s="48" t="s">
        <v>379</v>
      </c>
      <c r="H1971" s="69">
        <f t="shared" si="30"/>
        <v>43952</v>
      </c>
    </row>
    <row r="1972" spans="1:8" x14ac:dyDescent="0.25">
      <c r="A1972" s="68">
        <v>43971</v>
      </c>
      <c r="B1972" s="48">
        <v>7</v>
      </c>
      <c r="C1972" s="48">
        <v>0</v>
      </c>
      <c r="D1972" s="48">
        <v>8</v>
      </c>
      <c r="E1972" s="48" t="s">
        <v>112</v>
      </c>
      <c r="F1972" s="48" t="s">
        <v>70</v>
      </c>
      <c r="G1972" s="48" t="s">
        <v>360</v>
      </c>
      <c r="H1972" s="69">
        <f t="shared" si="30"/>
        <v>43952</v>
      </c>
    </row>
    <row r="1973" spans="1:8" x14ac:dyDescent="0.25">
      <c r="A1973" s="68">
        <v>43971</v>
      </c>
      <c r="B1973" s="48">
        <v>0</v>
      </c>
      <c r="C1973" s="48">
        <v>0</v>
      </c>
      <c r="D1973" s="48">
        <v>0</v>
      </c>
      <c r="E1973" s="48" t="s">
        <v>112</v>
      </c>
      <c r="F1973" s="48" t="s">
        <v>70</v>
      </c>
      <c r="G1973" s="48" t="s">
        <v>407</v>
      </c>
      <c r="H1973" s="69">
        <f t="shared" si="30"/>
        <v>43952</v>
      </c>
    </row>
    <row r="1974" spans="1:8" x14ac:dyDescent="0.25">
      <c r="A1974" s="68">
        <v>43971</v>
      </c>
      <c r="B1974" s="48">
        <v>1</v>
      </c>
      <c r="C1974" s="48">
        <v>0</v>
      </c>
      <c r="D1974" s="48">
        <v>0</v>
      </c>
      <c r="E1974" s="48" t="s">
        <v>112</v>
      </c>
      <c r="F1974" s="48" t="s">
        <v>70</v>
      </c>
      <c r="G1974" s="48" t="s">
        <v>384</v>
      </c>
      <c r="H1974" s="69">
        <f t="shared" si="30"/>
        <v>43952</v>
      </c>
    </row>
    <row r="1975" spans="1:8" x14ac:dyDescent="0.25">
      <c r="A1975" s="68">
        <v>43971</v>
      </c>
      <c r="B1975" s="48">
        <v>2</v>
      </c>
      <c r="C1975" s="48">
        <v>0</v>
      </c>
      <c r="D1975" s="48">
        <v>0</v>
      </c>
      <c r="E1975" s="48" t="s">
        <v>112</v>
      </c>
      <c r="F1975" s="48" t="s">
        <v>70</v>
      </c>
      <c r="G1975" s="48" t="s">
        <v>383</v>
      </c>
      <c r="H1975" s="69">
        <f t="shared" si="30"/>
        <v>43952</v>
      </c>
    </row>
    <row r="1976" spans="1:8" x14ac:dyDescent="0.25">
      <c r="A1976" s="68">
        <v>43971</v>
      </c>
      <c r="B1976" s="48">
        <v>0</v>
      </c>
      <c r="C1976" s="48">
        <v>1</v>
      </c>
      <c r="D1976" s="48">
        <v>0</v>
      </c>
      <c r="E1976" s="48" t="s">
        <v>112</v>
      </c>
      <c r="F1976" s="48" t="s">
        <v>70</v>
      </c>
      <c r="G1976" s="48" t="s">
        <v>414</v>
      </c>
      <c r="H1976" s="69">
        <f t="shared" si="30"/>
        <v>43952</v>
      </c>
    </row>
    <row r="1977" spans="1:8" x14ac:dyDescent="0.25">
      <c r="A1977" s="68">
        <v>43971</v>
      </c>
      <c r="B1977" s="48">
        <v>0</v>
      </c>
      <c r="C1977" s="48">
        <v>0</v>
      </c>
      <c r="D1977" s="48">
        <v>0</v>
      </c>
      <c r="E1977" s="48" t="s">
        <v>112</v>
      </c>
      <c r="F1977" s="48" t="s">
        <v>70</v>
      </c>
      <c r="G1977" s="48" t="s">
        <v>423</v>
      </c>
      <c r="H1977" s="69">
        <f t="shared" si="30"/>
        <v>43952</v>
      </c>
    </row>
    <row r="1978" spans="1:8" x14ac:dyDescent="0.25">
      <c r="A1978" s="68">
        <v>43971</v>
      </c>
      <c r="B1978" s="48">
        <v>18</v>
      </c>
      <c r="C1978" s="48">
        <v>0</v>
      </c>
      <c r="D1978" s="48">
        <v>8</v>
      </c>
      <c r="E1978" s="48" t="s">
        <v>112</v>
      </c>
      <c r="F1978" s="48" t="s">
        <v>70</v>
      </c>
      <c r="G1978" s="48" t="s">
        <v>345</v>
      </c>
      <c r="H1978" s="69">
        <f t="shared" si="30"/>
        <v>43952</v>
      </c>
    </row>
    <row r="1979" spans="1:8" x14ac:dyDescent="0.25">
      <c r="A1979" s="68">
        <v>43971</v>
      </c>
      <c r="B1979" s="48">
        <v>2</v>
      </c>
      <c r="C1979" s="48">
        <v>0</v>
      </c>
      <c r="D1979" s="48">
        <v>20</v>
      </c>
      <c r="E1979" s="48" t="s">
        <v>112</v>
      </c>
      <c r="F1979" s="48" t="s">
        <v>70</v>
      </c>
      <c r="G1979" s="48" t="s">
        <v>367</v>
      </c>
      <c r="H1979" s="69">
        <f t="shared" si="30"/>
        <v>43952</v>
      </c>
    </row>
    <row r="1980" spans="1:8" x14ac:dyDescent="0.25">
      <c r="A1980" s="68">
        <v>43971</v>
      </c>
      <c r="B1980" s="48">
        <v>2</v>
      </c>
      <c r="C1980" s="48">
        <v>0</v>
      </c>
      <c r="D1980" s="48">
        <v>0</v>
      </c>
      <c r="E1980" s="48" t="s">
        <v>112</v>
      </c>
      <c r="F1980" s="48" t="s">
        <v>70</v>
      </c>
      <c r="G1980" s="48" t="s">
        <v>380</v>
      </c>
      <c r="H1980" s="69">
        <f t="shared" si="30"/>
        <v>43952</v>
      </c>
    </row>
    <row r="1981" spans="1:8" x14ac:dyDescent="0.25">
      <c r="A1981" s="68">
        <v>43971</v>
      </c>
      <c r="B1981" s="48">
        <v>15</v>
      </c>
      <c r="C1981" s="48">
        <v>0</v>
      </c>
      <c r="D1981" s="48">
        <v>2</v>
      </c>
      <c r="E1981" s="48" t="s">
        <v>112</v>
      </c>
      <c r="F1981" s="48" t="s">
        <v>76</v>
      </c>
      <c r="G1981" s="48" t="s">
        <v>339</v>
      </c>
      <c r="H1981" s="69">
        <f t="shared" si="30"/>
        <v>43952</v>
      </c>
    </row>
    <row r="1982" spans="1:8" x14ac:dyDescent="0.25">
      <c r="A1982" s="68">
        <v>43971</v>
      </c>
      <c r="B1982" s="48">
        <v>83</v>
      </c>
      <c r="C1982" s="48">
        <v>0</v>
      </c>
      <c r="D1982" s="48">
        <v>28</v>
      </c>
      <c r="E1982" s="48" t="s">
        <v>112</v>
      </c>
      <c r="F1982" s="48" t="s">
        <v>73</v>
      </c>
      <c r="G1982" s="48" t="s">
        <v>93</v>
      </c>
      <c r="H1982" s="69">
        <f t="shared" si="30"/>
        <v>43952</v>
      </c>
    </row>
    <row r="1983" spans="1:8" x14ac:dyDescent="0.25">
      <c r="A1983" s="68">
        <v>43971</v>
      </c>
      <c r="B1983" s="48">
        <v>697</v>
      </c>
      <c r="C1983" s="48">
        <v>8</v>
      </c>
      <c r="D1983" s="48">
        <v>36</v>
      </c>
      <c r="E1983" s="48" t="s">
        <v>112</v>
      </c>
      <c r="F1983" s="48" t="s">
        <v>71</v>
      </c>
      <c r="G1983" s="48" t="s">
        <v>92</v>
      </c>
      <c r="H1983" s="69">
        <f t="shared" si="30"/>
        <v>43952</v>
      </c>
    </row>
    <row r="1984" spans="1:8" x14ac:dyDescent="0.25">
      <c r="A1984" s="68">
        <v>43972</v>
      </c>
      <c r="B1984" s="48">
        <v>91</v>
      </c>
      <c r="C1984" s="48">
        <v>2</v>
      </c>
      <c r="D1984" s="48">
        <v>0</v>
      </c>
      <c r="E1984" s="48" t="s">
        <v>112</v>
      </c>
      <c r="F1984" s="48" t="s">
        <v>74</v>
      </c>
      <c r="G1984" s="48" t="s">
        <v>95</v>
      </c>
      <c r="H1984" s="69">
        <f t="shared" si="30"/>
        <v>43952</v>
      </c>
    </row>
    <row r="1985" spans="1:8" x14ac:dyDescent="0.25">
      <c r="A1985" s="68">
        <v>43972</v>
      </c>
      <c r="B1985" s="48">
        <v>18</v>
      </c>
      <c r="C1985" s="48">
        <v>0</v>
      </c>
      <c r="D1985" s="48">
        <v>0</v>
      </c>
      <c r="E1985" s="48" t="s">
        <v>112</v>
      </c>
      <c r="F1985" s="48" t="s">
        <v>75</v>
      </c>
      <c r="G1985" s="48" t="s">
        <v>103</v>
      </c>
      <c r="H1985" s="69">
        <f t="shared" si="30"/>
        <v>43952</v>
      </c>
    </row>
    <row r="1986" spans="1:8" x14ac:dyDescent="0.25">
      <c r="A1986" s="68">
        <v>43972</v>
      </c>
      <c r="B1986" s="48">
        <v>0</v>
      </c>
      <c r="C1986" s="48">
        <v>0</v>
      </c>
      <c r="D1986" s="48">
        <v>3</v>
      </c>
      <c r="E1986" s="48" t="s">
        <v>112</v>
      </c>
      <c r="F1986" s="48" t="s">
        <v>75</v>
      </c>
      <c r="G1986" s="48" t="s">
        <v>398</v>
      </c>
      <c r="H1986" s="69">
        <f t="shared" ref="H1986:H2049" si="31">DATE(YEAR(A1986),MONTH(A1986),1)</f>
        <v>43952</v>
      </c>
    </row>
    <row r="1987" spans="1:8" x14ac:dyDescent="0.25">
      <c r="A1987" s="68">
        <v>43972</v>
      </c>
      <c r="B1987" s="48">
        <v>0</v>
      </c>
      <c r="C1987" s="48">
        <v>0</v>
      </c>
      <c r="D1987" s="48">
        <v>4</v>
      </c>
      <c r="E1987" s="48" t="s">
        <v>112</v>
      </c>
      <c r="F1987" s="48" t="s">
        <v>75</v>
      </c>
      <c r="G1987" s="48" t="s">
        <v>373</v>
      </c>
      <c r="H1987" s="69">
        <f t="shared" si="31"/>
        <v>43952</v>
      </c>
    </row>
    <row r="1988" spans="1:8" x14ac:dyDescent="0.25">
      <c r="A1988" s="68">
        <v>43972</v>
      </c>
      <c r="B1988" s="48">
        <v>92</v>
      </c>
      <c r="C1988" s="48">
        <v>7</v>
      </c>
      <c r="D1988" s="48">
        <v>0</v>
      </c>
      <c r="E1988" s="48" t="s">
        <v>112</v>
      </c>
      <c r="F1988" s="48" t="s">
        <v>72</v>
      </c>
      <c r="G1988" s="48" t="s">
        <v>94</v>
      </c>
      <c r="H1988" s="69">
        <f t="shared" si="31"/>
        <v>43952</v>
      </c>
    </row>
    <row r="1989" spans="1:8" x14ac:dyDescent="0.25">
      <c r="A1989" s="68">
        <v>43972</v>
      </c>
      <c r="B1989" s="48">
        <v>21</v>
      </c>
      <c r="C1989" s="48">
        <v>1</v>
      </c>
      <c r="D1989" s="48">
        <v>0</v>
      </c>
      <c r="E1989" s="48" t="s">
        <v>112</v>
      </c>
      <c r="F1989" s="48" t="s">
        <v>72</v>
      </c>
      <c r="G1989" s="48" t="s">
        <v>341</v>
      </c>
      <c r="H1989" s="69">
        <f t="shared" si="31"/>
        <v>43952</v>
      </c>
    </row>
    <row r="1990" spans="1:8" x14ac:dyDescent="0.25">
      <c r="A1990" s="68">
        <v>43972</v>
      </c>
      <c r="B1990" s="48">
        <v>5</v>
      </c>
      <c r="C1990" s="48">
        <v>0</v>
      </c>
      <c r="D1990" s="48">
        <v>6</v>
      </c>
      <c r="E1990" s="48" t="s">
        <v>112</v>
      </c>
      <c r="F1990" s="48" t="s">
        <v>72</v>
      </c>
      <c r="G1990" s="48" t="s">
        <v>338</v>
      </c>
      <c r="H1990" s="69">
        <f t="shared" si="31"/>
        <v>43952</v>
      </c>
    </row>
    <row r="1991" spans="1:8" x14ac:dyDescent="0.25">
      <c r="A1991" s="68">
        <v>43972</v>
      </c>
      <c r="B1991" s="48">
        <v>28</v>
      </c>
      <c r="C1991" s="48">
        <v>0</v>
      </c>
      <c r="D1991" s="48">
        <v>0</v>
      </c>
      <c r="E1991" s="48" t="s">
        <v>112</v>
      </c>
      <c r="F1991" s="48" t="s">
        <v>72</v>
      </c>
      <c r="G1991" s="48" t="s">
        <v>343</v>
      </c>
      <c r="H1991" s="69">
        <f t="shared" si="31"/>
        <v>43952</v>
      </c>
    </row>
    <row r="1992" spans="1:8" x14ac:dyDescent="0.25">
      <c r="A1992" s="68">
        <v>43972</v>
      </c>
      <c r="B1992" s="48">
        <v>0</v>
      </c>
      <c r="C1992" s="48">
        <v>0</v>
      </c>
      <c r="D1992" s="48">
        <v>0</v>
      </c>
      <c r="E1992" s="48" t="s">
        <v>112</v>
      </c>
      <c r="F1992" s="48" t="s">
        <v>72</v>
      </c>
      <c r="G1992" s="48" t="s">
        <v>400</v>
      </c>
      <c r="H1992" s="69">
        <f t="shared" si="31"/>
        <v>43952</v>
      </c>
    </row>
    <row r="1993" spans="1:8" x14ac:dyDescent="0.25">
      <c r="A1993" s="68">
        <v>43972</v>
      </c>
      <c r="B1993" s="48">
        <v>11</v>
      </c>
      <c r="C1993" s="48">
        <v>0</v>
      </c>
      <c r="D1993" s="48">
        <v>2</v>
      </c>
      <c r="E1993" s="48" t="s">
        <v>112</v>
      </c>
      <c r="F1993" s="48" t="s">
        <v>72</v>
      </c>
      <c r="G1993" s="48" t="s">
        <v>102</v>
      </c>
      <c r="H1993" s="69">
        <f t="shared" si="31"/>
        <v>43952</v>
      </c>
    </row>
    <row r="1994" spans="1:8" x14ac:dyDescent="0.25">
      <c r="A1994" s="68">
        <v>43972</v>
      </c>
      <c r="B1994" s="48">
        <v>12</v>
      </c>
      <c r="C1994" s="48">
        <v>0</v>
      </c>
      <c r="D1994" s="48">
        <v>0</v>
      </c>
      <c r="E1994" s="48" t="s">
        <v>112</v>
      </c>
      <c r="F1994" s="48" t="s">
        <v>72</v>
      </c>
      <c r="G1994" s="48" t="s">
        <v>355</v>
      </c>
      <c r="H1994" s="69">
        <f t="shared" si="31"/>
        <v>43952</v>
      </c>
    </row>
    <row r="1995" spans="1:8" x14ac:dyDescent="0.25">
      <c r="A1995" s="68">
        <v>43972</v>
      </c>
      <c r="B1995" s="48">
        <v>31</v>
      </c>
      <c r="C1995" s="48">
        <v>0</v>
      </c>
      <c r="D1995" s="48">
        <v>23</v>
      </c>
      <c r="E1995" s="48" t="s">
        <v>112</v>
      </c>
      <c r="F1995" s="48" t="s">
        <v>72</v>
      </c>
      <c r="G1995" s="48" t="s">
        <v>96</v>
      </c>
      <c r="H1995" s="69">
        <f t="shared" si="31"/>
        <v>43952</v>
      </c>
    </row>
    <row r="1996" spans="1:8" x14ac:dyDescent="0.25">
      <c r="A1996" s="68">
        <v>43972</v>
      </c>
      <c r="B1996" s="48">
        <v>5</v>
      </c>
      <c r="C1996" s="48">
        <v>0</v>
      </c>
      <c r="D1996" s="48">
        <v>0</v>
      </c>
      <c r="E1996" s="48" t="s">
        <v>112</v>
      </c>
      <c r="F1996" s="48" t="s">
        <v>72</v>
      </c>
      <c r="G1996" s="48" t="s">
        <v>347</v>
      </c>
      <c r="H1996" s="69">
        <f t="shared" si="31"/>
        <v>43952</v>
      </c>
    </row>
    <row r="1997" spans="1:8" x14ac:dyDescent="0.25">
      <c r="A1997" s="68">
        <v>43972</v>
      </c>
      <c r="B1997" s="48">
        <v>18</v>
      </c>
      <c r="C1997" s="48">
        <v>0</v>
      </c>
      <c r="D1997" s="48">
        <v>0</v>
      </c>
      <c r="E1997" s="48" t="s">
        <v>112</v>
      </c>
      <c r="F1997" s="48" t="s">
        <v>72</v>
      </c>
      <c r="G1997" s="48" t="s">
        <v>335</v>
      </c>
      <c r="H1997" s="69">
        <f t="shared" si="31"/>
        <v>43952</v>
      </c>
    </row>
    <row r="1998" spans="1:8" x14ac:dyDescent="0.25">
      <c r="A1998" s="68">
        <v>43972</v>
      </c>
      <c r="B1998" s="48">
        <v>2</v>
      </c>
      <c r="C1998" s="48">
        <v>0</v>
      </c>
      <c r="D1998" s="48">
        <v>0</v>
      </c>
      <c r="E1998" s="48" t="s">
        <v>112</v>
      </c>
      <c r="F1998" s="48" t="s">
        <v>72</v>
      </c>
      <c r="G1998" s="48" t="s">
        <v>342</v>
      </c>
      <c r="H1998" s="69">
        <f t="shared" si="31"/>
        <v>43952</v>
      </c>
    </row>
    <row r="1999" spans="1:8" x14ac:dyDescent="0.25">
      <c r="A1999" s="68">
        <v>43972</v>
      </c>
      <c r="B1999" s="48">
        <v>6</v>
      </c>
      <c r="C1999" s="48">
        <v>0</v>
      </c>
      <c r="D1999" s="48">
        <v>2</v>
      </c>
      <c r="E1999" s="48" t="s">
        <v>112</v>
      </c>
      <c r="F1999" s="48" t="s">
        <v>72</v>
      </c>
      <c r="G1999" s="48" t="s">
        <v>353</v>
      </c>
      <c r="H1999" s="69">
        <f t="shared" si="31"/>
        <v>43952</v>
      </c>
    </row>
    <row r="2000" spans="1:8" x14ac:dyDescent="0.25">
      <c r="A2000" s="68">
        <v>43972</v>
      </c>
      <c r="B2000" s="48">
        <v>8</v>
      </c>
      <c r="C2000" s="48">
        <v>0</v>
      </c>
      <c r="D2000" s="48">
        <v>0</v>
      </c>
      <c r="E2000" s="48" t="s">
        <v>112</v>
      </c>
      <c r="F2000" s="48" t="s">
        <v>72</v>
      </c>
      <c r="G2000" s="48" t="s">
        <v>101</v>
      </c>
      <c r="H2000" s="69">
        <f t="shared" si="31"/>
        <v>43952</v>
      </c>
    </row>
    <row r="2001" spans="1:8" x14ac:dyDescent="0.25">
      <c r="A2001" s="68">
        <v>43972</v>
      </c>
      <c r="B2001" s="48">
        <v>0</v>
      </c>
      <c r="C2001" s="48">
        <v>0</v>
      </c>
      <c r="D2001" s="48">
        <v>1</v>
      </c>
      <c r="E2001" s="48" t="s">
        <v>112</v>
      </c>
      <c r="F2001" s="48" t="s">
        <v>72</v>
      </c>
      <c r="G2001" s="48" t="s">
        <v>387</v>
      </c>
      <c r="H2001" s="69">
        <f t="shared" si="31"/>
        <v>43952</v>
      </c>
    </row>
    <row r="2002" spans="1:8" x14ac:dyDescent="0.25">
      <c r="A2002" s="68">
        <v>43972</v>
      </c>
      <c r="B2002" s="48">
        <v>1</v>
      </c>
      <c r="C2002" s="48">
        <v>0</v>
      </c>
      <c r="D2002" s="48">
        <v>0</v>
      </c>
      <c r="E2002" s="48" t="s">
        <v>112</v>
      </c>
      <c r="F2002" s="48" t="s">
        <v>72</v>
      </c>
      <c r="G2002" s="48" t="s">
        <v>406</v>
      </c>
      <c r="H2002" s="69">
        <f t="shared" si="31"/>
        <v>43952</v>
      </c>
    </row>
    <row r="2003" spans="1:8" x14ac:dyDescent="0.25">
      <c r="A2003" s="68">
        <v>43972</v>
      </c>
      <c r="B2003" s="48">
        <v>5</v>
      </c>
      <c r="C2003" s="48">
        <v>2</v>
      </c>
      <c r="D2003" s="48">
        <v>0</v>
      </c>
      <c r="E2003" s="48" t="s">
        <v>112</v>
      </c>
      <c r="F2003" s="48" t="s">
        <v>72</v>
      </c>
      <c r="G2003" s="48" t="s">
        <v>344</v>
      </c>
      <c r="H2003" s="69">
        <f t="shared" si="31"/>
        <v>43952</v>
      </c>
    </row>
    <row r="2004" spans="1:8" x14ac:dyDescent="0.25">
      <c r="A2004" s="68">
        <v>43972</v>
      </c>
      <c r="B2004" s="48">
        <v>4</v>
      </c>
      <c r="C2004" s="48">
        <v>9</v>
      </c>
      <c r="D2004" s="48">
        <v>0</v>
      </c>
      <c r="E2004" s="48" t="s">
        <v>112</v>
      </c>
      <c r="F2004" s="48" t="s">
        <v>72</v>
      </c>
      <c r="G2004" s="48" t="s">
        <v>354</v>
      </c>
      <c r="H2004" s="69">
        <f t="shared" si="31"/>
        <v>43952</v>
      </c>
    </row>
    <row r="2005" spans="1:8" x14ac:dyDescent="0.25">
      <c r="A2005" s="68">
        <v>43972</v>
      </c>
      <c r="B2005" s="48">
        <v>16</v>
      </c>
      <c r="C2005" s="48">
        <v>1</v>
      </c>
      <c r="D2005" s="48">
        <v>2</v>
      </c>
      <c r="E2005" s="48" t="s">
        <v>112</v>
      </c>
      <c r="F2005" s="48" t="s">
        <v>72</v>
      </c>
      <c r="G2005" s="48" t="s">
        <v>337</v>
      </c>
      <c r="H2005" s="69">
        <f t="shared" si="31"/>
        <v>43952</v>
      </c>
    </row>
    <row r="2006" spans="1:8" x14ac:dyDescent="0.25">
      <c r="A2006" s="68">
        <v>43972</v>
      </c>
      <c r="B2006" s="48">
        <v>1</v>
      </c>
      <c r="C2006" s="48">
        <v>0</v>
      </c>
      <c r="D2006" s="48">
        <v>0</v>
      </c>
      <c r="E2006" s="48" t="s">
        <v>112</v>
      </c>
      <c r="F2006" s="48" t="s">
        <v>72</v>
      </c>
      <c r="G2006" s="48" t="s">
        <v>356</v>
      </c>
      <c r="H2006" s="69">
        <f t="shared" si="31"/>
        <v>43952</v>
      </c>
    </row>
    <row r="2007" spans="1:8" x14ac:dyDescent="0.25">
      <c r="A2007" s="68">
        <v>43972</v>
      </c>
      <c r="B2007" s="48">
        <v>0</v>
      </c>
      <c r="C2007" s="48">
        <v>0</v>
      </c>
      <c r="D2007" s="48">
        <v>0</v>
      </c>
      <c r="E2007" s="48" t="s">
        <v>112</v>
      </c>
      <c r="F2007" s="48" t="s">
        <v>72</v>
      </c>
      <c r="G2007" s="48" t="s">
        <v>429</v>
      </c>
      <c r="H2007" s="69">
        <f t="shared" si="31"/>
        <v>43952</v>
      </c>
    </row>
    <row r="2008" spans="1:8" x14ac:dyDescent="0.25">
      <c r="A2008" s="68">
        <v>43972</v>
      </c>
      <c r="B2008" s="48">
        <v>0</v>
      </c>
      <c r="C2008" s="48">
        <v>0</v>
      </c>
      <c r="D2008" s="48">
        <v>0</v>
      </c>
      <c r="E2008" s="48" t="s">
        <v>112</v>
      </c>
      <c r="F2008" s="48" t="s">
        <v>72</v>
      </c>
      <c r="G2008" s="48" t="s">
        <v>431</v>
      </c>
      <c r="H2008" s="69">
        <f t="shared" si="31"/>
        <v>43952</v>
      </c>
    </row>
    <row r="2009" spans="1:8" x14ac:dyDescent="0.25">
      <c r="A2009" s="68">
        <v>43972</v>
      </c>
      <c r="B2009" s="48">
        <v>0</v>
      </c>
      <c r="C2009" s="48">
        <v>0</v>
      </c>
      <c r="D2009" s="48">
        <v>0</v>
      </c>
      <c r="E2009" s="48" t="s">
        <v>112</v>
      </c>
      <c r="F2009" s="48" t="s">
        <v>72</v>
      </c>
      <c r="G2009" s="48" t="s">
        <v>426</v>
      </c>
      <c r="H2009" s="69">
        <f t="shared" si="31"/>
        <v>43952</v>
      </c>
    </row>
    <row r="2010" spans="1:8" x14ac:dyDescent="0.25">
      <c r="A2010" s="68">
        <v>43972</v>
      </c>
      <c r="B2010" s="48">
        <v>0</v>
      </c>
      <c r="C2010" s="48">
        <v>0</v>
      </c>
      <c r="D2010" s="48">
        <v>0</v>
      </c>
      <c r="E2010" s="48" t="s">
        <v>112</v>
      </c>
      <c r="F2010" s="48" t="s">
        <v>72</v>
      </c>
      <c r="G2010" s="48" t="s">
        <v>436</v>
      </c>
      <c r="H2010" s="69">
        <f t="shared" si="31"/>
        <v>43952</v>
      </c>
    </row>
    <row r="2011" spans="1:8" x14ac:dyDescent="0.25">
      <c r="A2011" s="68">
        <v>43972</v>
      </c>
      <c r="B2011" s="48">
        <v>0</v>
      </c>
      <c r="C2011" s="48">
        <v>0</v>
      </c>
      <c r="D2011" s="48">
        <v>0</v>
      </c>
      <c r="E2011" s="48" t="s">
        <v>112</v>
      </c>
      <c r="F2011" s="48" t="s">
        <v>72</v>
      </c>
      <c r="G2011" s="48" t="s">
        <v>357</v>
      </c>
      <c r="H2011" s="69">
        <f t="shared" si="31"/>
        <v>43952</v>
      </c>
    </row>
    <row r="2012" spans="1:8" x14ac:dyDescent="0.25">
      <c r="A2012" s="68">
        <v>43972</v>
      </c>
      <c r="B2012" s="48">
        <v>7</v>
      </c>
      <c r="C2012" s="48">
        <v>1</v>
      </c>
      <c r="D2012" s="48">
        <v>0</v>
      </c>
      <c r="E2012" s="48" t="s">
        <v>112</v>
      </c>
      <c r="F2012" s="48" t="s">
        <v>72</v>
      </c>
      <c r="G2012" s="48" t="s">
        <v>358</v>
      </c>
      <c r="H2012" s="69">
        <f t="shared" si="31"/>
        <v>43952</v>
      </c>
    </row>
    <row r="2013" spans="1:8" x14ac:dyDescent="0.25">
      <c r="A2013" s="68">
        <v>43972</v>
      </c>
      <c r="B2013" s="48">
        <v>0</v>
      </c>
      <c r="C2013" s="48">
        <v>0</v>
      </c>
      <c r="D2013" s="48">
        <v>0</v>
      </c>
      <c r="E2013" s="48" t="s">
        <v>112</v>
      </c>
      <c r="F2013" s="48" t="s">
        <v>72</v>
      </c>
      <c r="G2013" s="48" t="s">
        <v>399</v>
      </c>
      <c r="H2013" s="69">
        <f t="shared" si="31"/>
        <v>43952</v>
      </c>
    </row>
    <row r="2014" spans="1:8" x14ac:dyDescent="0.25">
      <c r="A2014" s="68">
        <v>43972</v>
      </c>
      <c r="B2014" s="48">
        <v>4</v>
      </c>
      <c r="C2014" s="48">
        <v>2</v>
      </c>
      <c r="D2014" s="48">
        <v>0</v>
      </c>
      <c r="E2014" s="48" t="s">
        <v>112</v>
      </c>
      <c r="F2014" s="48" t="s">
        <v>72</v>
      </c>
      <c r="G2014" s="48" t="s">
        <v>352</v>
      </c>
      <c r="H2014" s="69">
        <f t="shared" si="31"/>
        <v>43952</v>
      </c>
    </row>
    <row r="2015" spans="1:8" x14ac:dyDescent="0.25">
      <c r="A2015" s="68">
        <v>43972</v>
      </c>
      <c r="B2015" s="48">
        <v>0</v>
      </c>
      <c r="C2015" s="48">
        <v>0</v>
      </c>
      <c r="D2015" s="48">
        <v>0</v>
      </c>
      <c r="E2015" s="48" t="s">
        <v>112</v>
      </c>
      <c r="F2015" s="48" t="s">
        <v>72</v>
      </c>
      <c r="G2015" s="48" t="s">
        <v>359</v>
      </c>
      <c r="H2015" s="69">
        <f t="shared" si="31"/>
        <v>43952</v>
      </c>
    </row>
    <row r="2016" spans="1:8" x14ac:dyDescent="0.25">
      <c r="A2016" s="68">
        <v>43972</v>
      </c>
      <c r="B2016" s="48">
        <v>0</v>
      </c>
      <c r="C2016" s="48">
        <v>0</v>
      </c>
      <c r="D2016" s="48">
        <v>0</v>
      </c>
      <c r="E2016" s="48" t="s">
        <v>112</v>
      </c>
      <c r="F2016" s="48" t="s">
        <v>72</v>
      </c>
      <c r="G2016" s="48" t="s">
        <v>410</v>
      </c>
      <c r="H2016" s="69">
        <f t="shared" si="31"/>
        <v>43952</v>
      </c>
    </row>
    <row r="2017" spans="1:8" x14ac:dyDescent="0.25">
      <c r="A2017" s="68">
        <v>43972</v>
      </c>
      <c r="B2017" s="48">
        <v>0</v>
      </c>
      <c r="C2017" s="48">
        <v>0</v>
      </c>
      <c r="D2017" s="48">
        <v>0</v>
      </c>
      <c r="E2017" s="48" t="s">
        <v>112</v>
      </c>
      <c r="F2017" s="48" t="s">
        <v>72</v>
      </c>
      <c r="G2017" s="48" t="s">
        <v>365</v>
      </c>
      <c r="H2017" s="69">
        <f t="shared" si="31"/>
        <v>43952</v>
      </c>
    </row>
    <row r="2018" spans="1:8" x14ac:dyDescent="0.25">
      <c r="A2018" s="68">
        <v>43972</v>
      </c>
      <c r="B2018" s="48">
        <v>0</v>
      </c>
      <c r="C2018" s="48">
        <v>0</v>
      </c>
      <c r="D2018" s="48">
        <v>0</v>
      </c>
      <c r="E2018" s="48" t="s">
        <v>112</v>
      </c>
      <c r="F2018" s="48" t="s">
        <v>72</v>
      </c>
      <c r="G2018" s="48" t="s">
        <v>408</v>
      </c>
      <c r="H2018" s="69">
        <f t="shared" si="31"/>
        <v>43952</v>
      </c>
    </row>
    <row r="2019" spans="1:8" x14ac:dyDescent="0.25">
      <c r="A2019" s="68">
        <v>43972</v>
      </c>
      <c r="B2019" s="48">
        <v>0</v>
      </c>
      <c r="C2019" s="48">
        <v>0</v>
      </c>
      <c r="D2019" s="48">
        <v>0</v>
      </c>
      <c r="E2019" s="48" t="s">
        <v>112</v>
      </c>
      <c r="F2019" s="48" t="s">
        <v>72</v>
      </c>
      <c r="G2019" s="48" t="s">
        <v>411</v>
      </c>
      <c r="H2019" s="69">
        <f t="shared" si="31"/>
        <v>43952</v>
      </c>
    </row>
    <row r="2020" spans="1:8" x14ac:dyDescent="0.25">
      <c r="A2020" s="68">
        <v>43972</v>
      </c>
      <c r="B2020" s="48">
        <v>4</v>
      </c>
      <c r="C2020" s="48">
        <v>0</v>
      </c>
      <c r="D2020" s="48">
        <v>3</v>
      </c>
      <c r="E2020" s="48" t="s">
        <v>112</v>
      </c>
      <c r="F2020" s="48" t="s">
        <v>72</v>
      </c>
      <c r="G2020" s="48" t="s">
        <v>351</v>
      </c>
      <c r="H2020" s="69">
        <f t="shared" si="31"/>
        <v>43952</v>
      </c>
    </row>
    <row r="2021" spans="1:8" x14ac:dyDescent="0.25">
      <c r="A2021" s="68">
        <v>43972</v>
      </c>
      <c r="B2021" s="48">
        <v>0</v>
      </c>
      <c r="C2021" s="48">
        <v>0</v>
      </c>
      <c r="D2021" s="48">
        <v>0</v>
      </c>
      <c r="E2021" s="48" t="s">
        <v>112</v>
      </c>
      <c r="F2021" s="48" t="s">
        <v>72</v>
      </c>
      <c r="G2021" s="48" t="s">
        <v>417</v>
      </c>
      <c r="H2021" s="69">
        <f t="shared" si="31"/>
        <v>43952</v>
      </c>
    </row>
    <row r="2022" spans="1:8" x14ac:dyDescent="0.25">
      <c r="A2022" s="68">
        <v>43972</v>
      </c>
      <c r="B2022" s="48">
        <v>0</v>
      </c>
      <c r="C2022" s="48">
        <v>0</v>
      </c>
      <c r="D2022" s="48">
        <v>0</v>
      </c>
      <c r="E2022" s="48" t="s">
        <v>112</v>
      </c>
      <c r="F2022" s="48" t="s">
        <v>72</v>
      </c>
      <c r="G2022" s="48" t="s">
        <v>420</v>
      </c>
      <c r="H2022" s="69">
        <f t="shared" si="31"/>
        <v>43952</v>
      </c>
    </row>
    <row r="2023" spans="1:8" x14ac:dyDescent="0.25">
      <c r="A2023" s="68">
        <v>43972</v>
      </c>
      <c r="B2023" s="48">
        <v>856</v>
      </c>
      <c r="C2023" s="48">
        <v>0</v>
      </c>
      <c r="D2023" s="48">
        <v>435</v>
      </c>
      <c r="E2023" s="48" t="s">
        <v>112</v>
      </c>
      <c r="F2023" s="48" t="s">
        <v>70</v>
      </c>
      <c r="G2023" s="48" t="s">
        <v>91</v>
      </c>
      <c r="H2023" s="69">
        <f t="shared" si="31"/>
        <v>43952</v>
      </c>
    </row>
    <row r="2024" spans="1:8" x14ac:dyDescent="0.25">
      <c r="A2024" s="68">
        <v>43972</v>
      </c>
      <c r="B2024" s="48">
        <v>17</v>
      </c>
      <c r="C2024" s="48">
        <v>0</v>
      </c>
      <c r="D2024" s="48">
        <v>0</v>
      </c>
      <c r="E2024" s="48" t="s">
        <v>112</v>
      </c>
      <c r="F2024" s="48" t="s">
        <v>70</v>
      </c>
      <c r="G2024" s="48" t="s">
        <v>99</v>
      </c>
      <c r="H2024" s="69">
        <f t="shared" si="31"/>
        <v>43952</v>
      </c>
    </row>
    <row r="2025" spans="1:8" x14ac:dyDescent="0.25">
      <c r="A2025" s="68">
        <v>43972</v>
      </c>
      <c r="B2025" s="48">
        <v>1</v>
      </c>
      <c r="C2025" s="48">
        <v>0</v>
      </c>
      <c r="D2025" s="48">
        <v>0</v>
      </c>
      <c r="E2025" s="48" t="s">
        <v>112</v>
      </c>
      <c r="F2025" s="48" t="s">
        <v>70</v>
      </c>
      <c r="G2025" s="48" t="s">
        <v>363</v>
      </c>
      <c r="H2025" s="69">
        <f t="shared" si="31"/>
        <v>43952</v>
      </c>
    </row>
    <row r="2026" spans="1:8" x14ac:dyDescent="0.25">
      <c r="A2026" s="68">
        <v>43972</v>
      </c>
      <c r="B2026" s="48">
        <v>0</v>
      </c>
      <c r="C2026" s="48">
        <v>0</v>
      </c>
      <c r="D2026" s="48">
        <v>1</v>
      </c>
      <c r="E2026" s="48" t="s">
        <v>112</v>
      </c>
      <c r="F2026" s="48" t="s">
        <v>70</v>
      </c>
      <c r="G2026" s="48" t="s">
        <v>377</v>
      </c>
      <c r="H2026" s="69">
        <f t="shared" si="31"/>
        <v>43952</v>
      </c>
    </row>
    <row r="2027" spans="1:8" x14ac:dyDescent="0.25">
      <c r="A2027" s="68">
        <v>43972</v>
      </c>
      <c r="B2027" s="48">
        <v>3</v>
      </c>
      <c r="C2027" s="48">
        <v>0</v>
      </c>
      <c r="D2027" s="48">
        <v>0</v>
      </c>
      <c r="E2027" s="48" t="s">
        <v>112</v>
      </c>
      <c r="F2027" s="48" t="s">
        <v>70</v>
      </c>
      <c r="G2027" s="48" t="s">
        <v>349</v>
      </c>
      <c r="H2027" s="69">
        <f t="shared" si="31"/>
        <v>43952</v>
      </c>
    </row>
    <row r="2028" spans="1:8" x14ac:dyDescent="0.25">
      <c r="A2028" s="68">
        <v>43972</v>
      </c>
      <c r="B2028" s="48">
        <v>1</v>
      </c>
      <c r="C2028" s="48">
        <v>0</v>
      </c>
      <c r="D2028" s="48">
        <v>0</v>
      </c>
      <c r="E2028" s="48" t="s">
        <v>112</v>
      </c>
      <c r="F2028" s="48" t="s">
        <v>70</v>
      </c>
      <c r="G2028" s="48" t="s">
        <v>385</v>
      </c>
      <c r="H2028" s="69">
        <f t="shared" si="31"/>
        <v>43952</v>
      </c>
    </row>
    <row r="2029" spans="1:8" x14ac:dyDescent="0.25">
      <c r="A2029" s="68">
        <v>43972</v>
      </c>
      <c r="B2029" s="48">
        <v>1</v>
      </c>
      <c r="C2029" s="48">
        <v>0</v>
      </c>
      <c r="D2029" s="48">
        <v>0</v>
      </c>
      <c r="E2029" s="48" t="s">
        <v>112</v>
      </c>
      <c r="F2029" s="48" t="s">
        <v>70</v>
      </c>
      <c r="G2029" s="48" t="s">
        <v>388</v>
      </c>
      <c r="H2029" s="69">
        <f t="shared" si="31"/>
        <v>43952</v>
      </c>
    </row>
    <row r="2030" spans="1:8" x14ac:dyDescent="0.25">
      <c r="A2030" s="68">
        <v>43972</v>
      </c>
      <c r="B2030" s="48">
        <v>0</v>
      </c>
      <c r="C2030" s="48">
        <v>0</v>
      </c>
      <c r="D2030" s="48">
        <v>3</v>
      </c>
      <c r="E2030" s="48" t="s">
        <v>112</v>
      </c>
      <c r="F2030" s="48" t="s">
        <v>70</v>
      </c>
      <c r="G2030" s="48" t="s">
        <v>381</v>
      </c>
      <c r="H2030" s="69">
        <f t="shared" si="31"/>
        <v>43952</v>
      </c>
    </row>
    <row r="2031" spans="1:8" x14ac:dyDescent="0.25">
      <c r="A2031" s="68">
        <v>43972</v>
      </c>
      <c r="B2031" s="48">
        <v>3</v>
      </c>
      <c r="C2031" s="48">
        <v>0</v>
      </c>
      <c r="D2031" s="48">
        <v>2</v>
      </c>
      <c r="E2031" s="48" t="s">
        <v>112</v>
      </c>
      <c r="F2031" s="48" t="s">
        <v>70</v>
      </c>
      <c r="G2031" s="48" t="s">
        <v>374</v>
      </c>
      <c r="H2031" s="69">
        <f t="shared" si="31"/>
        <v>43952</v>
      </c>
    </row>
    <row r="2032" spans="1:8" x14ac:dyDescent="0.25">
      <c r="A2032" s="68">
        <v>43972</v>
      </c>
      <c r="B2032" s="48">
        <v>0</v>
      </c>
      <c r="C2032" s="48">
        <v>0</v>
      </c>
      <c r="D2032" s="48">
        <v>11</v>
      </c>
      <c r="E2032" s="48" t="s">
        <v>112</v>
      </c>
      <c r="F2032" s="48" t="s">
        <v>70</v>
      </c>
      <c r="G2032" s="48" t="s">
        <v>386</v>
      </c>
      <c r="H2032" s="69">
        <f t="shared" si="31"/>
        <v>43952</v>
      </c>
    </row>
    <row r="2033" spans="1:8" x14ac:dyDescent="0.25">
      <c r="A2033" s="68">
        <v>43972</v>
      </c>
      <c r="B2033" s="48">
        <v>0</v>
      </c>
      <c r="C2033" s="48">
        <v>0</v>
      </c>
      <c r="D2033" s="48">
        <v>7</v>
      </c>
      <c r="E2033" s="48" t="s">
        <v>112</v>
      </c>
      <c r="F2033" s="48" t="s">
        <v>70</v>
      </c>
      <c r="G2033" s="48" t="s">
        <v>415</v>
      </c>
      <c r="H2033" s="69">
        <f t="shared" si="31"/>
        <v>43952</v>
      </c>
    </row>
    <row r="2034" spans="1:8" x14ac:dyDescent="0.25">
      <c r="A2034" s="68">
        <v>43972</v>
      </c>
      <c r="B2034" s="48">
        <v>7</v>
      </c>
      <c r="C2034" s="48">
        <v>0</v>
      </c>
      <c r="D2034" s="48">
        <v>2</v>
      </c>
      <c r="E2034" s="48" t="s">
        <v>112</v>
      </c>
      <c r="F2034" s="48" t="s">
        <v>70</v>
      </c>
      <c r="G2034" s="48" t="s">
        <v>105</v>
      </c>
      <c r="H2034" s="69">
        <f t="shared" si="31"/>
        <v>43952</v>
      </c>
    </row>
    <row r="2035" spans="1:8" x14ac:dyDescent="0.25">
      <c r="A2035" s="68">
        <v>43972</v>
      </c>
      <c r="B2035" s="48">
        <v>9</v>
      </c>
      <c r="C2035" s="48">
        <v>1</v>
      </c>
      <c r="D2035" s="48">
        <v>36</v>
      </c>
      <c r="E2035" s="48" t="s">
        <v>112</v>
      </c>
      <c r="F2035" s="48" t="s">
        <v>70</v>
      </c>
      <c r="G2035" s="48" t="s">
        <v>98</v>
      </c>
      <c r="H2035" s="69">
        <f t="shared" si="31"/>
        <v>43952</v>
      </c>
    </row>
    <row r="2036" spans="1:8" x14ac:dyDescent="0.25">
      <c r="A2036" s="68">
        <v>43972</v>
      </c>
      <c r="B2036" s="48">
        <v>0</v>
      </c>
      <c r="C2036" s="48">
        <v>1</v>
      </c>
      <c r="D2036" s="48">
        <v>146</v>
      </c>
      <c r="E2036" s="48" t="s">
        <v>112</v>
      </c>
      <c r="F2036" s="48" t="s">
        <v>70</v>
      </c>
      <c r="G2036" s="48" t="s">
        <v>336</v>
      </c>
      <c r="H2036" s="69">
        <f t="shared" si="31"/>
        <v>43952</v>
      </c>
    </row>
    <row r="2037" spans="1:8" x14ac:dyDescent="0.25">
      <c r="A2037" s="68">
        <v>43972</v>
      </c>
      <c r="B2037" s="48">
        <v>14</v>
      </c>
      <c r="C2037" s="48">
        <v>2</v>
      </c>
      <c r="D2037" s="48">
        <v>1</v>
      </c>
      <c r="E2037" s="48" t="s">
        <v>112</v>
      </c>
      <c r="F2037" s="48" t="s">
        <v>70</v>
      </c>
      <c r="G2037" s="48" t="s">
        <v>104</v>
      </c>
      <c r="H2037" s="69">
        <f t="shared" si="31"/>
        <v>43952</v>
      </c>
    </row>
    <row r="2038" spans="1:8" x14ac:dyDescent="0.25">
      <c r="A2038" s="68">
        <v>43972</v>
      </c>
      <c r="B2038" s="48">
        <v>1</v>
      </c>
      <c r="C2038" s="48">
        <v>0</v>
      </c>
      <c r="D2038" s="48">
        <v>0</v>
      </c>
      <c r="E2038" s="48" t="s">
        <v>112</v>
      </c>
      <c r="F2038" s="48" t="s">
        <v>70</v>
      </c>
      <c r="G2038" s="48" t="s">
        <v>379</v>
      </c>
      <c r="H2038" s="69">
        <f t="shared" si="31"/>
        <v>43952</v>
      </c>
    </row>
    <row r="2039" spans="1:8" x14ac:dyDescent="0.25">
      <c r="A2039" s="68">
        <v>43972</v>
      </c>
      <c r="B2039" s="48">
        <v>9</v>
      </c>
      <c r="C2039" s="48">
        <v>0</v>
      </c>
      <c r="D2039" s="48">
        <v>0</v>
      </c>
      <c r="E2039" s="48" t="s">
        <v>112</v>
      </c>
      <c r="F2039" s="48" t="s">
        <v>70</v>
      </c>
      <c r="G2039" s="48" t="s">
        <v>360</v>
      </c>
      <c r="H2039" s="69">
        <f t="shared" si="31"/>
        <v>43952</v>
      </c>
    </row>
    <row r="2040" spans="1:8" x14ac:dyDescent="0.25">
      <c r="A2040" s="68">
        <v>43972</v>
      </c>
      <c r="B2040" s="48">
        <v>0</v>
      </c>
      <c r="C2040" s="48">
        <v>0</v>
      </c>
      <c r="D2040" s="48">
        <v>9</v>
      </c>
      <c r="E2040" s="48" t="s">
        <v>112</v>
      </c>
      <c r="F2040" s="48" t="s">
        <v>70</v>
      </c>
      <c r="G2040" s="48" t="s">
        <v>407</v>
      </c>
      <c r="H2040" s="69">
        <f t="shared" si="31"/>
        <v>43952</v>
      </c>
    </row>
    <row r="2041" spans="1:8" x14ac:dyDescent="0.25">
      <c r="A2041" s="68">
        <v>43972</v>
      </c>
      <c r="B2041" s="48">
        <v>0</v>
      </c>
      <c r="C2041" s="48">
        <v>0</v>
      </c>
      <c r="D2041" s="48">
        <v>4</v>
      </c>
      <c r="E2041" s="48" t="s">
        <v>112</v>
      </c>
      <c r="F2041" s="48" t="s">
        <v>70</v>
      </c>
      <c r="G2041" s="48" t="s">
        <v>384</v>
      </c>
      <c r="H2041" s="69">
        <f t="shared" si="31"/>
        <v>43952</v>
      </c>
    </row>
    <row r="2042" spans="1:8" x14ac:dyDescent="0.25">
      <c r="A2042" s="68">
        <v>43972</v>
      </c>
      <c r="B2042" s="48">
        <v>2</v>
      </c>
      <c r="C2042" s="48">
        <v>0</v>
      </c>
      <c r="D2042" s="48">
        <v>0</v>
      </c>
      <c r="E2042" s="48" t="s">
        <v>112</v>
      </c>
      <c r="F2042" s="48" t="s">
        <v>70</v>
      </c>
      <c r="G2042" s="48" t="s">
        <v>383</v>
      </c>
      <c r="H2042" s="69">
        <f t="shared" si="31"/>
        <v>43952</v>
      </c>
    </row>
    <row r="2043" spans="1:8" x14ac:dyDescent="0.25">
      <c r="A2043" s="68">
        <v>43972</v>
      </c>
      <c r="B2043" s="48">
        <v>0</v>
      </c>
      <c r="C2043" s="48">
        <v>0</v>
      </c>
      <c r="D2043" s="48">
        <v>0</v>
      </c>
      <c r="E2043" s="48" t="s">
        <v>112</v>
      </c>
      <c r="F2043" s="48" t="s">
        <v>70</v>
      </c>
      <c r="G2043" s="48" t="s">
        <v>414</v>
      </c>
      <c r="H2043" s="69">
        <f t="shared" si="31"/>
        <v>43952</v>
      </c>
    </row>
    <row r="2044" spans="1:8" x14ac:dyDescent="0.25">
      <c r="A2044" s="68">
        <v>43972</v>
      </c>
      <c r="B2044" s="48">
        <v>0</v>
      </c>
      <c r="C2044" s="48">
        <v>0</v>
      </c>
      <c r="D2044" s="48">
        <v>0</v>
      </c>
      <c r="E2044" s="48" t="s">
        <v>112</v>
      </c>
      <c r="F2044" s="48" t="s">
        <v>70</v>
      </c>
      <c r="G2044" s="48" t="s">
        <v>423</v>
      </c>
      <c r="H2044" s="69">
        <f t="shared" si="31"/>
        <v>43952</v>
      </c>
    </row>
    <row r="2045" spans="1:8" x14ac:dyDescent="0.25">
      <c r="A2045" s="68">
        <v>43972</v>
      </c>
      <c r="B2045" s="48">
        <v>22</v>
      </c>
      <c r="C2045" s="48">
        <v>0</v>
      </c>
      <c r="D2045" s="48">
        <v>21</v>
      </c>
      <c r="E2045" s="48" t="s">
        <v>112</v>
      </c>
      <c r="F2045" s="48" t="s">
        <v>70</v>
      </c>
      <c r="G2045" s="48" t="s">
        <v>345</v>
      </c>
      <c r="H2045" s="69">
        <f t="shared" si="31"/>
        <v>43952</v>
      </c>
    </row>
    <row r="2046" spans="1:8" x14ac:dyDescent="0.25">
      <c r="A2046" s="68">
        <v>43972</v>
      </c>
      <c r="B2046" s="48">
        <v>2</v>
      </c>
      <c r="C2046" s="48">
        <v>0</v>
      </c>
      <c r="D2046" s="48">
        <v>0</v>
      </c>
      <c r="E2046" s="48" t="s">
        <v>112</v>
      </c>
      <c r="F2046" s="48" t="s">
        <v>70</v>
      </c>
      <c r="G2046" s="48" t="s">
        <v>367</v>
      </c>
      <c r="H2046" s="69">
        <f t="shared" si="31"/>
        <v>43952</v>
      </c>
    </row>
    <row r="2047" spans="1:8" x14ac:dyDescent="0.25">
      <c r="A2047" s="68">
        <v>43972</v>
      </c>
      <c r="B2047" s="48">
        <v>12</v>
      </c>
      <c r="C2047" s="48">
        <v>0</v>
      </c>
      <c r="D2047" s="48">
        <v>2</v>
      </c>
      <c r="E2047" s="48" t="s">
        <v>112</v>
      </c>
      <c r="F2047" s="48" t="s">
        <v>70</v>
      </c>
      <c r="G2047" s="48" t="s">
        <v>380</v>
      </c>
      <c r="H2047" s="69">
        <f t="shared" si="31"/>
        <v>43952</v>
      </c>
    </row>
    <row r="2048" spans="1:8" x14ac:dyDescent="0.25">
      <c r="A2048" s="68">
        <v>43972</v>
      </c>
      <c r="B2048" s="48">
        <v>10</v>
      </c>
      <c r="C2048" s="48">
        <v>0</v>
      </c>
      <c r="D2048" s="48">
        <v>0</v>
      </c>
      <c r="E2048" s="48" t="s">
        <v>112</v>
      </c>
      <c r="F2048" s="48" t="s">
        <v>76</v>
      </c>
      <c r="G2048" s="48" t="s">
        <v>339</v>
      </c>
      <c r="H2048" s="69">
        <f t="shared" si="31"/>
        <v>43952</v>
      </c>
    </row>
    <row r="2049" spans="1:8" x14ac:dyDescent="0.25">
      <c r="A2049" s="68">
        <v>43972</v>
      </c>
      <c r="B2049" s="48">
        <v>106</v>
      </c>
      <c r="C2049" s="48">
        <v>1</v>
      </c>
      <c r="D2049" s="48">
        <v>88</v>
      </c>
      <c r="E2049" s="48" t="s">
        <v>112</v>
      </c>
      <c r="F2049" s="48" t="s">
        <v>73</v>
      </c>
      <c r="G2049" s="48" t="s">
        <v>93</v>
      </c>
      <c r="H2049" s="69">
        <f t="shared" si="31"/>
        <v>43952</v>
      </c>
    </row>
    <row r="2050" spans="1:8" x14ac:dyDescent="0.25">
      <c r="A2050" s="68">
        <v>43972</v>
      </c>
      <c r="B2050" s="48">
        <v>1073</v>
      </c>
      <c r="C2050" s="48">
        <v>13</v>
      </c>
      <c r="D2050" s="48">
        <v>200</v>
      </c>
      <c r="E2050" s="48" t="s">
        <v>112</v>
      </c>
      <c r="F2050" s="48" t="s">
        <v>71</v>
      </c>
      <c r="G2050" s="48" t="s">
        <v>92</v>
      </c>
      <c r="H2050" s="69">
        <f t="shared" ref="H2050:H2113" si="32">DATE(YEAR(A2050),MONTH(A2050),1)</f>
        <v>43952</v>
      </c>
    </row>
    <row r="2051" spans="1:8" x14ac:dyDescent="0.25">
      <c r="A2051" s="68">
        <v>43973</v>
      </c>
      <c r="B2051" s="48">
        <v>131</v>
      </c>
      <c r="C2051" s="48">
        <v>0</v>
      </c>
      <c r="D2051" s="48">
        <v>0</v>
      </c>
      <c r="E2051" s="48" t="s">
        <v>112</v>
      </c>
      <c r="F2051" s="48" t="s">
        <v>74</v>
      </c>
      <c r="G2051" s="48" t="s">
        <v>95</v>
      </c>
      <c r="H2051" s="69">
        <f t="shared" si="32"/>
        <v>43952</v>
      </c>
    </row>
    <row r="2052" spans="1:8" x14ac:dyDescent="0.25">
      <c r="A2052" s="68">
        <v>43973</v>
      </c>
      <c r="B2052" s="48">
        <v>1</v>
      </c>
      <c r="C2052" s="48">
        <v>0</v>
      </c>
      <c r="D2052" s="48">
        <v>0</v>
      </c>
      <c r="E2052" s="48" t="s">
        <v>112</v>
      </c>
      <c r="F2052" s="48" t="s">
        <v>75</v>
      </c>
      <c r="G2052" s="48" t="s">
        <v>393</v>
      </c>
      <c r="H2052" s="69">
        <f t="shared" si="32"/>
        <v>43952</v>
      </c>
    </row>
    <row r="2053" spans="1:8" x14ac:dyDescent="0.25">
      <c r="A2053" s="68">
        <v>43973</v>
      </c>
      <c r="B2053" s="48">
        <v>0</v>
      </c>
      <c r="C2053" s="48">
        <v>0</v>
      </c>
      <c r="D2053" s="48">
        <v>4</v>
      </c>
      <c r="E2053" s="48" t="s">
        <v>112</v>
      </c>
      <c r="F2053" s="48" t="s">
        <v>75</v>
      </c>
      <c r="G2053" s="48" t="s">
        <v>373</v>
      </c>
      <c r="H2053" s="69">
        <f t="shared" si="32"/>
        <v>43952</v>
      </c>
    </row>
    <row r="2054" spans="1:8" x14ac:dyDescent="0.25">
      <c r="A2054" s="68">
        <v>43973</v>
      </c>
      <c r="B2054" s="48">
        <v>5</v>
      </c>
      <c r="C2054" s="48">
        <v>0</v>
      </c>
      <c r="D2054" s="48">
        <v>0</v>
      </c>
      <c r="E2054" s="48" t="s">
        <v>112</v>
      </c>
      <c r="F2054" s="48" t="s">
        <v>75</v>
      </c>
      <c r="G2054" s="48" t="s">
        <v>103</v>
      </c>
      <c r="H2054" s="69">
        <f t="shared" si="32"/>
        <v>43952</v>
      </c>
    </row>
    <row r="2055" spans="1:8" x14ac:dyDescent="0.25">
      <c r="A2055" s="68">
        <v>43973</v>
      </c>
      <c r="B2055" s="48">
        <v>0</v>
      </c>
      <c r="C2055" s="48">
        <v>0</v>
      </c>
      <c r="D2055" s="48">
        <v>2</v>
      </c>
      <c r="E2055" s="48" t="s">
        <v>112</v>
      </c>
      <c r="F2055" s="48" t="s">
        <v>75</v>
      </c>
      <c r="G2055" s="48" t="s">
        <v>402</v>
      </c>
      <c r="H2055" s="69">
        <f t="shared" si="32"/>
        <v>43952</v>
      </c>
    </row>
    <row r="2056" spans="1:8" x14ac:dyDescent="0.25">
      <c r="A2056" s="68">
        <v>43973</v>
      </c>
      <c r="B2056" s="48">
        <v>111</v>
      </c>
      <c r="C2056" s="48">
        <v>9</v>
      </c>
      <c r="D2056" s="48">
        <v>11</v>
      </c>
      <c r="E2056" s="48" t="s">
        <v>112</v>
      </c>
      <c r="F2056" s="48" t="s">
        <v>72</v>
      </c>
      <c r="G2056" s="48" t="s">
        <v>94</v>
      </c>
      <c r="H2056" s="69">
        <f t="shared" si="32"/>
        <v>43952</v>
      </c>
    </row>
    <row r="2057" spans="1:8" x14ac:dyDescent="0.25">
      <c r="A2057" s="68">
        <v>43973</v>
      </c>
      <c r="B2057" s="48">
        <v>10</v>
      </c>
      <c r="C2057" s="48">
        <v>0</v>
      </c>
      <c r="D2057" s="48">
        <v>1</v>
      </c>
      <c r="E2057" s="48" t="s">
        <v>112</v>
      </c>
      <c r="F2057" s="48" t="s">
        <v>72</v>
      </c>
      <c r="G2057" s="48" t="s">
        <v>341</v>
      </c>
      <c r="H2057" s="69">
        <f t="shared" si="32"/>
        <v>43952</v>
      </c>
    </row>
    <row r="2058" spans="1:8" x14ac:dyDescent="0.25">
      <c r="A2058" s="68">
        <v>43973</v>
      </c>
      <c r="B2058" s="48">
        <v>13</v>
      </c>
      <c r="C2058" s="48">
        <v>1</v>
      </c>
      <c r="D2058" s="48">
        <v>4</v>
      </c>
      <c r="E2058" s="48" t="s">
        <v>112</v>
      </c>
      <c r="F2058" s="48" t="s">
        <v>72</v>
      </c>
      <c r="G2058" s="48" t="s">
        <v>338</v>
      </c>
      <c r="H2058" s="69">
        <f t="shared" si="32"/>
        <v>43952</v>
      </c>
    </row>
    <row r="2059" spans="1:8" x14ac:dyDescent="0.25">
      <c r="A2059" s="68">
        <v>43973</v>
      </c>
      <c r="B2059" s="48">
        <v>1</v>
      </c>
      <c r="C2059" s="48">
        <v>0</v>
      </c>
      <c r="D2059" s="48">
        <v>3</v>
      </c>
      <c r="E2059" s="48" t="s">
        <v>112</v>
      </c>
      <c r="F2059" s="48" t="s">
        <v>72</v>
      </c>
      <c r="G2059" s="48" t="s">
        <v>343</v>
      </c>
      <c r="H2059" s="69">
        <f t="shared" si="32"/>
        <v>43952</v>
      </c>
    </row>
    <row r="2060" spans="1:8" x14ac:dyDescent="0.25">
      <c r="A2060" s="68">
        <v>43973</v>
      </c>
      <c r="B2060" s="48">
        <v>1</v>
      </c>
      <c r="C2060" s="48">
        <v>0</v>
      </c>
      <c r="D2060" s="48">
        <v>0</v>
      </c>
      <c r="E2060" s="48" t="s">
        <v>112</v>
      </c>
      <c r="F2060" s="48" t="s">
        <v>72</v>
      </c>
      <c r="G2060" s="48" t="s">
        <v>400</v>
      </c>
      <c r="H2060" s="69">
        <f t="shared" si="32"/>
        <v>43952</v>
      </c>
    </row>
    <row r="2061" spans="1:8" x14ac:dyDescent="0.25">
      <c r="A2061" s="68">
        <v>43973</v>
      </c>
      <c r="B2061" s="48">
        <v>9</v>
      </c>
      <c r="C2061" s="48">
        <v>1</v>
      </c>
      <c r="D2061" s="48">
        <v>1</v>
      </c>
      <c r="E2061" s="48" t="s">
        <v>112</v>
      </c>
      <c r="F2061" s="48" t="s">
        <v>72</v>
      </c>
      <c r="G2061" s="48" t="s">
        <v>102</v>
      </c>
      <c r="H2061" s="69">
        <f t="shared" si="32"/>
        <v>43952</v>
      </c>
    </row>
    <row r="2062" spans="1:8" x14ac:dyDescent="0.25">
      <c r="A2062" s="68">
        <v>43973</v>
      </c>
      <c r="B2062" s="48">
        <v>2</v>
      </c>
      <c r="C2062" s="48">
        <v>0</v>
      </c>
      <c r="D2062" s="48">
        <v>2</v>
      </c>
      <c r="E2062" s="48" t="s">
        <v>112</v>
      </c>
      <c r="F2062" s="48" t="s">
        <v>72</v>
      </c>
      <c r="G2062" s="48" t="s">
        <v>355</v>
      </c>
      <c r="H2062" s="69">
        <f t="shared" si="32"/>
        <v>43952</v>
      </c>
    </row>
    <row r="2063" spans="1:8" x14ac:dyDescent="0.25">
      <c r="A2063" s="68">
        <v>43973</v>
      </c>
      <c r="B2063" s="48">
        <v>30</v>
      </c>
      <c r="C2063" s="48">
        <v>0</v>
      </c>
      <c r="D2063" s="48">
        <v>34</v>
      </c>
      <c r="E2063" s="48" t="s">
        <v>112</v>
      </c>
      <c r="F2063" s="48" t="s">
        <v>72</v>
      </c>
      <c r="G2063" s="48" t="s">
        <v>96</v>
      </c>
      <c r="H2063" s="69">
        <f t="shared" si="32"/>
        <v>43952</v>
      </c>
    </row>
    <row r="2064" spans="1:8" x14ac:dyDescent="0.25">
      <c r="A2064" s="68">
        <v>43973</v>
      </c>
      <c r="B2064" s="48">
        <v>1</v>
      </c>
      <c r="C2064" s="48">
        <v>0</v>
      </c>
      <c r="D2064" s="48">
        <v>5</v>
      </c>
      <c r="E2064" s="48" t="s">
        <v>112</v>
      </c>
      <c r="F2064" s="48" t="s">
        <v>72</v>
      </c>
      <c r="G2064" s="48" t="s">
        <v>347</v>
      </c>
      <c r="H2064" s="69">
        <f t="shared" si="32"/>
        <v>43952</v>
      </c>
    </row>
    <row r="2065" spans="1:8" x14ac:dyDescent="0.25">
      <c r="A2065" s="68">
        <v>43973</v>
      </c>
      <c r="B2065" s="48">
        <v>4</v>
      </c>
      <c r="C2065" s="48">
        <v>0</v>
      </c>
      <c r="D2065" s="48">
        <v>7</v>
      </c>
      <c r="E2065" s="48" t="s">
        <v>112</v>
      </c>
      <c r="F2065" s="48" t="s">
        <v>72</v>
      </c>
      <c r="G2065" s="48" t="s">
        <v>335</v>
      </c>
      <c r="H2065" s="69">
        <f t="shared" si="32"/>
        <v>43952</v>
      </c>
    </row>
    <row r="2066" spans="1:8" x14ac:dyDescent="0.25">
      <c r="A2066" s="68">
        <v>43973</v>
      </c>
      <c r="B2066" s="48">
        <v>3</v>
      </c>
      <c r="C2066" s="48">
        <v>0</v>
      </c>
      <c r="D2066" s="48">
        <v>2</v>
      </c>
      <c r="E2066" s="48" t="s">
        <v>112</v>
      </c>
      <c r="F2066" s="48" t="s">
        <v>72</v>
      </c>
      <c r="G2066" s="48" t="s">
        <v>342</v>
      </c>
      <c r="H2066" s="69">
        <f t="shared" si="32"/>
        <v>43952</v>
      </c>
    </row>
    <row r="2067" spans="1:8" x14ac:dyDescent="0.25">
      <c r="A2067" s="68">
        <v>43973</v>
      </c>
      <c r="B2067" s="48">
        <v>0</v>
      </c>
      <c r="C2067" s="48">
        <v>0</v>
      </c>
      <c r="D2067" s="48">
        <v>0</v>
      </c>
      <c r="E2067" s="48" t="s">
        <v>112</v>
      </c>
      <c r="F2067" s="48" t="s">
        <v>72</v>
      </c>
      <c r="G2067" s="48" t="s">
        <v>353</v>
      </c>
      <c r="H2067" s="69">
        <f t="shared" si="32"/>
        <v>43952</v>
      </c>
    </row>
    <row r="2068" spans="1:8" x14ac:dyDescent="0.25">
      <c r="A2068" s="68">
        <v>43973</v>
      </c>
      <c r="B2068" s="48">
        <v>0</v>
      </c>
      <c r="C2068" s="48">
        <v>0</v>
      </c>
      <c r="D2068" s="48">
        <v>0</v>
      </c>
      <c r="E2068" s="48" t="s">
        <v>112</v>
      </c>
      <c r="F2068" s="48" t="s">
        <v>72</v>
      </c>
      <c r="G2068" s="48" t="s">
        <v>101</v>
      </c>
      <c r="H2068" s="69">
        <f t="shared" si="32"/>
        <v>43952</v>
      </c>
    </row>
    <row r="2069" spans="1:8" x14ac:dyDescent="0.25">
      <c r="A2069" s="68">
        <v>43973</v>
      </c>
      <c r="B2069" s="48">
        <v>0</v>
      </c>
      <c r="C2069" s="48">
        <v>0</v>
      </c>
      <c r="D2069" s="48">
        <v>1</v>
      </c>
      <c r="E2069" s="48" t="s">
        <v>112</v>
      </c>
      <c r="F2069" s="48" t="s">
        <v>72</v>
      </c>
      <c r="G2069" s="48" t="s">
        <v>387</v>
      </c>
      <c r="H2069" s="69">
        <f t="shared" si="32"/>
        <v>43952</v>
      </c>
    </row>
    <row r="2070" spans="1:8" x14ac:dyDescent="0.25">
      <c r="A2070" s="68">
        <v>43973</v>
      </c>
      <c r="B2070" s="48">
        <v>0</v>
      </c>
      <c r="C2070" s="48">
        <v>0</v>
      </c>
      <c r="D2070" s="48">
        <v>1</v>
      </c>
      <c r="E2070" s="48" t="s">
        <v>112</v>
      </c>
      <c r="F2070" s="48" t="s">
        <v>72</v>
      </c>
      <c r="G2070" s="48" t="s">
        <v>406</v>
      </c>
      <c r="H2070" s="69">
        <f t="shared" si="32"/>
        <v>43952</v>
      </c>
    </row>
    <row r="2071" spans="1:8" x14ac:dyDescent="0.25">
      <c r="A2071" s="68">
        <v>43973</v>
      </c>
      <c r="B2071" s="48">
        <v>4</v>
      </c>
      <c r="C2071" s="48">
        <v>1</v>
      </c>
      <c r="D2071" s="48">
        <v>2</v>
      </c>
      <c r="E2071" s="48" t="s">
        <v>112</v>
      </c>
      <c r="F2071" s="48" t="s">
        <v>72</v>
      </c>
      <c r="G2071" s="48" t="s">
        <v>344</v>
      </c>
      <c r="H2071" s="69">
        <f t="shared" si="32"/>
        <v>43952</v>
      </c>
    </row>
    <row r="2072" spans="1:8" x14ac:dyDescent="0.25">
      <c r="A2072" s="68">
        <v>43973</v>
      </c>
      <c r="B2072" s="48">
        <v>0</v>
      </c>
      <c r="C2072" s="48">
        <v>1</v>
      </c>
      <c r="D2072" s="48">
        <v>0</v>
      </c>
      <c r="E2072" s="48" t="s">
        <v>112</v>
      </c>
      <c r="F2072" s="48" t="s">
        <v>72</v>
      </c>
      <c r="G2072" s="48" t="s">
        <v>354</v>
      </c>
      <c r="H2072" s="69">
        <f t="shared" si="32"/>
        <v>43952</v>
      </c>
    </row>
    <row r="2073" spans="1:8" x14ac:dyDescent="0.25">
      <c r="A2073" s="68">
        <v>43973</v>
      </c>
      <c r="B2073" s="48">
        <v>11</v>
      </c>
      <c r="C2073" s="48">
        <v>1</v>
      </c>
      <c r="D2073" s="48">
        <v>0</v>
      </c>
      <c r="E2073" s="48" t="s">
        <v>112</v>
      </c>
      <c r="F2073" s="48" t="s">
        <v>72</v>
      </c>
      <c r="G2073" s="48" t="s">
        <v>337</v>
      </c>
      <c r="H2073" s="69">
        <f t="shared" si="32"/>
        <v>43952</v>
      </c>
    </row>
    <row r="2074" spans="1:8" x14ac:dyDescent="0.25">
      <c r="A2074" s="68">
        <v>43973</v>
      </c>
      <c r="B2074" s="48">
        <v>5</v>
      </c>
      <c r="C2074" s="48">
        <v>0</v>
      </c>
      <c r="D2074" s="48">
        <v>10</v>
      </c>
      <c r="E2074" s="48" t="s">
        <v>112</v>
      </c>
      <c r="F2074" s="48" t="s">
        <v>72</v>
      </c>
      <c r="G2074" s="48" t="s">
        <v>356</v>
      </c>
      <c r="H2074" s="69">
        <f t="shared" si="32"/>
        <v>43952</v>
      </c>
    </row>
    <row r="2075" spans="1:8" x14ac:dyDescent="0.25">
      <c r="A2075" s="68">
        <v>43973</v>
      </c>
      <c r="B2075" s="48">
        <v>0</v>
      </c>
      <c r="C2075" s="48">
        <v>0</v>
      </c>
      <c r="D2075" s="48">
        <v>0</v>
      </c>
      <c r="E2075" s="48" t="s">
        <v>112</v>
      </c>
      <c r="F2075" s="48" t="s">
        <v>72</v>
      </c>
      <c r="G2075" s="48" t="s">
        <v>429</v>
      </c>
      <c r="H2075" s="69">
        <f t="shared" si="32"/>
        <v>43952</v>
      </c>
    </row>
    <row r="2076" spans="1:8" x14ac:dyDescent="0.25">
      <c r="A2076" s="68">
        <v>43973</v>
      </c>
      <c r="B2076" s="48">
        <v>0</v>
      </c>
      <c r="C2076" s="48">
        <v>0</v>
      </c>
      <c r="D2076" s="48">
        <v>0</v>
      </c>
      <c r="E2076" s="48" t="s">
        <v>112</v>
      </c>
      <c r="F2076" s="48" t="s">
        <v>72</v>
      </c>
      <c r="G2076" s="48" t="s">
        <v>431</v>
      </c>
      <c r="H2076" s="69">
        <f t="shared" si="32"/>
        <v>43952</v>
      </c>
    </row>
    <row r="2077" spans="1:8" x14ac:dyDescent="0.25">
      <c r="A2077" s="68">
        <v>43973</v>
      </c>
      <c r="B2077" s="48">
        <v>0</v>
      </c>
      <c r="C2077" s="48">
        <v>0</v>
      </c>
      <c r="D2077" s="48">
        <v>0</v>
      </c>
      <c r="E2077" s="48" t="s">
        <v>112</v>
      </c>
      <c r="F2077" s="48" t="s">
        <v>72</v>
      </c>
      <c r="G2077" s="48" t="s">
        <v>426</v>
      </c>
      <c r="H2077" s="69">
        <f t="shared" si="32"/>
        <v>43952</v>
      </c>
    </row>
    <row r="2078" spans="1:8" x14ac:dyDescent="0.25">
      <c r="A2078" s="68">
        <v>43973</v>
      </c>
      <c r="B2078" s="48">
        <v>0</v>
      </c>
      <c r="C2078" s="48">
        <v>0</v>
      </c>
      <c r="D2078" s="48">
        <v>0</v>
      </c>
      <c r="E2078" s="48" t="s">
        <v>112</v>
      </c>
      <c r="F2078" s="48" t="s">
        <v>72</v>
      </c>
      <c r="G2078" s="48" t="s">
        <v>436</v>
      </c>
      <c r="H2078" s="69">
        <f t="shared" si="32"/>
        <v>43952</v>
      </c>
    </row>
    <row r="2079" spans="1:8" x14ac:dyDescent="0.25">
      <c r="A2079" s="68">
        <v>43973</v>
      </c>
      <c r="B2079" s="48">
        <v>11</v>
      </c>
      <c r="C2079" s="48">
        <v>0</v>
      </c>
      <c r="D2079" s="48">
        <v>4</v>
      </c>
      <c r="E2079" s="48" t="s">
        <v>112</v>
      </c>
      <c r="F2079" s="48" t="s">
        <v>72</v>
      </c>
      <c r="G2079" s="48" t="s">
        <v>357</v>
      </c>
      <c r="H2079" s="69">
        <f t="shared" si="32"/>
        <v>43952</v>
      </c>
    </row>
    <row r="2080" spans="1:8" x14ac:dyDescent="0.25">
      <c r="A2080" s="68">
        <v>43973</v>
      </c>
      <c r="B2080" s="48">
        <v>1</v>
      </c>
      <c r="C2080" s="48">
        <v>1</v>
      </c>
      <c r="D2080" s="48">
        <v>5</v>
      </c>
      <c r="E2080" s="48" t="s">
        <v>112</v>
      </c>
      <c r="F2080" s="48" t="s">
        <v>72</v>
      </c>
      <c r="G2080" s="48" t="s">
        <v>358</v>
      </c>
      <c r="H2080" s="69">
        <f t="shared" si="32"/>
        <v>43952</v>
      </c>
    </row>
    <row r="2081" spans="1:8" x14ac:dyDescent="0.25">
      <c r="A2081" s="68">
        <v>43973</v>
      </c>
      <c r="B2081" s="48">
        <v>0</v>
      </c>
      <c r="C2081" s="48">
        <v>0</v>
      </c>
      <c r="D2081" s="48">
        <v>0</v>
      </c>
      <c r="E2081" s="48" t="s">
        <v>112</v>
      </c>
      <c r="F2081" s="48" t="s">
        <v>72</v>
      </c>
      <c r="G2081" s="48" t="s">
        <v>399</v>
      </c>
      <c r="H2081" s="69">
        <f t="shared" si="32"/>
        <v>43952</v>
      </c>
    </row>
    <row r="2082" spans="1:8" x14ac:dyDescent="0.25">
      <c r="A2082" s="68">
        <v>43973</v>
      </c>
      <c r="B2082" s="48">
        <v>0</v>
      </c>
      <c r="C2082" s="48">
        <v>0</v>
      </c>
      <c r="D2082" s="48">
        <v>0</v>
      </c>
      <c r="E2082" s="48" t="s">
        <v>112</v>
      </c>
      <c r="F2082" s="48" t="s">
        <v>72</v>
      </c>
      <c r="G2082" s="48" t="s">
        <v>352</v>
      </c>
      <c r="H2082" s="69">
        <f t="shared" si="32"/>
        <v>43952</v>
      </c>
    </row>
    <row r="2083" spans="1:8" x14ac:dyDescent="0.25">
      <c r="A2083" s="68">
        <v>43973</v>
      </c>
      <c r="B2083" s="48">
        <v>0</v>
      </c>
      <c r="C2083" s="48">
        <v>0</v>
      </c>
      <c r="D2083" s="48">
        <v>0</v>
      </c>
      <c r="E2083" s="48" t="s">
        <v>112</v>
      </c>
      <c r="F2083" s="48" t="s">
        <v>72</v>
      </c>
      <c r="G2083" s="48" t="s">
        <v>359</v>
      </c>
      <c r="H2083" s="69">
        <f t="shared" si="32"/>
        <v>43952</v>
      </c>
    </row>
    <row r="2084" spans="1:8" x14ac:dyDescent="0.25">
      <c r="A2084" s="68">
        <v>43973</v>
      </c>
      <c r="B2084" s="48">
        <v>0</v>
      </c>
      <c r="C2084" s="48">
        <v>0</v>
      </c>
      <c r="D2084" s="48">
        <v>0</v>
      </c>
      <c r="E2084" s="48" t="s">
        <v>112</v>
      </c>
      <c r="F2084" s="48" t="s">
        <v>72</v>
      </c>
      <c r="G2084" s="48" t="s">
        <v>410</v>
      </c>
      <c r="H2084" s="69">
        <f t="shared" si="32"/>
        <v>43952</v>
      </c>
    </row>
    <row r="2085" spans="1:8" x14ac:dyDescent="0.25">
      <c r="A2085" s="68">
        <v>43973</v>
      </c>
      <c r="B2085" s="48">
        <v>0</v>
      </c>
      <c r="C2085" s="48">
        <v>0</v>
      </c>
      <c r="D2085" s="48">
        <v>0</v>
      </c>
      <c r="E2085" s="48" t="s">
        <v>112</v>
      </c>
      <c r="F2085" s="48" t="s">
        <v>72</v>
      </c>
      <c r="G2085" s="48" t="s">
        <v>365</v>
      </c>
      <c r="H2085" s="69">
        <f t="shared" si="32"/>
        <v>43952</v>
      </c>
    </row>
    <row r="2086" spans="1:8" x14ac:dyDescent="0.25">
      <c r="A2086" s="68">
        <v>43973</v>
      </c>
      <c r="B2086" s="48">
        <v>1</v>
      </c>
      <c r="C2086" s="48">
        <v>1</v>
      </c>
      <c r="D2086" s="48">
        <v>0</v>
      </c>
      <c r="E2086" s="48" t="s">
        <v>112</v>
      </c>
      <c r="F2086" s="48" t="s">
        <v>72</v>
      </c>
      <c r="G2086" s="48" t="s">
        <v>408</v>
      </c>
      <c r="H2086" s="69">
        <f t="shared" si="32"/>
        <v>43952</v>
      </c>
    </row>
    <row r="2087" spans="1:8" x14ac:dyDescent="0.25">
      <c r="A2087" s="68">
        <v>43973</v>
      </c>
      <c r="B2087" s="48">
        <v>0</v>
      </c>
      <c r="C2087" s="48">
        <v>0</v>
      </c>
      <c r="D2087" s="48">
        <v>0</v>
      </c>
      <c r="E2087" s="48" t="s">
        <v>112</v>
      </c>
      <c r="F2087" s="48" t="s">
        <v>72</v>
      </c>
      <c r="G2087" s="48" t="s">
        <v>411</v>
      </c>
      <c r="H2087" s="69">
        <f t="shared" si="32"/>
        <v>43952</v>
      </c>
    </row>
    <row r="2088" spans="1:8" x14ac:dyDescent="0.25">
      <c r="A2088" s="68">
        <v>43973</v>
      </c>
      <c r="B2088" s="48">
        <v>2</v>
      </c>
      <c r="C2088" s="48">
        <v>0</v>
      </c>
      <c r="D2088" s="48">
        <v>1</v>
      </c>
      <c r="E2088" s="48" t="s">
        <v>112</v>
      </c>
      <c r="F2088" s="48" t="s">
        <v>72</v>
      </c>
      <c r="G2088" s="48" t="s">
        <v>351</v>
      </c>
      <c r="H2088" s="69">
        <f t="shared" si="32"/>
        <v>43952</v>
      </c>
    </row>
    <row r="2089" spans="1:8" x14ac:dyDescent="0.25">
      <c r="A2089" s="68">
        <v>43973</v>
      </c>
      <c r="B2089" s="48">
        <v>0</v>
      </c>
      <c r="C2089" s="48">
        <v>0</v>
      </c>
      <c r="D2089" s="48">
        <v>1</v>
      </c>
      <c r="E2089" s="48" t="s">
        <v>112</v>
      </c>
      <c r="F2089" s="48" t="s">
        <v>72</v>
      </c>
      <c r="G2089" s="48" t="s">
        <v>417</v>
      </c>
      <c r="H2089" s="69">
        <f t="shared" si="32"/>
        <v>43952</v>
      </c>
    </row>
    <row r="2090" spans="1:8" x14ac:dyDescent="0.25">
      <c r="A2090" s="68">
        <v>43973</v>
      </c>
      <c r="B2090" s="48">
        <v>0</v>
      </c>
      <c r="C2090" s="48">
        <v>0</v>
      </c>
      <c r="D2090" s="48">
        <v>0</v>
      </c>
      <c r="E2090" s="48" t="s">
        <v>112</v>
      </c>
      <c r="F2090" s="48" t="s">
        <v>72</v>
      </c>
      <c r="G2090" s="48" t="s">
        <v>420</v>
      </c>
      <c r="H2090" s="69">
        <f t="shared" si="32"/>
        <v>43952</v>
      </c>
    </row>
    <row r="2091" spans="1:8" x14ac:dyDescent="0.25">
      <c r="A2091" s="68">
        <v>43973</v>
      </c>
      <c r="B2091" s="48">
        <v>827</v>
      </c>
      <c r="C2091" s="48">
        <v>4</v>
      </c>
      <c r="D2091" s="48">
        <v>425</v>
      </c>
      <c r="E2091" s="48" t="s">
        <v>112</v>
      </c>
      <c r="F2091" s="48" t="s">
        <v>70</v>
      </c>
      <c r="G2091" s="48" t="s">
        <v>91</v>
      </c>
      <c r="H2091" s="69">
        <f t="shared" si="32"/>
        <v>43952</v>
      </c>
    </row>
    <row r="2092" spans="1:8" x14ac:dyDescent="0.25">
      <c r="A2092" s="68">
        <v>43973</v>
      </c>
      <c r="B2092" s="48">
        <v>7</v>
      </c>
      <c r="C2092" s="48">
        <v>0</v>
      </c>
      <c r="D2092" s="48">
        <v>66</v>
      </c>
      <c r="E2092" s="48" t="s">
        <v>112</v>
      </c>
      <c r="F2092" s="48" t="s">
        <v>70</v>
      </c>
      <c r="G2092" s="48" t="s">
        <v>99</v>
      </c>
      <c r="H2092" s="69">
        <f t="shared" si="32"/>
        <v>43952</v>
      </c>
    </row>
    <row r="2093" spans="1:8" x14ac:dyDescent="0.25">
      <c r="A2093" s="68">
        <v>43973</v>
      </c>
      <c r="B2093" s="48">
        <v>6</v>
      </c>
      <c r="C2093" s="48">
        <v>0</v>
      </c>
      <c r="D2093" s="48">
        <v>0</v>
      </c>
      <c r="E2093" s="48" t="s">
        <v>112</v>
      </c>
      <c r="F2093" s="48" t="s">
        <v>70</v>
      </c>
      <c r="G2093" s="48" t="s">
        <v>363</v>
      </c>
      <c r="H2093" s="69">
        <f t="shared" si="32"/>
        <v>43952</v>
      </c>
    </row>
    <row r="2094" spans="1:8" x14ac:dyDescent="0.25">
      <c r="A2094" s="68">
        <v>43973</v>
      </c>
      <c r="B2094" s="48">
        <v>1</v>
      </c>
      <c r="C2094" s="48">
        <v>0</v>
      </c>
      <c r="D2094" s="48">
        <v>0</v>
      </c>
      <c r="E2094" s="48" t="s">
        <v>112</v>
      </c>
      <c r="F2094" s="48" t="s">
        <v>70</v>
      </c>
      <c r="G2094" s="48" t="s">
        <v>377</v>
      </c>
      <c r="H2094" s="69">
        <f t="shared" si="32"/>
        <v>43952</v>
      </c>
    </row>
    <row r="2095" spans="1:8" x14ac:dyDescent="0.25">
      <c r="A2095" s="68">
        <v>43973</v>
      </c>
      <c r="B2095" s="48">
        <v>3</v>
      </c>
      <c r="C2095" s="48">
        <v>0</v>
      </c>
      <c r="D2095" s="48">
        <v>12</v>
      </c>
      <c r="E2095" s="48" t="s">
        <v>112</v>
      </c>
      <c r="F2095" s="48" t="s">
        <v>70</v>
      </c>
      <c r="G2095" s="48" t="s">
        <v>349</v>
      </c>
      <c r="H2095" s="69">
        <f t="shared" si="32"/>
        <v>43952</v>
      </c>
    </row>
    <row r="2096" spans="1:8" x14ac:dyDescent="0.25">
      <c r="A2096" s="68">
        <v>43973</v>
      </c>
      <c r="B2096" s="48">
        <v>0</v>
      </c>
      <c r="C2096" s="48">
        <v>0</v>
      </c>
      <c r="D2096" s="48">
        <v>4</v>
      </c>
      <c r="E2096" s="48" t="s">
        <v>112</v>
      </c>
      <c r="F2096" s="48" t="s">
        <v>70</v>
      </c>
      <c r="G2096" s="48" t="s">
        <v>385</v>
      </c>
      <c r="H2096" s="69">
        <f t="shared" si="32"/>
        <v>43952</v>
      </c>
    </row>
    <row r="2097" spans="1:8" x14ac:dyDescent="0.25">
      <c r="A2097" s="68">
        <v>43973</v>
      </c>
      <c r="B2097" s="48">
        <v>1</v>
      </c>
      <c r="C2097" s="48">
        <v>0</v>
      </c>
      <c r="D2097" s="48">
        <v>3</v>
      </c>
      <c r="E2097" s="48" t="s">
        <v>112</v>
      </c>
      <c r="F2097" s="48" t="s">
        <v>70</v>
      </c>
      <c r="G2097" s="48" t="s">
        <v>388</v>
      </c>
      <c r="H2097" s="69">
        <f t="shared" si="32"/>
        <v>43952</v>
      </c>
    </row>
    <row r="2098" spans="1:8" x14ac:dyDescent="0.25">
      <c r="A2098" s="68">
        <v>43973</v>
      </c>
      <c r="B2098" s="48">
        <v>13</v>
      </c>
      <c r="C2098" s="48">
        <v>0</v>
      </c>
      <c r="D2098" s="48">
        <v>0</v>
      </c>
      <c r="E2098" s="48" t="s">
        <v>112</v>
      </c>
      <c r="F2098" s="48" t="s">
        <v>70</v>
      </c>
      <c r="G2098" s="48" t="s">
        <v>381</v>
      </c>
      <c r="H2098" s="69">
        <f t="shared" si="32"/>
        <v>43952</v>
      </c>
    </row>
    <row r="2099" spans="1:8" x14ac:dyDescent="0.25">
      <c r="A2099" s="68">
        <v>43973</v>
      </c>
      <c r="B2099" s="48">
        <v>2</v>
      </c>
      <c r="C2099" s="48">
        <v>0</v>
      </c>
      <c r="D2099" s="48">
        <v>1</v>
      </c>
      <c r="E2099" s="48" t="s">
        <v>112</v>
      </c>
      <c r="F2099" s="48" t="s">
        <v>70</v>
      </c>
      <c r="G2099" s="48" t="s">
        <v>374</v>
      </c>
      <c r="H2099" s="69">
        <f t="shared" si="32"/>
        <v>43952</v>
      </c>
    </row>
    <row r="2100" spans="1:8" x14ac:dyDescent="0.25">
      <c r="A2100" s="68">
        <v>43973</v>
      </c>
      <c r="B2100" s="48">
        <v>0</v>
      </c>
      <c r="C2100" s="48">
        <v>0</v>
      </c>
      <c r="D2100" s="48">
        <v>0</v>
      </c>
      <c r="E2100" s="48" t="s">
        <v>112</v>
      </c>
      <c r="F2100" s="48" t="s">
        <v>70</v>
      </c>
      <c r="G2100" s="48" t="s">
        <v>386</v>
      </c>
      <c r="H2100" s="69">
        <f t="shared" si="32"/>
        <v>43952</v>
      </c>
    </row>
    <row r="2101" spans="1:8" x14ac:dyDescent="0.25">
      <c r="A2101" s="68">
        <v>43973</v>
      </c>
      <c r="B2101" s="48">
        <v>0</v>
      </c>
      <c r="C2101" s="48">
        <v>0</v>
      </c>
      <c r="D2101" s="48">
        <v>0</v>
      </c>
      <c r="E2101" s="48" t="s">
        <v>112</v>
      </c>
      <c r="F2101" s="48" t="s">
        <v>70</v>
      </c>
      <c r="G2101" s="48" t="s">
        <v>415</v>
      </c>
      <c r="H2101" s="69">
        <f t="shared" si="32"/>
        <v>43952</v>
      </c>
    </row>
    <row r="2102" spans="1:8" x14ac:dyDescent="0.25">
      <c r="A2102" s="68">
        <v>43973</v>
      </c>
      <c r="B2102" s="48">
        <v>45</v>
      </c>
      <c r="C2102" s="48">
        <v>0</v>
      </c>
      <c r="D2102" s="48">
        <v>14</v>
      </c>
      <c r="E2102" s="48" t="s">
        <v>112</v>
      </c>
      <c r="F2102" s="48" t="s">
        <v>70</v>
      </c>
      <c r="G2102" s="48" t="s">
        <v>105</v>
      </c>
      <c r="H2102" s="69">
        <f t="shared" si="32"/>
        <v>43952</v>
      </c>
    </row>
    <row r="2103" spans="1:8" x14ac:dyDescent="0.25">
      <c r="A2103" s="68">
        <v>43973</v>
      </c>
      <c r="B2103" s="48">
        <v>14</v>
      </c>
      <c r="C2103" s="48">
        <v>0</v>
      </c>
      <c r="D2103" s="48">
        <v>6</v>
      </c>
      <c r="E2103" s="48" t="s">
        <v>112</v>
      </c>
      <c r="F2103" s="48" t="s">
        <v>70</v>
      </c>
      <c r="G2103" s="48" t="s">
        <v>98</v>
      </c>
      <c r="H2103" s="69">
        <f t="shared" si="32"/>
        <v>43952</v>
      </c>
    </row>
    <row r="2104" spans="1:8" x14ac:dyDescent="0.25">
      <c r="A2104" s="68">
        <v>43973</v>
      </c>
      <c r="B2104" s="48">
        <v>3</v>
      </c>
      <c r="C2104" s="48">
        <v>0</v>
      </c>
      <c r="D2104" s="48">
        <v>91</v>
      </c>
      <c r="E2104" s="48" t="s">
        <v>112</v>
      </c>
      <c r="F2104" s="48" t="s">
        <v>70</v>
      </c>
      <c r="G2104" s="48" t="s">
        <v>336</v>
      </c>
      <c r="H2104" s="69">
        <f t="shared" si="32"/>
        <v>43952</v>
      </c>
    </row>
    <row r="2105" spans="1:8" x14ac:dyDescent="0.25">
      <c r="A2105" s="68">
        <v>43973</v>
      </c>
      <c r="B2105" s="48">
        <v>3</v>
      </c>
      <c r="C2105" s="48">
        <v>0</v>
      </c>
      <c r="D2105" s="48">
        <v>51</v>
      </c>
      <c r="E2105" s="48" t="s">
        <v>112</v>
      </c>
      <c r="F2105" s="48" t="s">
        <v>70</v>
      </c>
      <c r="G2105" s="48" t="s">
        <v>104</v>
      </c>
      <c r="H2105" s="69">
        <f t="shared" si="32"/>
        <v>43952</v>
      </c>
    </row>
    <row r="2106" spans="1:8" x14ac:dyDescent="0.25">
      <c r="A2106" s="68">
        <v>43973</v>
      </c>
      <c r="B2106" s="48">
        <v>1</v>
      </c>
      <c r="C2106" s="48">
        <v>0</v>
      </c>
      <c r="D2106" s="48">
        <v>1</v>
      </c>
      <c r="E2106" s="48" t="s">
        <v>112</v>
      </c>
      <c r="F2106" s="48" t="s">
        <v>70</v>
      </c>
      <c r="G2106" s="48" t="s">
        <v>379</v>
      </c>
      <c r="H2106" s="69">
        <f t="shared" si="32"/>
        <v>43952</v>
      </c>
    </row>
    <row r="2107" spans="1:8" x14ac:dyDescent="0.25">
      <c r="A2107" s="68">
        <v>43973</v>
      </c>
      <c r="B2107" s="48">
        <v>5</v>
      </c>
      <c r="C2107" s="48">
        <v>0</v>
      </c>
      <c r="D2107" s="48">
        <v>7</v>
      </c>
      <c r="E2107" s="48" t="s">
        <v>112</v>
      </c>
      <c r="F2107" s="48" t="s">
        <v>70</v>
      </c>
      <c r="G2107" s="48" t="s">
        <v>360</v>
      </c>
      <c r="H2107" s="69">
        <f t="shared" si="32"/>
        <v>43952</v>
      </c>
    </row>
    <row r="2108" spans="1:8" x14ac:dyDescent="0.25">
      <c r="A2108" s="68">
        <v>43973</v>
      </c>
      <c r="B2108" s="48">
        <v>1</v>
      </c>
      <c r="C2108" s="48">
        <v>0</v>
      </c>
      <c r="D2108" s="48">
        <v>3</v>
      </c>
      <c r="E2108" s="48" t="s">
        <v>112</v>
      </c>
      <c r="F2108" s="48" t="s">
        <v>70</v>
      </c>
      <c r="G2108" s="48" t="s">
        <v>407</v>
      </c>
      <c r="H2108" s="69">
        <f t="shared" si="32"/>
        <v>43952</v>
      </c>
    </row>
    <row r="2109" spans="1:8" x14ac:dyDescent="0.25">
      <c r="A2109" s="68">
        <v>43973</v>
      </c>
      <c r="B2109" s="48">
        <v>2</v>
      </c>
      <c r="C2109" s="48">
        <v>0</v>
      </c>
      <c r="D2109" s="48">
        <v>0</v>
      </c>
      <c r="E2109" s="48" t="s">
        <v>112</v>
      </c>
      <c r="F2109" s="48" t="s">
        <v>70</v>
      </c>
      <c r="G2109" s="48" t="s">
        <v>384</v>
      </c>
      <c r="H2109" s="69">
        <f t="shared" si="32"/>
        <v>43952</v>
      </c>
    </row>
    <row r="2110" spans="1:8" x14ac:dyDescent="0.25">
      <c r="A2110" s="68">
        <v>43973</v>
      </c>
      <c r="B2110" s="48">
        <v>0</v>
      </c>
      <c r="C2110" s="48">
        <v>0</v>
      </c>
      <c r="D2110" s="48">
        <v>0</v>
      </c>
      <c r="E2110" s="48" t="s">
        <v>112</v>
      </c>
      <c r="F2110" s="48" t="s">
        <v>70</v>
      </c>
      <c r="G2110" s="48" t="s">
        <v>383</v>
      </c>
      <c r="H2110" s="69">
        <f t="shared" si="32"/>
        <v>43952</v>
      </c>
    </row>
    <row r="2111" spans="1:8" x14ac:dyDescent="0.25">
      <c r="A2111" s="68">
        <v>43973</v>
      </c>
      <c r="B2111" s="48">
        <v>1</v>
      </c>
      <c r="C2111" s="48">
        <v>0</v>
      </c>
      <c r="D2111" s="48">
        <v>0</v>
      </c>
      <c r="E2111" s="48" t="s">
        <v>112</v>
      </c>
      <c r="F2111" s="48" t="s">
        <v>70</v>
      </c>
      <c r="G2111" s="48" t="s">
        <v>414</v>
      </c>
      <c r="H2111" s="69">
        <f t="shared" si="32"/>
        <v>43952</v>
      </c>
    </row>
    <row r="2112" spans="1:8" x14ac:dyDescent="0.25">
      <c r="A2112" s="68">
        <v>43973</v>
      </c>
      <c r="B2112" s="48">
        <v>0</v>
      </c>
      <c r="C2112" s="48">
        <v>0</v>
      </c>
      <c r="D2112" s="48">
        <v>0</v>
      </c>
      <c r="E2112" s="48" t="s">
        <v>112</v>
      </c>
      <c r="F2112" s="48" t="s">
        <v>70</v>
      </c>
      <c r="G2112" s="48" t="s">
        <v>423</v>
      </c>
      <c r="H2112" s="69">
        <f t="shared" si="32"/>
        <v>43952</v>
      </c>
    </row>
    <row r="2113" spans="1:8" x14ac:dyDescent="0.25">
      <c r="A2113" s="68">
        <v>43973</v>
      </c>
      <c r="B2113" s="48">
        <v>10</v>
      </c>
      <c r="C2113" s="48">
        <v>0</v>
      </c>
      <c r="D2113" s="48">
        <v>0</v>
      </c>
      <c r="E2113" s="48" t="s">
        <v>112</v>
      </c>
      <c r="F2113" s="48" t="s">
        <v>70</v>
      </c>
      <c r="G2113" s="48" t="s">
        <v>345</v>
      </c>
      <c r="H2113" s="69">
        <f t="shared" si="32"/>
        <v>43952</v>
      </c>
    </row>
    <row r="2114" spans="1:8" x14ac:dyDescent="0.25">
      <c r="A2114" s="68">
        <v>43973</v>
      </c>
      <c r="B2114" s="48">
        <v>0</v>
      </c>
      <c r="C2114" s="48">
        <v>0</v>
      </c>
      <c r="D2114" s="48">
        <v>8</v>
      </c>
      <c r="E2114" s="48" t="s">
        <v>112</v>
      </c>
      <c r="F2114" s="48" t="s">
        <v>70</v>
      </c>
      <c r="G2114" s="48" t="s">
        <v>367</v>
      </c>
      <c r="H2114" s="69">
        <f t="shared" ref="H2114:H2177" si="33">DATE(YEAR(A2114),MONTH(A2114),1)</f>
        <v>43952</v>
      </c>
    </row>
    <row r="2115" spans="1:8" x14ac:dyDescent="0.25">
      <c r="A2115" s="68">
        <v>43973</v>
      </c>
      <c r="B2115" s="48">
        <v>14</v>
      </c>
      <c r="C2115" s="48">
        <v>0</v>
      </c>
      <c r="D2115" s="48">
        <v>-2</v>
      </c>
      <c r="E2115" s="48" t="s">
        <v>112</v>
      </c>
      <c r="F2115" s="48" t="s">
        <v>70</v>
      </c>
      <c r="G2115" s="48" t="s">
        <v>380</v>
      </c>
      <c r="H2115" s="69">
        <f t="shared" si="33"/>
        <v>43952</v>
      </c>
    </row>
    <row r="2116" spans="1:8" x14ac:dyDescent="0.25">
      <c r="A2116" s="68">
        <v>43973</v>
      </c>
      <c r="B2116" s="48">
        <v>13</v>
      </c>
      <c r="C2116" s="48">
        <v>0</v>
      </c>
      <c r="D2116" s="48">
        <v>15</v>
      </c>
      <c r="E2116" s="48" t="s">
        <v>112</v>
      </c>
      <c r="F2116" s="48" t="s">
        <v>76</v>
      </c>
      <c r="G2116" s="48" t="s">
        <v>339</v>
      </c>
      <c r="H2116" s="69">
        <f t="shared" si="33"/>
        <v>43952</v>
      </c>
    </row>
    <row r="2117" spans="1:8" x14ac:dyDescent="0.25">
      <c r="A2117" s="68">
        <v>43973</v>
      </c>
      <c r="B2117" s="48">
        <v>124</v>
      </c>
      <c r="C2117" s="48">
        <v>0</v>
      </c>
      <c r="D2117" s="48">
        <v>38</v>
      </c>
      <c r="E2117" s="48" t="s">
        <v>112</v>
      </c>
      <c r="F2117" s="48" t="s">
        <v>73</v>
      </c>
      <c r="G2117" s="48" t="s">
        <v>93</v>
      </c>
      <c r="H2117" s="69">
        <f t="shared" si="33"/>
        <v>43952</v>
      </c>
    </row>
    <row r="2118" spans="1:8" x14ac:dyDescent="0.25">
      <c r="A2118" s="68">
        <v>43973</v>
      </c>
      <c r="B2118" s="48">
        <v>275</v>
      </c>
      <c r="C2118" s="48">
        <v>14</v>
      </c>
      <c r="D2118" s="48">
        <v>594</v>
      </c>
      <c r="E2118" s="48" t="s">
        <v>112</v>
      </c>
      <c r="F2118" s="48" t="s">
        <v>71</v>
      </c>
      <c r="G2118" s="48" t="s">
        <v>92</v>
      </c>
      <c r="H2118" s="69">
        <f t="shared" si="33"/>
        <v>43952</v>
      </c>
    </row>
    <row r="2119" spans="1:8" x14ac:dyDescent="0.25">
      <c r="A2119" s="68">
        <v>43974</v>
      </c>
      <c r="B2119" s="48">
        <v>135</v>
      </c>
      <c r="C2119" s="48">
        <v>2</v>
      </c>
      <c r="D2119" s="48">
        <v>0</v>
      </c>
      <c r="E2119" s="48" t="s">
        <v>112</v>
      </c>
      <c r="F2119" s="48" t="s">
        <v>74</v>
      </c>
      <c r="G2119" s="48" t="s">
        <v>95</v>
      </c>
      <c r="H2119" s="69">
        <f t="shared" si="33"/>
        <v>43952</v>
      </c>
    </row>
    <row r="2120" spans="1:8" x14ac:dyDescent="0.25">
      <c r="A2120" s="68">
        <v>43974</v>
      </c>
      <c r="B2120" s="48">
        <v>1</v>
      </c>
      <c r="C2120" s="48">
        <v>0</v>
      </c>
      <c r="D2120" s="48">
        <v>0</v>
      </c>
      <c r="E2120" s="48" t="s">
        <v>112</v>
      </c>
      <c r="F2120" s="48" t="s">
        <v>75</v>
      </c>
      <c r="G2120" s="48" t="s">
        <v>394</v>
      </c>
      <c r="H2120" s="69">
        <f t="shared" si="33"/>
        <v>43952</v>
      </c>
    </row>
    <row r="2121" spans="1:8" x14ac:dyDescent="0.25">
      <c r="A2121" s="68">
        <v>43974</v>
      </c>
      <c r="B2121" s="48">
        <v>2</v>
      </c>
      <c r="C2121" s="48">
        <v>0</v>
      </c>
      <c r="D2121" s="48">
        <v>0</v>
      </c>
      <c r="E2121" s="48" t="s">
        <v>112</v>
      </c>
      <c r="F2121" s="48" t="s">
        <v>75</v>
      </c>
      <c r="G2121" s="48" t="s">
        <v>103</v>
      </c>
      <c r="H2121" s="69">
        <f t="shared" si="33"/>
        <v>43952</v>
      </c>
    </row>
    <row r="2122" spans="1:8" x14ac:dyDescent="0.25">
      <c r="A2122" s="68">
        <v>43974</v>
      </c>
      <c r="B2122" s="48">
        <v>2</v>
      </c>
      <c r="C2122" s="48">
        <v>0</v>
      </c>
      <c r="D2122" s="48">
        <v>0</v>
      </c>
      <c r="E2122" s="48" t="s">
        <v>112</v>
      </c>
      <c r="F2122" s="48" t="s">
        <v>75</v>
      </c>
      <c r="G2122" s="48" t="s">
        <v>393</v>
      </c>
      <c r="H2122" s="69">
        <f t="shared" si="33"/>
        <v>43952</v>
      </c>
    </row>
    <row r="2123" spans="1:8" x14ac:dyDescent="0.25">
      <c r="A2123" s="68">
        <v>43974</v>
      </c>
      <c r="B2123" s="48">
        <v>1</v>
      </c>
      <c r="C2123" s="48">
        <v>0</v>
      </c>
      <c r="D2123" s="48">
        <v>0</v>
      </c>
      <c r="E2123" s="48" t="s">
        <v>112</v>
      </c>
      <c r="F2123" s="48" t="s">
        <v>75</v>
      </c>
      <c r="G2123" s="48" t="s">
        <v>402</v>
      </c>
      <c r="H2123" s="69">
        <f t="shared" si="33"/>
        <v>43952</v>
      </c>
    </row>
    <row r="2124" spans="1:8" x14ac:dyDescent="0.25">
      <c r="A2124" s="68">
        <v>43974</v>
      </c>
      <c r="B2124" s="48">
        <v>3</v>
      </c>
      <c r="C2124" s="48">
        <v>0</v>
      </c>
      <c r="D2124" s="48">
        <v>0</v>
      </c>
      <c r="E2124" s="48" t="s">
        <v>112</v>
      </c>
      <c r="F2124" s="48" t="s">
        <v>75</v>
      </c>
      <c r="G2124" s="48" t="s">
        <v>373</v>
      </c>
      <c r="H2124" s="69">
        <f t="shared" si="33"/>
        <v>43952</v>
      </c>
    </row>
    <row r="2125" spans="1:8" x14ac:dyDescent="0.25">
      <c r="A2125" s="68">
        <v>43974</v>
      </c>
      <c r="B2125" s="48">
        <v>93</v>
      </c>
      <c r="C2125" s="48">
        <v>2</v>
      </c>
      <c r="D2125" s="48">
        <v>22</v>
      </c>
      <c r="E2125" s="48" t="s">
        <v>112</v>
      </c>
      <c r="F2125" s="48" t="s">
        <v>72</v>
      </c>
      <c r="G2125" s="48" t="s">
        <v>94</v>
      </c>
      <c r="H2125" s="69">
        <f t="shared" si="33"/>
        <v>43952</v>
      </c>
    </row>
    <row r="2126" spans="1:8" x14ac:dyDescent="0.25">
      <c r="A2126" s="68">
        <v>43974</v>
      </c>
      <c r="B2126" s="48">
        <v>8</v>
      </c>
      <c r="C2126" s="48">
        <v>0</v>
      </c>
      <c r="D2126" s="48">
        <v>6</v>
      </c>
      <c r="E2126" s="48" t="s">
        <v>112</v>
      </c>
      <c r="F2126" s="48" t="s">
        <v>72</v>
      </c>
      <c r="G2126" s="48" t="s">
        <v>341</v>
      </c>
      <c r="H2126" s="69">
        <f t="shared" si="33"/>
        <v>43952</v>
      </c>
    </row>
    <row r="2127" spans="1:8" x14ac:dyDescent="0.25">
      <c r="A2127" s="68">
        <v>43974</v>
      </c>
      <c r="B2127" s="48">
        <v>7</v>
      </c>
      <c r="C2127" s="48">
        <v>0</v>
      </c>
      <c r="D2127" s="48">
        <v>4</v>
      </c>
      <c r="E2127" s="48" t="s">
        <v>112</v>
      </c>
      <c r="F2127" s="48" t="s">
        <v>72</v>
      </c>
      <c r="G2127" s="48" t="s">
        <v>338</v>
      </c>
      <c r="H2127" s="69">
        <f t="shared" si="33"/>
        <v>43952</v>
      </c>
    </row>
    <row r="2128" spans="1:8" x14ac:dyDescent="0.25">
      <c r="A2128" s="68">
        <v>43974</v>
      </c>
      <c r="B2128" s="48">
        <v>3</v>
      </c>
      <c r="C2128" s="48">
        <v>0</v>
      </c>
      <c r="D2128" s="48">
        <v>2</v>
      </c>
      <c r="E2128" s="48" t="s">
        <v>112</v>
      </c>
      <c r="F2128" s="48" t="s">
        <v>72</v>
      </c>
      <c r="G2128" s="48" t="s">
        <v>343</v>
      </c>
      <c r="H2128" s="69">
        <f t="shared" si="33"/>
        <v>43952</v>
      </c>
    </row>
    <row r="2129" spans="1:8" x14ac:dyDescent="0.25">
      <c r="A2129" s="68">
        <v>43974</v>
      </c>
      <c r="B2129" s="48">
        <v>4</v>
      </c>
      <c r="C2129" s="48">
        <v>0</v>
      </c>
      <c r="D2129" s="48">
        <v>2</v>
      </c>
      <c r="E2129" s="48" t="s">
        <v>112</v>
      </c>
      <c r="F2129" s="48" t="s">
        <v>72</v>
      </c>
      <c r="G2129" s="48" t="s">
        <v>400</v>
      </c>
      <c r="H2129" s="69">
        <f t="shared" si="33"/>
        <v>43952</v>
      </c>
    </row>
    <row r="2130" spans="1:8" x14ac:dyDescent="0.25">
      <c r="A2130" s="68">
        <v>43974</v>
      </c>
      <c r="B2130" s="48">
        <v>0</v>
      </c>
      <c r="C2130" s="48">
        <v>0</v>
      </c>
      <c r="D2130" s="48">
        <v>0</v>
      </c>
      <c r="E2130" s="48" t="s">
        <v>112</v>
      </c>
      <c r="F2130" s="48" t="s">
        <v>72</v>
      </c>
      <c r="G2130" s="48" t="s">
        <v>102</v>
      </c>
      <c r="H2130" s="69">
        <f t="shared" si="33"/>
        <v>43952</v>
      </c>
    </row>
    <row r="2131" spans="1:8" x14ac:dyDescent="0.25">
      <c r="A2131" s="68">
        <v>43974</v>
      </c>
      <c r="B2131" s="48">
        <v>0</v>
      </c>
      <c r="C2131" s="48">
        <v>1</v>
      </c>
      <c r="D2131" s="48">
        <v>2</v>
      </c>
      <c r="E2131" s="48" t="s">
        <v>112</v>
      </c>
      <c r="F2131" s="48" t="s">
        <v>72</v>
      </c>
      <c r="G2131" s="48" t="s">
        <v>355</v>
      </c>
      <c r="H2131" s="69">
        <f t="shared" si="33"/>
        <v>43952</v>
      </c>
    </row>
    <row r="2132" spans="1:8" x14ac:dyDescent="0.25">
      <c r="A2132" s="68">
        <v>43974</v>
      </c>
      <c r="B2132" s="48">
        <v>24</v>
      </c>
      <c r="C2132" s="48">
        <v>1</v>
      </c>
      <c r="D2132" s="48">
        <v>16</v>
      </c>
      <c r="E2132" s="48" t="s">
        <v>112</v>
      </c>
      <c r="F2132" s="48" t="s">
        <v>72</v>
      </c>
      <c r="G2132" s="48" t="s">
        <v>96</v>
      </c>
      <c r="H2132" s="69">
        <f t="shared" si="33"/>
        <v>43952</v>
      </c>
    </row>
    <row r="2133" spans="1:8" x14ac:dyDescent="0.25">
      <c r="A2133" s="68">
        <v>43974</v>
      </c>
      <c r="B2133" s="48">
        <v>0</v>
      </c>
      <c r="C2133" s="48">
        <v>1</v>
      </c>
      <c r="D2133" s="48">
        <v>6</v>
      </c>
      <c r="E2133" s="48" t="s">
        <v>112</v>
      </c>
      <c r="F2133" s="48" t="s">
        <v>72</v>
      </c>
      <c r="G2133" s="48" t="s">
        <v>347</v>
      </c>
      <c r="H2133" s="69">
        <f t="shared" si="33"/>
        <v>43952</v>
      </c>
    </row>
    <row r="2134" spans="1:8" x14ac:dyDescent="0.25">
      <c r="A2134" s="68">
        <v>43974</v>
      </c>
      <c r="B2134" s="48">
        <v>5</v>
      </c>
      <c r="C2134" s="48">
        <v>0</v>
      </c>
      <c r="D2134" s="48">
        <v>5</v>
      </c>
      <c r="E2134" s="48" t="s">
        <v>112</v>
      </c>
      <c r="F2134" s="48" t="s">
        <v>72</v>
      </c>
      <c r="G2134" s="48" t="s">
        <v>335</v>
      </c>
      <c r="H2134" s="69">
        <f t="shared" si="33"/>
        <v>43952</v>
      </c>
    </row>
    <row r="2135" spans="1:8" x14ac:dyDescent="0.25">
      <c r="A2135" s="68">
        <v>43974</v>
      </c>
      <c r="B2135" s="48">
        <v>3</v>
      </c>
      <c r="C2135" s="48">
        <v>0</v>
      </c>
      <c r="D2135" s="48">
        <v>3</v>
      </c>
      <c r="E2135" s="48" t="s">
        <v>112</v>
      </c>
      <c r="F2135" s="48" t="s">
        <v>72</v>
      </c>
      <c r="G2135" s="48" t="s">
        <v>342</v>
      </c>
      <c r="H2135" s="69">
        <f t="shared" si="33"/>
        <v>43952</v>
      </c>
    </row>
    <row r="2136" spans="1:8" x14ac:dyDescent="0.25">
      <c r="A2136" s="68">
        <v>43974</v>
      </c>
      <c r="B2136" s="48">
        <v>4</v>
      </c>
      <c r="C2136" s="48">
        <v>0</v>
      </c>
      <c r="D2136" s="48">
        <v>0</v>
      </c>
      <c r="E2136" s="48" t="s">
        <v>112</v>
      </c>
      <c r="F2136" s="48" t="s">
        <v>72</v>
      </c>
      <c r="G2136" s="48" t="s">
        <v>353</v>
      </c>
      <c r="H2136" s="69">
        <f t="shared" si="33"/>
        <v>43952</v>
      </c>
    </row>
    <row r="2137" spans="1:8" x14ac:dyDescent="0.25">
      <c r="A2137" s="68">
        <v>43974</v>
      </c>
      <c r="B2137" s="48">
        <v>4</v>
      </c>
      <c r="C2137" s="48">
        <v>0</v>
      </c>
      <c r="D2137" s="48">
        <v>0</v>
      </c>
      <c r="E2137" s="48" t="s">
        <v>112</v>
      </c>
      <c r="F2137" s="48" t="s">
        <v>72</v>
      </c>
      <c r="G2137" s="48" t="s">
        <v>101</v>
      </c>
      <c r="H2137" s="69">
        <f t="shared" si="33"/>
        <v>43952</v>
      </c>
    </row>
    <row r="2138" spans="1:8" x14ac:dyDescent="0.25">
      <c r="A2138" s="68">
        <v>43974</v>
      </c>
      <c r="B2138" s="48">
        <v>0</v>
      </c>
      <c r="C2138" s="48">
        <v>0</v>
      </c>
      <c r="D2138" s="48">
        <v>0</v>
      </c>
      <c r="E2138" s="48" t="s">
        <v>112</v>
      </c>
      <c r="F2138" s="48" t="s">
        <v>72</v>
      </c>
      <c r="G2138" s="48" t="s">
        <v>387</v>
      </c>
      <c r="H2138" s="69">
        <f t="shared" si="33"/>
        <v>43952</v>
      </c>
    </row>
    <row r="2139" spans="1:8" x14ac:dyDescent="0.25">
      <c r="A2139" s="68">
        <v>43974</v>
      </c>
      <c r="B2139" s="48">
        <v>0</v>
      </c>
      <c r="C2139" s="48">
        <v>0</v>
      </c>
      <c r="D2139" s="48">
        <v>0</v>
      </c>
      <c r="E2139" s="48" t="s">
        <v>112</v>
      </c>
      <c r="F2139" s="48" t="s">
        <v>72</v>
      </c>
      <c r="G2139" s="48" t="s">
        <v>406</v>
      </c>
      <c r="H2139" s="69">
        <f t="shared" si="33"/>
        <v>43952</v>
      </c>
    </row>
    <row r="2140" spans="1:8" x14ac:dyDescent="0.25">
      <c r="A2140" s="68">
        <v>43974</v>
      </c>
      <c r="B2140" s="48">
        <v>11</v>
      </c>
      <c r="C2140" s="48">
        <v>0</v>
      </c>
      <c r="D2140" s="48">
        <v>5</v>
      </c>
      <c r="E2140" s="48" t="s">
        <v>112</v>
      </c>
      <c r="F2140" s="48" t="s">
        <v>72</v>
      </c>
      <c r="G2140" s="48" t="s">
        <v>344</v>
      </c>
      <c r="H2140" s="69">
        <f t="shared" si="33"/>
        <v>43952</v>
      </c>
    </row>
    <row r="2141" spans="1:8" x14ac:dyDescent="0.25">
      <c r="A2141" s="68">
        <v>43974</v>
      </c>
      <c r="B2141" s="48">
        <v>0</v>
      </c>
      <c r="C2141" s="48">
        <v>0</v>
      </c>
      <c r="D2141" s="48">
        <v>0</v>
      </c>
      <c r="E2141" s="48" t="s">
        <v>112</v>
      </c>
      <c r="F2141" s="48" t="s">
        <v>72</v>
      </c>
      <c r="G2141" s="48" t="s">
        <v>354</v>
      </c>
      <c r="H2141" s="69">
        <f t="shared" si="33"/>
        <v>43952</v>
      </c>
    </row>
    <row r="2142" spans="1:8" x14ac:dyDescent="0.25">
      <c r="A2142" s="68">
        <v>43974</v>
      </c>
      <c r="B2142" s="48">
        <v>18</v>
      </c>
      <c r="C2142" s="48">
        <v>1</v>
      </c>
      <c r="D2142" s="48">
        <v>2</v>
      </c>
      <c r="E2142" s="48" t="s">
        <v>112</v>
      </c>
      <c r="F2142" s="48" t="s">
        <v>72</v>
      </c>
      <c r="G2142" s="48" t="s">
        <v>337</v>
      </c>
      <c r="H2142" s="69">
        <f t="shared" si="33"/>
        <v>43952</v>
      </c>
    </row>
    <row r="2143" spans="1:8" x14ac:dyDescent="0.25">
      <c r="A2143" s="68">
        <v>43974</v>
      </c>
      <c r="B2143" s="48">
        <v>3</v>
      </c>
      <c r="C2143" s="48">
        <v>1</v>
      </c>
      <c r="D2143" s="48">
        <v>5</v>
      </c>
      <c r="E2143" s="48" t="s">
        <v>112</v>
      </c>
      <c r="F2143" s="48" t="s">
        <v>72</v>
      </c>
      <c r="G2143" s="48" t="s">
        <v>356</v>
      </c>
      <c r="H2143" s="69">
        <f t="shared" si="33"/>
        <v>43952</v>
      </c>
    </row>
    <row r="2144" spans="1:8" x14ac:dyDescent="0.25">
      <c r="A2144" s="68">
        <v>43974</v>
      </c>
      <c r="B2144" s="48">
        <v>0</v>
      </c>
      <c r="C2144" s="48">
        <v>0</v>
      </c>
      <c r="D2144" s="48">
        <v>0</v>
      </c>
      <c r="E2144" s="48" t="s">
        <v>112</v>
      </c>
      <c r="F2144" s="48" t="s">
        <v>72</v>
      </c>
      <c r="G2144" s="48" t="s">
        <v>429</v>
      </c>
      <c r="H2144" s="69">
        <f t="shared" si="33"/>
        <v>43952</v>
      </c>
    </row>
    <row r="2145" spans="1:8" x14ac:dyDescent="0.25">
      <c r="A2145" s="68">
        <v>43974</v>
      </c>
      <c r="B2145" s="48">
        <v>0</v>
      </c>
      <c r="C2145" s="48">
        <v>0</v>
      </c>
      <c r="D2145" s="48">
        <v>0</v>
      </c>
      <c r="E2145" s="48" t="s">
        <v>112</v>
      </c>
      <c r="F2145" s="48" t="s">
        <v>72</v>
      </c>
      <c r="G2145" s="48" t="s">
        <v>431</v>
      </c>
      <c r="H2145" s="69">
        <f t="shared" si="33"/>
        <v>43952</v>
      </c>
    </row>
    <row r="2146" spans="1:8" x14ac:dyDescent="0.25">
      <c r="A2146" s="68">
        <v>43974</v>
      </c>
      <c r="B2146" s="48">
        <v>0</v>
      </c>
      <c r="C2146" s="48">
        <v>0</v>
      </c>
      <c r="D2146" s="48">
        <v>0</v>
      </c>
      <c r="E2146" s="48" t="s">
        <v>112</v>
      </c>
      <c r="F2146" s="48" t="s">
        <v>72</v>
      </c>
      <c r="G2146" s="48" t="s">
        <v>426</v>
      </c>
      <c r="H2146" s="69">
        <f t="shared" si="33"/>
        <v>43952</v>
      </c>
    </row>
    <row r="2147" spans="1:8" x14ac:dyDescent="0.25">
      <c r="A2147" s="68">
        <v>43974</v>
      </c>
      <c r="B2147" s="48">
        <v>0</v>
      </c>
      <c r="C2147" s="48">
        <v>0</v>
      </c>
      <c r="D2147" s="48">
        <v>0</v>
      </c>
      <c r="E2147" s="48" t="s">
        <v>112</v>
      </c>
      <c r="F2147" s="48" t="s">
        <v>72</v>
      </c>
      <c r="G2147" s="48" t="s">
        <v>436</v>
      </c>
      <c r="H2147" s="69">
        <f t="shared" si="33"/>
        <v>43952</v>
      </c>
    </row>
    <row r="2148" spans="1:8" x14ac:dyDescent="0.25">
      <c r="A2148" s="68">
        <v>43974</v>
      </c>
      <c r="B2148" s="48">
        <v>1</v>
      </c>
      <c r="C2148" s="48">
        <v>0</v>
      </c>
      <c r="D2148" s="48">
        <v>0</v>
      </c>
      <c r="E2148" s="48" t="s">
        <v>112</v>
      </c>
      <c r="F2148" s="48" t="s">
        <v>72</v>
      </c>
      <c r="G2148" s="48" t="s">
        <v>357</v>
      </c>
      <c r="H2148" s="69">
        <f t="shared" si="33"/>
        <v>43952</v>
      </c>
    </row>
    <row r="2149" spans="1:8" x14ac:dyDescent="0.25">
      <c r="A2149" s="68">
        <v>43974</v>
      </c>
      <c r="B2149" s="48">
        <v>2</v>
      </c>
      <c r="C2149" s="48">
        <v>1</v>
      </c>
      <c r="D2149" s="48">
        <v>1</v>
      </c>
      <c r="E2149" s="48" t="s">
        <v>112</v>
      </c>
      <c r="F2149" s="48" t="s">
        <v>72</v>
      </c>
      <c r="G2149" s="48" t="s">
        <v>358</v>
      </c>
      <c r="H2149" s="69">
        <f t="shared" si="33"/>
        <v>43952</v>
      </c>
    </row>
    <row r="2150" spans="1:8" x14ac:dyDescent="0.25">
      <c r="A2150" s="68">
        <v>43974</v>
      </c>
      <c r="B2150" s="48">
        <v>1</v>
      </c>
      <c r="C2150" s="48">
        <v>0</v>
      </c>
      <c r="D2150" s="48">
        <v>0</v>
      </c>
      <c r="E2150" s="48" t="s">
        <v>112</v>
      </c>
      <c r="F2150" s="48" t="s">
        <v>72</v>
      </c>
      <c r="G2150" s="48" t="s">
        <v>399</v>
      </c>
      <c r="H2150" s="69">
        <f t="shared" si="33"/>
        <v>43952</v>
      </c>
    </row>
    <row r="2151" spans="1:8" x14ac:dyDescent="0.25">
      <c r="A2151" s="68">
        <v>43974</v>
      </c>
      <c r="B2151" s="48">
        <v>2</v>
      </c>
      <c r="C2151" s="48">
        <v>0</v>
      </c>
      <c r="D2151" s="48">
        <v>0</v>
      </c>
      <c r="E2151" s="48" t="s">
        <v>112</v>
      </c>
      <c r="F2151" s="48" t="s">
        <v>72</v>
      </c>
      <c r="G2151" s="48" t="s">
        <v>352</v>
      </c>
      <c r="H2151" s="69">
        <f t="shared" si="33"/>
        <v>43952</v>
      </c>
    </row>
    <row r="2152" spans="1:8" x14ac:dyDescent="0.25">
      <c r="A2152" s="68">
        <v>43974</v>
      </c>
      <c r="B2152" s="48">
        <v>0</v>
      </c>
      <c r="C2152" s="48">
        <v>0</v>
      </c>
      <c r="D2152" s="48">
        <v>0</v>
      </c>
      <c r="E2152" s="48" t="s">
        <v>112</v>
      </c>
      <c r="F2152" s="48" t="s">
        <v>72</v>
      </c>
      <c r="G2152" s="48" t="s">
        <v>359</v>
      </c>
      <c r="H2152" s="69">
        <f t="shared" si="33"/>
        <v>43952</v>
      </c>
    </row>
    <row r="2153" spans="1:8" x14ac:dyDescent="0.25">
      <c r="A2153" s="68">
        <v>43974</v>
      </c>
      <c r="B2153" s="48">
        <v>0</v>
      </c>
      <c r="C2153" s="48">
        <v>0</v>
      </c>
      <c r="D2153" s="48">
        <v>0</v>
      </c>
      <c r="E2153" s="48" t="s">
        <v>112</v>
      </c>
      <c r="F2153" s="48" t="s">
        <v>72</v>
      </c>
      <c r="G2153" s="48" t="s">
        <v>410</v>
      </c>
      <c r="H2153" s="69">
        <f t="shared" si="33"/>
        <v>43952</v>
      </c>
    </row>
    <row r="2154" spans="1:8" x14ac:dyDescent="0.25">
      <c r="A2154" s="68">
        <v>43974</v>
      </c>
      <c r="B2154" s="48">
        <v>0</v>
      </c>
      <c r="C2154" s="48">
        <v>0</v>
      </c>
      <c r="D2154" s="48">
        <v>1</v>
      </c>
      <c r="E2154" s="48" t="s">
        <v>112</v>
      </c>
      <c r="F2154" s="48" t="s">
        <v>72</v>
      </c>
      <c r="G2154" s="48" t="s">
        <v>365</v>
      </c>
      <c r="H2154" s="69">
        <f t="shared" si="33"/>
        <v>43952</v>
      </c>
    </row>
    <row r="2155" spans="1:8" x14ac:dyDescent="0.25">
      <c r="A2155" s="68">
        <v>43974</v>
      </c>
      <c r="B2155" s="48">
        <v>0</v>
      </c>
      <c r="C2155" s="48">
        <v>0</v>
      </c>
      <c r="D2155" s="48">
        <v>0</v>
      </c>
      <c r="E2155" s="48" t="s">
        <v>112</v>
      </c>
      <c r="F2155" s="48" t="s">
        <v>72</v>
      </c>
      <c r="G2155" s="48" t="s">
        <v>408</v>
      </c>
      <c r="H2155" s="69">
        <f t="shared" si="33"/>
        <v>43952</v>
      </c>
    </row>
    <row r="2156" spans="1:8" x14ac:dyDescent="0.25">
      <c r="A2156" s="68">
        <v>43974</v>
      </c>
      <c r="B2156" s="48">
        <v>0</v>
      </c>
      <c r="C2156" s="48">
        <v>0</v>
      </c>
      <c r="D2156" s="48">
        <v>2</v>
      </c>
      <c r="E2156" s="48" t="s">
        <v>112</v>
      </c>
      <c r="F2156" s="48" t="s">
        <v>72</v>
      </c>
      <c r="G2156" s="48" t="s">
        <v>411</v>
      </c>
      <c r="H2156" s="69">
        <f t="shared" si="33"/>
        <v>43952</v>
      </c>
    </row>
    <row r="2157" spans="1:8" x14ac:dyDescent="0.25">
      <c r="A2157" s="68">
        <v>43974</v>
      </c>
      <c r="B2157" s="48">
        <v>0</v>
      </c>
      <c r="C2157" s="48">
        <v>0</v>
      </c>
      <c r="D2157" s="48">
        <v>7</v>
      </c>
      <c r="E2157" s="48" t="s">
        <v>112</v>
      </c>
      <c r="F2157" s="48" t="s">
        <v>72</v>
      </c>
      <c r="G2157" s="48" t="s">
        <v>351</v>
      </c>
      <c r="H2157" s="69">
        <f t="shared" si="33"/>
        <v>43952</v>
      </c>
    </row>
    <row r="2158" spans="1:8" x14ac:dyDescent="0.25">
      <c r="A2158" s="68">
        <v>43974</v>
      </c>
      <c r="B2158" s="48">
        <v>0</v>
      </c>
      <c r="C2158" s="48">
        <v>0</v>
      </c>
      <c r="D2158" s="48">
        <v>0</v>
      </c>
      <c r="E2158" s="48" t="s">
        <v>112</v>
      </c>
      <c r="F2158" s="48" t="s">
        <v>72</v>
      </c>
      <c r="G2158" s="48" t="s">
        <v>417</v>
      </c>
      <c r="H2158" s="69">
        <f t="shared" si="33"/>
        <v>43952</v>
      </c>
    </row>
    <row r="2159" spans="1:8" x14ac:dyDescent="0.25">
      <c r="A2159" s="68">
        <v>43974</v>
      </c>
      <c r="B2159" s="48">
        <v>0</v>
      </c>
      <c r="C2159" s="48">
        <v>0</v>
      </c>
      <c r="D2159" s="48">
        <v>1</v>
      </c>
      <c r="E2159" s="48" t="s">
        <v>112</v>
      </c>
      <c r="F2159" s="48" t="s">
        <v>72</v>
      </c>
      <c r="G2159" s="48" t="s">
        <v>420</v>
      </c>
      <c r="H2159" s="69">
        <f t="shared" si="33"/>
        <v>43952</v>
      </c>
    </row>
    <row r="2160" spans="1:8" x14ac:dyDescent="0.25">
      <c r="A2160" s="68">
        <v>43974</v>
      </c>
      <c r="B2160" s="48">
        <v>669</v>
      </c>
      <c r="C2160" s="48">
        <v>12</v>
      </c>
      <c r="D2160" s="48">
        <v>145</v>
      </c>
      <c r="E2160" s="48" t="s">
        <v>112</v>
      </c>
      <c r="F2160" s="48" t="s">
        <v>70</v>
      </c>
      <c r="G2160" s="48" t="s">
        <v>91</v>
      </c>
      <c r="H2160" s="69">
        <f t="shared" si="33"/>
        <v>43952</v>
      </c>
    </row>
    <row r="2161" spans="1:8" x14ac:dyDescent="0.25">
      <c r="A2161" s="68">
        <v>43974</v>
      </c>
      <c r="B2161" s="48">
        <v>15</v>
      </c>
      <c r="C2161" s="48">
        <v>1</v>
      </c>
      <c r="D2161" s="48">
        <v>2</v>
      </c>
      <c r="E2161" s="48" t="s">
        <v>112</v>
      </c>
      <c r="F2161" s="48" t="s">
        <v>70</v>
      </c>
      <c r="G2161" s="48" t="s">
        <v>99</v>
      </c>
      <c r="H2161" s="69">
        <f t="shared" si="33"/>
        <v>43952</v>
      </c>
    </row>
    <row r="2162" spans="1:8" x14ac:dyDescent="0.25">
      <c r="A2162" s="68">
        <v>43974</v>
      </c>
      <c r="B2162" s="48">
        <v>1</v>
      </c>
      <c r="C2162" s="48">
        <v>0</v>
      </c>
      <c r="D2162" s="48">
        <v>0</v>
      </c>
      <c r="E2162" s="48" t="s">
        <v>112</v>
      </c>
      <c r="F2162" s="48" t="s">
        <v>70</v>
      </c>
      <c r="G2162" s="48" t="s">
        <v>363</v>
      </c>
      <c r="H2162" s="69">
        <f t="shared" si="33"/>
        <v>43952</v>
      </c>
    </row>
    <row r="2163" spans="1:8" x14ac:dyDescent="0.25">
      <c r="A2163" s="68">
        <v>43974</v>
      </c>
      <c r="B2163" s="48">
        <v>1</v>
      </c>
      <c r="C2163" s="48">
        <v>0</v>
      </c>
      <c r="D2163" s="48">
        <v>0</v>
      </c>
      <c r="E2163" s="48" t="s">
        <v>112</v>
      </c>
      <c r="F2163" s="48" t="s">
        <v>70</v>
      </c>
      <c r="G2163" s="48" t="s">
        <v>377</v>
      </c>
      <c r="H2163" s="69">
        <f t="shared" si="33"/>
        <v>43952</v>
      </c>
    </row>
    <row r="2164" spans="1:8" x14ac:dyDescent="0.25">
      <c r="A2164" s="68">
        <v>43974</v>
      </c>
      <c r="B2164" s="48">
        <v>0</v>
      </c>
      <c r="C2164" s="48">
        <v>0</v>
      </c>
      <c r="D2164" s="48">
        <v>6</v>
      </c>
      <c r="E2164" s="48" t="s">
        <v>112</v>
      </c>
      <c r="F2164" s="48" t="s">
        <v>70</v>
      </c>
      <c r="G2164" s="48" t="s">
        <v>349</v>
      </c>
      <c r="H2164" s="69">
        <f t="shared" si="33"/>
        <v>43952</v>
      </c>
    </row>
    <row r="2165" spans="1:8" x14ac:dyDescent="0.25">
      <c r="A2165" s="68">
        <v>43974</v>
      </c>
      <c r="B2165" s="48">
        <v>0</v>
      </c>
      <c r="C2165" s="48">
        <v>0</v>
      </c>
      <c r="D2165" s="48">
        <v>4</v>
      </c>
      <c r="E2165" s="48" t="s">
        <v>112</v>
      </c>
      <c r="F2165" s="48" t="s">
        <v>70</v>
      </c>
      <c r="G2165" s="48" t="s">
        <v>385</v>
      </c>
      <c r="H2165" s="69">
        <f t="shared" si="33"/>
        <v>43952</v>
      </c>
    </row>
    <row r="2166" spans="1:8" x14ac:dyDescent="0.25">
      <c r="A2166" s="68">
        <v>43974</v>
      </c>
      <c r="B2166" s="48">
        <v>0</v>
      </c>
      <c r="C2166" s="48">
        <v>0</v>
      </c>
      <c r="D2166" s="48">
        <v>0</v>
      </c>
      <c r="E2166" s="48" t="s">
        <v>112</v>
      </c>
      <c r="F2166" s="48" t="s">
        <v>70</v>
      </c>
      <c r="G2166" s="48" t="s">
        <v>388</v>
      </c>
      <c r="H2166" s="69">
        <f t="shared" si="33"/>
        <v>43952</v>
      </c>
    </row>
    <row r="2167" spans="1:8" x14ac:dyDescent="0.25">
      <c r="A2167" s="68">
        <v>43974</v>
      </c>
      <c r="B2167" s="48">
        <v>1</v>
      </c>
      <c r="C2167" s="48">
        <v>0</v>
      </c>
      <c r="D2167" s="48">
        <v>0</v>
      </c>
      <c r="E2167" s="48" t="s">
        <v>112</v>
      </c>
      <c r="F2167" s="48" t="s">
        <v>70</v>
      </c>
      <c r="G2167" s="48" t="s">
        <v>381</v>
      </c>
      <c r="H2167" s="69">
        <f t="shared" si="33"/>
        <v>43952</v>
      </c>
    </row>
    <row r="2168" spans="1:8" x14ac:dyDescent="0.25">
      <c r="A2168" s="68">
        <v>43974</v>
      </c>
      <c r="B2168" s="48">
        <v>0</v>
      </c>
      <c r="C2168" s="48">
        <v>0</v>
      </c>
      <c r="D2168" s="48">
        <v>5</v>
      </c>
      <c r="E2168" s="48" t="s">
        <v>112</v>
      </c>
      <c r="F2168" s="48" t="s">
        <v>70</v>
      </c>
      <c r="G2168" s="48" t="s">
        <v>374</v>
      </c>
      <c r="H2168" s="69">
        <f t="shared" si="33"/>
        <v>43952</v>
      </c>
    </row>
    <row r="2169" spans="1:8" x14ac:dyDescent="0.25">
      <c r="A2169" s="68">
        <v>43974</v>
      </c>
      <c r="B2169" s="48">
        <v>0</v>
      </c>
      <c r="C2169" s="48">
        <v>0</v>
      </c>
      <c r="D2169" s="48">
        <v>0</v>
      </c>
      <c r="E2169" s="48" t="s">
        <v>112</v>
      </c>
      <c r="F2169" s="48" t="s">
        <v>70</v>
      </c>
      <c r="G2169" s="48" t="s">
        <v>386</v>
      </c>
      <c r="H2169" s="69">
        <f t="shared" si="33"/>
        <v>43952</v>
      </c>
    </row>
    <row r="2170" spans="1:8" x14ac:dyDescent="0.25">
      <c r="A2170" s="68">
        <v>43974</v>
      </c>
      <c r="B2170" s="48">
        <v>0</v>
      </c>
      <c r="C2170" s="48">
        <v>0</v>
      </c>
      <c r="D2170" s="48">
        <v>1</v>
      </c>
      <c r="E2170" s="48" t="s">
        <v>112</v>
      </c>
      <c r="F2170" s="48" t="s">
        <v>70</v>
      </c>
      <c r="G2170" s="48" t="s">
        <v>415</v>
      </c>
      <c r="H2170" s="69">
        <f t="shared" si="33"/>
        <v>43952</v>
      </c>
    </row>
    <row r="2171" spans="1:8" x14ac:dyDescent="0.25">
      <c r="A2171" s="68">
        <v>43974</v>
      </c>
      <c r="B2171" s="48">
        <v>5</v>
      </c>
      <c r="C2171" s="48">
        <v>0</v>
      </c>
      <c r="D2171" s="48">
        <v>0</v>
      </c>
      <c r="E2171" s="48" t="s">
        <v>112</v>
      </c>
      <c r="F2171" s="48" t="s">
        <v>70</v>
      </c>
      <c r="G2171" s="48" t="s">
        <v>105</v>
      </c>
      <c r="H2171" s="69">
        <f t="shared" si="33"/>
        <v>43952</v>
      </c>
    </row>
    <row r="2172" spans="1:8" x14ac:dyDescent="0.25">
      <c r="A2172" s="68">
        <v>43974</v>
      </c>
      <c r="B2172" s="48">
        <v>17</v>
      </c>
      <c r="C2172" s="48">
        <v>0</v>
      </c>
      <c r="D2172" s="48">
        <v>7</v>
      </c>
      <c r="E2172" s="48" t="s">
        <v>112</v>
      </c>
      <c r="F2172" s="48" t="s">
        <v>70</v>
      </c>
      <c r="G2172" s="48" t="s">
        <v>98</v>
      </c>
      <c r="H2172" s="69">
        <f t="shared" si="33"/>
        <v>43952</v>
      </c>
    </row>
    <row r="2173" spans="1:8" x14ac:dyDescent="0.25">
      <c r="A2173" s="68">
        <v>43974</v>
      </c>
      <c r="B2173" s="48">
        <v>15</v>
      </c>
      <c r="C2173" s="48">
        <v>0</v>
      </c>
      <c r="D2173" s="48">
        <v>0</v>
      </c>
      <c r="E2173" s="48" t="s">
        <v>112</v>
      </c>
      <c r="F2173" s="48" t="s">
        <v>70</v>
      </c>
      <c r="G2173" s="48" t="s">
        <v>336</v>
      </c>
      <c r="H2173" s="69">
        <f t="shared" si="33"/>
        <v>43952</v>
      </c>
    </row>
    <row r="2174" spans="1:8" x14ac:dyDescent="0.25">
      <c r="A2174" s="68">
        <v>43974</v>
      </c>
      <c r="B2174" s="48">
        <v>20</v>
      </c>
      <c r="C2174" s="48">
        <v>1</v>
      </c>
      <c r="D2174" s="48">
        <v>3</v>
      </c>
      <c r="E2174" s="48" t="s">
        <v>112</v>
      </c>
      <c r="F2174" s="48" t="s">
        <v>70</v>
      </c>
      <c r="G2174" s="48" t="s">
        <v>104</v>
      </c>
      <c r="H2174" s="69">
        <f t="shared" si="33"/>
        <v>43952</v>
      </c>
    </row>
    <row r="2175" spans="1:8" x14ac:dyDescent="0.25">
      <c r="A2175" s="68">
        <v>43974</v>
      </c>
      <c r="B2175" s="48">
        <v>0</v>
      </c>
      <c r="C2175" s="48">
        <v>0</v>
      </c>
      <c r="D2175" s="48">
        <v>1</v>
      </c>
      <c r="E2175" s="48" t="s">
        <v>112</v>
      </c>
      <c r="F2175" s="48" t="s">
        <v>70</v>
      </c>
      <c r="G2175" s="48" t="s">
        <v>379</v>
      </c>
      <c r="H2175" s="69">
        <f t="shared" si="33"/>
        <v>43952</v>
      </c>
    </row>
    <row r="2176" spans="1:8" x14ac:dyDescent="0.25">
      <c r="A2176" s="68">
        <v>43974</v>
      </c>
      <c r="B2176" s="48">
        <v>3</v>
      </c>
      <c r="C2176" s="48">
        <v>0</v>
      </c>
      <c r="D2176" s="48">
        <v>5</v>
      </c>
      <c r="E2176" s="48" t="s">
        <v>112</v>
      </c>
      <c r="F2176" s="48" t="s">
        <v>70</v>
      </c>
      <c r="G2176" s="48" t="s">
        <v>360</v>
      </c>
      <c r="H2176" s="69">
        <f t="shared" si="33"/>
        <v>43952</v>
      </c>
    </row>
    <row r="2177" spans="1:8" x14ac:dyDescent="0.25">
      <c r="A2177" s="68">
        <v>43974</v>
      </c>
      <c r="B2177" s="48">
        <v>0</v>
      </c>
      <c r="C2177" s="48">
        <v>0</v>
      </c>
      <c r="D2177" s="48">
        <v>8</v>
      </c>
      <c r="E2177" s="48" t="s">
        <v>112</v>
      </c>
      <c r="F2177" s="48" t="s">
        <v>70</v>
      </c>
      <c r="G2177" s="48" t="s">
        <v>407</v>
      </c>
      <c r="H2177" s="69">
        <f t="shared" si="33"/>
        <v>43952</v>
      </c>
    </row>
    <row r="2178" spans="1:8" x14ac:dyDescent="0.25">
      <c r="A2178" s="68">
        <v>43974</v>
      </c>
      <c r="B2178" s="48">
        <v>0</v>
      </c>
      <c r="C2178" s="48">
        <v>0</v>
      </c>
      <c r="D2178" s="48">
        <v>2</v>
      </c>
      <c r="E2178" s="48" t="s">
        <v>112</v>
      </c>
      <c r="F2178" s="48" t="s">
        <v>70</v>
      </c>
      <c r="G2178" s="48" t="s">
        <v>384</v>
      </c>
      <c r="H2178" s="69">
        <f t="shared" ref="H2178:H2241" si="34">DATE(YEAR(A2178),MONTH(A2178),1)</f>
        <v>43952</v>
      </c>
    </row>
    <row r="2179" spans="1:8" x14ac:dyDescent="0.25">
      <c r="A2179" s="68">
        <v>43974</v>
      </c>
      <c r="B2179" s="48">
        <v>2</v>
      </c>
      <c r="C2179" s="48">
        <v>0</v>
      </c>
      <c r="D2179" s="48">
        <v>1</v>
      </c>
      <c r="E2179" s="48" t="s">
        <v>112</v>
      </c>
      <c r="F2179" s="48" t="s">
        <v>70</v>
      </c>
      <c r="G2179" s="48" t="s">
        <v>383</v>
      </c>
      <c r="H2179" s="69">
        <f t="shared" si="34"/>
        <v>43952</v>
      </c>
    </row>
    <row r="2180" spans="1:8" x14ac:dyDescent="0.25">
      <c r="A2180" s="68">
        <v>43974</v>
      </c>
      <c r="B2180" s="48">
        <v>0</v>
      </c>
      <c r="C2180" s="48">
        <v>0</v>
      </c>
      <c r="D2180" s="48">
        <v>0</v>
      </c>
      <c r="E2180" s="48" t="s">
        <v>112</v>
      </c>
      <c r="F2180" s="48" t="s">
        <v>70</v>
      </c>
      <c r="G2180" s="48" t="s">
        <v>414</v>
      </c>
      <c r="H2180" s="69">
        <f t="shared" si="34"/>
        <v>43952</v>
      </c>
    </row>
    <row r="2181" spans="1:8" x14ac:dyDescent="0.25">
      <c r="A2181" s="68">
        <v>43974</v>
      </c>
      <c r="B2181" s="48">
        <v>1</v>
      </c>
      <c r="C2181" s="48">
        <v>0</v>
      </c>
      <c r="D2181" s="48">
        <v>0</v>
      </c>
      <c r="E2181" s="48" t="s">
        <v>112</v>
      </c>
      <c r="F2181" s="48" t="s">
        <v>70</v>
      </c>
      <c r="G2181" s="48" t="s">
        <v>423</v>
      </c>
      <c r="H2181" s="69">
        <f t="shared" si="34"/>
        <v>43952</v>
      </c>
    </row>
    <row r="2182" spans="1:8" x14ac:dyDescent="0.25">
      <c r="A2182" s="68">
        <v>43974</v>
      </c>
      <c r="B2182" s="48">
        <v>8</v>
      </c>
      <c r="C2182" s="48">
        <v>0</v>
      </c>
      <c r="D2182" s="48">
        <v>0</v>
      </c>
      <c r="E2182" s="48" t="s">
        <v>112</v>
      </c>
      <c r="F2182" s="48" t="s">
        <v>70</v>
      </c>
      <c r="G2182" s="48" t="s">
        <v>345</v>
      </c>
      <c r="H2182" s="69">
        <f t="shared" si="34"/>
        <v>43952</v>
      </c>
    </row>
    <row r="2183" spans="1:8" x14ac:dyDescent="0.25">
      <c r="A2183" s="68">
        <v>43974</v>
      </c>
      <c r="B2183" s="48">
        <v>2</v>
      </c>
      <c r="C2183" s="48">
        <v>0</v>
      </c>
      <c r="D2183" s="48">
        <v>12</v>
      </c>
      <c r="E2183" s="48" t="s">
        <v>112</v>
      </c>
      <c r="F2183" s="48" t="s">
        <v>70</v>
      </c>
      <c r="G2183" s="48" t="s">
        <v>367</v>
      </c>
      <c r="H2183" s="69">
        <f t="shared" si="34"/>
        <v>43952</v>
      </c>
    </row>
    <row r="2184" spans="1:8" x14ac:dyDescent="0.25">
      <c r="A2184" s="68">
        <v>43974</v>
      </c>
      <c r="B2184" s="48">
        <v>2</v>
      </c>
      <c r="C2184" s="48">
        <v>0</v>
      </c>
      <c r="D2184" s="48">
        <v>0</v>
      </c>
      <c r="E2184" s="48" t="s">
        <v>112</v>
      </c>
      <c r="F2184" s="48" t="s">
        <v>70</v>
      </c>
      <c r="G2184" s="48" t="s">
        <v>380</v>
      </c>
      <c r="H2184" s="69">
        <f t="shared" si="34"/>
        <v>43952</v>
      </c>
    </row>
    <row r="2185" spans="1:8" x14ac:dyDescent="0.25">
      <c r="A2185" s="68">
        <v>43974</v>
      </c>
      <c r="B2185" s="48">
        <v>26</v>
      </c>
      <c r="C2185" s="48">
        <v>0</v>
      </c>
      <c r="D2185" s="48">
        <v>3</v>
      </c>
      <c r="E2185" s="48" t="s">
        <v>112</v>
      </c>
      <c r="F2185" s="48" t="s">
        <v>76</v>
      </c>
      <c r="G2185" s="48" t="s">
        <v>339</v>
      </c>
      <c r="H2185" s="69">
        <f t="shared" si="34"/>
        <v>43952</v>
      </c>
    </row>
    <row r="2186" spans="1:8" x14ac:dyDescent="0.25">
      <c r="A2186" s="68">
        <v>43974</v>
      </c>
      <c r="B2186" s="48">
        <v>108</v>
      </c>
      <c r="C2186" s="48">
        <v>0</v>
      </c>
      <c r="D2186" s="48">
        <v>98</v>
      </c>
      <c r="E2186" s="48" t="s">
        <v>112</v>
      </c>
      <c r="F2186" s="48" t="s">
        <v>73</v>
      </c>
      <c r="G2186" s="48" t="s">
        <v>93</v>
      </c>
      <c r="H2186" s="69">
        <f t="shared" si="34"/>
        <v>43952</v>
      </c>
    </row>
    <row r="2187" spans="1:8" x14ac:dyDescent="0.25">
      <c r="A2187" s="68">
        <v>43974</v>
      </c>
      <c r="B2187" s="48">
        <v>827</v>
      </c>
      <c r="C2187" s="48">
        <v>8</v>
      </c>
      <c r="D2187" s="48">
        <v>144</v>
      </c>
      <c r="E2187" s="48" t="s">
        <v>112</v>
      </c>
      <c r="F2187" s="48" t="s">
        <v>71</v>
      </c>
      <c r="G2187" s="48" t="s">
        <v>92</v>
      </c>
      <c r="H2187" s="69">
        <f t="shared" si="34"/>
        <v>43952</v>
      </c>
    </row>
    <row r="2188" spans="1:8" x14ac:dyDescent="0.25">
      <c r="A2188" s="68">
        <v>43975</v>
      </c>
      <c r="B2188" s="48">
        <v>49</v>
      </c>
      <c r="C2188" s="48">
        <v>2</v>
      </c>
      <c r="D2188" s="48">
        <v>0</v>
      </c>
      <c r="E2188" s="48" t="s">
        <v>112</v>
      </c>
      <c r="F2188" s="48" t="s">
        <v>74</v>
      </c>
      <c r="G2188" s="48" t="s">
        <v>95</v>
      </c>
      <c r="H2188" s="69">
        <f t="shared" si="34"/>
        <v>43952</v>
      </c>
    </row>
    <row r="2189" spans="1:8" x14ac:dyDescent="0.25">
      <c r="A2189" s="68">
        <v>43975</v>
      </c>
      <c r="B2189" s="48">
        <v>0</v>
      </c>
      <c r="C2189" s="48">
        <v>3</v>
      </c>
      <c r="D2189" s="48">
        <v>1</v>
      </c>
      <c r="E2189" s="48" t="s">
        <v>112</v>
      </c>
      <c r="F2189" s="48" t="s">
        <v>75</v>
      </c>
      <c r="G2189" s="48" t="s">
        <v>103</v>
      </c>
      <c r="H2189" s="69">
        <f t="shared" si="34"/>
        <v>43952</v>
      </c>
    </row>
    <row r="2190" spans="1:8" x14ac:dyDescent="0.25">
      <c r="A2190" s="68">
        <v>43975</v>
      </c>
      <c r="B2190" s="48">
        <v>1</v>
      </c>
      <c r="C2190" s="48">
        <v>0</v>
      </c>
      <c r="D2190" s="48">
        <v>0</v>
      </c>
      <c r="E2190" s="48" t="s">
        <v>112</v>
      </c>
      <c r="F2190" s="48" t="s">
        <v>75</v>
      </c>
      <c r="G2190" s="48" t="s">
        <v>402</v>
      </c>
      <c r="H2190" s="69">
        <f t="shared" si="34"/>
        <v>43952</v>
      </c>
    </row>
    <row r="2191" spans="1:8" x14ac:dyDescent="0.25">
      <c r="A2191" s="68">
        <v>43975</v>
      </c>
      <c r="B2191" s="48">
        <v>0</v>
      </c>
      <c r="C2191" s="48">
        <v>0</v>
      </c>
      <c r="D2191" s="48">
        <v>7</v>
      </c>
      <c r="E2191" s="48" t="s">
        <v>112</v>
      </c>
      <c r="F2191" s="48" t="s">
        <v>75</v>
      </c>
      <c r="G2191" s="48" t="s">
        <v>373</v>
      </c>
      <c r="H2191" s="69">
        <f t="shared" si="34"/>
        <v>43952</v>
      </c>
    </row>
    <row r="2192" spans="1:8" x14ac:dyDescent="0.25">
      <c r="A2192" s="68">
        <v>43975</v>
      </c>
      <c r="B2192" s="48">
        <v>42</v>
      </c>
      <c r="C2192" s="48">
        <v>2</v>
      </c>
      <c r="D2192" s="48">
        <v>10</v>
      </c>
      <c r="E2192" s="48" t="s">
        <v>112</v>
      </c>
      <c r="F2192" s="48" t="s">
        <v>72</v>
      </c>
      <c r="G2192" s="48" t="s">
        <v>94</v>
      </c>
      <c r="H2192" s="69">
        <f t="shared" si="34"/>
        <v>43952</v>
      </c>
    </row>
    <row r="2193" spans="1:8" x14ac:dyDescent="0.25">
      <c r="A2193" s="68">
        <v>43975</v>
      </c>
      <c r="B2193" s="48">
        <v>2</v>
      </c>
      <c r="C2193" s="48">
        <v>0</v>
      </c>
      <c r="D2193" s="48">
        <v>1</v>
      </c>
      <c r="E2193" s="48" t="s">
        <v>112</v>
      </c>
      <c r="F2193" s="48" t="s">
        <v>72</v>
      </c>
      <c r="G2193" s="48" t="s">
        <v>341</v>
      </c>
      <c r="H2193" s="69">
        <f t="shared" si="34"/>
        <v>43952</v>
      </c>
    </row>
    <row r="2194" spans="1:8" x14ac:dyDescent="0.25">
      <c r="A2194" s="68">
        <v>43975</v>
      </c>
      <c r="B2194" s="48">
        <v>8</v>
      </c>
      <c r="C2194" s="48">
        <v>2</v>
      </c>
      <c r="D2194" s="48">
        <v>4</v>
      </c>
      <c r="E2194" s="48" t="s">
        <v>112</v>
      </c>
      <c r="F2194" s="48" t="s">
        <v>72</v>
      </c>
      <c r="G2194" s="48" t="s">
        <v>338</v>
      </c>
      <c r="H2194" s="69">
        <f t="shared" si="34"/>
        <v>43952</v>
      </c>
    </row>
    <row r="2195" spans="1:8" x14ac:dyDescent="0.25">
      <c r="A2195" s="68">
        <v>43975</v>
      </c>
      <c r="B2195" s="48">
        <v>0</v>
      </c>
      <c r="C2195" s="48">
        <v>0</v>
      </c>
      <c r="D2195" s="48">
        <v>0</v>
      </c>
      <c r="E2195" s="48" t="s">
        <v>112</v>
      </c>
      <c r="F2195" s="48" t="s">
        <v>72</v>
      </c>
      <c r="G2195" s="48" t="s">
        <v>343</v>
      </c>
      <c r="H2195" s="69">
        <f t="shared" si="34"/>
        <v>43952</v>
      </c>
    </row>
    <row r="2196" spans="1:8" x14ac:dyDescent="0.25">
      <c r="A2196" s="68">
        <v>43975</v>
      </c>
      <c r="B2196" s="48">
        <v>0</v>
      </c>
      <c r="C2196" s="48">
        <v>0</v>
      </c>
      <c r="D2196" s="48">
        <v>0</v>
      </c>
      <c r="E2196" s="48" t="s">
        <v>112</v>
      </c>
      <c r="F2196" s="48" t="s">
        <v>72</v>
      </c>
      <c r="G2196" s="48" t="s">
        <v>400</v>
      </c>
      <c r="H2196" s="69">
        <f t="shared" si="34"/>
        <v>43952</v>
      </c>
    </row>
    <row r="2197" spans="1:8" x14ac:dyDescent="0.25">
      <c r="A2197" s="68">
        <v>43975</v>
      </c>
      <c r="B2197" s="48">
        <v>21</v>
      </c>
      <c r="C2197" s="48">
        <v>1</v>
      </c>
      <c r="D2197" s="48">
        <v>1</v>
      </c>
      <c r="E2197" s="48" t="s">
        <v>112</v>
      </c>
      <c r="F2197" s="48" t="s">
        <v>72</v>
      </c>
      <c r="G2197" s="48" t="s">
        <v>102</v>
      </c>
      <c r="H2197" s="69">
        <f t="shared" si="34"/>
        <v>43952</v>
      </c>
    </row>
    <row r="2198" spans="1:8" x14ac:dyDescent="0.25">
      <c r="A2198" s="68">
        <v>43975</v>
      </c>
      <c r="B2198" s="48">
        <v>1</v>
      </c>
      <c r="C2198" s="48">
        <v>0</v>
      </c>
      <c r="D2198" s="48">
        <v>1</v>
      </c>
      <c r="E2198" s="48" t="s">
        <v>112</v>
      </c>
      <c r="F2198" s="48" t="s">
        <v>72</v>
      </c>
      <c r="G2198" s="48" t="s">
        <v>355</v>
      </c>
      <c r="H2198" s="69">
        <f t="shared" si="34"/>
        <v>43952</v>
      </c>
    </row>
    <row r="2199" spans="1:8" x14ac:dyDescent="0.25">
      <c r="A2199" s="68">
        <v>43975</v>
      </c>
      <c r="B2199" s="48">
        <v>18</v>
      </c>
      <c r="C2199" s="48">
        <v>0</v>
      </c>
      <c r="D2199" s="48">
        <v>17</v>
      </c>
      <c r="E2199" s="48" t="s">
        <v>112</v>
      </c>
      <c r="F2199" s="48" t="s">
        <v>72</v>
      </c>
      <c r="G2199" s="48" t="s">
        <v>96</v>
      </c>
      <c r="H2199" s="69">
        <f t="shared" si="34"/>
        <v>43952</v>
      </c>
    </row>
    <row r="2200" spans="1:8" x14ac:dyDescent="0.25">
      <c r="A2200" s="68">
        <v>43975</v>
      </c>
      <c r="B2200" s="48">
        <v>5</v>
      </c>
      <c r="C2200" s="48">
        <v>0</v>
      </c>
      <c r="D2200" s="48">
        <v>0</v>
      </c>
      <c r="E2200" s="48" t="s">
        <v>112</v>
      </c>
      <c r="F2200" s="48" t="s">
        <v>72</v>
      </c>
      <c r="G2200" s="48" t="s">
        <v>347</v>
      </c>
      <c r="H2200" s="69">
        <f t="shared" si="34"/>
        <v>43952</v>
      </c>
    </row>
    <row r="2201" spans="1:8" x14ac:dyDescent="0.25">
      <c r="A2201" s="68">
        <v>43975</v>
      </c>
      <c r="B2201" s="48">
        <v>0</v>
      </c>
      <c r="C2201" s="48">
        <v>0</v>
      </c>
      <c r="D2201" s="48">
        <v>0</v>
      </c>
      <c r="E2201" s="48" t="s">
        <v>112</v>
      </c>
      <c r="F2201" s="48" t="s">
        <v>72</v>
      </c>
      <c r="G2201" s="48" t="s">
        <v>335</v>
      </c>
      <c r="H2201" s="69">
        <f t="shared" si="34"/>
        <v>43952</v>
      </c>
    </row>
    <row r="2202" spans="1:8" x14ac:dyDescent="0.25">
      <c r="A2202" s="68">
        <v>43975</v>
      </c>
      <c r="B2202" s="48">
        <v>0</v>
      </c>
      <c r="C2202" s="48">
        <v>0</v>
      </c>
      <c r="D2202" s="48">
        <v>0</v>
      </c>
      <c r="E2202" s="48" t="s">
        <v>112</v>
      </c>
      <c r="F2202" s="48" t="s">
        <v>72</v>
      </c>
      <c r="G2202" s="48" t="s">
        <v>342</v>
      </c>
      <c r="H2202" s="69">
        <f t="shared" si="34"/>
        <v>43952</v>
      </c>
    </row>
    <row r="2203" spans="1:8" x14ac:dyDescent="0.25">
      <c r="A2203" s="68">
        <v>43975</v>
      </c>
      <c r="B2203" s="48">
        <v>0</v>
      </c>
      <c r="C2203" s="48">
        <v>0</v>
      </c>
      <c r="D2203" s="48">
        <v>2</v>
      </c>
      <c r="E2203" s="48" t="s">
        <v>112</v>
      </c>
      <c r="F2203" s="48" t="s">
        <v>72</v>
      </c>
      <c r="G2203" s="48" t="s">
        <v>353</v>
      </c>
      <c r="H2203" s="69">
        <f t="shared" si="34"/>
        <v>43952</v>
      </c>
    </row>
    <row r="2204" spans="1:8" x14ac:dyDescent="0.25">
      <c r="A2204" s="68">
        <v>43975</v>
      </c>
      <c r="B2204" s="48">
        <v>45</v>
      </c>
      <c r="C2204" s="48">
        <v>3</v>
      </c>
      <c r="D2204" s="48">
        <v>18</v>
      </c>
      <c r="E2204" s="48" t="s">
        <v>112</v>
      </c>
      <c r="F2204" s="48" t="s">
        <v>72</v>
      </c>
      <c r="G2204" s="48" t="s">
        <v>101</v>
      </c>
      <c r="H2204" s="69">
        <f t="shared" si="34"/>
        <v>43952</v>
      </c>
    </row>
    <row r="2205" spans="1:8" x14ac:dyDescent="0.25">
      <c r="A2205" s="68">
        <v>43975</v>
      </c>
      <c r="B2205" s="48">
        <v>0</v>
      </c>
      <c r="C2205" s="48">
        <v>0</v>
      </c>
      <c r="D2205" s="48">
        <v>0</v>
      </c>
      <c r="E2205" s="48" t="s">
        <v>112</v>
      </c>
      <c r="F2205" s="48" t="s">
        <v>72</v>
      </c>
      <c r="G2205" s="48" t="s">
        <v>387</v>
      </c>
      <c r="H2205" s="69">
        <f t="shared" si="34"/>
        <v>43952</v>
      </c>
    </row>
    <row r="2206" spans="1:8" x14ac:dyDescent="0.25">
      <c r="A2206" s="68">
        <v>43975</v>
      </c>
      <c r="B2206" s="48">
        <v>0</v>
      </c>
      <c r="C2206" s="48">
        <v>0</v>
      </c>
      <c r="D2206" s="48">
        <v>0</v>
      </c>
      <c r="E2206" s="48" t="s">
        <v>112</v>
      </c>
      <c r="F2206" s="48" t="s">
        <v>72</v>
      </c>
      <c r="G2206" s="48" t="s">
        <v>406</v>
      </c>
      <c r="H2206" s="69">
        <f t="shared" si="34"/>
        <v>43952</v>
      </c>
    </row>
    <row r="2207" spans="1:8" x14ac:dyDescent="0.25">
      <c r="A2207" s="68">
        <v>43975</v>
      </c>
      <c r="B2207" s="48">
        <v>10</v>
      </c>
      <c r="C2207" s="48">
        <v>0</v>
      </c>
      <c r="D2207" s="48">
        <v>2</v>
      </c>
      <c r="E2207" s="48" t="s">
        <v>112</v>
      </c>
      <c r="F2207" s="48" t="s">
        <v>72</v>
      </c>
      <c r="G2207" s="48" t="s">
        <v>344</v>
      </c>
      <c r="H2207" s="69">
        <f t="shared" si="34"/>
        <v>43952</v>
      </c>
    </row>
    <row r="2208" spans="1:8" x14ac:dyDescent="0.25">
      <c r="A2208" s="68">
        <v>43975</v>
      </c>
      <c r="B2208" s="48">
        <v>7</v>
      </c>
      <c r="C2208" s="48">
        <v>0</v>
      </c>
      <c r="D2208" s="48">
        <v>0</v>
      </c>
      <c r="E2208" s="48" t="s">
        <v>112</v>
      </c>
      <c r="F2208" s="48" t="s">
        <v>72</v>
      </c>
      <c r="G2208" s="48" t="s">
        <v>354</v>
      </c>
      <c r="H2208" s="69">
        <f t="shared" si="34"/>
        <v>43952</v>
      </c>
    </row>
    <row r="2209" spans="1:8" x14ac:dyDescent="0.25">
      <c r="A2209" s="68">
        <v>43975</v>
      </c>
      <c r="B2209" s="48">
        <v>26</v>
      </c>
      <c r="C2209" s="48">
        <v>1</v>
      </c>
      <c r="D2209" s="48">
        <v>3</v>
      </c>
      <c r="E2209" s="48" t="s">
        <v>112</v>
      </c>
      <c r="F2209" s="48" t="s">
        <v>72</v>
      </c>
      <c r="G2209" s="48" t="s">
        <v>337</v>
      </c>
      <c r="H2209" s="69">
        <f t="shared" si="34"/>
        <v>43952</v>
      </c>
    </row>
    <row r="2210" spans="1:8" x14ac:dyDescent="0.25">
      <c r="A2210" s="68">
        <v>43975</v>
      </c>
      <c r="B2210" s="48">
        <v>4</v>
      </c>
      <c r="C2210" s="48">
        <v>0</v>
      </c>
      <c r="D2210" s="48">
        <v>0</v>
      </c>
      <c r="E2210" s="48" t="s">
        <v>112</v>
      </c>
      <c r="F2210" s="48" t="s">
        <v>72</v>
      </c>
      <c r="G2210" s="48" t="s">
        <v>356</v>
      </c>
      <c r="H2210" s="69">
        <f t="shared" si="34"/>
        <v>43952</v>
      </c>
    </row>
    <row r="2211" spans="1:8" x14ac:dyDescent="0.25">
      <c r="A2211" s="68">
        <v>43975</v>
      </c>
      <c r="B2211" s="48">
        <v>0</v>
      </c>
      <c r="C2211" s="48">
        <v>0</v>
      </c>
      <c r="D2211" s="48">
        <v>0</v>
      </c>
      <c r="E2211" s="48" t="s">
        <v>112</v>
      </c>
      <c r="F2211" s="48" t="s">
        <v>72</v>
      </c>
      <c r="G2211" s="48" t="s">
        <v>429</v>
      </c>
      <c r="H2211" s="69">
        <f t="shared" si="34"/>
        <v>43952</v>
      </c>
    </row>
    <row r="2212" spans="1:8" x14ac:dyDescent="0.25">
      <c r="A2212" s="68">
        <v>43975</v>
      </c>
      <c r="B2212" s="48">
        <v>0</v>
      </c>
      <c r="C2212" s="48">
        <v>0</v>
      </c>
      <c r="D2212" s="48">
        <v>0</v>
      </c>
      <c r="E2212" s="48" t="s">
        <v>112</v>
      </c>
      <c r="F2212" s="48" t="s">
        <v>72</v>
      </c>
      <c r="G2212" s="48" t="s">
        <v>431</v>
      </c>
      <c r="H2212" s="69">
        <f t="shared" si="34"/>
        <v>43952</v>
      </c>
    </row>
    <row r="2213" spans="1:8" x14ac:dyDescent="0.25">
      <c r="A2213" s="68">
        <v>43975</v>
      </c>
      <c r="B2213" s="48">
        <v>0</v>
      </c>
      <c r="C2213" s="48">
        <v>0</v>
      </c>
      <c r="D2213" s="48">
        <v>0</v>
      </c>
      <c r="E2213" s="48" t="s">
        <v>112</v>
      </c>
      <c r="F2213" s="48" t="s">
        <v>72</v>
      </c>
      <c r="G2213" s="48" t="s">
        <v>426</v>
      </c>
      <c r="H2213" s="69">
        <f t="shared" si="34"/>
        <v>43952</v>
      </c>
    </row>
    <row r="2214" spans="1:8" x14ac:dyDescent="0.25">
      <c r="A2214" s="68">
        <v>43975</v>
      </c>
      <c r="B2214" s="48">
        <v>0</v>
      </c>
      <c r="C2214" s="48">
        <v>0</v>
      </c>
      <c r="D2214" s="48">
        <v>0</v>
      </c>
      <c r="E2214" s="48" t="s">
        <v>112</v>
      </c>
      <c r="F2214" s="48" t="s">
        <v>72</v>
      </c>
      <c r="G2214" s="48" t="s">
        <v>436</v>
      </c>
      <c r="H2214" s="69">
        <f t="shared" si="34"/>
        <v>43952</v>
      </c>
    </row>
    <row r="2215" spans="1:8" x14ac:dyDescent="0.25">
      <c r="A2215" s="68">
        <v>43975</v>
      </c>
      <c r="B2215" s="48">
        <v>5</v>
      </c>
      <c r="C2215" s="48">
        <v>0</v>
      </c>
      <c r="D2215" s="48">
        <v>4</v>
      </c>
      <c r="E2215" s="48" t="s">
        <v>112</v>
      </c>
      <c r="F2215" s="48" t="s">
        <v>72</v>
      </c>
      <c r="G2215" s="48" t="s">
        <v>357</v>
      </c>
      <c r="H2215" s="69">
        <f t="shared" si="34"/>
        <v>43952</v>
      </c>
    </row>
    <row r="2216" spans="1:8" x14ac:dyDescent="0.25">
      <c r="A2216" s="68">
        <v>43975</v>
      </c>
      <c r="B2216" s="48">
        <v>3</v>
      </c>
      <c r="C2216" s="48">
        <v>0</v>
      </c>
      <c r="D2216" s="48">
        <v>0</v>
      </c>
      <c r="E2216" s="48" t="s">
        <v>112</v>
      </c>
      <c r="F2216" s="48" t="s">
        <v>72</v>
      </c>
      <c r="G2216" s="48" t="s">
        <v>358</v>
      </c>
      <c r="H2216" s="69">
        <f t="shared" si="34"/>
        <v>43952</v>
      </c>
    </row>
    <row r="2217" spans="1:8" x14ac:dyDescent="0.25">
      <c r="A2217" s="68">
        <v>43975</v>
      </c>
      <c r="B2217" s="48">
        <v>0</v>
      </c>
      <c r="C2217" s="48">
        <v>0</v>
      </c>
      <c r="D2217" s="48">
        <v>0</v>
      </c>
      <c r="E2217" s="48" t="s">
        <v>112</v>
      </c>
      <c r="F2217" s="48" t="s">
        <v>72</v>
      </c>
      <c r="G2217" s="48" t="s">
        <v>399</v>
      </c>
      <c r="H2217" s="69">
        <f t="shared" si="34"/>
        <v>43952</v>
      </c>
    </row>
    <row r="2218" spans="1:8" x14ac:dyDescent="0.25">
      <c r="A2218" s="68">
        <v>43975</v>
      </c>
      <c r="B2218" s="48">
        <v>4</v>
      </c>
      <c r="C2218" s="48">
        <v>0</v>
      </c>
      <c r="D2218" s="48">
        <v>0</v>
      </c>
      <c r="E2218" s="48" t="s">
        <v>112</v>
      </c>
      <c r="F2218" s="48" t="s">
        <v>72</v>
      </c>
      <c r="G2218" s="48" t="s">
        <v>352</v>
      </c>
      <c r="H2218" s="69">
        <f t="shared" si="34"/>
        <v>43952</v>
      </c>
    </row>
    <row r="2219" spans="1:8" x14ac:dyDescent="0.25">
      <c r="A2219" s="68">
        <v>43975</v>
      </c>
      <c r="B2219" s="48">
        <v>7</v>
      </c>
      <c r="C2219" s="48">
        <v>0</v>
      </c>
      <c r="D2219" s="48">
        <v>0</v>
      </c>
      <c r="E2219" s="48" t="s">
        <v>112</v>
      </c>
      <c r="F2219" s="48" t="s">
        <v>72</v>
      </c>
      <c r="G2219" s="48" t="s">
        <v>359</v>
      </c>
      <c r="H2219" s="69">
        <f t="shared" si="34"/>
        <v>43952</v>
      </c>
    </row>
    <row r="2220" spans="1:8" x14ac:dyDescent="0.25">
      <c r="A2220" s="68">
        <v>43975</v>
      </c>
      <c r="B2220" s="48">
        <v>0</v>
      </c>
      <c r="C2220" s="48">
        <v>0</v>
      </c>
      <c r="D2220" s="48">
        <v>0</v>
      </c>
      <c r="E2220" s="48" t="s">
        <v>112</v>
      </c>
      <c r="F2220" s="48" t="s">
        <v>72</v>
      </c>
      <c r="G2220" s="48" t="s">
        <v>410</v>
      </c>
      <c r="H2220" s="69">
        <f t="shared" si="34"/>
        <v>43952</v>
      </c>
    </row>
    <row r="2221" spans="1:8" x14ac:dyDescent="0.25">
      <c r="A2221" s="68">
        <v>43975</v>
      </c>
      <c r="B2221" s="48">
        <v>0</v>
      </c>
      <c r="C2221" s="48">
        <v>0</v>
      </c>
      <c r="D2221" s="48">
        <v>4</v>
      </c>
      <c r="E2221" s="48" t="s">
        <v>112</v>
      </c>
      <c r="F2221" s="48" t="s">
        <v>72</v>
      </c>
      <c r="G2221" s="48" t="s">
        <v>365</v>
      </c>
      <c r="H2221" s="69">
        <f t="shared" si="34"/>
        <v>43952</v>
      </c>
    </row>
    <row r="2222" spans="1:8" x14ac:dyDescent="0.25">
      <c r="A2222" s="68">
        <v>43975</v>
      </c>
      <c r="B2222" s="48">
        <v>2</v>
      </c>
      <c r="C2222" s="48">
        <v>0</v>
      </c>
      <c r="D2222" s="48">
        <v>0</v>
      </c>
      <c r="E2222" s="48" t="s">
        <v>112</v>
      </c>
      <c r="F2222" s="48" t="s">
        <v>72</v>
      </c>
      <c r="G2222" s="48" t="s">
        <v>408</v>
      </c>
      <c r="H2222" s="69">
        <f t="shared" si="34"/>
        <v>43952</v>
      </c>
    </row>
    <row r="2223" spans="1:8" x14ac:dyDescent="0.25">
      <c r="A2223" s="68">
        <v>43975</v>
      </c>
      <c r="B2223" s="48">
        <v>0</v>
      </c>
      <c r="C2223" s="48">
        <v>0</v>
      </c>
      <c r="D2223" s="48">
        <v>0</v>
      </c>
      <c r="E2223" s="48" t="s">
        <v>112</v>
      </c>
      <c r="F2223" s="48" t="s">
        <v>72</v>
      </c>
      <c r="G2223" s="48" t="s">
        <v>411</v>
      </c>
      <c r="H2223" s="69">
        <f t="shared" si="34"/>
        <v>43952</v>
      </c>
    </row>
    <row r="2224" spans="1:8" x14ac:dyDescent="0.25">
      <c r="A2224" s="68">
        <v>43975</v>
      </c>
      <c r="B2224" s="48">
        <v>5</v>
      </c>
      <c r="C2224" s="48">
        <v>0</v>
      </c>
      <c r="D2224" s="48">
        <v>2</v>
      </c>
      <c r="E2224" s="48" t="s">
        <v>112</v>
      </c>
      <c r="F2224" s="48" t="s">
        <v>72</v>
      </c>
      <c r="G2224" s="48" t="s">
        <v>351</v>
      </c>
      <c r="H2224" s="69">
        <f t="shared" si="34"/>
        <v>43952</v>
      </c>
    </row>
    <row r="2225" spans="1:8" x14ac:dyDescent="0.25">
      <c r="A2225" s="68">
        <v>43975</v>
      </c>
      <c r="B2225" s="48">
        <v>0</v>
      </c>
      <c r="C2225" s="48">
        <v>0</v>
      </c>
      <c r="D2225" s="48">
        <v>1</v>
      </c>
      <c r="E2225" s="48" t="s">
        <v>112</v>
      </c>
      <c r="F2225" s="48" t="s">
        <v>72</v>
      </c>
      <c r="G2225" s="48" t="s">
        <v>417</v>
      </c>
      <c r="H2225" s="69">
        <f t="shared" si="34"/>
        <v>43952</v>
      </c>
    </row>
    <row r="2226" spans="1:8" x14ac:dyDescent="0.25">
      <c r="A2226" s="68">
        <v>43975</v>
      </c>
      <c r="B2226" s="48">
        <v>0</v>
      </c>
      <c r="C2226" s="48">
        <v>0</v>
      </c>
      <c r="D2226" s="48">
        <v>0</v>
      </c>
      <c r="E2226" s="48" t="s">
        <v>112</v>
      </c>
      <c r="F2226" s="48" t="s">
        <v>72</v>
      </c>
      <c r="G2226" s="48" t="s">
        <v>420</v>
      </c>
      <c r="H2226" s="69">
        <f t="shared" si="34"/>
        <v>43952</v>
      </c>
    </row>
    <row r="2227" spans="1:8" x14ac:dyDescent="0.25">
      <c r="A2227" s="68">
        <v>43975</v>
      </c>
      <c r="B2227" s="48">
        <v>846</v>
      </c>
      <c r="C2227" s="48">
        <v>13</v>
      </c>
      <c r="D2227" s="48">
        <v>146</v>
      </c>
      <c r="E2227" s="48" t="s">
        <v>112</v>
      </c>
      <c r="F2227" s="48" t="s">
        <v>70</v>
      </c>
      <c r="G2227" s="48" t="s">
        <v>91</v>
      </c>
      <c r="H2227" s="69">
        <f t="shared" si="34"/>
        <v>43952</v>
      </c>
    </row>
    <row r="2228" spans="1:8" x14ac:dyDescent="0.25">
      <c r="A2228" s="68">
        <v>43975</v>
      </c>
      <c r="B2228" s="48">
        <v>12</v>
      </c>
      <c r="C2228" s="48">
        <v>1</v>
      </c>
      <c r="D2228" s="48">
        <v>2</v>
      </c>
      <c r="E2228" s="48" t="s">
        <v>112</v>
      </c>
      <c r="F2228" s="48" t="s">
        <v>76</v>
      </c>
      <c r="G2228" s="48" t="s">
        <v>339</v>
      </c>
      <c r="H2228" s="69">
        <f t="shared" si="34"/>
        <v>43952</v>
      </c>
    </row>
    <row r="2229" spans="1:8" x14ac:dyDescent="0.25">
      <c r="A2229" s="68">
        <v>43975</v>
      </c>
      <c r="B2229" s="48">
        <v>101</v>
      </c>
      <c r="C2229" s="48">
        <v>1</v>
      </c>
      <c r="D2229" s="48">
        <v>15</v>
      </c>
      <c r="E2229" s="48" t="s">
        <v>112</v>
      </c>
      <c r="F2229" s="48" t="s">
        <v>73</v>
      </c>
      <c r="G2229" s="48" t="s">
        <v>93</v>
      </c>
      <c r="H2229" s="69">
        <f t="shared" si="34"/>
        <v>43952</v>
      </c>
    </row>
    <row r="2230" spans="1:8" x14ac:dyDescent="0.25">
      <c r="A2230" s="68">
        <v>43975</v>
      </c>
      <c r="B2230" s="48">
        <v>520</v>
      </c>
      <c r="C2230" s="48">
        <v>5</v>
      </c>
      <c r="D2230" s="48">
        <v>41</v>
      </c>
      <c r="E2230" s="48" t="s">
        <v>112</v>
      </c>
      <c r="F2230" s="48" t="s">
        <v>71</v>
      </c>
      <c r="G2230" s="48" t="s">
        <v>92</v>
      </c>
      <c r="H2230" s="69">
        <f t="shared" si="34"/>
        <v>43952</v>
      </c>
    </row>
    <row r="2231" spans="1:8" x14ac:dyDescent="0.25">
      <c r="A2231" s="68">
        <v>43976</v>
      </c>
      <c r="B2231" s="48">
        <v>87</v>
      </c>
      <c r="C2231" s="48">
        <v>1</v>
      </c>
      <c r="D2231" s="48">
        <v>0</v>
      </c>
      <c r="E2231" s="48" t="s">
        <v>112</v>
      </c>
      <c r="F2231" s="48" t="s">
        <v>74</v>
      </c>
      <c r="G2231" s="48" t="s">
        <v>95</v>
      </c>
      <c r="H2231" s="69">
        <f t="shared" si="34"/>
        <v>43952</v>
      </c>
    </row>
    <row r="2232" spans="1:8" x14ac:dyDescent="0.25">
      <c r="A2232" s="68">
        <v>43976</v>
      </c>
      <c r="B2232" s="48">
        <v>5</v>
      </c>
      <c r="C2232" s="48">
        <v>1</v>
      </c>
      <c r="D2232" s="48">
        <v>0</v>
      </c>
      <c r="E2232" s="48" t="s">
        <v>112</v>
      </c>
      <c r="F2232" s="48" t="s">
        <v>75</v>
      </c>
      <c r="G2232" s="48" t="s">
        <v>103</v>
      </c>
      <c r="H2232" s="69">
        <f t="shared" si="34"/>
        <v>43952</v>
      </c>
    </row>
    <row r="2233" spans="1:8" x14ac:dyDescent="0.25">
      <c r="A2233" s="68">
        <v>43976</v>
      </c>
      <c r="B2233" s="48">
        <v>5</v>
      </c>
      <c r="C2233" s="48">
        <v>0</v>
      </c>
      <c r="D2233" s="48">
        <v>0</v>
      </c>
      <c r="E2233" s="48" t="s">
        <v>112</v>
      </c>
      <c r="F2233" s="48" t="s">
        <v>75</v>
      </c>
      <c r="G2233" s="48" t="s">
        <v>394</v>
      </c>
      <c r="H2233" s="69">
        <f t="shared" si="34"/>
        <v>43952</v>
      </c>
    </row>
    <row r="2234" spans="1:8" x14ac:dyDescent="0.25">
      <c r="A2234" s="68">
        <v>43976</v>
      </c>
      <c r="B2234" s="48">
        <v>1</v>
      </c>
      <c r="C2234" s="48">
        <v>0</v>
      </c>
      <c r="D2234" s="48">
        <v>0</v>
      </c>
      <c r="E2234" s="48" t="s">
        <v>112</v>
      </c>
      <c r="F2234" s="48" t="s">
        <v>75</v>
      </c>
      <c r="G2234" s="48" t="s">
        <v>393</v>
      </c>
      <c r="H2234" s="69">
        <f t="shared" si="34"/>
        <v>43952</v>
      </c>
    </row>
    <row r="2235" spans="1:8" x14ac:dyDescent="0.25">
      <c r="A2235" s="68">
        <v>43976</v>
      </c>
      <c r="B2235" s="48">
        <v>0</v>
      </c>
      <c r="C2235" s="48">
        <v>0</v>
      </c>
      <c r="D2235" s="48">
        <v>2</v>
      </c>
      <c r="E2235" s="48" t="s">
        <v>112</v>
      </c>
      <c r="F2235" s="48" t="s">
        <v>75</v>
      </c>
      <c r="G2235" s="48" t="s">
        <v>398</v>
      </c>
      <c r="H2235" s="69">
        <f t="shared" si="34"/>
        <v>43952</v>
      </c>
    </row>
    <row r="2236" spans="1:8" x14ac:dyDescent="0.25">
      <c r="A2236" s="68">
        <v>43976</v>
      </c>
      <c r="B2236" s="48">
        <v>0</v>
      </c>
      <c r="C2236" s="48">
        <v>0</v>
      </c>
      <c r="D2236" s="48">
        <v>2</v>
      </c>
      <c r="E2236" s="48" t="s">
        <v>112</v>
      </c>
      <c r="F2236" s="48" t="s">
        <v>75</v>
      </c>
      <c r="G2236" s="48" t="s">
        <v>361</v>
      </c>
      <c r="H2236" s="69">
        <f t="shared" si="34"/>
        <v>43952</v>
      </c>
    </row>
    <row r="2237" spans="1:8" x14ac:dyDescent="0.25">
      <c r="A2237" s="68">
        <v>43976</v>
      </c>
      <c r="B2237" s="48">
        <v>0</v>
      </c>
      <c r="C2237" s="48">
        <v>0</v>
      </c>
      <c r="D2237" s="48">
        <v>1</v>
      </c>
      <c r="E2237" s="48" t="s">
        <v>112</v>
      </c>
      <c r="F2237" s="48" t="s">
        <v>75</v>
      </c>
      <c r="G2237" s="48" t="s">
        <v>373</v>
      </c>
      <c r="H2237" s="69">
        <f t="shared" si="34"/>
        <v>43952</v>
      </c>
    </row>
    <row r="2238" spans="1:8" x14ac:dyDescent="0.25">
      <c r="A2238" s="68">
        <v>43976</v>
      </c>
      <c r="B2238" s="48">
        <v>71</v>
      </c>
      <c r="C2238" s="48">
        <v>5</v>
      </c>
      <c r="D2238" s="48">
        <v>17</v>
      </c>
      <c r="E2238" s="48" t="s">
        <v>112</v>
      </c>
      <c r="F2238" s="48" t="s">
        <v>72</v>
      </c>
      <c r="G2238" s="48" t="s">
        <v>94</v>
      </c>
      <c r="H2238" s="69">
        <f t="shared" si="34"/>
        <v>43952</v>
      </c>
    </row>
    <row r="2239" spans="1:8" x14ac:dyDescent="0.25">
      <c r="A2239" s="68">
        <v>43976</v>
      </c>
      <c r="B2239" s="48">
        <v>1</v>
      </c>
      <c r="C2239" s="48">
        <v>0</v>
      </c>
      <c r="D2239" s="48">
        <v>0</v>
      </c>
      <c r="E2239" s="48" t="s">
        <v>112</v>
      </c>
      <c r="F2239" s="48" t="s">
        <v>72</v>
      </c>
      <c r="G2239" s="48" t="s">
        <v>341</v>
      </c>
      <c r="H2239" s="69">
        <f t="shared" si="34"/>
        <v>43952</v>
      </c>
    </row>
    <row r="2240" spans="1:8" x14ac:dyDescent="0.25">
      <c r="A2240" s="68">
        <v>43976</v>
      </c>
      <c r="B2240" s="48">
        <v>6</v>
      </c>
      <c r="C2240" s="48">
        <v>0</v>
      </c>
      <c r="D2240" s="48">
        <v>1</v>
      </c>
      <c r="E2240" s="48" t="s">
        <v>112</v>
      </c>
      <c r="F2240" s="48" t="s">
        <v>72</v>
      </c>
      <c r="G2240" s="48" t="s">
        <v>338</v>
      </c>
      <c r="H2240" s="69">
        <f t="shared" si="34"/>
        <v>43952</v>
      </c>
    </row>
    <row r="2241" spans="1:8" x14ac:dyDescent="0.25">
      <c r="A2241" s="68">
        <v>43976</v>
      </c>
      <c r="B2241" s="48">
        <v>0</v>
      </c>
      <c r="C2241" s="48">
        <v>1</v>
      </c>
      <c r="D2241" s="48">
        <v>1</v>
      </c>
      <c r="E2241" s="48" t="s">
        <v>112</v>
      </c>
      <c r="F2241" s="48" t="s">
        <v>72</v>
      </c>
      <c r="G2241" s="48" t="s">
        <v>343</v>
      </c>
      <c r="H2241" s="69">
        <f t="shared" si="34"/>
        <v>43952</v>
      </c>
    </row>
    <row r="2242" spans="1:8" x14ac:dyDescent="0.25">
      <c r="A2242" s="68">
        <v>43976</v>
      </c>
      <c r="B2242" s="48">
        <v>0</v>
      </c>
      <c r="C2242" s="48">
        <v>0</v>
      </c>
      <c r="D2242" s="48">
        <v>0</v>
      </c>
      <c r="E2242" s="48" t="s">
        <v>112</v>
      </c>
      <c r="F2242" s="48" t="s">
        <v>72</v>
      </c>
      <c r="G2242" s="48" t="s">
        <v>400</v>
      </c>
      <c r="H2242" s="69">
        <f t="shared" ref="H2242:H2305" si="35">DATE(YEAR(A2242),MONTH(A2242),1)</f>
        <v>43952</v>
      </c>
    </row>
    <row r="2243" spans="1:8" x14ac:dyDescent="0.25">
      <c r="A2243" s="68">
        <v>43976</v>
      </c>
      <c r="B2243" s="48">
        <v>13</v>
      </c>
      <c r="C2243" s="48">
        <v>0</v>
      </c>
      <c r="D2243" s="48">
        <v>3</v>
      </c>
      <c r="E2243" s="48" t="s">
        <v>112</v>
      </c>
      <c r="F2243" s="48" t="s">
        <v>72</v>
      </c>
      <c r="G2243" s="48" t="s">
        <v>102</v>
      </c>
      <c r="H2243" s="69">
        <f t="shared" si="35"/>
        <v>43952</v>
      </c>
    </row>
    <row r="2244" spans="1:8" x14ac:dyDescent="0.25">
      <c r="A2244" s="68">
        <v>43976</v>
      </c>
      <c r="B2244" s="48">
        <v>19</v>
      </c>
      <c r="C2244" s="48">
        <v>0</v>
      </c>
      <c r="D2244" s="48">
        <v>4</v>
      </c>
      <c r="E2244" s="48" t="s">
        <v>112</v>
      </c>
      <c r="F2244" s="48" t="s">
        <v>72</v>
      </c>
      <c r="G2244" s="48" t="s">
        <v>355</v>
      </c>
      <c r="H2244" s="69">
        <f t="shared" si="35"/>
        <v>43952</v>
      </c>
    </row>
    <row r="2245" spans="1:8" x14ac:dyDescent="0.25">
      <c r="A2245" s="68">
        <v>43976</v>
      </c>
      <c r="B2245" s="48">
        <v>20</v>
      </c>
      <c r="C2245" s="48">
        <v>1</v>
      </c>
      <c r="D2245" s="48">
        <v>6</v>
      </c>
      <c r="E2245" s="48" t="s">
        <v>112</v>
      </c>
      <c r="F2245" s="48" t="s">
        <v>72</v>
      </c>
      <c r="G2245" s="48" t="s">
        <v>96</v>
      </c>
      <c r="H2245" s="69">
        <f t="shared" si="35"/>
        <v>43952</v>
      </c>
    </row>
    <row r="2246" spans="1:8" x14ac:dyDescent="0.25">
      <c r="A2246" s="68">
        <v>43976</v>
      </c>
      <c r="B2246" s="48">
        <v>0</v>
      </c>
      <c r="C2246" s="48">
        <v>0</v>
      </c>
      <c r="D2246" s="48">
        <v>0</v>
      </c>
      <c r="E2246" s="48" t="s">
        <v>112</v>
      </c>
      <c r="F2246" s="48" t="s">
        <v>72</v>
      </c>
      <c r="G2246" s="48" t="s">
        <v>347</v>
      </c>
      <c r="H2246" s="69">
        <f t="shared" si="35"/>
        <v>43952</v>
      </c>
    </row>
    <row r="2247" spans="1:8" x14ac:dyDescent="0.25">
      <c r="A2247" s="68">
        <v>43976</v>
      </c>
      <c r="B2247" s="48">
        <v>7</v>
      </c>
      <c r="C2247" s="48">
        <v>0</v>
      </c>
      <c r="D2247" s="48">
        <v>1</v>
      </c>
      <c r="E2247" s="48" t="s">
        <v>112</v>
      </c>
      <c r="F2247" s="48" t="s">
        <v>72</v>
      </c>
      <c r="G2247" s="48" t="s">
        <v>335</v>
      </c>
      <c r="H2247" s="69">
        <f t="shared" si="35"/>
        <v>43952</v>
      </c>
    </row>
    <row r="2248" spans="1:8" x14ac:dyDescent="0.25">
      <c r="A2248" s="68">
        <v>43976</v>
      </c>
      <c r="B2248" s="48">
        <v>4</v>
      </c>
      <c r="C2248" s="48">
        <v>0</v>
      </c>
      <c r="D2248" s="48">
        <v>13</v>
      </c>
      <c r="E2248" s="48" t="s">
        <v>112</v>
      </c>
      <c r="F2248" s="48" t="s">
        <v>72</v>
      </c>
      <c r="G2248" s="48" t="s">
        <v>342</v>
      </c>
      <c r="H2248" s="69">
        <f t="shared" si="35"/>
        <v>43952</v>
      </c>
    </row>
    <row r="2249" spans="1:8" x14ac:dyDescent="0.25">
      <c r="A2249" s="68">
        <v>43976</v>
      </c>
      <c r="B2249" s="48">
        <v>0</v>
      </c>
      <c r="C2249" s="48">
        <v>0</v>
      </c>
      <c r="D2249" s="48">
        <v>0</v>
      </c>
      <c r="E2249" s="48" t="s">
        <v>112</v>
      </c>
      <c r="F2249" s="48" t="s">
        <v>72</v>
      </c>
      <c r="G2249" s="48" t="s">
        <v>353</v>
      </c>
      <c r="H2249" s="69">
        <f t="shared" si="35"/>
        <v>43952</v>
      </c>
    </row>
    <row r="2250" spans="1:8" x14ac:dyDescent="0.25">
      <c r="A2250" s="68">
        <v>43976</v>
      </c>
      <c r="B2250" s="48">
        <v>12</v>
      </c>
      <c r="C2250" s="48">
        <v>2</v>
      </c>
      <c r="D2250" s="48">
        <v>3</v>
      </c>
      <c r="E2250" s="48" t="s">
        <v>112</v>
      </c>
      <c r="F2250" s="48" t="s">
        <v>72</v>
      </c>
      <c r="G2250" s="48" t="s">
        <v>101</v>
      </c>
      <c r="H2250" s="69">
        <f t="shared" si="35"/>
        <v>43952</v>
      </c>
    </row>
    <row r="2251" spans="1:8" x14ac:dyDescent="0.25">
      <c r="A2251" s="68">
        <v>43976</v>
      </c>
      <c r="B2251" s="48">
        <v>1</v>
      </c>
      <c r="C2251" s="48">
        <v>0</v>
      </c>
      <c r="D2251" s="48">
        <v>0</v>
      </c>
      <c r="E2251" s="48" t="s">
        <v>112</v>
      </c>
      <c r="F2251" s="48" t="s">
        <v>72</v>
      </c>
      <c r="G2251" s="48" t="s">
        <v>387</v>
      </c>
      <c r="H2251" s="69">
        <f t="shared" si="35"/>
        <v>43952</v>
      </c>
    </row>
    <row r="2252" spans="1:8" x14ac:dyDescent="0.25">
      <c r="A2252" s="68">
        <v>43976</v>
      </c>
      <c r="B2252" s="48">
        <v>2</v>
      </c>
      <c r="C2252" s="48">
        <v>0</v>
      </c>
      <c r="D2252" s="48">
        <v>0</v>
      </c>
      <c r="E2252" s="48" t="s">
        <v>112</v>
      </c>
      <c r="F2252" s="48" t="s">
        <v>72</v>
      </c>
      <c r="G2252" s="48" t="s">
        <v>406</v>
      </c>
      <c r="H2252" s="69">
        <f t="shared" si="35"/>
        <v>43952</v>
      </c>
    </row>
    <row r="2253" spans="1:8" x14ac:dyDescent="0.25">
      <c r="A2253" s="68">
        <v>43976</v>
      </c>
      <c r="B2253" s="48">
        <v>5</v>
      </c>
      <c r="C2253" s="48">
        <v>1</v>
      </c>
      <c r="D2253" s="48">
        <v>5</v>
      </c>
      <c r="E2253" s="48" t="s">
        <v>112</v>
      </c>
      <c r="F2253" s="48" t="s">
        <v>72</v>
      </c>
      <c r="G2253" s="48" t="s">
        <v>344</v>
      </c>
      <c r="H2253" s="69">
        <f t="shared" si="35"/>
        <v>43952</v>
      </c>
    </row>
    <row r="2254" spans="1:8" x14ac:dyDescent="0.25">
      <c r="A2254" s="68">
        <v>43976</v>
      </c>
      <c r="B2254" s="48">
        <v>2</v>
      </c>
      <c r="C2254" s="48">
        <v>0</v>
      </c>
      <c r="D2254" s="48">
        <v>2</v>
      </c>
      <c r="E2254" s="48" t="s">
        <v>112</v>
      </c>
      <c r="F2254" s="48" t="s">
        <v>72</v>
      </c>
      <c r="G2254" s="48" t="s">
        <v>354</v>
      </c>
      <c r="H2254" s="69">
        <f t="shared" si="35"/>
        <v>43952</v>
      </c>
    </row>
    <row r="2255" spans="1:8" x14ac:dyDescent="0.25">
      <c r="A2255" s="68">
        <v>43976</v>
      </c>
      <c r="B2255" s="48">
        <v>9</v>
      </c>
      <c r="C2255" s="48">
        <v>0</v>
      </c>
      <c r="D2255" s="48">
        <v>3</v>
      </c>
      <c r="E2255" s="48" t="s">
        <v>112</v>
      </c>
      <c r="F2255" s="48" t="s">
        <v>72</v>
      </c>
      <c r="G2255" s="48" t="s">
        <v>337</v>
      </c>
      <c r="H2255" s="69">
        <f t="shared" si="35"/>
        <v>43952</v>
      </c>
    </row>
    <row r="2256" spans="1:8" x14ac:dyDescent="0.25">
      <c r="A2256" s="68">
        <v>43976</v>
      </c>
      <c r="B2256" s="48">
        <v>2</v>
      </c>
      <c r="C2256" s="48">
        <v>0</v>
      </c>
      <c r="D2256" s="48">
        <v>1</v>
      </c>
      <c r="E2256" s="48" t="s">
        <v>112</v>
      </c>
      <c r="F2256" s="48" t="s">
        <v>72</v>
      </c>
      <c r="G2256" s="48" t="s">
        <v>356</v>
      </c>
      <c r="H2256" s="69">
        <f t="shared" si="35"/>
        <v>43952</v>
      </c>
    </row>
    <row r="2257" spans="1:8" x14ac:dyDescent="0.25">
      <c r="A2257" s="68">
        <v>43976</v>
      </c>
      <c r="B2257" s="48">
        <v>0</v>
      </c>
      <c r="C2257" s="48">
        <v>0</v>
      </c>
      <c r="D2257" s="48">
        <v>0</v>
      </c>
      <c r="E2257" s="48" t="s">
        <v>112</v>
      </c>
      <c r="F2257" s="48" t="s">
        <v>72</v>
      </c>
      <c r="G2257" s="48" t="s">
        <v>429</v>
      </c>
      <c r="H2257" s="69">
        <f t="shared" si="35"/>
        <v>43952</v>
      </c>
    </row>
    <row r="2258" spans="1:8" x14ac:dyDescent="0.25">
      <c r="A2258" s="68">
        <v>43976</v>
      </c>
      <c r="B2258" s="48">
        <v>0</v>
      </c>
      <c r="C2258" s="48">
        <v>0</v>
      </c>
      <c r="D2258" s="48">
        <v>0</v>
      </c>
      <c r="E2258" s="48" t="s">
        <v>112</v>
      </c>
      <c r="F2258" s="48" t="s">
        <v>72</v>
      </c>
      <c r="G2258" s="48" t="s">
        <v>431</v>
      </c>
      <c r="H2258" s="69">
        <f t="shared" si="35"/>
        <v>43952</v>
      </c>
    </row>
    <row r="2259" spans="1:8" x14ac:dyDescent="0.25">
      <c r="A2259" s="68">
        <v>43976</v>
      </c>
      <c r="B2259" s="48">
        <v>0</v>
      </c>
      <c r="C2259" s="48">
        <v>0</v>
      </c>
      <c r="D2259" s="48">
        <v>0</v>
      </c>
      <c r="E2259" s="48" t="s">
        <v>112</v>
      </c>
      <c r="F2259" s="48" t="s">
        <v>72</v>
      </c>
      <c r="G2259" s="48" t="s">
        <v>426</v>
      </c>
      <c r="H2259" s="69">
        <f t="shared" si="35"/>
        <v>43952</v>
      </c>
    </row>
    <row r="2260" spans="1:8" x14ac:dyDescent="0.25">
      <c r="A2260" s="68">
        <v>43976</v>
      </c>
      <c r="B2260" s="48">
        <v>0</v>
      </c>
      <c r="C2260" s="48">
        <v>0</v>
      </c>
      <c r="D2260" s="48">
        <v>0</v>
      </c>
      <c r="E2260" s="48" t="s">
        <v>112</v>
      </c>
      <c r="F2260" s="48" t="s">
        <v>72</v>
      </c>
      <c r="G2260" s="48" t="s">
        <v>436</v>
      </c>
      <c r="H2260" s="69">
        <f t="shared" si="35"/>
        <v>43952</v>
      </c>
    </row>
    <row r="2261" spans="1:8" x14ac:dyDescent="0.25">
      <c r="A2261" s="68">
        <v>43976</v>
      </c>
      <c r="B2261" s="48">
        <v>0</v>
      </c>
      <c r="C2261" s="48">
        <v>0</v>
      </c>
      <c r="D2261" s="48">
        <v>0</v>
      </c>
      <c r="E2261" s="48" t="s">
        <v>112</v>
      </c>
      <c r="F2261" s="48" t="s">
        <v>72</v>
      </c>
      <c r="G2261" s="48" t="s">
        <v>357</v>
      </c>
      <c r="H2261" s="69">
        <f t="shared" si="35"/>
        <v>43952</v>
      </c>
    </row>
    <row r="2262" spans="1:8" x14ac:dyDescent="0.25">
      <c r="A2262" s="68">
        <v>43976</v>
      </c>
      <c r="B2262" s="48">
        <v>0</v>
      </c>
      <c r="C2262" s="48">
        <v>0</v>
      </c>
      <c r="D2262" s="48">
        <v>0</v>
      </c>
      <c r="E2262" s="48" t="s">
        <v>112</v>
      </c>
      <c r="F2262" s="48" t="s">
        <v>72</v>
      </c>
      <c r="G2262" s="48" t="s">
        <v>358</v>
      </c>
      <c r="H2262" s="69">
        <f t="shared" si="35"/>
        <v>43952</v>
      </c>
    </row>
    <row r="2263" spans="1:8" x14ac:dyDescent="0.25">
      <c r="A2263" s="68">
        <v>43976</v>
      </c>
      <c r="B2263" s="48">
        <v>0</v>
      </c>
      <c r="C2263" s="48">
        <v>0</v>
      </c>
      <c r="D2263" s="48">
        <v>0</v>
      </c>
      <c r="E2263" s="48" t="s">
        <v>112</v>
      </c>
      <c r="F2263" s="48" t="s">
        <v>72</v>
      </c>
      <c r="G2263" s="48" t="s">
        <v>399</v>
      </c>
      <c r="H2263" s="69">
        <f t="shared" si="35"/>
        <v>43952</v>
      </c>
    </row>
    <row r="2264" spans="1:8" x14ac:dyDescent="0.25">
      <c r="A2264" s="68">
        <v>43976</v>
      </c>
      <c r="B2264" s="48">
        <v>0</v>
      </c>
      <c r="C2264" s="48">
        <v>0</v>
      </c>
      <c r="D2264" s="48">
        <v>0</v>
      </c>
      <c r="E2264" s="48" t="s">
        <v>112</v>
      </c>
      <c r="F2264" s="48" t="s">
        <v>72</v>
      </c>
      <c r="G2264" s="48" t="s">
        <v>352</v>
      </c>
      <c r="H2264" s="69">
        <f t="shared" si="35"/>
        <v>43952</v>
      </c>
    </row>
    <row r="2265" spans="1:8" x14ac:dyDescent="0.25">
      <c r="A2265" s="68">
        <v>43976</v>
      </c>
      <c r="B2265" s="48">
        <v>0</v>
      </c>
      <c r="C2265" s="48">
        <v>0</v>
      </c>
      <c r="D2265" s="48">
        <v>0</v>
      </c>
      <c r="E2265" s="48" t="s">
        <v>112</v>
      </c>
      <c r="F2265" s="48" t="s">
        <v>72</v>
      </c>
      <c r="G2265" s="48" t="s">
        <v>359</v>
      </c>
      <c r="H2265" s="69">
        <f t="shared" si="35"/>
        <v>43952</v>
      </c>
    </row>
    <row r="2266" spans="1:8" x14ac:dyDescent="0.25">
      <c r="A2266" s="68">
        <v>43976</v>
      </c>
      <c r="B2266" s="48">
        <v>0</v>
      </c>
      <c r="C2266" s="48">
        <v>0</v>
      </c>
      <c r="D2266" s="48">
        <v>0</v>
      </c>
      <c r="E2266" s="48" t="s">
        <v>112</v>
      </c>
      <c r="F2266" s="48" t="s">
        <v>72</v>
      </c>
      <c r="G2266" s="48" t="s">
        <v>410</v>
      </c>
      <c r="H2266" s="69">
        <f t="shared" si="35"/>
        <v>43952</v>
      </c>
    </row>
    <row r="2267" spans="1:8" x14ac:dyDescent="0.25">
      <c r="A2267" s="68">
        <v>43976</v>
      </c>
      <c r="B2267" s="48">
        <v>0</v>
      </c>
      <c r="C2267" s="48">
        <v>0</v>
      </c>
      <c r="D2267" s="48">
        <v>0</v>
      </c>
      <c r="E2267" s="48" t="s">
        <v>112</v>
      </c>
      <c r="F2267" s="48" t="s">
        <v>72</v>
      </c>
      <c r="G2267" s="48" t="s">
        <v>365</v>
      </c>
      <c r="H2267" s="69">
        <f t="shared" si="35"/>
        <v>43952</v>
      </c>
    </row>
    <row r="2268" spans="1:8" x14ac:dyDescent="0.25">
      <c r="A2268" s="68">
        <v>43976</v>
      </c>
      <c r="B2268" s="48">
        <v>0</v>
      </c>
      <c r="C2268" s="48">
        <v>0</v>
      </c>
      <c r="D2268" s="48">
        <v>0</v>
      </c>
      <c r="E2268" s="48" t="s">
        <v>112</v>
      </c>
      <c r="F2268" s="48" t="s">
        <v>72</v>
      </c>
      <c r="G2268" s="48" t="s">
        <v>408</v>
      </c>
      <c r="H2268" s="69">
        <f t="shared" si="35"/>
        <v>43952</v>
      </c>
    </row>
    <row r="2269" spans="1:8" x14ac:dyDescent="0.25">
      <c r="A2269" s="68">
        <v>43976</v>
      </c>
      <c r="B2269" s="48">
        <v>1</v>
      </c>
      <c r="C2269" s="48">
        <v>0</v>
      </c>
      <c r="D2269" s="48">
        <v>0</v>
      </c>
      <c r="E2269" s="48" t="s">
        <v>112</v>
      </c>
      <c r="F2269" s="48" t="s">
        <v>72</v>
      </c>
      <c r="G2269" s="48" t="s">
        <v>411</v>
      </c>
      <c r="H2269" s="69">
        <f t="shared" si="35"/>
        <v>43952</v>
      </c>
    </row>
    <row r="2270" spans="1:8" x14ac:dyDescent="0.25">
      <c r="A2270" s="68">
        <v>43976</v>
      </c>
      <c r="B2270" s="48">
        <v>0</v>
      </c>
      <c r="C2270" s="48">
        <v>0</v>
      </c>
      <c r="D2270" s="48">
        <v>0</v>
      </c>
      <c r="E2270" s="48" t="s">
        <v>112</v>
      </c>
      <c r="F2270" s="48" t="s">
        <v>72</v>
      </c>
      <c r="G2270" s="48" t="s">
        <v>351</v>
      </c>
      <c r="H2270" s="69">
        <f t="shared" si="35"/>
        <v>43952</v>
      </c>
    </row>
    <row r="2271" spans="1:8" x14ac:dyDescent="0.25">
      <c r="A2271" s="68">
        <v>43976</v>
      </c>
      <c r="B2271" s="48">
        <v>0</v>
      </c>
      <c r="C2271" s="48">
        <v>0</v>
      </c>
      <c r="D2271" s="48">
        <v>0</v>
      </c>
      <c r="E2271" s="48" t="s">
        <v>112</v>
      </c>
      <c r="F2271" s="48" t="s">
        <v>72</v>
      </c>
      <c r="G2271" s="48" t="s">
        <v>417</v>
      </c>
      <c r="H2271" s="69">
        <f t="shared" si="35"/>
        <v>43952</v>
      </c>
    </row>
    <row r="2272" spans="1:8" x14ac:dyDescent="0.25">
      <c r="A2272" s="68">
        <v>43976</v>
      </c>
      <c r="B2272" s="48">
        <v>0</v>
      </c>
      <c r="C2272" s="48">
        <v>0</v>
      </c>
      <c r="D2272" s="48">
        <v>0</v>
      </c>
      <c r="E2272" s="48" t="s">
        <v>112</v>
      </c>
      <c r="F2272" s="48" t="s">
        <v>72</v>
      </c>
      <c r="G2272" s="48" t="s">
        <v>420</v>
      </c>
      <c r="H2272" s="69">
        <f t="shared" si="35"/>
        <v>43952</v>
      </c>
    </row>
    <row r="2273" spans="1:8" x14ac:dyDescent="0.25">
      <c r="A2273" s="68">
        <v>43976</v>
      </c>
      <c r="B2273" s="48">
        <v>443</v>
      </c>
      <c r="C2273" s="48">
        <v>2</v>
      </c>
      <c r="D2273" s="48">
        <v>614</v>
      </c>
      <c r="E2273" s="48" t="s">
        <v>112</v>
      </c>
      <c r="F2273" s="48" t="s">
        <v>70</v>
      </c>
      <c r="G2273" s="48" t="s">
        <v>91</v>
      </c>
      <c r="H2273" s="69">
        <f t="shared" si="35"/>
        <v>43952</v>
      </c>
    </row>
    <row r="2274" spans="1:8" x14ac:dyDescent="0.25">
      <c r="A2274" s="68">
        <v>43976</v>
      </c>
      <c r="B2274" s="48">
        <v>2</v>
      </c>
      <c r="C2274" s="48">
        <v>0</v>
      </c>
      <c r="D2274" s="48">
        <v>0</v>
      </c>
      <c r="E2274" s="48" t="s">
        <v>112</v>
      </c>
      <c r="F2274" s="48" t="s">
        <v>76</v>
      </c>
      <c r="G2274" s="48" t="s">
        <v>339</v>
      </c>
      <c r="H2274" s="69">
        <f t="shared" si="35"/>
        <v>43952</v>
      </c>
    </row>
    <row r="2275" spans="1:8" x14ac:dyDescent="0.25">
      <c r="A2275" s="68">
        <v>43976</v>
      </c>
      <c r="B2275" s="48">
        <v>61</v>
      </c>
      <c r="C2275" s="48">
        <v>1</v>
      </c>
      <c r="D2275" s="48">
        <v>118</v>
      </c>
      <c r="E2275" s="48" t="s">
        <v>112</v>
      </c>
      <c r="F2275" s="48" t="s">
        <v>73</v>
      </c>
      <c r="G2275" s="48" t="s">
        <v>93</v>
      </c>
      <c r="H2275" s="69">
        <f t="shared" si="35"/>
        <v>43952</v>
      </c>
    </row>
    <row r="2276" spans="1:8" x14ac:dyDescent="0.25">
      <c r="A2276" s="68">
        <v>43976</v>
      </c>
      <c r="B2276" s="48">
        <v>577</v>
      </c>
      <c r="C2276" s="48">
        <v>15</v>
      </c>
      <c r="D2276" s="48">
        <v>33</v>
      </c>
      <c r="E2276" s="48" t="s">
        <v>112</v>
      </c>
      <c r="F2276" s="48" t="s">
        <v>71</v>
      </c>
      <c r="G2276" s="48" t="s">
        <v>92</v>
      </c>
      <c r="H2276" s="69">
        <f t="shared" si="35"/>
        <v>43952</v>
      </c>
    </row>
    <row r="2277" spans="1:8" x14ac:dyDescent="0.25">
      <c r="A2277" s="68">
        <v>43977</v>
      </c>
      <c r="B2277" s="48">
        <v>151</v>
      </c>
      <c r="C2277" s="48">
        <v>1</v>
      </c>
      <c r="D2277" s="48">
        <v>0</v>
      </c>
      <c r="E2277" s="48" t="s">
        <v>112</v>
      </c>
      <c r="F2277" s="48" t="s">
        <v>74</v>
      </c>
      <c r="G2277" s="48" t="s">
        <v>95</v>
      </c>
      <c r="H2277" s="69">
        <f t="shared" si="35"/>
        <v>43952</v>
      </c>
    </row>
    <row r="2278" spans="1:8" x14ac:dyDescent="0.25">
      <c r="A2278" s="68">
        <v>43977</v>
      </c>
      <c r="B2278" s="48">
        <v>0</v>
      </c>
      <c r="C2278" s="48">
        <v>1</v>
      </c>
      <c r="D2278" s="48">
        <v>0</v>
      </c>
      <c r="E2278" s="48" t="s">
        <v>112</v>
      </c>
      <c r="F2278" s="48" t="s">
        <v>75</v>
      </c>
      <c r="G2278" s="48" t="s">
        <v>103</v>
      </c>
      <c r="H2278" s="69">
        <f t="shared" si="35"/>
        <v>43952</v>
      </c>
    </row>
    <row r="2279" spans="1:8" x14ac:dyDescent="0.25">
      <c r="A2279" s="68">
        <v>43977</v>
      </c>
      <c r="B2279" s="48">
        <v>1</v>
      </c>
      <c r="C2279" s="48">
        <v>0</v>
      </c>
      <c r="D2279" s="48">
        <v>0</v>
      </c>
      <c r="E2279" s="48" t="s">
        <v>112</v>
      </c>
      <c r="F2279" s="48" t="s">
        <v>75</v>
      </c>
      <c r="G2279" s="48" t="s">
        <v>390</v>
      </c>
      <c r="H2279" s="69">
        <f t="shared" si="35"/>
        <v>43952</v>
      </c>
    </row>
    <row r="2280" spans="1:8" x14ac:dyDescent="0.25">
      <c r="A2280" s="68">
        <v>43977</v>
      </c>
      <c r="B2280" s="48">
        <v>1</v>
      </c>
      <c r="C2280" s="48">
        <v>0</v>
      </c>
      <c r="D2280" s="48">
        <v>0</v>
      </c>
      <c r="E2280" s="48" t="s">
        <v>112</v>
      </c>
      <c r="F2280" s="48" t="s">
        <v>75</v>
      </c>
      <c r="G2280" s="48" t="s">
        <v>394</v>
      </c>
      <c r="H2280" s="69">
        <f t="shared" si="35"/>
        <v>43952</v>
      </c>
    </row>
    <row r="2281" spans="1:8" x14ac:dyDescent="0.25">
      <c r="A2281" s="68">
        <v>43977</v>
      </c>
      <c r="B2281" s="48">
        <v>0</v>
      </c>
      <c r="C2281" s="48">
        <v>0</v>
      </c>
      <c r="D2281" s="48">
        <v>1</v>
      </c>
      <c r="E2281" s="48" t="s">
        <v>112</v>
      </c>
      <c r="F2281" s="48" t="s">
        <v>75</v>
      </c>
      <c r="G2281" s="48" t="s">
        <v>402</v>
      </c>
      <c r="H2281" s="69">
        <f t="shared" si="35"/>
        <v>43952</v>
      </c>
    </row>
    <row r="2282" spans="1:8" x14ac:dyDescent="0.25">
      <c r="A2282" s="68">
        <v>43977</v>
      </c>
      <c r="B2282" s="48">
        <v>0</v>
      </c>
      <c r="C2282" s="48">
        <v>0</v>
      </c>
      <c r="D2282" s="48">
        <v>8</v>
      </c>
      <c r="E2282" s="48" t="s">
        <v>112</v>
      </c>
      <c r="F2282" s="48" t="s">
        <v>75</v>
      </c>
      <c r="G2282" s="48" t="s">
        <v>373</v>
      </c>
      <c r="H2282" s="69">
        <f t="shared" si="35"/>
        <v>43952</v>
      </c>
    </row>
    <row r="2283" spans="1:8" x14ac:dyDescent="0.25">
      <c r="A2283" s="68">
        <v>43977</v>
      </c>
      <c r="B2283" s="48">
        <v>60</v>
      </c>
      <c r="C2283" s="48">
        <v>2</v>
      </c>
      <c r="D2283" s="48">
        <v>19</v>
      </c>
      <c r="E2283" s="48" t="s">
        <v>112</v>
      </c>
      <c r="F2283" s="48" t="s">
        <v>72</v>
      </c>
      <c r="G2283" s="48" t="s">
        <v>94</v>
      </c>
      <c r="H2283" s="69">
        <f t="shared" si="35"/>
        <v>43952</v>
      </c>
    </row>
    <row r="2284" spans="1:8" x14ac:dyDescent="0.25">
      <c r="A2284" s="68">
        <v>43977</v>
      </c>
      <c r="B2284" s="48">
        <v>16</v>
      </c>
      <c r="C2284" s="48">
        <v>0</v>
      </c>
      <c r="D2284" s="48">
        <v>1</v>
      </c>
      <c r="E2284" s="48" t="s">
        <v>112</v>
      </c>
      <c r="F2284" s="48" t="s">
        <v>72</v>
      </c>
      <c r="G2284" s="48" t="s">
        <v>341</v>
      </c>
      <c r="H2284" s="69">
        <f t="shared" si="35"/>
        <v>43952</v>
      </c>
    </row>
    <row r="2285" spans="1:8" x14ac:dyDescent="0.25">
      <c r="A2285" s="68">
        <v>43977</v>
      </c>
      <c r="B2285" s="48">
        <v>0</v>
      </c>
      <c r="C2285" s="48">
        <v>0</v>
      </c>
      <c r="D2285" s="48">
        <v>0</v>
      </c>
      <c r="E2285" s="48" t="s">
        <v>112</v>
      </c>
      <c r="F2285" s="48" t="s">
        <v>72</v>
      </c>
      <c r="G2285" s="48" t="s">
        <v>338</v>
      </c>
      <c r="H2285" s="69">
        <f t="shared" si="35"/>
        <v>43952</v>
      </c>
    </row>
    <row r="2286" spans="1:8" x14ac:dyDescent="0.25">
      <c r="A2286" s="68">
        <v>43977</v>
      </c>
      <c r="B2286" s="48">
        <v>0</v>
      </c>
      <c r="C2286" s="48">
        <v>0</v>
      </c>
      <c r="D2286" s="48">
        <v>0</v>
      </c>
      <c r="E2286" s="48" t="s">
        <v>112</v>
      </c>
      <c r="F2286" s="48" t="s">
        <v>72</v>
      </c>
      <c r="G2286" s="48" t="s">
        <v>343</v>
      </c>
      <c r="H2286" s="69">
        <f t="shared" si="35"/>
        <v>43952</v>
      </c>
    </row>
    <row r="2287" spans="1:8" x14ac:dyDescent="0.25">
      <c r="A2287" s="68">
        <v>43977</v>
      </c>
      <c r="B2287" s="48">
        <v>0</v>
      </c>
      <c r="C2287" s="48">
        <v>0</v>
      </c>
      <c r="D2287" s="48">
        <v>0</v>
      </c>
      <c r="E2287" s="48" t="s">
        <v>112</v>
      </c>
      <c r="F2287" s="48" t="s">
        <v>72</v>
      </c>
      <c r="G2287" s="48" t="s">
        <v>400</v>
      </c>
      <c r="H2287" s="69">
        <f t="shared" si="35"/>
        <v>43952</v>
      </c>
    </row>
    <row r="2288" spans="1:8" x14ac:dyDescent="0.25">
      <c r="A2288" s="68">
        <v>43977</v>
      </c>
      <c r="B2288" s="48">
        <v>2</v>
      </c>
      <c r="C2288" s="48">
        <v>0</v>
      </c>
      <c r="D2288" s="48">
        <v>3</v>
      </c>
      <c r="E2288" s="48" t="s">
        <v>112</v>
      </c>
      <c r="F2288" s="48" t="s">
        <v>72</v>
      </c>
      <c r="G2288" s="48" t="s">
        <v>102</v>
      </c>
      <c r="H2288" s="69">
        <f t="shared" si="35"/>
        <v>43952</v>
      </c>
    </row>
    <row r="2289" spans="1:8" x14ac:dyDescent="0.25">
      <c r="A2289" s="68">
        <v>43977</v>
      </c>
      <c r="B2289" s="48">
        <v>4</v>
      </c>
      <c r="C2289" s="48">
        <v>0</v>
      </c>
      <c r="D2289" s="48">
        <v>0</v>
      </c>
      <c r="E2289" s="48" t="s">
        <v>112</v>
      </c>
      <c r="F2289" s="48" t="s">
        <v>72</v>
      </c>
      <c r="G2289" s="48" t="s">
        <v>355</v>
      </c>
      <c r="H2289" s="69">
        <f t="shared" si="35"/>
        <v>43952</v>
      </c>
    </row>
    <row r="2290" spans="1:8" x14ac:dyDescent="0.25">
      <c r="A2290" s="68">
        <v>43977</v>
      </c>
      <c r="B2290" s="48">
        <v>31</v>
      </c>
      <c r="C2290" s="48">
        <v>4</v>
      </c>
      <c r="D2290" s="48">
        <v>2</v>
      </c>
      <c r="E2290" s="48" t="s">
        <v>112</v>
      </c>
      <c r="F2290" s="48" t="s">
        <v>72</v>
      </c>
      <c r="G2290" s="48" t="s">
        <v>96</v>
      </c>
      <c r="H2290" s="69">
        <f t="shared" si="35"/>
        <v>43952</v>
      </c>
    </row>
    <row r="2291" spans="1:8" x14ac:dyDescent="0.25">
      <c r="A2291" s="68">
        <v>43977</v>
      </c>
      <c r="B2291" s="48">
        <v>2</v>
      </c>
      <c r="C2291" s="48">
        <v>0</v>
      </c>
      <c r="D2291" s="48">
        <v>5</v>
      </c>
      <c r="E2291" s="48" t="s">
        <v>112</v>
      </c>
      <c r="F2291" s="48" t="s">
        <v>72</v>
      </c>
      <c r="G2291" s="48" t="s">
        <v>347</v>
      </c>
      <c r="H2291" s="69">
        <f t="shared" si="35"/>
        <v>43952</v>
      </c>
    </row>
    <row r="2292" spans="1:8" x14ac:dyDescent="0.25">
      <c r="A2292" s="68">
        <v>43977</v>
      </c>
      <c r="B2292" s="48">
        <v>17</v>
      </c>
      <c r="C2292" s="48">
        <v>0</v>
      </c>
      <c r="D2292" s="48">
        <v>1</v>
      </c>
      <c r="E2292" s="48" t="s">
        <v>112</v>
      </c>
      <c r="F2292" s="48" t="s">
        <v>72</v>
      </c>
      <c r="G2292" s="48" t="s">
        <v>335</v>
      </c>
      <c r="H2292" s="69">
        <f t="shared" si="35"/>
        <v>43952</v>
      </c>
    </row>
    <row r="2293" spans="1:8" x14ac:dyDescent="0.25">
      <c r="A2293" s="68">
        <v>43977</v>
      </c>
      <c r="B2293" s="48">
        <v>3</v>
      </c>
      <c r="C2293" s="48">
        <v>0</v>
      </c>
      <c r="D2293" s="48">
        <v>2</v>
      </c>
      <c r="E2293" s="48" t="s">
        <v>112</v>
      </c>
      <c r="F2293" s="48" t="s">
        <v>72</v>
      </c>
      <c r="G2293" s="48" t="s">
        <v>342</v>
      </c>
      <c r="H2293" s="69">
        <f t="shared" si="35"/>
        <v>43952</v>
      </c>
    </row>
    <row r="2294" spans="1:8" x14ac:dyDescent="0.25">
      <c r="A2294" s="68">
        <v>43977</v>
      </c>
      <c r="B2294" s="48">
        <v>8</v>
      </c>
      <c r="C2294" s="48">
        <v>0</v>
      </c>
      <c r="D2294" s="48">
        <v>7</v>
      </c>
      <c r="E2294" s="48" t="s">
        <v>112</v>
      </c>
      <c r="F2294" s="48" t="s">
        <v>72</v>
      </c>
      <c r="G2294" s="48" t="s">
        <v>353</v>
      </c>
      <c r="H2294" s="69">
        <f t="shared" si="35"/>
        <v>43952</v>
      </c>
    </row>
    <row r="2295" spans="1:8" x14ac:dyDescent="0.25">
      <c r="A2295" s="68">
        <v>43977</v>
      </c>
      <c r="B2295" s="48">
        <v>4</v>
      </c>
      <c r="C2295" s="48">
        <v>1</v>
      </c>
      <c r="D2295" s="48">
        <v>4</v>
      </c>
      <c r="E2295" s="48" t="s">
        <v>112</v>
      </c>
      <c r="F2295" s="48" t="s">
        <v>72</v>
      </c>
      <c r="G2295" s="48" t="s">
        <v>101</v>
      </c>
      <c r="H2295" s="69">
        <f t="shared" si="35"/>
        <v>43952</v>
      </c>
    </row>
    <row r="2296" spans="1:8" x14ac:dyDescent="0.25">
      <c r="A2296" s="68">
        <v>43977</v>
      </c>
      <c r="B2296" s="48">
        <v>2</v>
      </c>
      <c r="C2296" s="48">
        <v>0</v>
      </c>
      <c r="D2296" s="48">
        <v>3</v>
      </c>
      <c r="E2296" s="48" t="s">
        <v>112</v>
      </c>
      <c r="F2296" s="48" t="s">
        <v>72</v>
      </c>
      <c r="G2296" s="48" t="s">
        <v>387</v>
      </c>
      <c r="H2296" s="69">
        <f t="shared" si="35"/>
        <v>43952</v>
      </c>
    </row>
    <row r="2297" spans="1:8" x14ac:dyDescent="0.25">
      <c r="A2297" s="68">
        <v>43977</v>
      </c>
      <c r="B2297" s="48">
        <v>0</v>
      </c>
      <c r="C2297" s="48">
        <v>0</v>
      </c>
      <c r="D2297" s="48">
        <v>0</v>
      </c>
      <c r="E2297" s="48" t="s">
        <v>112</v>
      </c>
      <c r="F2297" s="48" t="s">
        <v>72</v>
      </c>
      <c r="G2297" s="48" t="s">
        <v>406</v>
      </c>
      <c r="H2297" s="69">
        <f t="shared" si="35"/>
        <v>43952</v>
      </c>
    </row>
    <row r="2298" spans="1:8" x14ac:dyDescent="0.25">
      <c r="A2298" s="68">
        <v>43977</v>
      </c>
      <c r="B2298" s="48">
        <v>4</v>
      </c>
      <c r="C2298" s="48">
        <v>1</v>
      </c>
      <c r="D2298" s="48">
        <v>0</v>
      </c>
      <c r="E2298" s="48" t="s">
        <v>112</v>
      </c>
      <c r="F2298" s="48" t="s">
        <v>72</v>
      </c>
      <c r="G2298" s="48" t="s">
        <v>344</v>
      </c>
      <c r="H2298" s="69">
        <f t="shared" si="35"/>
        <v>43952</v>
      </c>
    </row>
    <row r="2299" spans="1:8" x14ac:dyDescent="0.25">
      <c r="A2299" s="68">
        <v>43977</v>
      </c>
      <c r="B2299" s="48">
        <v>0</v>
      </c>
      <c r="C2299" s="48">
        <v>0</v>
      </c>
      <c r="D2299" s="48">
        <v>0</v>
      </c>
      <c r="E2299" s="48" t="s">
        <v>112</v>
      </c>
      <c r="F2299" s="48" t="s">
        <v>72</v>
      </c>
      <c r="G2299" s="48" t="s">
        <v>354</v>
      </c>
      <c r="H2299" s="69">
        <f t="shared" si="35"/>
        <v>43952</v>
      </c>
    </row>
    <row r="2300" spans="1:8" x14ac:dyDescent="0.25">
      <c r="A2300" s="68">
        <v>43977</v>
      </c>
      <c r="B2300" s="48">
        <v>17</v>
      </c>
      <c r="C2300" s="48">
        <v>0</v>
      </c>
      <c r="D2300" s="48">
        <v>0</v>
      </c>
      <c r="E2300" s="48" t="s">
        <v>112</v>
      </c>
      <c r="F2300" s="48" t="s">
        <v>72</v>
      </c>
      <c r="G2300" s="48" t="s">
        <v>337</v>
      </c>
      <c r="H2300" s="69">
        <f t="shared" si="35"/>
        <v>43952</v>
      </c>
    </row>
    <row r="2301" spans="1:8" x14ac:dyDescent="0.25">
      <c r="A2301" s="68">
        <v>43977</v>
      </c>
      <c r="B2301" s="48">
        <v>3</v>
      </c>
      <c r="C2301" s="48">
        <v>0</v>
      </c>
      <c r="D2301" s="48">
        <v>0</v>
      </c>
      <c r="E2301" s="48" t="s">
        <v>112</v>
      </c>
      <c r="F2301" s="48" t="s">
        <v>72</v>
      </c>
      <c r="G2301" s="48" t="s">
        <v>356</v>
      </c>
      <c r="H2301" s="69">
        <f t="shared" si="35"/>
        <v>43952</v>
      </c>
    </row>
    <row r="2302" spans="1:8" x14ac:dyDescent="0.25">
      <c r="A2302" s="68">
        <v>43977</v>
      </c>
      <c r="B2302" s="48">
        <v>0</v>
      </c>
      <c r="C2302" s="48">
        <v>0</v>
      </c>
      <c r="D2302" s="48">
        <v>0</v>
      </c>
      <c r="E2302" s="48" t="s">
        <v>112</v>
      </c>
      <c r="F2302" s="48" t="s">
        <v>72</v>
      </c>
      <c r="G2302" s="48" t="s">
        <v>429</v>
      </c>
      <c r="H2302" s="69">
        <f t="shared" si="35"/>
        <v>43952</v>
      </c>
    </row>
    <row r="2303" spans="1:8" x14ac:dyDescent="0.25">
      <c r="A2303" s="68">
        <v>43977</v>
      </c>
      <c r="B2303" s="48">
        <v>0</v>
      </c>
      <c r="C2303" s="48">
        <v>0</v>
      </c>
      <c r="D2303" s="48">
        <v>0</v>
      </c>
      <c r="E2303" s="48" t="s">
        <v>112</v>
      </c>
      <c r="F2303" s="48" t="s">
        <v>72</v>
      </c>
      <c r="G2303" s="48" t="s">
        <v>431</v>
      </c>
      <c r="H2303" s="69">
        <f t="shared" si="35"/>
        <v>43952</v>
      </c>
    </row>
    <row r="2304" spans="1:8" x14ac:dyDescent="0.25">
      <c r="A2304" s="68">
        <v>43977</v>
      </c>
      <c r="B2304" s="48">
        <v>0</v>
      </c>
      <c r="C2304" s="48">
        <v>0</v>
      </c>
      <c r="D2304" s="48">
        <v>0</v>
      </c>
      <c r="E2304" s="48" t="s">
        <v>112</v>
      </c>
      <c r="F2304" s="48" t="s">
        <v>72</v>
      </c>
      <c r="G2304" s="48" t="s">
        <v>426</v>
      </c>
      <c r="H2304" s="69">
        <f t="shared" si="35"/>
        <v>43952</v>
      </c>
    </row>
    <row r="2305" spans="1:8" x14ac:dyDescent="0.25">
      <c r="A2305" s="68">
        <v>43977</v>
      </c>
      <c r="B2305" s="48">
        <v>0</v>
      </c>
      <c r="C2305" s="48">
        <v>0</v>
      </c>
      <c r="D2305" s="48">
        <v>0</v>
      </c>
      <c r="E2305" s="48" t="s">
        <v>112</v>
      </c>
      <c r="F2305" s="48" t="s">
        <v>72</v>
      </c>
      <c r="G2305" s="48" t="s">
        <v>436</v>
      </c>
      <c r="H2305" s="69">
        <f t="shared" si="35"/>
        <v>43952</v>
      </c>
    </row>
    <row r="2306" spans="1:8" x14ac:dyDescent="0.25">
      <c r="A2306" s="68">
        <v>43977</v>
      </c>
      <c r="B2306" s="48">
        <v>2</v>
      </c>
      <c r="C2306" s="48">
        <v>0</v>
      </c>
      <c r="D2306" s="48">
        <v>0</v>
      </c>
      <c r="E2306" s="48" t="s">
        <v>112</v>
      </c>
      <c r="F2306" s="48" t="s">
        <v>72</v>
      </c>
      <c r="G2306" s="48" t="s">
        <v>357</v>
      </c>
      <c r="H2306" s="69">
        <f t="shared" ref="H2306:H2369" si="36">DATE(YEAR(A2306),MONTH(A2306),1)</f>
        <v>43952</v>
      </c>
    </row>
    <row r="2307" spans="1:8" x14ac:dyDescent="0.25">
      <c r="A2307" s="68">
        <v>43977</v>
      </c>
      <c r="B2307" s="48">
        <v>0</v>
      </c>
      <c r="C2307" s="48">
        <v>0</v>
      </c>
      <c r="D2307" s="48">
        <v>2</v>
      </c>
      <c r="E2307" s="48" t="s">
        <v>112</v>
      </c>
      <c r="F2307" s="48" t="s">
        <v>72</v>
      </c>
      <c r="G2307" s="48" t="s">
        <v>358</v>
      </c>
      <c r="H2307" s="69">
        <f t="shared" si="36"/>
        <v>43952</v>
      </c>
    </row>
    <row r="2308" spans="1:8" x14ac:dyDescent="0.25">
      <c r="A2308" s="68">
        <v>43977</v>
      </c>
      <c r="B2308" s="48">
        <v>0</v>
      </c>
      <c r="C2308" s="48">
        <v>0</v>
      </c>
      <c r="D2308" s="48">
        <v>0</v>
      </c>
      <c r="E2308" s="48" t="s">
        <v>112</v>
      </c>
      <c r="F2308" s="48" t="s">
        <v>72</v>
      </c>
      <c r="G2308" s="48" t="s">
        <v>399</v>
      </c>
      <c r="H2308" s="69">
        <f t="shared" si="36"/>
        <v>43952</v>
      </c>
    </row>
    <row r="2309" spans="1:8" x14ac:dyDescent="0.25">
      <c r="A2309" s="68">
        <v>43977</v>
      </c>
      <c r="B2309" s="48">
        <v>4</v>
      </c>
      <c r="C2309" s="48">
        <v>0</v>
      </c>
      <c r="D2309" s="48">
        <v>0</v>
      </c>
      <c r="E2309" s="48" t="s">
        <v>112</v>
      </c>
      <c r="F2309" s="48" t="s">
        <v>72</v>
      </c>
      <c r="G2309" s="48" t="s">
        <v>352</v>
      </c>
      <c r="H2309" s="69">
        <f t="shared" si="36"/>
        <v>43952</v>
      </c>
    </row>
    <row r="2310" spans="1:8" x14ac:dyDescent="0.25">
      <c r="A2310" s="68">
        <v>43977</v>
      </c>
      <c r="B2310" s="48">
        <v>0</v>
      </c>
      <c r="C2310" s="48">
        <v>0</v>
      </c>
      <c r="D2310" s="48">
        <v>0</v>
      </c>
      <c r="E2310" s="48" t="s">
        <v>112</v>
      </c>
      <c r="F2310" s="48" t="s">
        <v>72</v>
      </c>
      <c r="G2310" s="48" t="s">
        <v>359</v>
      </c>
      <c r="H2310" s="69">
        <f t="shared" si="36"/>
        <v>43952</v>
      </c>
    </row>
    <row r="2311" spans="1:8" x14ac:dyDescent="0.25">
      <c r="A2311" s="68">
        <v>43977</v>
      </c>
      <c r="B2311" s="48">
        <v>0</v>
      </c>
      <c r="C2311" s="48">
        <v>0</v>
      </c>
      <c r="D2311" s="48">
        <v>0</v>
      </c>
      <c r="E2311" s="48" t="s">
        <v>112</v>
      </c>
      <c r="F2311" s="48" t="s">
        <v>72</v>
      </c>
      <c r="G2311" s="48" t="s">
        <v>410</v>
      </c>
      <c r="H2311" s="69">
        <f t="shared" si="36"/>
        <v>43952</v>
      </c>
    </row>
    <row r="2312" spans="1:8" x14ac:dyDescent="0.25">
      <c r="A2312" s="68">
        <v>43977</v>
      </c>
      <c r="B2312" s="48">
        <v>0</v>
      </c>
      <c r="C2312" s="48">
        <v>0</v>
      </c>
      <c r="D2312" s="48">
        <v>0</v>
      </c>
      <c r="E2312" s="48" t="s">
        <v>112</v>
      </c>
      <c r="F2312" s="48" t="s">
        <v>72</v>
      </c>
      <c r="G2312" s="48" t="s">
        <v>365</v>
      </c>
      <c r="H2312" s="69">
        <f t="shared" si="36"/>
        <v>43952</v>
      </c>
    </row>
    <row r="2313" spans="1:8" x14ac:dyDescent="0.25">
      <c r="A2313" s="68">
        <v>43977</v>
      </c>
      <c r="B2313" s="48">
        <v>0</v>
      </c>
      <c r="C2313" s="48">
        <v>0</v>
      </c>
      <c r="D2313" s="48">
        <v>0</v>
      </c>
      <c r="E2313" s="48" t="s">
        <v>112</v>
      </c>
      <c r="F2313" s="48" t="s">
        <v>72</v>
      </c>
      <c r="G2313" s="48" t="s">
        <v>408</v>
      </c>
      <c r="H2313" s="69">
        <f t="shared" si="36"/>
        <v>43952</v>
      </c>
    </row>
    <row r="2314" spans="1:8" x14ac:dyDescent="0.25">
      <c r="A2314" s="68">
        <v>43977</v>
      </c>
      <c r="B2314" s="48">
        <v>0</v>
      </c>
      <c r="C2314" s="48">
        <v>0</v>
      </c>
      <c r="D2314" s="48">
        <v>0</v>
      </c>
      <c r="E2314" s="48" t="s">
        <v>112</v>
      </c>
      <c r="F2314" s="48" t="s">
        <v>72</v>
      </c>
      <c r="G2314" s="48" t="s">
        <v>411</v>
      </c>
      <c r="H2314" s="69">
        <f t="shared" si="36"/>
        <v>43952</v>
      </c>
    </row>
    <row r="2315" spans="1:8" x14ac:dyDescent="0.25">
      <c r="A2315" s="68">
        <v>43977</v>
      </c>
      <c r="B2315" s="48">
        <v>0</v>
      </c>
      <c r="C2315" s="48">
        <v>0</v>
      </c>
      <c r="D2315" s="48">
        <v>0</v>
      </c>
      <c r="E2315" s="48" t="s">
        <v>112</v>
      </c>
      <c r="F2315" s="48" t="s">
        <v>72</v>
      </c>
      <c r="G2315" s="48" t="s">
        <v>351</v>
      </c>
      <c r="H2315" s="69">
        <f t="shared" si="36"/>
        <v>43952</v>
      </c>
    </row>
    <row r="2316" spans="1:8" x14ac:dyDescent="0.25">
      <c r="A2316" s="68">
        <v>43977</v>
      </c>
      <c r="B2316" s="48">
        <v>0</v>
      </c>
      <c r="C2316" s="48">
        <v>0</v>
      </c>
      <c r="D2316" s="48">
        <v>0</v>
      </c>
      <c r="E2316" s="48" t="s">
        <v>112</v>
      </c>
      <c r="F2316" s="48" t="s">
        <v>72</v>
      </c>
      <c r="G2316" s="48" t="s">
        <v>417</v>
      </c>
      <c r="H2316" s="69">
        <f t="shared" si="36"/>
        <v>43952</v>
      </c>
    </row>
    <row r="2317" spans="1:8" x14ac:dyDescent="0.25">
      <c r="A2317" s="68">
        <v>43977</v>
      </c>
      <c r="B2317" s="48">
        <v>0</v>
      </c>
      <c r="C2317" s="48">
        <v>0</v>
      </c>
      <c r="D2317" s="48">
        <v>0</v>
      </c>
      <c r="E2317" s="48" t="s">
        <v>112</v>
      </c>
      <c r="F2317" s="48" t="s">
        <v>72</v>
      </c>
      <c r="G2317" s="48" t="s">
        <v>420</v>
      </c>
      <c r="H2317" s="69">
        <f t="shared" si="36"/>
        <v>43952</v>
      </c>
    </row>
    <row r="2318" spans="1:8" x14ac:dyDescent="0.25">
      <c r="A2318" s="68">
        <v>43977</v>
      </c>
      <c r="B2318" s="48">
        <v>573</v>
      </c>
      <c r="C2318" s="48">
        <v>5</v>
      </c>
      <c r="D2318" s="48">
        <v>542</v>
      </c>
      <c r="E2318" s="48" t="s">
        <v>112</v>
      </c>
      <c r="F2318" s="48" t="s">
        <v>70</v>
      </c>
      <c r="G2318" s="48" t="s">
        <v>91</v>
      </c>
      <c r="H2318" s="69">
        <f t="shared" si="36"/>
        <v>43952</v>
      </c>
    </row>
    <row r="2319" spans="1:8" x14ac:dyDescent="0.25">
      <c r="A2319" s="68">
        <v>43977</v>
      </c>
      <c r="B2319" s="48">
        <v>3</v>
      </c>
      <c r="C2319" s="48">
        <v>2</v>
      </c>
      <c r="D2319" s="48">
        <v>0</v>
      </c>
      <c r="E2319" s="48" t="s">
        <v>112</v>
      </c>
      <c r="F2319" s="48" t="s">
        <v>76</v>
      </c>
      <c r="G2319" s="48" t="s">
        <v>339</v>
      </c>
      <c r="H2319" s="69">
        <f t="shared" si="36"/>
        <v>43952</v>
      </c>
    </row>
    <row r="2320" spans="1:8" x14ac:dyDescent="0.25">
      <c r="A2320" s="68">
        <v>43977</v>
      </c>
      <c r="B2320" s="48">
        <v>68</v>
      </c>
      <c r="C2320" s="48">
        <v>0</v>
      </c>
      <c r="D2320" s="48">
        <v>163</v>
      </c>
      <c r="E2320" s="48" t="s">
        <v>112</v>
      </c>
      <c r="F2320" s="48" t="s">
        <v>73</v>
      </c>
      <c r="G2320" s="48" t="s">
        <v>93</v>
      </c>
      <c r="H2320" s="69">
        <f t="shared" si="36"/>
        <v>43952</v>
      </c>
    </row>
    <row r="2321" spans="1:8" x14ac:dyDescent="0.25">
      <c r="A2321" s="68">
        <v>43977</v>
      </c>
      <c r="B2321" s="48">
        <v>464</v>
      </c>
      <c r="C2321" s="48">
        <v>10</v>
      </c>
      <c r="D2321" s="48">
        <v>61</v>
      </c>
      <c r="E2321" s="48" t="s">
        <v>112</v>
      </c>
      <c r="F2321" s="48" t="s">
        <v>71</v>
      </c>
      <c r="G2321" s="48" t="s">
        <v>92</v>
      </c>
      <c r="H2321" s="69">
        <f t="shared" si="36"/>
        <v>43952</v>
      </c>
    </row>
    <row r="2322" spans="1:8" x14ac:dyDescent="0.25">
      <c r="A2322" s="68">
        <v>43978</v>
      </c>
      <c r="B2322" s="48">
        <v>136</v>
      </c>
      <c r="C2322" s="48">
        <v>1</v>
      </c>
      <c r="D2322" s="48">
        <v>0</v>
      </c>
      <c r="E2322" s="48" t="s">
        <v>112</v>
      </c>
      <c r="F2322" s="48" t="s">
        <v>74</v>
      </c>
      <c r="G2322" s="48" t="s">
        <v>95</v>
      </c>
      <c r="H2322" s="69">
        <f t="shared" si="36"/>
        <v>43952</v>
      </c>
    </row>
    <row r="2323" spans="1:8" x14ac:dyDescent="0.25">
      <c r="A2323" s="68">
        <v>43978</v>
      </c>
      <c r="B2323" s="48">
        <v>699</v>
      </c>
      <c r="C2323" s="48">
        <v>6</v>
      </c>
      <c r="D2323" s="48">
        <v>755</v>
      </c>
      <c r="E2323" s="48" t="s">
        <v>112</v>
      </c>
      <c r="F2323" s="48" t="s">
        <v>70</v>
      </c>
      <c r="G2323" s="48" t="s">
        <v>91</v>
      </c>
      <c r="H2323" s="69">
        <f t="shared" si="36"/>
        <v>43952</v>
      </c>
    </row>
    <row r="2324" spans="1:8" x14ac:dyDescent="0.25">
      <c r="A2324" s="68">
        <v>43978</v>
      </c>
      <c r="B2324" s="48">
        <v>79</v>
      </c>
      <c r="C2324" s="48">
        <v>7</v>
      </c>
      <c r="D2324" s="48">
        <v>6</v>
      </c>
      <c r="E2324" s="48" t="s">
        <v>112</v>
      </c>
      <c r="F2324" s="48" t="s">
        <v>72</v>
      </c>
      <c r="G2324" s="48" t="s">
        <v>94</v>
      </c>
      <c r="H2324" s="69">
        <f t="shared" si="36"/>
        <v>43952</v>
      </c>
    </row>
    <row r="2325" spans="1:8" x14ac:dyDescent="0.25">
      <c r="A2325" s="68">
        <v>43978</v>
      </c>
      <c r="B2325" s="48">
        <v>2</v>
      </c>
      <c r="C2325" s="48">
        <v>0</v>
      </c>
      <c r="D2325" s="48">
        <v>0</v>
      </c>
      <c r="E2325" s="48" t="s">
        <v>112</v>
      </c>
      <c r="F2325" s="48" t="s">
        <v>72</v>
      </c>
      <c r="G2325" s="48" t="s">
        <v>341</v>
      </c>
      <c r="H2325" s="69">
        <f t="shared" si="36"/>
        <v>43952</v>
      </c>
    </row>
    <row r="2326" spans="1:8" x14ac:dyDescent="0.25">
      <c r="A2326" s="68">
        <v>43978</v>
      </c>
      <c r="B2326" s="48">
        <v>5</v>
      </c>
      <c r="C2326" s="48">
        <v>0</v>
      </c>
      <c r="D2326" s="48">
        <v>5</v>
      </c>
      <c r="E2326" s="48" t="s">
        <v>112</v>
      </c>
      <c r="F2326" s="48" t="s">
        <v>72</v>
      </c>
      <c r="G2326" s="48" t="s">
        <v>338</v>
      </c>
      <c r="H2326" s="69">
        <f t="shared" si="36"/>
        <v>43952</v>
      </c>
    </row>
    <row r="2327" spans="1:8" x14ac:dyDescent="0.25">
      <c r="A2327" s="68">
        <v>43978</v>
      </c>
      <c r="B2327" s="48">
        <v>1</v>
      </c>
      <c r="C2327" s="48">
        <v>0</v>
      </c>
      <c r="D2327" s="48">
        <v>3</v>
      </c>
      <c r="E2327" s="48" t="s">
        <v>112</v>
      </c>
      <c r="F2327" s="48" t="s">
        <v>72</v>
      </c>
      <c r="G2327" s="48" t="s">
        <v>343</v>
      </c>
      <c r="H2327" s="69">
        <f t="shared" si="36"/>
        <v>43952</v>
      </c>
    </row>
    <row r="2328" spans="1:8" x14ac:dyDescent="0.25">
      <c r="A2328" s="68">
        <v>43978</v>
      </c>
      <c r="B2328" s="48">
        <v>0</v>
      </c>
      <c r="C2328" s="48">
        <v>0</v>
      </c>
      <c r="D2328" s="48">
        <v>0</v>
      </c>
      <c r="E2328" s="48" t="s">
        <v>112</v>
      </c>
      <c r="F2328" s="48" t="s">
        <v>72</v>
      </c>
      <c r="G2328" s="48" t="s">
        <v>400</v>
      </c>
      <c r="H2328" s="69">
        <f t="shared" si="36"/>
        <v>43952</v>
      </c>
    </row>
    <row r="2329" spans="1:8" x14ac:dyDescent="0.25">
      <c r="A2329" s="68">
        <v>43978</v>
      </c>
      <c r="B2329" s="48">
        <v>7</v>
      </c>
      <c r="C2329" s="48">
        <v>0</v>
      </c>
      <c r="D2329" s="48">
        <v>12</v>
      </c>
      <c r="E2329" s="48" t="s">
        <v>112</v>
      </c>
      <c r="F2329" s="48" t="s">
        <v>72</v>
      </c>
      <c r="G2329" s="48" t="s">
        <v>102</v>
      </c>
      <c r="H2329" s="69">
        <f t="shared" si="36"/>
        <v>43952</v>
      </c>
    </row>
    <row r="2330" spans="1:8" x14ac:dyDescent="0.25">
      <c r="A2330" s="68">
        <v>43978</v>
      </c>
      <c r="B2330" s="48">
        <v>4</v>
      </c>
      <c r="C2330" s="48">
        <v>0</v>
      </c>
      <c r="D2330" s="48">
        <v>3</v>
      </c>
      <c r="E2330" s="48" t="s">
        <v>112</v>
      </c>
      <c r="F2330" s="48" t="s">
        <v>72</v>
      </c>
      <c r="G2330" s="48" t="s">
        <v>355</v>
      </c>
      <c r="H2330" s="69">
        <f t="shared" si="36"/>
        <v>43952</v>
      </c>
    </row>
    <row r="2331" spans="1:8" x14ac:dyDescent="0.25">
      <c r="A2331" s="68">
        <v>43978</v>
      </c>
      <c r="B2331" s="48">
        <v>1</v>
      </c>
      <c r="C2331" s="48">
        <v>1</v>
      </c>
      <c r="D2331" s="48">
        <v>0</v>
      </c>
      <c r="E2331" s="48" t="s">
        <v>112</v>
      </c>
      <c r="F2331" s="48" t="s">
        <v>72</v>
      </c>
      <c r="G2331" s="48" t="s">
        <v>96</v>
      </c>
      <c r="H2331" s="69">
        <f t="shared" si="36"/>
        <v>43952</v>
      </c>
    </row>
    <row r="2332" spans="1:8" x14ac:dyDescent="0.25">
      <c r="A2332" s="68">
        <v>43978</v>
      </c>
      <c r="B2332" s="48">
        <v>0</v>
      </c>
      <c r="C2332" s="48">
        <v>0</v>
      </c>
      <c r="D2332" s="48">
        <v>0</v>
      </c>
      <c r="E2332" s="48" t="s">
        <v>112</v>
      </c>
      <c r="F2332" s="48" t="s">
        <v>72</v>
      </c>
      <c r="G2332" s="48" t="s">
        <v>347</v>
      </c>
      <c r="H2332" s="69">
        <f t="shared" si="36"/>
        <v>43952</v>
      </c>
    </row>
    <row r="2333" spans="1:8" x14ac:dyDescent="0.25">
      <c r="A2333" s="68">
        <v>43978</v>
      </c>
      <c r="B2333" s="48">
        <v>10</v>
      </c>
      <c r="C2333" s="48">
        <v>0</v>
      </c>
      <c r="D2333" s="48">
        <v>1</v>
      </c>
      <c r="E2333" s="48" t="s">
        <v>112</v>
      </c>
      <c r="F2333" s="48" t="s">
        <v>72</v>
      </c>
      <c r="G2333" s="48" t="s">
        <v>335</v>
      </c>
      <c r="H2333" s="69">
        <f t="shared" si="36"/>
        <v>43952</v>
      </c>
    </row>
    <row r="2334" spans="1:8" x14ac:dyDescent="0.25">
      <c r="A2334" s="68">
        <v>43978</v>
      </c>
      <c r="B2334" s="48">
        <v>1</v>
      </c>
      <c r="C2334" s="48">
        <v>0</v>
      </c>
      <c r="D2334" s="48">
        <v>0</v>
      </c>
      <c r="E2334" s="48" t="s">
        <v>112</v>
      </c>
      <c r="F2334" s="48" t="s">
        <v>72</v>
      </c>
      <c r="G2334" s="48" t="s">
        <v>342</v>
      </c>
      <c r="H2334" s="69">
        <f t="shared" si="36"/>
        <v>43952</v>
      </c>
    </row>
    <row r="2335" spans="1:8" x14ac:dyDescent="0.25">
      <c r="A2335" s="68">
        <v>43978</v>
      </c>
      <c r="B2335" s="48">
        <v>0</v>
      </c>
      <c r="C2335" s="48">
        <v>0</v>
      </c>
      <c r="D2335" s="48">
        <v>0</v>
      </c>
      <c r="E2335" s="48" t="s">
        <v>112</v>
      </c>
      <c r="F2335" s="48" t="s">
        <v>72</v>
      </c>
      <c r="G2335" s="48" t="s">
        <v>353</v>
      </c>
      <c r="H2335" s="69">
        <f t="shared" si="36"/>
        <v>43952</v>
      </c>
    </row>
    <row r="2336" spans="1:8" x14ac:dyDescent="0.25">
      <c r="A2336" s="68">
        <v>43978</v>
      </c>
      <c r="B2336" s="48">
        <v>0</v>
      </c>
      <c r="C2336" s="48">
        <v>0</v>
      </c>
      <c r="D2336" s="48">
        <v>0</v>
      </c>
      <c r="E2336" s="48" t="s">
        <v>112</v>
      </c>
      <c r="F2336" s="48" t="s">
        <v>72</v>
      </c>
      <c r="G2336" s="48" t="s">
        <v>101</v>
      </c>
      <c r="H2336" s="69">
        <f t="shared" si="36"/>
        <v>43952</v>
      </c>
    </row>
    <row r="2337" spans="1:8" x14ac:dyDescent="0.25">
      <c r="A2337" s="68">
        <v>43978</v>
      </c>
      <c r="B2337" s="48">
        <v>0</v>
      </c>
      <c r="C2337" s="48">
        <v>0</v>
      </c>
      <c r="D2337" s="48">
        <v>0</v>
      </c>
      <c r="E2337" s="48" t="s">
        <v>112</v>
      </c>
      <c r="F2337" s="48" t="s">
        <v>72</v>
      </c>
      <c r="G2337" s="48" t="s">
        <v>387</v>
      </c>
      <c r="H2337" s="69">
        <f t="shared" si="36"/>
        <v>43952</v>
      </c>
    </row>
    <row r="2338" spans="1:8" x14ac:dyDescent="0.25">
      <c r="A2338" s="68">
        <v>43978</v>
      </c>
      <c r="B2338" s="48">
        <v>0</v>
      </c>
      <c r="C2338" s="48">
        <v>0</v>
      </c>
      <c r="D2338" s="48">
        <v>0</v>
      </c>
      <c r="E2338" s="48" t="s">
        <v>112</v>
      </c>
      <c r="F2338" s="48" t="s">
        <v>72</v>
      </c>
      <c r="G2338" s="48" t="s">
        <v>406</v>
      </c>
      <c r="H2338" s="69">
        <f t="shared" si="36"/>
        <v>43952</v>
      </c>
    </row>
    <row r="2339" spans="1:8" x14ac:dyDescent="0.25">
      <c r="A2339" s="68">
        <v>43978</v>
      </c>
      <c r="B2339" s="48">
        <v>14</v>
      </c>
      <c r="C2339" s="48">
        <v>0</v>
      </c>
      <c r="D2339" s="48">
        <v>0</v>
      </c>
      <c r="E2339" s="48" t="s">
        <v>112</v>
      </c>
      <c r="F2339" s="48" t="s">
        <v>72</v>
      </c>
      <c r="G2339" s="48" t="s">
        <v>344</v>
      </c>
      <c r="H2339" s="69">
        <f t="shared" si="36"/>
        <v>43952</v>
      </c>
    </row>
    <row r="2340" spans="1:8" x14ac:dyDescent="0.25">
      <c r="A2340" s="68">
        <v>43978</v>
      </c>
      <c r="B2340" s="48">
        <v>26</v>
      </c>
      <c r="C2340" s="48">
        <v>0</v>
      </c>
      <c r="D2340" s="48">
        <v>0</v>
      </c>
      <c r="E2340" s="48" t="s">
        <v>112</v>
      </c>
      <c r="F2340" s="48" t="s">
        <v>72</v>
      </c>
      <c r="G2340" s="48" t="s">
        <v>354</v>
      </c>
      <c r="H2340" s="69">
        <f t="shared" si="36"/>
        <v>43952</v>
      </c>
    </row>
    <row r="2341" spans="1:8" x14ac:dyDescent="0.25">
      <c r="A2341" s="68">
        <v>43978</v>
      </c>
      <c r="B2341" s="48">
        <v>6</v>
      </c>
      <c r="C2341" s="48">
        <v>0</v>
      </c>
      <c r="D2341" s="48">
        <v>0</v>
      </c>
      <c r="E2341" s="48" t="s">
        <v>112</v>
      </c>
      <c r="F2341" s="48" t="s">
        <v>72</v>
      </c>
      <c r="G2341" s="48" t="s">
        <v>337</v>
      </c>
      <c r="H2341" s="69">
        <f t="shared" si="36"/>
        <v>43952</v>
      </c>
    </row>
    <row r="2342" spans="1:8" x14ac:dyDescent="0.25">
      <c r="A2342" s="68">
        <v>43978</v>
      </c>
      <c r="B2342" s="48">
        <v>0</v>
      </c>
      <c r="C2342" s="48">
        <v>0</v>
      </c>
      <c r="D2342" s="48">
        <v>0</v>
      </c>
      <c r="E2342" s="48" t="s">
        <v>112</v>
      </c>
      <c r="F2342" s="48" t="s">
        <v>72</v>
      </c>
      <c r="G2342" s="48" t="s">
        <v>356</v>
      </c>
      <c r="H2342" s="69">
        <f t="shared" si="36"/>
        <v>43952</v>
      </c>
    </row>
    <row r="2343" spans="1:8" x14ac:dyDescent="0.25">
      <c r="A2343" s="68">
        <v>43978</v>
      </c>
      <c r="B2343" s="48">
        <v>0</v>
      </c>
      <c r="C2343" s="48">
        <v>0</v>
      </c>
      <c r="D2343" s="48">
        <v>0</v>
      </c>
      <c r="E2343" s="48" t="s">
        <v>112</v>
      </c>
      <c r="F2343" s="48" t="s">
        <v>72</v>
      </c>
      <c r="G2343" s="48" t="s">
        <v>429</v>
      </c>
      <c r="H2343" s="69">
        <f t="shared" si="36"/>
        <v>43952</v>
      </c>
    </row>
    <row r="2344" spans="1:8" x14ac:dyDescent="0.25">
      <c r="A2344" s="68">
        <v>43978</v>
      </c>
      <c r="B2344" s="48">
        <v>0</v>
      </c>
      <c r="C2344" s="48">
        <v>0</v>
      </c>
      <c r="D2344" s="48">
        <v>0</v>
      </c>
      <c r="E2344" s="48" t="s">
        <v>112</v>
      </c>
      <c r="F2344" s="48" t="s">
        <v>72</v>
      </c>
      <c r="G2344" s="48" t="s">
        <v>431</v>
      </c>
      <c r="H2344" s="69">
        <f t="shared" si="36"/>
        <v>43952</v>
      </c>
    </row>
    <row r="2345" spans="1:8" x14ac:dyDescent="0.25">
      <c r="A2345" s="68">
        <v>43978</v>
      </c>
      <c r="B2345" s="48">
        <v>0</v>
      </c>
      <c r="C2345" s="48">
        <v>0</v>
      </c>
      <c r="D2345" s="48">
        <v>0</v>
      </c>
      <c r="E2345" s="48" t="s">
        <v>112</v>
      </c>
      <c r="F2345" s="48" t="s">
        <v>72</v>
      </c>
      <c r="G2345" s="48" t="s">
        <v>426</v>
      </c>
      <c r="H2345" s="69">
        <f t="shared" si="36"/>
        <v>43952</v>
      </c>
    </row>
    <row r="2346" spans="1:8" x14ac:dyDescent="0.25">
      <c r="A2346" s="68">
        <v>43978</v>
      </c>
      <c r="B2346" s="48">
        <v>0</v>
      </c>
      <c r="C2346" s="48">
        <v>0</v>
      </c>
      <c r="D2346" s="48">
        <v>0</v>
      </c>
      <c r="E2346" s="48" t="s">
        <v>112</v>
      </c>
      <c r="F2346" s="48" t="s">
        <v>72</v>
      </c>
      <c r="G2346" s="48" t="s">
        <v>436</v>
      </c>
      <c r="H2346" s="69">
        <f t="shared" si="36"/>
        <v>43952</v>
      </c>
    </row>
    <row r="2347" spans="1:8" x14ac:dyDescent="0.25">
      <c r="A2347" s="68">
        <v>43978</v>
      </c>
      <c r="B2347" s="48">
        <v>3</v>
      </c>
      <c r="C2347" s="48">
        <v>0</v>
      </c>
      <c r="D2347" s="48">
        <v>0</v>
      </c>
      <c r="E2347" s="48" t="s">
        <v>112</v>
      </c>
      <c r="F2347" s="48" t="s">
        <v>72</v>
      </c>
      <c r="G2347" s="48" t="s">
        <v>357</v>
      </c>
      <c r="H2347" s="69">
        <f t="shared" si="36"/>
        <v>43952</v>
      </c>
    </row>
    <row r="2348" spans="1:8" x14ac:dyDescent="0.25">
      <c r="A2348" s="68">
        <v>43978</v>
      </c>
      <c r="B2348" s="48">
        <v>4</v>
      </c>
      <c r="C2348" s="48">
        <v>1</v>
      </c>
      <c r="D2348" s="48">
        <v>0</v>
      </c>
      <c r="E2348" s="48" t="s">
        <v>112</v>
      </c>
      <c r="F2348" s="48" t="s">
        <v>72</v>
      </c>
      <c r="G2348" s="48" t="s">
        <v>358</v>
      </c>
      <c r="H2348" s="69">
        <f t="shared" si="36"/>
        <v>43952</v>
      </c>
    </row>
    <row r="2349" spans="1:8" x14ac:dyDescent="0.25">
      <c r="A2349" s="68">
        <v>43978</v>
      </c>
      <c r="B2349" s="48">
        <v>0</v>
      </c>
      <c r="C2349" s="48">
        <v>0</v>
      </c>
      <c r="D2349" s="48">
        <v>0</v>
      </c>
      <c r="E2349" s="48" t="s">
        <v>112</v>
      </c>
      <c r="F2349" s="48" t="s">
        <v>72</v>
      </c>
      <c r="G2349" s="48" t="s">
        <v>399</v>
      </c>
      <c r="H2349" s="69">
        <f t="shared" si="36"/>
        <v>43952</v>
      </c>
    </row>
    <row r="2350" spans="1:8" x14ac:dyDescent="0.25">
      <c r="A2350" s="68">
        <v>43978</v>
      </c>
      <c r="B2350" s="48">
        <v>6</v>
      </c>
      <c r="C2350" s="48">
        <v>0</v>
      </c>
      <c r="D2350" s="48">
        <v>5</v>
      </c>
      <c r="E2350" s="48" t="s">
        <v>112</v>
      </c>
      <c r="F2350" s="48" t="s">
        <v>72</v>
      </c>
      <c r="G2350" s="48" t="s">
        <v>352</v>
      </c>
      <c r="H2350" s="69">
        <f t="shared" si="36"/>
        <v>43952</v>
      </c>
    </row>
    <row r="2351" spans="1:8" x14ac:dyDescent="0.25">
      <c r="A2351" s="68">
        <v>43978</v>
      </c>
      <c r="B2351" s="48">
        <v>0</v>
      </c>
      <c r="C2351" s="48">
        <v>0</v>
      </c>
      <c r="D2351" s="48">
        <v>0</v>
      </c>
      <c r="E2351" s="48" t="s">
        <v>112</v>
      </c>
      <c r="F2351" s="48" t="s">
        <v>72</v>
      </c>
      <c r="G2351" s="48" t="s">
        <v>359</v>
      </c>
      <c r="H2351" s="69">
        <f t="shared" si="36"/>
        <v>43952</v>
      </c>
    </row>
    <row r="2352" spans="1:8" x14ac:dyDescent="0.25">
      <c r="A2352" s="68">
        <v>43978</v>
      </c>
      <c r="B2352" s="48">
        <v>0</v>
      </c>
      <c r="C2352" s="48">
        <v>0</v>
      </c>
      <c r="D2352" s="48">
        <v>0</v>
      </c>
      <c r="E2352" s="48" t="s">
        <v>112</v>
      </c>
      <c r="F2352" s="48" t="s">
        <v>72</v>
      </c>
      <c r="G2352" s="48" t="s">
        <v>410</v>
      </c>
      <c r="H2352" s="69">
        <f t="shared" si="36"/>
        <v>43952</v>
      </c>
    </row>
    <row r="2353" spans="1:8" x14ac:dyDescent="0.25">
      <c r="A2353" s="68">
        <v>43978</v>
      </c>
      <c r="B2353" s="48">
        <v>0</v>
      </c>
      <c r="C2353" s="48">
        <v>0</v>
      </c>
      <c r="D2353" s="48">
        <v>0</v>
      </c>
      <c r="E2353" s="48" t="s">
        <v>112</v>
      </c>
      <c r="F2353" s="48" t="s">
        <v>72</v>
      </c>
      <c r="G2353" s="48" t="s">
        <v>365</v>
      </c>
      <c r="H2353" s="69">
        <f t="shared" si="36"/>
        <v>43952</v>
      </c>
    </row>
    <row r="2354" spans="1:8" x14ac:dyDescent="0.25">
      <c r="A2354" s="68">
        <v>43978</v>
      </c>
      <c r="B2354" s="48">
        <v>0</v>
      </c>
      <c r="C2354" s="48">
        <v>0</v>
      </c>
      <c r="D2354" s="48">
        <v>0</v>
      </c>
      <c r="E2354" s="48" t="s">
        <v>112</v>
      </c>
      <c r="F2354" s="48" t="s">
        <v>72</v>
      </c>
      <c r="G2354" s="48" t="s">
        <v>408</v>
      </c>
      <c r="H2354" s="69">
        <f t="shared" si="36"/>
        <v>43952</v>
      </c>
    </row>
    <row r="2355" spans="1:8" x14ac:dyDescent="0.25">
      <c r="A2355" s="68">
        <v>43978</v>
      </c>
      <c r="B2355" s="48">
        <v>0</v>
      </c>
      <c r="C2355" s="48">
        <v>0</v>
      </c>
      <c r="D2355" s="48">
        <v>0</v>
      </c>
      <c r="E2355" s="48" t="s">
        <v>112</v>
      </c>
      <c r="F2355" s="48" t="s">
        <v>72</v>
      </c>
      <c r="G2355" s="48" t="s">
        <v>411</v>
      </c>
      <c r="H2355" s="69">
        <f t="shared" si="36"/>
        <v>43952</v>
      </c>
    </row>
    <row r="2356" spans="1:8" x14ac:dyDescent="0.25">
      <c r="A2356" s="68">
        <v>43978</v>
      </c>
      <c r="B2356" s="48">
        <v>0</v>
      </c>
      <c r="C2356" s="48">
        <v>0</v>
      </c>
      <c r="D2356" s="48">
        <v>0</v>
      </c>
      <c r="E2356" s="48" t="s">
        <v>112</v>
      </c>
      <c r="F2356" s="48" t="s">
        <v>72</v>
      </c>
      <c r="G2356" s="48" t="s">
        <v>351</v>
      </c>
      <c r="H2356" s="69">
        <f t="shared" si="36"/>
        <v>43952</v>
      </c>
    </row>
    <row r="2357" spans="1:8" x14ac:dyDescent="0.25">
      <c r="A2357" s="68">
        <v>43978</v>
      </c>
      <c r="B2357" s="48">
        <v>0</v>
      </c>
      <c r="C2357" s="48">
        <v>0</v>
      </c>
      <c r="D2357" s="48">
        <v>1</v>
      </c>
      <c r="E2357" s="48" t="s">
        <v>112</v>
      </c>
      <c r="F2357" s="48" t="s">
        <v>72</v>
      </c>
      <c r="G2357" s="48" t="s">
        <v>417</v>
      </c>
      <c r="H2357" s="69">
        <f t="shared" si="36"/>
        <v>43952</v>
      </c>
    </row>
    <row r="2358" spans="1:8" x14ac:dyDescent="0.25">
      <c r="A2358" s="68">
        <v>43978</v>
      </c>
      <c r="B2358" s="48">
        <v>0</v>
      </c>
      <c r="C2358" s="48">
        <v>0</v>
      </c>
      <c r="D2358" s="48">
        <v>0</v>
      </c>
      <c r="E2358" s="48" t="s">
        <v>112</v>
      </c>
      <c r="F2358" s="48" t="s">
        <v>72</v>
      </c>
      <c r="G2358" s="48" t="s">
        <v>420</v>
      </c>
      <c r="H2358" s="69">
        <f t="shared" si="36"/>
        <v>43952</v>
      </c>
    </row>
    <row r="2359" spans="1:8" x14ac:dyDescent="0.25">
      <c r="A2359" s="68">
        <v>43978</v>
      </c>
      <c r="B2359" s="48">
        <v>5</v>
      </c>
      <c r="C2359" s="48">
        <v>1</v>
      </c>
      <c r="D2359" s="48">
        <v>0</v>
      </c>
      <c r="E2359" s="48" t="s">
        <v>112</v>
      </c>
      <c r="F2359" s="48" t="s">
        <v>76</v>
      </c>
      <c r="G2359" s="48" t="s">
        <v>339</v>
      </c>
      <c r="H2359" s="69">
        <f t="shared" si="36"/>
        <v>43952</v>
      </c>
    </row>
    <row r="2360" spans="1:8" x14ac:dyDescent="0.25">
      <c r="A2360" s="68">
        <v>43978</v>
      </c>
      <c r="B2360" s="48">
        <v>245</v>
      </c>
      <c r="C2360" s="48">
        <v>0</v>
      </c>
      <c r="D2360" s="48">
        <v>133</v>
      </c>
      <c r="E2360" s="48" t="s">
        <v>112</v>
      </c>
      <c r="F2360" s="48" t="s">
        <v>73</v>
      </c>
      <c r="G2360" s="48" t="s">
        <v>93</v>
      </c>
      <c r="H2360" s="69">
        <f t="shared" si="36"/>
        <v>43952</v>
      </c>
    </row>
    <row r="2361" spans="1:8" x14ac:dyDescent="0.25">
      <c r="A2361" s="68">
        <v>43978</v>
      </c>
      <c r="B2361" s="48">
        <v>919</v>
      </c>
      <c r="C2361" s="48">
        <v>19</v>
      </c>
      <c r="D2361" s="48">
        <v>141</v>
      </c>
      <c r="E2361" s="48" t="s">
        <v>112</v>
      </c>
      <c r="F2361" s="48" t="s">
        <v>71</v>
      </c>
      <c r="G2361" s="48" t="s">
        <v>92</v>
      </c>
      <c r="H2361" s="69">
        <f t="shared" si="36"/>
        <v>43952</v>
      </c>
    </row>
    <row r="2362" spans="1:8" x14ac:dyDescent="0.25">
      <c r="A2362" s="68">
        <v>43979</v>
      </c>
      <c r="B2362" s="48">
        <v>871</v>
      </c>
      <c r="C2362" s="48">
        <v>5</v>
      </c>
      <c r="D2362" s="48">
        <v>1278</v>
      </c>
      <c r="E2362" s="48" t="s">
        <v>112</v>
      </c>
      <c r="F2362" s="48" t="s">
        <v>70</v>
      </c>
      <c r="G2362" s="48" t="s">
        <v>91</v>
      </c>
      <c r="H2362" s="69">
        <f t="shared" si="36"/>
        <v>43952</v>
      </c>
    </row>
    <row r="2363" spans="1:8" x14ac:dyDescent="0.25">
      <c r="A2363" s="68">
        <v>43979</v>
      </c>
      <c r="B2363" s="48">
        <v>32</v>
      </c>
      <c r="C2363" s="48">
        <v>2</v>
      </c>
      <c r="D2363" s="48">
        <v>81</v>
      </c>
      <c r="E2363" s="48" t="s">
        <v>112</v>
      </c>
      <c r="F2363" s="48" t="s">
        <v>70</v>
      </c>
      <c r="G2363" s="48" t="s">
        <v>99</v>
      </c>
      <c r="H2363" s="69">
        <f t="shared" si="36"/>
        <v>43952</v>
      </c>
    </row>
    <row r="2364" spans="1:8" x14ac:dyDescent="0.25">
      <c r="A2364" s="68">
        <v>43979</v>
      </c>
      <c r="B2364" s="48">
        <v>7</v>
      </c>
      <c r="C2364" s="48">
        <v>0</v>
      </c>
      <c r="D2364" s="48">
        <v>7</v>
      </c>
      <c r="E2364" s="48" t="s">
        <v>112</v>
      </c>
      <c r="F2364" s="48" t="s">
        <v>70</v>
      </c>
      <c r="G2364" s="48" t="s">
        <v>363</v>
      </c>
      <c r="H2364" s="69">
        <f t="shared" si="36"/>
        <v>43952</v>
      </c>
    </row>
    <row r="2365" spans="1:8" x14ac:dyDescent="0.25">
      <c r="A2365" s="68">
        <v>43979</v>
      </c>
      <c r="B2365" s="48">
        <v>0</v>
      </c>
      <c r="C2365" s="48">
        <v>3</v>
      </c>
      <c r="D2365" s="48">
        <v>6</v>
      </c>
      <c r="E2365" s="48" t="s">
        <v>112</v>
      </c>
      <c r="F2365" s="48" t="s">
        <v>70</v>
      </c>
      <c r="G2365" s="48" t="s">
        <v>377</v>
      </c>
      <c r="H2365" s="69">
        <f t="shared" si="36"/>
        <v>43952</v>
      </c>
    </row>
    <row r="2366" spans="1:8" x14ac:dyDescent="0.25">
      <c r="A2366" s="68">
        <v>43979</v>
      </c>
      <c r="B2366" s="48">
        <v>1</v>
      </c>
      <c r="C2366" s="48">
        <v>0</v>
      </c>
      <c r="D2366" s="48">
        <v>14</v>
      </c>
      <c r="E2366" s="48" t="s">
        <v>112</v>
      </c>
      <c r="F2366" s="48" t="s">
        <v>70</v>
      </c>
      <c r="G2366" s="48" t="s">
        <v>349</v>
      </c>
      <c r="H2366" s="69">
        <f t="shared" si="36"/>
        <v>43952</v>
      </c>
    </row>
    <row r="2367" spans="1:8" x14ac:dyDescent="0.25">
      <c r="A2367" s="68">
        <v>43979</v>
      </c>
      <c r="B2367" s="48">
        <v>17</v>
      </c>
      <c r="C2367" s="48">
        <v>1</v>
      </c>
      <c r="D2367" s="48">
        <v>10</v>
      </c>
      <c r="E2367" s="48" t="s">
        <v>112</v>
      </c>
      <c r="F2367" s="48" t="s">
        <v>70</v>
      </c>
      <c r="G2367" s="48" t="s">
        <v>385</v>
      </c>
      <c r="H2367" s="69">
        <f t="shared" si="36"/>
        <v>43952</v>
      </c>
    </row>
    <row r="2368" spans="1:8" x14ac:dyDescent="0.25">
      <c r="A2368" s="68">
        <v>43979</v>
      </c>
      <c r="B2368" s="48">
        <v>0</v>
      </c>
      <c r="C2368" s="48">
        <v>0</v>
      </c>
      <c r="D2368" s="48">
        <v>2</v>
      </c>
      <c r="E2368" s="48" t="s">
        <v>112</v>
      </c>
      <c r="F2368" s="48" t="s">
        <v>70</v>
      </c>
      <c r="G2368" s="48" t="s">
        <v>388</v>
      </c>
      <c r="H2368" s="69">
        <f t="shared" si="36"/>
        <v>43952</v>
      </c>
    </row>
    <row r="2369" spans="1:8" x14ac:dyDescent="0.25">
      <c r="A2369" s="68">
        <v>43979</v>
      </c>
      <c r="B2369" s="48">
        <v>10</v>
      </c>
      <c r="C2369" s="48">
        <v>0</v>
      </c>
      <c r="D2369" s="48">
        <v>1</v>
      </c>
      <c r="E2369" s="48" t="s">
        <v>112</v>
      </c>
      <c r="F2369" s="48" t="s">
        <v>70</v>
      </c>
      <c r="G2369" s="48" t="s">
        <v>381</v>
      </c>
      <c r="H2369" s="69">
        <f t="shared" si="36"/>
        <v>43952</v>
      </c>
    </row>
    <row r="2370" spans="1:8" x14ac:dyDescent="0.25">
      <c r="A2370" s="68">
        <v>43979</v>
      </c>
      <c r="B2370" s="48">
        <v>4</v>
      </c>
      <c r="C2370" s="48">
        <v>1</v>
      </c>
      <c r="D2370" s="48">
        <v>17</v>
      </c>
      <c r="E2370" s="48" t="s">
        <v>112</v>
      </c>
      <c r="F2370" s="48" t="s">
        <v>70</v>
      </c>
      <c r="G2370" s="48" t="s">
        <v>374</v>
      </c>
      <c r="H2370" s="69">
        <f t="shared" ref="H2370:H2433" si="37">DATE(YEAR(A2370),MONTH(A2370),1)</f>
        <v>43952</v>
      </c>
    </row>
    <row r="2371" spans="1:8" x14ac:dyDescent="0.25">
      <c r="A2371" s="68">
        <v>43979</v>
      </c>
      <c r="B2371" s="48">
        <v>4</v>
      </c>
      <c r="C2371" s="48">
        <v>0</v>
      </c>
      <c r="D2371" s="48">
        <v>11</v>
      </c>
      <c r="E2371" s="48" t="s">
        <v>112</v>
      </c>
      <c r="F2371" s="48" t="s">
        <v>70</v>
      </c>
      <c r="G2371" s="48" t="s">
        <v>386</v>
      </c>
      <c r="H2371" s="69">
        <f t="shared" si="37"/>
        <v>43952</v>
      </c>
    </row>
    <row r="2372" spans="1:8" x14ac:dyDescent="0.25">
      <c r="A2372" s="68">
        <v>43979</v>
      </c>
      <c r="B2372" s="48">
        <v>0</v>
      </c>
      <c r="C2372" s="48">
        <v>0</v>
      </c>
      <c r="D2372" s="48">
        <v>2</v>
      </c>
      <c r="E2372" s="48" t="s">
        <v>112</v>
      </c>
      <c r="F2372" s="48" t="s">
        <v>70</v>
      </c>
      <c r="G2372" s="48" t="s">
        <v>415</v>
      </c>
      <c r="H2372" s="69">
        <f t="shared" si="37"/>
        <v>43952</v>
      </c>
    </row>
    <row r="2373" spans="1:8" x14ac:dyDescent="0.25">
      <c r="A2373" s="68">
        <v>43979</v>
      </c>
      <c r="B2373" s="48">
        <v>18</v>
      </c>
      <c r="C2373" s="48">
        <v>1</v>
      </c>
      <c r="D2373" s="48">
        <v>86</v>
      </c>
      <c r="E2373" s="48" t="s">
        <v>112</v>
      </c>
      <c r="F2373" s="48" t="s">
        <v>70</v>
      </c>
      <c r="G2373" s="48" t="s">
        <v>105</v>
      </c>
      <c r="H2373" s="69">
        <f t="shared" si="37"/>
        <v>43952</v>
      </c>
    </row>
    <row r="2374" spans="1:8" x14ac:dyDescent="0.25">
      <c r="A2374" s="68">
        <v>43979</v>
      </c>
      <c r="B2374" s="48">
        <v>19</v>
      </c>
      <c r="C2374" s="48">
        <v>0</v>
      </c>
      <c r="D2374" s="48">
        <v>57</v>
      </c>
      <c r="E2374" s="48" t="s">
        <v>112</v>
      </c>
      <c r="F2374" s="48" t="s">
        <v>70</v>
      </c>
      <c r="G2374" s="48" t="s">
        <v>98</v>
      </c>
      <c r="H2374" s="69">
        <f t="shared" si="37"/>
        <v>43952</v>
      </c>
    </row>
    <row r="2375" spans="1:8" x14ac:dyDescent="0.25">
      <c r="A2375" s="68">
        <v>43979</v>
      </c>
      <c r="B2375" s="48">
        <v>14</v>
      </c>
      <c r="C2375" s="48">
        <v>0</v>
      </c>
      <c r="D2375" s="48">
        <v>89</v>
      </c>
      <c r="E2375" s="48" t="s">
        <v>112</v>
      </c>
      <c r="F2375" s="48" t="s">
        <v>70</v>
      </c>
      <c r="G2375" s="48" t="s">
        <v>336</v>
      </c>
      <c r="H2375" s="69">
        <f t="shared" si="37"/>
        <v>43952</v>
      </c>
    </row>
    <row r="2376" spans="1:8" x14ac:dyDescent="0.25">
      <c r="A2376" s="68">
        <v>43979</v>
      </c>
      <c r="B2376" s="48">
        <v>20</v>
      </c>
      <c r="C2376" s="48">
        <v>0</v>
      </c>
      <c r="D2376" s="48">
        <v>73</v>
      </c>
      <c r="E2376" s="48" t="s">
        <v>112</v>
      </c>
      <c r="F2376" s="48" t="s">
        <v>70</v>
      </c>
      <c r="G2376" s="48" t="s">
        <v>104</v>
      </c>
      <c r="H2376" s="69">
        <f t="shared" si="37"/>
        <v>43952</v>
      </c>
    </row>
    <row r="2377" spans="1:8" x14ac:dyDescent="0.25">
      <c r="A2377" s="68">
        <v>43979</v>
      </c>
      <c r="B2377" s="48">
        <v>2</v>
      </c>
      <c r="C2377" s="48">
        <v>0</v>
      </c>
      <c r="D2377" s="48">
        <v>3</v>
      </c>
      <c r="E2377" s="48" t="s">
        <v>112</v>
      </c>
      <c r="F2377" s="48" t="s">
        <v>70</v>
      </c>
      <c r="G2377" s="48" t="s">
        <v>379</v>
      </c>
      <c r="H2377" s="69">
        <f t="shared" si="37"/>
        <v>43952</v>
      </c>
    </row>
    <row r="2378" spans="1:8" x14ac:dyDescent="0.25">
      <c r="A2378" s="68">
        <v>43979</v>
      </c>
      <c r="B2378" s="48">
        <v>31</v>
      </c>
      <c r="C2378" s="48">
        <v>0</v>
      </c>
      <c r="D2378" s="48">
        <v>37</v>
      </c>
      <c r="E2378" s="48" t="s">
        <v>112</v>
      </c>
      <c r="F2378" s="48" t="s">
        <v>70</v>
      </c>
      <c r="G2378" s="48" t="s">
        <v>360</v>
      </c>
      <c r="H2378" s="69">
        <f t="shared" si="37"/>
        <v>43952</v>
      </c>
    </row>
    <row r="2379" spans="1:8" x14ac:dyDescent="0.25">
      <c r="A2379" s="68">
        <v>43979</v>
      </c>
      <c r="B2379" s="48">
        <v>0</v>
      </c>
      <c r="C2379" s="48">
        <v>0</v>
      </c>
      <c r="D2379" s="48">
        <v>0</v>
      </c>
      <c r="E2379" s="48" t="s">
        <v>112</v>
      </c>
      <c r="F2379" s="48" t="s">
        <v>70</v>
      </c>
      <c r="G2379" s="48" t="s">
        <v>407</v>
      </c>
      <c r="H2379" s="69">
        <f t="shared" si="37"/>
        <v>43952</v>
      </c>
    </row>
    <row r="2380" spans="1:8" x14ac:dyDescent="0.25">
      <c r="A2380" s="68">
        <v>43979</v>
      </c>
      <c r="B2380" s="48">
        <v>3</v>
      </c>
      <c r="C2380" s="48">
        <v>0</v>
      </c>
      <c r="D2380" s="48">
        <v>19</v>
      </c>
      <c r="E2380" s="48" t="s">
        <v>112</v>
      </c>
      <c r="F2380" s="48" t="s">
        <v>70</v>
      </c>
      <c r="G2380" s="48" t="s">
        <v>384</v>
      </c>
      <c r="H2380" s="69">
        <f t="shared" si="37"/>
        <v>43952</v>
      </c>
    </row>
    <row r="2381" spans="1:8" x14ac:dyDescent="0.25">
      <c r="A2381" s="68">
        <v>43979</v>
      </c>
      <c r="B2381" s="48">
        <v>10</v>
      </c>
      <c r="C2381" s="48">
        <v>1</v>
      </c>
      <c r="D2381" s="48">
        <v>9</v>
      </c>
      <c r="E2381" s="48" t="s">
        <v>112</v>
      </c>
      <c r="F2381" s="48" t="s">
        <v>70</v>
      </c>
      <c r="G2381" s="48" t="s">
        <v>383</v>
      </c>
      <c r="H2381" s="69">
        <f t="shared" si="37"/>
        <v>43952</v>
      </c>
    </row>
    <row r="2382" spans="1:8" x14ac:dyDescent="0.25">
      <c r="A2382" s="68">
        <v>43979</v>
      </c>
      <c r="B2382" s="48">
        <v>0</v>
      </c>
      <c r="C2382" s="48">
        <v>0</v>
      </c>
      <c r="D2382" s="48">
        <v>1</v>
      </c>
      <c r="E2382" s="48" t="s">
        <v>112</v>
      </c>
      <c r="F2382" s="48" t="s">
        <v>70</v>
      </c>
      <c r="G2382" s="48" t="s">
        <v>414</v>
      </c>
      <c r="H2382" s="69">
        <f t="shared" si="37"/>
        <v>43952</v>
      </c>
    </row>
    <row r="2383" spans="1:8" x14ac:dyDescent="0.25">
      <c r="A2383" s="68">
        <v>43979</v>
      </c>
      <c r="B2383" s="48">
        <v>2</v>
      </c>
      <c r="C2383" s="48">
        <v>0</v>
      </c>
      <c r="D2383" s="48">
        <v>1</v>
      </c>
      <c r="E2383" s="48" t="s">
        <v>112</v>
      </c>
      <c r="F2383" s="48" t="s">
        <v>70</v>
      </c>
      <c r="G2383" s="48" t="s">
        <v>423</v>
      </c>
      <c r="H2383" s="69">
        <f t="shared" si="37"/>
        <v>43952</v>
      </c>
    </row>
    <row r="2384" spans="1:8" x14ac:dyDescent="0.25">
      <c r="A2384" s="68">
        <v>43979</v>
      </c>
      <c r="B2384" s="48">
        <v>25</v>
      </c>
      <c r="C2384" s="48">
        <v>2</v>
      </c>
      <c r="D2384" s="48">
        <v>57</v>
      </c>
      <c r="E2384" s="48" t="s">
        <v>112</v>
      </c>
      <c r="F2384" s="48" t="s">
        <v>70</v>
      </c>
      <c r="G2384" s="48" t="s">
        <v>345</v>
      </c>
      <c r="H2384" s="69">
        <f t="shared" si="37"/>
        <v>43952</v>
      </c>
    </row>
    <row r="2385" spans="1:8" x14ac:dyDescent="0.25">
      <c r="A2385" s="68">
        <v>43979</v>
      </c>
      <c r="B2385" s="48">
        <v>11</v>
      </c>
      <c r="C2385" s="48">
        <v>0</v>
      </c>
      <c r="D2385" s="48">
        <v>56</v>
      </c>
      <c r="E2385" s="48" t="s">
        <v>112</v>
      </c>
      <c r="F2385" s="48" t="s">
        <v>70</v>
      </c>
      <c r="G2385" s="48" t="s">
        <v>367</v>
      </c>
      <c r="H2385" s="69">
        <f t="shared" si="37"/>
        <v>43952</v>
      </c>
    </row>
    <row r="2386" spans="1:8" x14ac:dyDescent="0.25">
      <c r="A2386" s="68">
        <v>43979</v>
      </c>
      <c r="B2386" s="48">
        <v>2</v>
      </c>
      <c r="C2386" s="48">
        <v>2</v>
      </c>
      <c r="D2386" s="48">
        <v>7</v>
      </c>
      <c r="E2386" s="48" t="s">
        <v>112</v>
      </c>
      <c r="F2386" s="48" t="s">
        <v>70</v>
      </c>
      <c r="G2386" s="48" t="s">
        <v>380</v>
      </c>
      <c r="H2386" s="69">
        <f t="shared" si="37"/>
        <v>43952</v>
      </c>
    </row>
    <row r="2387" spans="1:8" x14ac:dyDescent="0.25">
      <c r="A2387" s="68">
        <v>43979</v>
      </c>
      <c r="B2387" s="48">
        <v>85</v>
      </c>
      <c r="C2387" s="48">
        <v>3</v>
      </c>
      <c r="D2387" s="48">
        <v>9</v>
      </c>
      <c r="E2387" s="48" t="s">
        <v>112</v>
      </c>
      <c r="F2387" s="48" t="s">
        <v>74</v>
      </c>
      <c r="G2387" s="48" t="s">
        <v>95</v>
      </c>
      <c r="H2387" s="69">
        <f t="shared" si="37"/>
        <v>43952</v>
      </c>
    </row>
    <row r="2388" spans="1:8" x14ac:dyDescent="0.25">
      <c r="A2388" s="68">
        <v>43979</v>
      </c>
      <c r="B2388" s="48">
        <v>114</v>
      </c>
      <c r="C2388" s="48">
        <v>2</v>
      </c>
      <c r="D2388" s="48">
        <v>8</v>
      </c>
      <c r="E2388" s="48" t="s">
        <v>112</v>
      </c>
      <c r="F2388" s="48" t="s">
        <v>72</v>
      </c>
      <c r="G2388" s="48" t="s">
        <v>94</v>
      </c>
      <c r="H2388" s="69">
        <f t="shared" si="37"/>
        <v>43952</v>
      </c>
    </row>
    <row r="2389" spans="1:8" x14ac:dyDescent="0.25">
      <c r="A2389" s="68">
        <v>43979</v>
      </c>
      <c r="B2389" s="48">
        <v>0</v>
      </c>
      <c r="C2389" s="48">
        <v>0</v>
      </c>
      <c r="D2389" s="48">
        <v>0</v>
      </c>
      <c r="E2389" s="48" t="s">
        <v>112</v>
      </c>
      <c r="F2389" s="48" t="s">
        <v>72</v>
      </c>
      <c r="G2389" s="48" t="s">
        <v>341</v>
      </c>
      <c r="H2389" s="69">
        <f t="shared" si="37"/>
        <v>43952</v>
      </c>
    </row>
    <row r="2390" spans="1:8" x14ac:dyDescent="0.25">
      <c r="A2390" s="68">
        <v>43979</v>
      </c>
      <c r="B2390" s="48">
        <v>3</v>
      </c>
      <c r="C2390" s="48">
        <v>0</v>
      </c>
      <c r="D2390" s="48">
        <v>13</v>
      </c>
      <c r="E2390" s="48" t="s">
        <v>112</v>
      </c>
      <c r="F2390" s="48" t="s">
        <v>72</v>
      </c>
      <c r="G2390" s="48" t="s">
        <v>338</v>
      </c>
      <c r="H2390" s="69">
        <f t="shared" si="37"/>
        <v>43952</v>
      </c>
    </row>
    <row r="2391" spans="1:8" x14ac:dyDescent="0.25">
      <c r="A2391" s="68">
        <v>43979</v>
      </c>
      <c r="B2391" s="48">
        <v>23</v>
      </c>
      <c r="C2391" s="48">
        <v>0</v>
      </c>
      <c r="D2391" s="48">
        <v>1</v>
      </c>
      <c r="E2391" s="48" t="s">
        <v>112</v>
      </c>
      <c r="F2391" s="48" t="s">
        <v>72</v>
      </c>
      <c r="G2391" s="48" t="s">
        <v>343</v>
      </c>
      <c r="H2391" s="69">
        <f t="shared" si="37"/>
        <v>43952</v>
      </c>
    </row>
    <row r="2392" spans="1:8" x14ac:dyDescent="0.25">
      <c r="A2392" s="68">
        <v>43979</v>
      </c>
      <c r="B2392" s="48">
        <v>0</v>
      </c>
      <c r="C2392" s="48">
        <v>0</v>
      </c>
      <c r="D2392" s="48">
        <v>0</v>
      </c>
      <c r="E2392" s="48" t="s">
        <v>112</v>
      </c>
      <c r="F2392" s="48" t="s">
        <v>72</v>
      </c>
      <c r="G2392" s="48" t="s">
        <v>400</v>
      </c>
      <c r="H2392" s="69">
        <f t="shared" si="37"/>
        <v>43952</v>
      </c>
    </row>
    <row r="2393" spans="1:8" x14ac:dyDescent="0.25">
      <c r="A2393" s="68">
        <v>43979</v>
      </c>
      <c r="B2393" s="48">
        <v>8</v>
      </c>
      <c r="C2393" s="48">
        <v>1</v>
      </c>
      <c r="D2393" s="48">
        <v>4</v>
      </c>
      <c r="E2393" s="48" t="s">
        <v>112</v>
      </c>
      <c r="F2393" s="48" t="s">
        <v>72</v>
      </c>
      <c r="G2393" s="48" t="s">
        <v>102</v>
      </c>
      <c r="H2393" s="69">
        <f t="shared" si="37"/>
        <v>43952</v>
      </c>
    </row>
    <row r="2394" spans="1:8" x14ac:dyDescent="0.25">
      <c r="A2394" s="68">
        <v>43979</v>
      </c>
      <c r="B2394" s="48">
        <v>1</v>
      </c>
      <c r="C2394" s="48">
        <v>0</v>
      </c>
      <c r="D2394" s="48">
        <v>2</v>
      </c>
      <c r="E2394" s="48" t="s">
        <v>112</v>
      </c>
      <c r="F2394" s="48" t="s">
        <v>72</v>
      </c>
      <c r="G2394" s="48" t="s">
        <v>355</v>
      </c>
      <c r="H2394" s="69">
        <f t="shared" si="37"/>
        <v>43952</v>
      </c>
    </row>
    <row r="2395" spans="1:8" x14ac:dyDescent="0.25">
      <c r="A2395" s="68">
        <v>43979</v>
      </c>
      <c r="B2395" s="48">
        <v>76</v>
      </c>
      <c r="C2395" s="48">
        <v>1</v>
      </c>
      <c r="D2395" s="48">
        <v>11</v>
      </c>
      <c r="E2395" s="48" t="s">
        <v>112</v>
      </c>
      <c r="F2395" s="48" t="s">
        <v>72</v>
      </c>
      <c r="G2395" s="48" t="s">
        <v>96</v>
      </c>
      <c r="H2395" s="69">
        <f t="shared" si="37"/>
        <v>43952</v>
      </c>
    </row>
    <row r="2396" spans="1:8" x14ac:dyDescent="0.25">
      <c r="A2396" s="68">
        <v>43979</v>
      </c>
      <c r="B2396" s="48">
        <v>6</v>
      </c>
      <c r="C2396" s="48">
        <v>0</v>
      </c>
      <c r="D2396" s="48">
        <v>3</v>
      </c>
      <c r="E2396" s="48" t="s">
        <v>112</v>
      </c>
      <c r="F2396" s="48" t="s">
        <v>72</v>
      </c>
      <c r="G2396" s="48" t="s">
        <v>347</v>
      </c>
      <c r="H2396" s="69">
        <f t="shared" si="37"/>
        <v>43952</v>
      </c>
    </row>
    <row r="2397" spans="1:8" x14ac:dyDescent="0.25">
      <c r="A2397" s="68">
        <v>43979</v>
      </c>
      <c r="B2397" s="48">
        <v>12</v>
      </c>
      <c r="C2397" s="48">
        <v>0</v>
      </c>
      <c r="D2397" s="48">
        <v>3</v>
      </c>
      <c r="E2397" s="48" t="s">
        <v>112</v>
      </c>
      <c r="F2397" s="48" t="s">
        <v>72</v>
      </c>
      <c r="G2397" s="48" t="s">
        <v>335</v>
      </c>
      <c r="H2397" s="69">
        <f t="shared" si="37"/>
        <v>43952</v>
      </c>
    </row>
    <row r="2398" spans="1:8" x14ac:dyDescent="0.25">
      <c r="A2398" s="68">
        <v>43979</v>
      </c>
      <c r="B2398" s="48">
        <v>1</v>
      </c>
      <c r="C2398" s="48">
        <v>0</v>
      </c>
      <c r="D2398" s="48">
        <v>0</v>
      </c>
      <c r="E2398" s="48" t="s">
        <v>112</v>
      </c>
      <c r="F2398" s="48" t="s">
        <v>72</v>
      </c>
      <c r="G2398" s="48" t="s">
        <v>342</v>
      </c>
      <c r="H2398" s="69">
        <f t="shared" si="37"/>
        <v>43952</v>
      </c>
    </row>
    <row r="2399" spans="1:8" x14ac:dyDescent="0.25">
      <c r="A2399" s="68">
        <v>43979</v>
      </c>
      <c r="B2399" s="48">
        <v>3</v>
      </c>
      <c r="C2399" s="48">
        <v>0</v>
      </c>
      <c r="D2399" s="48">
        <v>0</v>
      </c>
      <c r="E2399" s="48" t="s">
        <v>112</v>
      </c>
      <c r="F2399" s="48" t="s">
        <v>72</v>
      </c>
      <c r="G2399" s="48" t="s">
        <v>353</v>
      </c>
      <c r="H2399" s="69">
        <f t="shared" si="37"/>
        <v>43952</v>
      </c>
    </row>
    <row r="2400" spans="1:8" x14ac:dyDescent="0.25">
      <c r="A2400" s="68">
        <v>43979</v>
      </c>
      <c r="B2400" s="48">
        <v>20</v>
      </c>
      <c r="C2400" s="48">
        <v>1</v>
      </c>
      <c r="D2400" s="48">
        <v>4</v>
      </c>
      <c r="E2400" s="48" t="s">
        <v>112</v>
      </c>
      <c r="F2400" s="48" t="s">
        <v>72</v>
      </c>
      <c r="G2400" s="48" t="s">
        <v>101</v>
      </c>
      <c r="H2400" s="69">
        <f t="shared" si="37"/>
        <v>43952</v>
      </c>
    </row>
    <row r="2401" spans="1:8" x14ac:dyDescent="0.25">
      <c r="A2401" s="68">
        <v>43979</v>
      </c>
      <c r="B2401" s="48">
        <v>0</v>
      </c>
      <c r="C2401" s="48">
        <v>0</v>
      </c>
      <c r="D2401" s="48">
        <v>0</v>
      </c>
      <c r="E2401" s="48" t="s">
        <v>112</v>
      </c>
      <c r="F2401" s="48" t="s">
        <v>72</v>
      </c>
      <c r="G2401" s="48" t="s">
        <v>387</v>
      </c>
      <c r="H2401" s="69">
        <f t="shared" si="37"/>
        <v>43952</v>
      </c>
    </row>
    <row r="2402" spans="1:8" x14ac:dyDescent="0.25">
      <c r="A2402" s="68">
        <v>43979</v>
      </c>
      <c r="B2402" s="48">
        <v>0</v>
      </c>
      <c r="C2402" s="48">
        <v>0</v>
      </c>
      <c r="D2402" s="48">
        <v>0</v>
      </c>
      <c r="E2402" s="48" t="s">
        <v>112</v>
      </c>
      <c r="F2402" s="48" t="s">
        <v>72</v>
      </c>
      <c r="G2402" s="48" t="s">
        <v>406</v>
      </c>
      <c r="H2402" s="69">
        <f t="shared" si="37"/>
        <v>43952</v>
      </c>
    </row>
    <row r="2403" spans="1:8" x14ac:dyDescent="0.25">
      <c r="A2403" s="68">
        <v>43979</v>
      </c>
      <c r="B2403" s="48">
        <v>7</v>
      </c>
      <c r="C2403" s="48">
        <v>0</v>
      </c>
      <c r="D2403" s="48">
        <v>2</v>
      </c>
      <c r="E2403" s="48" t="s">
        <v>112</v>
      </c>
      <c r="F2403" s="48" t="s">
        <v>72</v>
      </c>
      <c r="G2403" s="48" t="s">
        <v>344</v>
      </c>
      <c r="H2403" s="69">
        <f t="shared" si="37"/>
        <v>43952</v>
      </c>
    </row>
    <row r="2404" spans="1:8" x14ac:dyDescent="0.25">
      <c r="A2404" s="68">
        <v>43979</v>
      </c>
      <c r="B2404" s="48">
        <v>3</v>
      </c>
      <c r="C2404" s="48">
        <v>0</v>
      </c>
      <c r="D2404" s="48">
        <v>2</v>
      </c>
      <c r="E2404" s="48" t="s">
        <v>112</v>
      </c>
      <c r="F2404" s="48" t="s">
        <v>72</v>
      </c>
      <c r="G2404" s="48" t="s">
        <v>354</v>
      </c>
      <c r="H2404" s="69">
        <f t="shared" si="37"/>
        <v>43952</v>
      </c>
    </row>
    <row r="2405" spans="1:8" x14ac:dyDescent="0.25">
      <c r="A2405" s="68">
        <v>43979</v>
      </c>
      <c r="B2405" s="48">
        <v>12</v>
      </c>
      <c r="C2405" s="48">
        <v>1</v>
      </c>
      <c r="D2405" s="48">
        <v>2</v>
      </c>
      <c r="E2405" s="48" t="s">
        <v>112</v>
      </c>
      <c r="F2405" s="48" t="s">
        <v>72</v>
      </c>
      <c r="G2405" s="48" t="s">
        <v>337</v>
      </c>
      <c r="H2405" s="69">
        <f t="shared" si="37"/>
        <v>43952</v>
      </c>
    </row>
    <row r="2406" spans="1:8" x14ac:dyDescent="0.25">
      <c r="A2406" s="68">
        <v>43979</v>
      </c>
      <c r="B2406" s="48">
        <v>1</v>
      </c>
      <c r="C2406" s="48">
        <v>0</v>
      </c>
      <c r="D2406" s="48">
        <v>0</v>
      </c>
      <c r="E2406" s="48" t="s">
        <v>112</v>
      </c>
      <c r="F2406" s="48" t="s">
        <v>72</v>
      </c>
      <c r="G2406" s="48" t="s">
        <v>356</v>
      </c>
      <c r="H2406" s="69">
        <f t="shared" si="37"/>
        <v>43952</v>
      </c>
    </row>
    <row r="2407" spans="1:8" x14ac:dyDescent="0.25">
      <c r="A2407" s="68">
        <v>43979</v>
      </c>
      <c r="B2407" s="48">
        <v>0</v>
      </c>
      <c r="C2407" s="48">
        <v>0</v>
      </c>
      <c r="D2407" s="48">
        <v>0</v>
      </c>
      <c r="E2407" s="48" t="s">
        <v>112</v>
      </c>
      <c r="F2407" s="48" t="s">
        <v>72</v>
      </c>
      <c r="G2407" s="48" t="s">
        <v>429</v>
      </c>
      <c r="H2407" s="69">
        <f t="shared" si="37"/>
        <v>43952</v>
      </c>
    </row>
    <row r="2408" spans="1:8" x14ac:dyDescent="0.25">
      <c r="A2408" s="68">
        <v>43979</v>
      </c>
      <c r="B2408" s="48">
        <v>0</v>
      </c>
      <c r="C2408" s="48">
        <v>0</v>
      </c>
      <c r="D2408" s="48">
        <v>0</v>
      </c>
      <c r="E2408" s="48" t="s">
        <v>112</v>
      </c>
      <c r="F2408" s="48" t="s">
        <v>72</v>
      </c>
      <c r="G2408" s="48" t="s">
        <v>431</v>
      </c>
      <c r="H2408" s="69">
        <f t="shared" si="37"/>
        <v>43952</v>
      </c>
    </row>
    <row r="2409" spans="1:8" x14ac:dyDescent="0.25">
      <c r="A2409" s="68">
        <v>43979</v>
      </c>
      <c r="B2409" s="48">
        <v>0</v>
      </c>
      <c r="C2409" s="48">
        <v>0</v>
      </c>
      <c r="D2409" s="48">
        <v>0</v>
      </c>
      <c r="E2409" s="48" t="s">
        <v>112</v>
      </c>
      <c r="F2409" s="48" t="s">
        <v>72</v>
      </c>
      <c r="G2409" s="48" t="s">
        <v>426</v>
      </c>
      <c r="H2409" s="69">
        <f t="shared" si="37"/>
        <v>43952</v>
      </c>
    </row>
    <row r="2410" spans="1:8" x14ac:dyDescent="0.25">
      <c r="A2410" s="68">
        <v>43979</v>
      </c>
      <c r="B2410" s="48">
        <v>0</v>
      </c>
      <c r="C2410" s="48">
        <v>0</v>
      </c>
      <c r="D2410" s="48">
        <v>0</v>
      </c>
      <c r="E2410" s="48" t="s">
        <v>112</v>
      </c>
      <c r="F2410" s="48" t="s">
        <v>72</v>
      </c>
      <c r="G2410" s="48" t="s">
        <v>436</v>
      </c>
      <c r="H2410" s="69">
        <f t="shared" si="37"/>
        <v>43952</v>
      </c>
    </row>
    <row r="2411" spans="1:8" x14ac:dyDescent="0.25">
      <c r="A2411" s="68">
        <v>43979</v>
      </c>
      <c r="B2411" s="48">
        <v>0</v>
      </c>
      <c r="C2411" s="48">
        <v>0</v>
      </c>
      <c r="D2411" s="48">
        <v>0</v>
      </c>
      <c r="E2411" s="48" t="s">
        <v>112</v>
      </c>
      <c r="F2411" s="48" t="s">
        <v>72</v>
      </c>
      <c r="G2411" s="48" t="s">
        <v>357</v>
      </c>
      <c r="H2411" s="69">
        <f t="shared" si="37"/>
        <v>43952</v>
      </c>
    </row>
    <row r="2412" spans="1:8" x14ac:dyDescent="0.25">
      <c r="A2412" s="68">
        <v>43979</v>
      </c>
      <c r="B2412" s="48">
        <v>1</v>
      </c>
      <c r="C2412" s="48">
        <v>1</v>
      </c>
      <c r="D2412" s="48">
        <v>0</v>
      </c>
      <c r="E2412" s="48" t="s">
        <v>112</v>
      </c>
      <c r="F2412" s="48" t="s">
        <v>72</v>
      </c>
      <c r="G2412" s="48" t="s">
        <v>358</v>
      </c>
      <c r="H2412" s="69">
        <f t="shared" si="37"/>
        <v>43952</v>
      </c>
    </row>
    <row r="2413" spans="1:8" x14ac:dyDescent="0.25">
      <c r="A2413" s="68">
        <v>43979</v>
      </c>
      <c r="B2413" s="48">
        <v>0</v>
      </c>
      <c r="C2413" s="48">
        <v>0</v>
      </c>
      <c r="D2413" s="48">
        <v>0</v>
      </c>
      <c r="E2413" s="48" t="s">
        <v>112</v>
      </c>
      <c r="F2413" s="48" t="s">
        <v>72</v>
      </c>
      <c r="G2413" s="48" t="s">
        <v>399</v>
      </c>
      <c r="H2413" s="69">
        <f t="shared" si="37"/>
        <v>43952</v>
      </c>
    </row>
    <row r="2414" spans="1:8" x14ac:dyDescent="0.25">
      <c r="A2414" s="68">
        <v>43979</v>
      </c>
      <c r="B2414" s="48">
        <v>1</v>
      </c>
      <c r="C2414" s="48">
        <v>0</v>
      </c>
      <c r="D2414" s="48">
        <v>1</v>
      </c>
      <c r="E2414" s="48" t="s">
        <v>112</v>
      </c>
      <c r="F2414" s="48" t="s">
        <v>72</v>
      </c>
      <c r="G2414" s="48" t="s">
        <v>352</v>
      </c>
      <c r="H2414" s="69">
        <f t="shared" si="37"/>
        <v>43952</v>
      </c>
    </row>
    <row r="2415" spans="1:8" x14ac:dyDescent="0.25">
      <c r="A2415" s="68">
        <v>43979</v>
      </c>
      <c r="B2415" s="48">
        <v>0</v>
      </c>
      <c r="C2415" s="48">
        <v>0</v>
      </c>
      <c r="D2415" s="48">
        <v>2</v>
      </c>
      <c r="E2415" s="48" t="s">
        <v>112</v>
      </c>
      <c r="F2415" s="48" t="s">
        <v>72</v>
      </c>
      <c r="G2415" s="48" t="s">
        <v>359</v>
      </c>
      <c r="H2415" s="69">
        <f t="shared" si="37"/>
        <v>43952</v>
      </c>
    </row>
    <row r="2416" spans="1:8" x14ac:dyDescent="0.25">
      <c r="A2416" s="68">
        <v>43979</v>
      </c>
      <c r="B2416" s="48">
        <v>0</v>
      </c>
      <c r="C2416" s="48">
        <v>0</v>
      </c>
      <c r="D2416" s="48">
        <v>0</v>
      </c>
      <c r="E2416" s="48" t="s">
        <v>112</v>
      </c>
      <c r="F2416" s="48" t="s">
        <v>72</v>
      </c>
      <c r="G2416" s="48" t="s">
        <v>410</v>
      </c>
      <c r="H2416" s="69">
        <f t="shared" si="37"/>
        <v>43952</v>
      </c>
    </row>
    <row r="2417" spans="1:8" x14ac:dyDescent="0.25">
      <c r="A2417" s="68">
        <v>43979</v>
      </c>
      <c r="B2417" s="48">
        <v>0</v>
      </c>
      <c r="C2417" s="48">
        <v>0</v>
      </c>
      <c r="D2417" s="48">
        <v>1</v>
      </c>
      <c r="E2417" s="48" t="s">
        <v>112</v>
      </c>
      <c r="F2417" s="48" t="s">
        <v>72</v>
      </c>
      <c r="G2417" s="48" t="s">
        <v>365</v>
      </c>
      <c r="H2417" s="69">
        <f t="shared" si="37"/>
        <v>43952</v>
      </c>
    </row>
    <row r="2418" spans="1:8" x14ac:dyDescent="0.25">
      <c r="A2418" s="68">
        <v>43979</v>
      </c>
      <c r="B2418" s="48">
        <v>0</v>
      </c>
      <c r="C2418" s="48">
        <v>0</v>
      </c>
      <c r="D2418" s="48">
        <v>0</v>
      </c>
      <c r="E2418" s="48" t="s">
        <v>112</v>
      </c>
      <c r="F2418" s="48" t="s">
        <v>72</v>
      </c>
      <c r="G2418" s="48" t="s">
        <v>408</v>
      </c>
      <c r="H2418" s="69">
        <f t="shared" si="37"/>
        <v>43952</v>
      </c>
    </row>
    <row r="2419" spans="1:8" x14ac:dyDescent="0.25">
      <c r="A2419" s="68">
        <v>43979</v>
      </c>
      <c r="B2419" s="48">
        <v>0</v>
      </c>
      <c r="C2419" s="48">
        <v>0</v>
      </c>
      <c r="D2419" s="48">
        <v>0</v>
      </c>
      <c r="E2419" s="48" t="s">
        <v>112</v>
      </c>
      <c r="F2419" s="48" t="s">
        <v>72</v>
      </c>
      <c r="G2419" s="48" t="s">
        <v>411</v>
      </c>
      <c r="H2419" s="69">
        <f t="shared" si="37"/>
        <v>43952</v>
      </c>
    </row>
    <row r="2420" spans="1:8" x14ac:dyDescent="0.25">
      <c r="A2420" s="68">
        <v>43979</v>
      </c>
      <c r="B2420" s="48">
        <v>0</v>
      </c>
      <c r="C2420" s="48">
        <v>0</v>
      </c>
      <c r="D2420" s="48">
        <v>3</v>
      </c>
      <c r="E2420" s="48" t="s">
        <v>112</v>
      </c>
      <c r="F2420" s="48" t="s">
        <v>72</v>
      </c>
      <c r="G2420" s="48" t="s">
        <v>351</v>
      </c>
      <c r="H2420" s="69">
        <f t="shared" si="37"/>
        <v>43952</v>
      </c>
    </row>
    <row r="2421" spans="1:8" x14ac:dyDescent="0.25">
      <c r="A2421" s="68">
        <v>43979</v>
      </c>
      <c r="B2421" s="48">
        <v>0</v>
      </c>
      <c r="C2421" s="48">
        <v>0</v>
      </c>
      <c r="D2421" s="48">
        <v>0</v>
      </c>
      <c r="E2421" s="48" t="s">
        <v>112</v>
      </c>
      <c r="F2421" s="48" t="s">
        <v>72</v>
      </c>
      <c r="G2421" s="48" t="s">
        <v>417</v>
      </c>
      <c r="H2421" s="69">
        <f t="shared" si="37"/>
        <v>43952</v>
      </c>
    </row>
    <row r="2422" spans="1:8" x14ac:dyDescent="0.25">
      <c r="A2422" s="68">
        <v>43979</v>
      </c>
      <c r="B2422" s="48">
        <v>0</v>
      </c>
      <c r="C2422" s="48">
        <v>0</v>
      </c>
      <c r="D2422" s="48">
        <v>0</v>
      </c>
      <c r="E2422" s="48" t="s">
        <v>112</v>
      </c>
      <c r="F2422" s="48" t="s">
        <v>72</v>
      </c>
      <c r="G2422" s="48" t="s">
        <v>420</v>
      </c>
      <c r="H2422" s="69">
        <f t="shared" si="37"/>
        <v>43952</v>
      </c>
    </row>
    <row r="2423" spans="1:8" x14ac:dyDescent="0.25">
      <c r="A2423" s="68">
        <v>43979</v>
      </c>
      <c r="B2423" s="48">
        <v>8</v>
      </c>
      <c r="C2423" s="48">
        <v>0</v>
      </c>
      <c r="D2423" s="48">
        <v>0</v>
      </c>
      <c r="E2423" s="48" t="s">
        <v>112</v>
      </c>
      <c r="F2423" s="48" t="s">
        <v>76</v>
      </c>
      <c r="G2423" s="48" t="s">
        <v>339</v>
      </c>
      <c r="H2423" s="69">
        <f t="shared" si="37"/>
        <v>43952</v>
      </c>
    </row>
    <row r="2424" spans="1:8" x14ac:dyDescent="0.25">
      <c r="A2424" s="68">
        <v>43979</v>
      </c>
      <c r="B2424" s="48">
        <v>147</v>
      </c>
      <c r="C2424" s="48">
        <v>2</v>
      </c>
      <c r="D2424" s="48">
        <v>65</v>
      </c>
      <c r="E2424" s="48" t="s">
        <v>112</v>
      </c>
      <c r="F2424" s="48" t="s">
        <v>73</v>
      </c>
      <c r="G2424" s="48" t="s">
        <v>93</v>
      </c>
      <c r="H2424" s="69">
        <f t="shared" si="37"/>
        <v>43952</v>
      </c>
    </row>
    <row r="2425" spans="1:8" x14ac:dyDescent="0.25">
      <c r="A2425" s="68">
        <v>43979</v>
      </c>
      <c r="B2425" s="48">
        <v>927</v>
      </c>
      <c r="C2425" s="48">
        <v>29</v>
      </c>
      <c r="D2425" s="48">
        <v>12</v>
      </c>
      <c r="E2425" s="48" t="s">
        <v>112</v>
      </c>
      <c r="F2425" s="48" t="s">
        <v>71</v>
      </c>
      <c r="G2425" s="48" t="s">
        <v>92</v>
      </c>
      <c r="H2425" s="69">
        <f t="shared" si="37"/>
        <v>43952</v>
      </c>
    </row>
    <row r="2426" spans="1:8" x14ac:dyDescent="0.25">
      <c r="A2426" s="68">
        <v>43980</v>
      </c>
      <c r="B2426" s="48">
        <v>92</v>
      </c>
      <c r="C2426" s="48">
        <v>1</v>
      </c>
      <c r="D2426" s="48">
        <v>0</v>
      </c>
      <c r="E2426" s="48" t="s">
        <v>112</v>
      </c>
      <c r="F2426" s="48" t="s">
        <v>74</v>
      </c>
      <c r="G2426" s="48" t="s">
        <v>95</v>
      </c>
      <c r="H2426" s="69">
        <f t="shared" si="37"/>
        <v>43952</v>
      </c>
    </row>
    <row r="2427" spans="1:8" x14ac:dyDescent="0.25">
      <c r="A2427" s="68">
        <v>43980</v>
      </c>
      <c r="B2427" s="48">
        <v>1</v>
      </c>
      <c r="C2427" s="48">
        <v>0</v>
      </c>
      <c r="D2427" s="48">
        <v>0</v>
      </c>
      <c r="E2427" s="48" t="s">
        <v>112</v>
      </c>
      <c r="F2427" s="48" t="s">
        <v>75</v>
      </c>
      <c r="G2427" s="48" t="s">
        <v>394</v>
      </c>
      <c r="H2427" s="69">
        <f t="shared" si="37"/>
        <v>43952</v>
      </c>
    </row>
    <row r="2428" spans="1:8" x14ac:dyDescent="0.25">
      <c r="A2428" s="68">
        <v>43980</v>
      </c>
      <c r="B2428" s="48">
        <v>1</v>
      </c>
      <c r="C2428" s="48">
        <v>0</v>
      </c>
      <c r="D2428" s="48">
        <v>0</v>
      </c>
      <c r="E2428" s="48" t="s">
        <v>112</v>
      </c>
      <c r="F2428" s="48" t="s">
        <v>75</v>
      </c>
      <c r="G2428" s="48" t="s">
        <v>361</v>
      </c>
      <c r="H2428" s="69">
        <f t="shared" si="37"/>
        <v>43952</v>
      </c>
    </row>
    <row r="2429" spans="1:8" x14ac:dyDescent="0.25">
      <c r="A2429" s="68">
        <v>43980</v>
      </c>
      <c r="B2429" s="48">
        <v>2</v>
      </c>
      <c r="C2429" s="48">
        <v>0</v>
      </c>
      <c r="D2429" s="48">
        <v>0</v>
      </c>
      <c r="E2429" s="48" t="s">
        <v>112</v>
      </c>
      <c r="F2429" s="48" t="s">
        <v>75</v>
      </c>
      <c r="G2429" s="48" t="s">
        <v>368</v>
      </c>
      <c r="H2429" s="69">
        <f t="shared" si="37"/>
        <v>43952</v>
      </c>
    </row>
    <row r="2430" spans="1:8" x14ac:dyDescent="0.25">
      <c r="A2430" s="68">
        <v>43980</v>
      </c>
      <c r="B2430" s="48">
        <v>0</v>
      </c>
      <c r="C2430" s="48">
        <v>0</v>
      </c>
      <c r="D2430" s="48">
        <v>4</v>
      </c>
      <c r="E2430" s="48" t="s">
        <v>112</v>
      </c>
      <c r="F2430" s="48" t="s">
        <v>75</v>
      </c>
      <c r="G2430" s="48" t="s">
        <v>373</v>
      </c>
      <c r="H2430" s="69">
        <f t="shared" si="37"/>
        <v>43952</v>
      </c>
    </row>
    <row r="2431" spans="1:8" x14ac:dyDescent="0.25">
      <c r="A2431" s="68">
        <v>43980</v>
      </c>
      <c r="B2431" s="48">
        <v>2</v>
      </c>
      <c r="C2431" s="48">
        <v>0</v>
      </c>
      <c r="D2431" s="48">
        <v>0</v>
      </c>
      <c r="E2431" s="48" t="s">
        <v>112</v>
      </c>
      <c r="F2431" s="48" t="s">
        <v>75</v>
      </c>
      <c r="G2431" s="48" t="s">
        <v>398</v>
      </c>
      <c r="H2431" s="69">
        <f t="shared" si="37"/>
        <v>43952</v>
      </c>
    </row>
    <row r="2432" spans="1:8" x14ac:dyDescent="0.25">
      <c r="A2432" s="68">
        <v>43980</v>
      </c>
      <c r="B2432" s="48">
        <v>83</v>
      </c>
      <c r="C2432" s="48">
        <v>5</v>
      </c>
      <c r="D2432" s="48">
        <v>8</v>
      </c>
      <c r="E2432" s="48" t="s">
        <v>112</v>
      </c>
      <c r="F2432" s="48" t="s">
        <v>72</v>
      </c>
      <c r="G2432" s="48" t="s">
        <v>94</v>
      </c>
      <c r="H2432" s="69">
        <f t="shared" si="37"/>
        <v>43952</v>
      </c>
    </row>
    <row r="2433" spans="1:8" x14ac:dyDescent="0.25">
      <c r="A2433" s="68">
        <v>43980</v>
      </c>
      <c r="B2433" s="48">
        <v>2</v>
      </c>
      <c r="C2433" s="48">
        <v>0</v>
      </c>
      <c r="D2433" s="48">
        <v>0</v>
      </c>
      <c r="E2433" s="48" t="s">
        <v>112</v>
      </c>
      <c r="F2433" s="48" t="s">
        <v>72</v>
      </c>
      <c r="G2433" s="48" t="s">
        <v>341</v>
      </c>
      <c r="H2433" s="69">
        <f t="shared" si="37"/>
        <v>43952</v>
      </c>
    </row>
    <row r="2434" spans="1:8" x14ac:dyDescent="0.25">
      <c r="A2434" s="68">
        <v>43980</v>
      </c>
      <c r="B2434" s="48">
        <v>7</v>
      </c>
      <c r="C2434" s="48">
        <v>0</v>
      </c>
      <c r="D2434" s="48">
        <v>0</v>
      </c>
      <c r="E2434" s="48" t="s">
        <v>112</v>
      </c>
      <c r="F2434" s="48" t="s">
        <v>72</v>
      </c>
      <c r="G2434" s="48" t="s">
        <v>338</v>
      </c>
      <c r="H2434" s="69">
        <f t="shared" ref="H2434:H2497" si="38">DATE(YEAR(A2434),MONTH(A2434),1)</f>
        <v>43952</v>
      </c>
    </row>
    <row r="2435" spans="1:8" x14ac:dyDescent="0.25">
      <c r="A2435" s="68">
        <v>43980</v>
      </c>
      <c r="B2435" s="48">
        <v>0</v>
      </c>
      <c r="C2435" s="48">
        <v>0</v>
      </c>
      <c r="D2435" s="48">
        <v>2</v>
      </c>
      <c r="E2435" s="48" t="s">
        <v>112</v>
      </c>
      <c r="F2435" s="48" t="s">
        <v>72</v>
      </c>
      <c r="G2435" s="48" t="s">
        <v>343</v>
      </c>
      <c r="H2435" s="69">
        <f t="shared" si="38"/>
        <v>43952</v>
      </c>
    </row>
    <row r="2436" spans="1:8" x14ac:dyDescent="0.25">
      <c r="A2436" s="68">
        <v>43980</v>
      </c>
      <c r="B2436" s="48">
        <v>0</v>
      </c>
      <c r="C2436" s="48">
        <v>0</v>
      </c>
      <c r="D2436" s="48">
        <v>0</v>
      </c>
      <c r="E2436" s="48" t="s">
        <v>112</v>
      </c>
      <c r="F2436" s="48" t="s">
        <v>72</v>
      </c>
      <c r="G2436" s="48" t="s">
        <v>400</v>
      </c>
      <c r="H2436" s="69">
        <f t="shared" si="38"/>
        <v>43952</v>
      </c>
    </row>
    <row r="2437" spans="1:8" x14ac:dyDescent="0.25">
      <c r="A2437" s="68">
        <v>43980</v>
      </c>
      <c r="B2437" s="48">
        <v>0</v>
      </c>
      <c r="C2437" s="48">
        <v>1</v>
      </c>
      <c r="D2437" s="48">
        <v>1</v>
      </c>
      <c r="E2437" s="48" t="s">
        <v>112</v>
      </c>
      <c r="F2437" s="48" t="s">
        <v>72</v>
      </c>
      <c r="G2437" s="48" t="s">
        <v>102</v>
      </c>
      <c r="H2437" s="69">
        <f t="shared" si="38"/>
        <v>43952</v>
      </c>
    </row>
    <row r="2438" spans="1:8" x14ac:dyDescent="0.25">
      <c r="A2438" s="68">
        <v>43980</v>
      </c>
      <c r="B2438" s="48">
        <v>0</v>
      </c>
      <c r="C2438" s="48">
        <v>0</v>
      </c>
      <c r="D2438" s="48">
        <v>1</v>
      </c>
      <c r="E2438" s="48" t="s">
        <v>112</v>
      </c>
      <c r="F2438" s="48" t="s">
        <v>72</v>
      </c>
      <c r="G2438" s="48" t="s">
        <v>355</v>
      </c>
      <c r="H2438" s="69">
        <f t="shared" si="38"/>
        <v>43952</v>
      </c>
    </row>
    <row r="2439" spans="1:8" x14ac:dyDescent="0.25">
      <c r="A2439" s="68">
        <v>43980</v>
      </c>
      <c r="B2439" s="48">
        <v>40</v>
      </c>
      <c r="C2439" s="48">
        <v>2</v>
      </c>
      <c r="D2439" s="48">
        <v>5</v>
      </c>
      <c r="E2439" s="48" t="s">
        <v>112</v>
      </c>
      <c r="F2439" s="48" t="s">
        <v>72</v>
      </c>
      <c r="G2439" s="48" t="s">
        <v>96</v>
      </c>
      <c r="H2439" s="69">
        <f t="shared" si="38"/>
        <v>43952</v>
      </c>
    </row>
    <row r="2440" spans="1:8" x14ac:dyDescent="0.25">
      <c r="A2440" s="68">
        <v>43980</v>
      </c>
      <c r="B2440" s="48">
        <v>0</v>
      </c>
      <c r="C2440" s="48">
        <v>0</v>
      </c>
      <c r="D2440" s="48">
        <v>0</v>
      </c>
      <c r="E2440" s="48" t="s">
        <v>112</v>
      </c>
      <c r="F2440" s="48" t="s">
        <v>72</v>
      </c>
      <c r="G2440" s="48" t="s">
        <v>347</v>
      </c>
      <c r="H2440" s="69">
        <f t="shared" si="38"/>
        <v>43952</v>
      </c>
    </row>
    <row r="2441" spans="1:8" x14ac:dyDescent="0.25">
      <c r="A2441" s="68">
        <v>43980</v>
      </c>
      <c r="B2441" s="48">
        <v>7</v>
      </c>
      <c r="C2441" s="48">
        <v>0</v>
      </c>
      <c r="D2441" s="48">
        <v>5</v>
      </c>
      <c r="E2441" s="48" t="s">
        <v>112</v>
      </c>
      <c r="F2441" s="48" t="s">
        <v>72</v>
      </c>
      <c r="G2441" s="48" t="s">
        <v>335</v>
      </c>
      <c r="H2441" s="69">
        <f t="shared" si="38"/>
        <v>43952</v>
      </c>
    </row>
    <row r="2442" spans="1:8" x14ac:dyDescent="0.25">
      <c r="A2442" s="68">
        <v>43980</v>
      </c>
      <c r="B2442" s="48">
        <v>0</v>
      </c>
      <c r="C2442" s="48">
        <v>0</v>
      </c>
      <c r="D2442" s="48">
        <v>0</v>
      </c>
      <c r="E2442" s="48" t="s">
        <v>112</v>
      </c>
      <c r="F2442" s="48" t="s">
        <v>72</v>
      </c>
      <c r="G2442" s="48" t="s">
        <v>342</v>
      </c>
      <c r="H2442" s="69">
        <f t="shared" si="38"/>
        <v>43952</v>
      </c>
    </row>
    <row r="2443" spans="1:8" x14ac:dyDescent="0.25">
      <c r="A2443" s="68">
        <v>43980</v>
      </c>
      <c r="B2443" s="48">
        <v>21</v>
      </c>
      <c r="C2443" s="48">
        <v>0</v>
      </c>
      <c r="D2443" s="48">
        <v>8</v>
      </c>
      <c r="E2443" s="48" t="s">
        <v>112</v>
      </c>
      <c r="F2443" s="48" t="s">
        <v>72</v>
      </c>
      <c r="G2443" s="48" t="s">
        <v>353</v>
      </c>
      <c r="H2443" s="69">
        <f t="shared" si="38"/>
        <v>43952</v>
      </c>
    </row>
    <row r="2444" spans="1:8" x14ac:dyDescent="0.25">
      <c r="A2444" s="68">
        <v>43980</v>
      </c>
      <c r="B2444" s="48">
        <v>0</v>
      </c>
      <c r="C2444" s="48">
        <v>1</v>
      </c>
      <c r="D2444" s="48">
        <v>0</v>
      </c>
      <c r="E2444" s="48" t="s">
        <v>112</v>
      </c>
      <c r="F2444" s="48" t="s">
        <v>72</v>
      </c>
      <c r="G2444" s="48" t="s">
        <v>101</v>
      </c>
      <c r="H2444" s="69">
        <f t="shared" si="38"/>
        <v>43952</v>
      </c>
    </row>
    <row r="2445" spans="1:8" x14ac:dyDescent="0.25">
      <c r="A2445" s="68">
        <v>43980</v>
      </c>
      <c r="B2445" s="48">
        <v>0</v>
      </c>
      <c r="C2445" s="48">
        <v>0</v>
      </c>
      <c r="D2445" s="48">
        <v>0</v>
      </c>
      <c r="E2445" s="48" t="s">
        <v>112</v>
      </c>
      <c r="F2445" s="48" t="s">
        <v>72</v>
      </c>
      <c r="G2445" s="48" t="s">
        <v>387</v>
      </c>
      <c r="H2445" s="69">
        <f t="shared" si="38"/>
        <v>43952</v>
      </c>
    </row>
    <row r="2446" spans="1:8" x14ac:dyDescent="0.25">
      <c r="A2446" s="68">
        <v>43980</v>
      </c>
      <c r="B2446" s="48">
        <v>0</v>
      </c>
      <c r="C2446" s="48">
        <v>0</v>
      </c>
      <c r="D2446" s="48">
        <v>0</v>
      </c>
      <c r="E2446" s="48" t="s">
        <v>112</v>
      </c>
      <c r="F2446" s="48" t="s">
        <v>72</v>
      </c>
      <c r="G2446" s="48" t="s">
        <v>406</v>
      </c>
      <c r="H2446" s="69">
        <f t="shared" si="38"/>
        <v>43952</v>
      </c>
    </row>
    <row r="2447" spans="1:8" x14ac:dyDescent="0.25">
      <c r="A2447" s="68">
        <v>43980</v>
      </c>
      <c r="B2447" s="48">
        <v>1</v>
      </c>
      <c r="C2447" s="48">
        <v>3</v>
      </c>
      <c r="D2447" s="48">
        <v>0</v>
      </c>
      <c r="E2447" s="48" t="s">
        <v>112</v>
      </c>
      <c r="F2447" s="48" t="s">
        <v>72</v>
      </c>
      <c r="G2447" s="48" t="s">
        <v>344</v>
      </c>
      <c r="H2447" s="69">
        <f t="shared" si="38"/>
        <v>43952</v>
      </c>
    </row>
    <row r="2448" spans="1:8" x14ac:dyDescent="0.25">
      <c r="A2448" s="68">
        <v>43980</v>
      </c>
      <c r="B2448" s="48">
        <v>1</v>
      </c>
      <c r="C2448" s="48">
        <v>0</v>
      </c>
      <c r="D2448" s="48">
        <v>0</v>
      </c>
      <c r="E2448" s="48" t="s">
        <v>112</v>
      </c>
      <c r="F2448" s="48" t="s">
        <v>72</v>
      </c>
      <c r="G2448" s="48" t="s">
        <v>354</v>
      </c>
      <c r="H2448" s="69">
        <f t="shared" si="38"/>
        <v>43952</v>
      </c>
    </row>
    <row r="2449" spans="1:8" x14ac:dyDescent="0.25">
      <c r="A2449" s="68">
        <v>43980</v>
      </c>
      <c r="B2449" s="48">
        <v>1</v>
      </c>
      <c r="C2449" s="48">
        <v>0</v>
      </c>
      <c r="D2449" s="48">
        <v>0</v>
      </c>
      <c r="E2449" s="48" t="s">
        <v>112</v>
      </c>
      <c r="F2449" s="48" t="s">
        <v>72</v>
      </c>
      <c r="G2449" s="48" t="s">
        <v>337</v>
      </c>
      <c r="H2449" s="69">
        <f t="shared" si="38"/>
        <v>43952</v>
      </c>
    </row>
    <row r="2450" spans="1:8" x14ac:dyDescent="0.25">
      <c r="A2450" s="68">
        <v>43980</v>
      </c>
      <c r="B2450" s="48">
        <v>0</v>
      </c>
      <c r="C2450" s="48">
        <v>0</v>
      </c>
      <c r="D2450" s="48">
        <v>0</v>
      </c>
      <c r="E2450" s="48" t="s">
        <v>112</v>
      </c>
      <c r="F2450" s="48" t="s">
        <v>72</v>
      </c>
      <c r="G2450" s="48" t="s">
        <v>356</v>
      </c>
      <c r="H2450" s="69">
        <f t="shared" si="38"/>
        <v>43952</v>
      </c>
    </row>
    <row r="2451" spans="1:8" x14ac:dyDescent="0.25">
      <c r="A2451" s="68">
        <v>43980</v>
      </c>
      <c r="B2451" s="48">
        <v>0</v>
      </c>
      <c r="C2451" s="48">
        <v>0</v>
      </c>
      <c r="D2451" s="48">
        <v>0</v>
      </c>
      <c r="E2451" s="48" t="s">
        <v>112</v>
      </c>
      <c r="F2451" s="48" t="s">
        <v>72</v>
      </c>
      <c r="G2451" s="48" t="s">
        <v>429</v>
      </c>
      <c r="H2451" s="69">
        <f t="shared" si="38"/>
        <v>43952</v>
      </c>
    </row>
    <row r="2452" spans="1:8" x14ac:dyDescent="0.25">
      <c r="A2452" s="68">
        <v>43980</v>
      </c>
      <c r="B2452" s="48">
        <v>0</v>
      </c>
      <c r="C2452" s="48">
        <v>0</v>
      </c>
      <c r="D2452" s="48">
        <v>0</v>
      </c>
      <c r="E2452" s="48" t="s">
        <v>112</v>
      </c>
      <c r="F2452" s="48" t="s">
        <v>72</v>
      </c>
      <c r="G2452" s="48" t="s">
        <v>431</v>
      </c>
      <c r="H2452" s="69">
        <f t="shared" si="38"/>
        <v>43952</v>
      </c>
    </row>
    <row r="2453" spans="1:8" x14ac:dyDescent="0.25">
      <c r="A2453" s="68">
        <v>43980</v>
      </c>
      <c r="B2453" s="48">
        <v>0</v>
      </c>
      <c r="C2453" s="48">
        <v>0</v>
      </c>
      <c r="D2453" s="48">
        <v>0</v>
      </c>
      <c r="E2453" s="48" t="s">
        <v>112</v>
      </c>
      <c r="F2453" s="48" t="s">
        <v>72</v>
      </c>
      <c r="G2453" s="48" t="s">
        <v>426</v>
      </c>
      <c r="H2453" s="69">
        <f t="shared" si="38"/>
        <v>43952</v>
      </c>
    </row>
    <row r="2454" spans="1:8" x14ac:dyDescent="0.25">
      <c r="A2454" s="68">
        <v>43980</v>
      </c>
      <c r="B2454" s="48">
        <v>0</v>
      </c>
      <c r="C2454" s="48">
        <v>0</v>
      </c>
      <c r="D2454" s="48">
        <v>0</v>
      </c>
      <c r="E2454" s="48" t="s">
        <v>112</v>
      </c>
      <c r="F2454" s="48" t="s">
        <v>72</v>
      </c>
      <c r="G2454" s="48" t="s">
        <v>436</v>
      </c>
      <c r="H2454" s="69">
        <f t="shared" si="38"/>
        <v>43952</v>
      </c>
    </row>
    <row r="2455" spans="1:8" x14ac:dyDescent="0.25">
      <c r="A2455" s="68">
        <v>43980</v>
      </c>
      <c r="B2455" s="48">
        <v>9</v>
      </c>
      <c r="C2455" s="48">
        <v>1</v>
      </c>
      <c r="D2455" s="48">
        <v>0</v>
      </c>
      <c r="E2455" s="48" t="s">
        <v>112</v>
      </c>
      <c r="F2455" s="48" t="s">
        <v>72</v>
      </c>
      <c r="G2455" s="48" t="s">
        <v>357</v>
      </c>
      <c r="H2455" s="69">
        <f t="shared" si="38"/>
        <v>43952</v>
      </c>
    </row>
    <row r="2456" spans="1:8" x14ac:dyDescent="0.25">
      <c r="A2456" s="68">
        <v>43980</v>
      </c>
      <c r="B2456" s="48">
        <v>0</v>
      </c>
      <c r="C2456" s="48">
        <v>0</v>
      </c>
      <c r="D2456" s="48">
        <v>0</v>
      </c>
      <c r="E2456" s="48" t="s">
        <v>112</v>
      </c>
      <c r="F2456" s="48" t="s">
        <v>72</v>
      </c>
      <c r="G2456" s="48" t="s">
        <v>358</v>
      </c>
      <c r="H2456" s="69">
        <f t="shared" si="38"/>
        <v>43952</v>
      </c>
    </row>
    <row r="2457" spans="1:8" x14ac:dyDescent="0.25">
      <c r="A2457" s="68">
        <v>43980</v>
      </c>
      <c r="B2457" s="48">
        <v>0</v>
      </c>
      <c r="C2457" s="48">
        <v>0</v>
      </c>
      <c r="D2457" s="48">
        <v>0</v>
      </c>
      <c r="E2457" s="48" t="s">
        <v>112</v>
      </c>
      <c r="F2457" s="48" t="s">
        <v>72</v>
      </c>
      <c r="G2457" s="48" t="s">
        <v>399</v>
      </c>
      <c r="H2457" s="69">
        <f t="shared" si="38"/>
        <v>43952</v>
      </c>
    </row>
    <row r="2458" spans="1:8" x14ac:dyDescent="0.25">
      <c r="A2458" s="68">
        <v>43980</v>
      </c>
      <c r="B2458" s="48">
        <v>1</v>
      </c>
      <c r="C2458" s="48">
        <v>0</v>
      </c>
      <c r="D2458" s="48">
        <v>1</v>
      </c>
      <c r="E2458" s="48" t="s">
        <v>112</v>
      </c>
      <c r="F2458" s="48" t="s">
        <v>72</v>
      </c>
      <c r="G2458" s="48" t="s">
        <v>352</v>
      </c>
      <c r="H2458" s="69">
        <f t="shared" si="38"/>
        <v>43952</v>
      </c>
    </row>
    <row r="2459" spans="1:8" x14ac:dyDescent="0.25">
      <c r="A2459" s="68">
        <v>43980</v>
      </c>
      <c r="B2459" s="48">
        <v>43</v>
      </c>
      <c r="C2459" s="48">
        <v>0</v>
      </c>
      <c r="D2459" s="48">
        <v>3</v>
      </c>
      <c r="E2459" s="48" t="s">
        <v>112</v>
      </c>
      <c r="F2459" s="48" t="s">
        <v>72</v>
      </c>
      <c r="G2459" s="48" t="s">
        <v>359</v>
      </c>
      <c r="H2459" s="69">
        <f t="shared" si="38"/>
        <v>43952</v>
      </c>
    </row>
    <row r="2460" spans="1:8" x14ac:dyDescent="0.25">
      <c r="A2460" s="68">
        <v>43980</v>
      </c>
      <c r="B2460" s="48">
        <v>0</v>
      </c>
      <c r="C2460" s="48">
        <v>0</v>
      </c>
      <c r="D2460" s="48">
        <v>0</v>
      </c>
      <c r="E2460" s="48" t="s">
        <v>112</v>
      </c>
      <c r="F2460" s="48" t="s">
        <v>72</v>
      </c>
      <c r="G2460" s="48" t="s">
        <v>410</v>
      </c>
      <c r="H2460" s="69">
        <f t="shared" si="38"/>
        <v>43952</v>
      </c>
    </row>
    <row r="2461" spans="1:8" x14ac:dyDescent="0.25">
      <c r="A2461" s="68">
        <v>43980</v>
      </c>
      <c r="B2461" s="48">
        <v>0</v>
      </c>
      <c r="C2461" s="48">
        <v>0</v>
      </c>
      <c r="D2461" s="48">
        <v>0</v>
      </c>
      <c r="E2461" s="48" t="s">
        <v>112</v>
      </c>
      <c r="F2461" s="48" t="s">
        <v>72</v>
      </c>
      <c r="G2461" s="48" t="s">
        <v>365</v>
      </c>
      <c r="H2461" s="69">
        <f t="shared" si="38"/>
        <v>43952</v>
      </c>
    </row>
    <row r="2462" spans="1:8" x14ac:dyDescent="0.25">
      <c r="A2462" s="68">
        <v>43980</v>
      </c>
      <c r="B2462" s="48">
        <v>0</v>
      </c>
      <c r="C2462" s="48">
        <v>0</v>
      </c>
      <c r="D2462" s="48">
        <v>0</v>
      </c>
      <c r="E2462" s="48" t="s">
        <v>112</v>
      </c>
      <c r="F2462" s="48" t="s">
        <v>72</v>
      </c>
      <c r="G2462" s="48" t="s">
        <v>408</v>
      </c>
      <c r="H2462" s="69">
        <f t="shared" si="38"/>
        <v>43952</v>
      </c>
    </row>
    <row r="2463" spans="1:8" x14ac:dyDescent="0.25">
      <c r="A2463" s="68">
        <v>43980</v>
      </c>
      <c r="B2463" s="48">
        <v>0</v>
      </c>
      <c r="C2463" s="48">
        <v>0</v>
      </c>
      <c r="D2463" s="48">
        <v>0</v>
      </c>
      <c r="E2463" s="48" t="s">
        <v>112</v>
      </c>
      <c r="F2463" s="48" t="s">
        <v>72</v>
      </c>
      <c r="G2463" s="48" t="s">
        <v>411</v>
      </c>
      <c r="H2463" s="69">
        <f t="shared" si="38"/>
        <v>43952</v>
      </c>
    </row>
    <row r="2464" spans="1:8" x14ac:dyDescent="0.25">
      <c r="A2464" s="68">
        <v>43980</v>
      </c>
      <c r="B2464" s="48">
        <v>2</v>
      </c>
      <c r="C2464" s="48">
        <v>0</v>
      </c>
      <c r="D2464" s="48">
        <v>5</v>
      </c>
      <c r="E2464" s="48" t="s">
        <v>112</v>
      </c>
      <c r="F2464" s="48" t="s">
        <v>72</v>
      </c>
      <c r="G2464" s="48" t="s">
        <v>351</v>
      </c>
      <c r="H2464" s="69">
        <f t="shared" si="38"/>
        <v>43952</v>
      </c>
    </row>
    <row r="2465" spans="1:8" x14ac:dyDescent="0.25">
      <c r="A2465" s="68">
        <v>43980</v>
      </c>
      <c r="B2465" s="48">
        <v>0</v>
      </c>
      <c r="C2465" s="48">
        <v>0</v>
      </c>
      <c r="D2465" s="48">
        <v>0</v>
      </c>
      <c r="E2465" s="48" t="s">
        <v>112</v>
      </c>
      <c r="F2465" s="48" t="s">
        <v>72</v>
      </c>
      <c r="G2465" s="48" t="s">
        <v>417</v>
      </c>
      <c r="H2465" s="69">
        <f t="shared" si="38"/>
        <v>43952</v>
      </c>
    </row>
    <row r="2466" spans="1:8" x14ac:dyDescent="0.25">
      <c r="A2466" s="68">
        <v>43980</v>
      </c>
      <c r="B2466" s="48">
        <v>0</v>
      </c>
      <c r="C2466" s="48">
        <v>0</v>
      </c>
      <c r="D2466" s="48">
        <v>0</v>
      </c>
      <c r="E2466" s="48" t="s">
        <v>112</v>
      </c>
      <c r="F2466" s="48" t="s">
        <v>72</v>
      </c>
      <c r="G2466" s="48" t="s">
        <v>420</v>
      </c>
      <c r="H2466" s="69">
        <f t="shared" si="38"/>
        <v>43952</v>
      </c>
    </row>
    <row r="2467" spans="1:8" x14ac:dyDescent="0.25">
      <c r="A2467" s="68">
        <v>43980</v>
      </c>
      <c r="B2467" s="48">
        <v>634</v>
      </c>
      <c r="C2467" s="48">
        <v>30</v>
      </c>
      <c r="D2467" s="48">
        <v>1431</v>
      </c>
      <c r="E2467" s="48" t="s">
        <v>112</v>
      </c>
      <c r="F2467" s="48" t="s">
        <v>70</v>
      </c>
      <c r="G2467" s="48" t="s">
        <v>91</v>
      </c>
      <c r="H2467" s="69">
        <f t="shared" si="38"/>
        <v>43952</v>
      </c>
    </row>
    <row r="2468" spans="1:8" x14ac:dyDescent="0.25">
      <c r="A2468" s="68">
        <v>43980</v>
      </c>
      <c r="B2468" s="48">
        <v>37</v>
      </c>
      <c r="C2468" s="48">
        <v>0</v>
      </c>
      <c r="D2468" s="48">
        <v>28</v>
      </c>
      <c r="E2468" s="48" t="s">
        <v>112</v>
      </c>
      <c r="F2468" s="48" t="s">
        <v>70</v>
      </c>
      <c r="G2468" s="48" t="s">
        <v>99</v>
      </c>
      <c r="H2468" s="69">
        <f t="shared" si="38"/>
        <v>43952</v>
      </c>
    </row>
    <row r="2469" spans="1:8" x14ac:dyDescent="0.25">
      <c r="A2469" s="68">
        <v>43980</v>
      </c>
      <c r="B2469" s="48">
        <v>10</v>
      </c>
      <c r="C2469" s="48">
        <v>0</v>
      </c>
      <c r="D2469" s="48">
        <v>6</v>
      </c>
      <c r="E2469" s="48" t="s">
        <v>112</v>
      </c>
      <c r="F2469" s="48" t="s">
        <v>70</v>
      </c>
      <c r="G2469" s="48" t="s">
        <v>363</v>
      </c>
      <c r="H2469" s="69">
        <f t="shared" si="38"/>
        <v>43952</v>
      </c>
    </row>
    <row r="2470" spans="1:8" x14ac:dyDescent="0.25">
      <c r="A2470" s="68">
        <v>43980</v>
      </c>
      <c r="B2470" s="48">
        <v>7</v>
      </c>
      <c r="C2470" s="48">
        <v>0</v>
      </c>
      <c r="D2470" s="48">
        <v>1</v>
      </c>
      <c r="E2470" s="48" t="s">
        <v>112</v>
      </c>
      <c r="F2470" s="48" t="s">
        <v>70</v>
      </c>
      <c r="G2470" s="48" t="s">
        <v>377</v>
      </c>
      <c r="H2470" s="69">
        <f t="shared" si="38"/>
        <v>43952</v>
      </c>
    </row>
    <row r="2471" spans="1:8" x14ac:dyDescent="0.25">
      <c r="A2471" s="68">
        <v>43980</v>
      </c>
      <c r="B2471" s="48">
        <v>1</v>
      </c>
      <c r="C2471" s="48">
        <v>0</v>
      </c>
      <c r="D2471" s="48">
        <v>2</v>
      </c>
      <c r="E2471" s="48" t="s">
        <v>112</v>
      </c>
      <c r="F2471" s="48" t="s">
        <v>70</v>
      </c>
      <c r="G2471" s="48" t="s">
        <v>349</v>
      </c>
      <c r="H2471" s="69">
        <f t="shared" si="38"/>
        <v>43952</v>
      </c>
    </row>
    <row r="2472" spans="1:8" x14ac:dyDescent="0.25">
      <c r="A2472" s="68">
        <v>43980</v>
      </c>
      <c r="B2472" s="48">
        <v>1</v>
      </c>
      <c r="C2472" s="48">
        <v>0</v>
      </c>
      <c r="D2472" s="48">
        <v>0</v>
      </c>
      <c r="E2472" s="48" t="s">
        <v>112</v>
      </c>
      <c r="F2472" s="48" t="s">
        <v>70</v>
      </c>
      <c r="G2472" s="48" t="s">
        <v>385</v>
      </c>
      <c r="H2472" s="69">
        <f t="shared" si="38"/>
        <v>43952</v>
      </c>
    </row>
    <row r="2473" spans="1:8" x14ac:dyDescent="0.25">
      <c r="A2473" s="68">
        <v>43980</v>
      </c>
      <c r="B2473" s="48">
        <v>0</v>
      </c>
      <c r="C2473" s="48">
        <v>0</v>
      </c>
      <c r="D2473" s="48">
        <v>0</v>
      </c>
      <c r="E2473" s="48" t="s">
        <v>112</v>
      </c>
      <c r="F2473" s="48" t="s">
        <v>70</v>
      </c>
      <c r="G2473" s="48" t="s">
        <v>388</v>
      </c>
      <c r="H2473" s="69">
        <f t="shared" si="38"/>
        <v>43952</v>
      </c>
    </row>
    <row r="2474" spans="1:8" x14ac:dyDescent="0.25">
      <c r="A2474" s="68">
        <v>43980</v>
      </c>
      <c r="B2474" s="48">
        <v>0</v>
      </c>
      <c r="C2474" s="48">
        <v>0</v>
      </c>
      <c r="D2474" s="48">
        <v>0</v>
      </c>
      <c r="E2474" s="48" t="s">
        <v>112</v>
      </c>
      <c r="F2474" s="48" t="s">
        <v>70</v>
      </c>
      <c r="G2474" s="48" t="s">
        <v>381</v>
      </c>
      <c r="H2474" s="69">
        <f t="shared" si="38"/>
        <v>43952</v>
      </c>
    </row>
    <row r="2475" spans="1:8" x14ac:dyDescent="0.25">
      <c r="A2475" s="68">
        <v>43980</v>
      </c>
      <c r="B2475" s="48">
        <v>2</v>
      </c>
      <c r="C2475" s="48">
        <v>0</v>
      </c>
      <c r="D2475" s="48">
        <v>1</v>
      </c>
      <c r="E2475" s="48" t="s">
        <v>112</v>
      </c>
      <c r="F2475" s="48" t="s">
        <v>70</v>
      </c>
      <c r="G2475" s="48" t="s">
        <v>374</v>
      </c>
      <c r="H2475" s="69">
        <f t="shared" si="38"/>
        <v>43952</v>
      </c>
    </row>
    <row r="2476" spans="1:8" x14ac:dyDescent="0.25">
      <c r="A2476" s="68">
        <v>43980</v>
      </c>
      <c r="B2476" s="48">
        <v>1</v>
      </c>
      <c r="C2476" s="48">
        <v>0</v>
      </c>
      <c r="D2476" s="48">
        <v>1</v>
      </c>
      <c r="E2476" s="48" t="s">
        <v>112</v>
      </c>
      <c r="F2476" s="48" t="s">
        <v>70</v>
      </c>
      <c r="G2476" s="48" t="s">
        <v>386</v>
      </c>
      <c r="H2476" s="69">
        <f t="shared" si="38"/>
        <v>43952</v>
      </c>
    </row>
    <row r="2477" spans="1:8" x14ac:dyDescent="0.25">
      <c r="A2477" s="68">
        <v>43980</v>
      </c>
      <c r="B2477" s="48">
        <v>0</v>
      </c>
      <c r="C2477" s="48">
        <v>0</v>
      </c>
      <c r="D2477" s="48">
        <v>-1</v>
      </c>
      <c r="E2477" s="48" t="s">
        <v>112</v>
      </c>
      <c r="F2477" s="48" t="s">
        <v>70</v>
      </c>
      <c r="G2477" s="48" t="s">
        <v>415</v>
      </c>
      <c r="H2477" s="69">
        <f t="shared" si="38"/>
        <v>43952</v>
      </c>
    </row>
    <row r="2478" spans="1:8" x14ac:dyDescent="0.25">
      <c r="A2478" s="68">
        <v>43980</v>
      </c>
      <c r="B2478" s="48">
        <v>24</v>
      </c>
      <c r="C2478" s="48">
        <v>0</v>
      </c>
      <c r="D2478" s="48">
        <v>8</v>
      </c>
      <c r="E2478" s="48" t="s">
        <v>112</v>
      </c>
      <c r="F2478" s="48" t="s">
        <v>70</v>
      </c>
      <c r="G2478" s="48" t="s">
        <v>105</v>
      </c>
      <c r="H2478" s="69">
        <f t="shared" si="38"/>
        <v>43952</v>
      </c>
    </row>
    <row r="2479" spans="1:8" x14ac:dyDescent="0.25">
      <c r="A2479" s="68">
        <v>43980</v>
      </c>
      <c r="B2479" s="48">
        <v>31</v>
      </c>
      <c r="C2479" s="48">
        <v>0</v>
      </c>
      <c r="D2479" s="48">
        <v>6</v>
      </c>
      <c r="E2479" s="48" t="s">
        <v>112</v>
      </c>
      <c r="F2479" s="48" t="s">
        <v>70</v>
      </c>
      <c r="G2479" s="48" t="s">
        <v>98</v>
      </c>
      <c r="H2479" s="69">
        <f t="shared" si="38"/>
        <v>43952</v>
      </c>
    </row>
    <row r="2480" spans="1:8" x14ac:dyDescent="0.25">
      <c r="A2480" s="68">
        <v>43980</v>
      </c>
      <c r="B2480" s="48">
        <v>1</v>
      </c>
      <c r="C2480" s="48">
        <v>0</v>
      </c>
      <c r="D2480" s="48">
        <v>0</v>
      </c>
      <c r="E2480" s="48" t="s">
        <v>112</v>
      </c>
      <c r="F2480" s="48" t="s">
        <v>70</v>
      </c>
      <c r="G2480" s="48" t="s">
        <v>336</v>
      </c>
      <c r="H2480" s="69">
        <f t="shared" si="38"/>
        <v>43952</v>
      </c>
    </row>
    <row r="2481" spans="1:8" x14ac:dyDescent="0.25">
      <c r="A2481" s="68">
        <v>43980</v>
      </c>
      <c r="B2481" s="48">
        <v>23</v>
      </c>
      <c r="C2481" s="48">
        <v>0</v>
      </c>
      <c r="D2481" s="48">
        <v>30</v>
      </c>
      <c r="E2481" s="48" t="s">
        <v>112</v>
      </c>
      <c r="F2481" s="48" t="s">
        <v>70</v>
      </c>
      <c r="G2481" s="48" t="s">
        <v>104</v>
      </c>
      <c r="H2481" s="69">
        <f t="shared" si="38"/>
        <v>43952</v>
      </c>
    </row>
    <row r="2482" spans="1:8" x14ac:dyDescent="0.25">
      <c r="A2482" s="68">
        <v>43980</v>
      </c>
      <c r="B2482" s="48">
        <v>4</v>
      </c>
      <c r="C2482" s="48">
        <v>0</v>
      </c>
      <c r="D2482" s="48">
        <v>1</v>
      </c>
      <c r="E2482" s="48" t="s">
        <v>112</v>
      </c>
      <c r="F2482" s="48" t="s">
        <v>70</v>
      </c>
      <c r="G2482" s="48" t="s">
        <v>379</v>
      </c>
      <c r="H2482" s="69">
        <f t="shared" si="38"/>
        <v>43952</v>
      </c>
    </row>
    <row r="2483" spans="1:8" x14ac:dyDescent="0.25">
      <c r="A2483" s="68">
        <v>43980</v>
      </c>
      <c r="B2483" s="48">
        <v>0</v>
      </c>
      <c r="C2483" s="48">
        <v>0</v>
      </c>
      <c r="D2483" s="48">
        <v>23</v>
      </c>
      <c r="E2483" s="48" t="s">
        <v>112</v>
      </c>
      <c r="F2483" s="48" t="s">
        <v>70</v>
      </c>
      <c r="G2483" s="48" t="s">
        <v>360</v>
      </c>
      <c r="H2483" s="69">
        <f t="shared" si="38"/>
        <v>43952</v>
      </c>
    </row>
    <row r="2484" spans="1:8" x14ac:dyDescent="0.25">
      <c r="A2484" s="68">
        <v>43980</v>
      </c>
      <c r="B2484" s="48">
        <v>4</v>
      </c>
      <c r="C2484" s="48">
        <v>0</v>
      </c>
      <c r="D2484" s="48">
        <v>11</v>
      </c>
      <c r="E2484" s="48" t="s">
        <v>112</v>
      </c>
      <c r="F2484" s="48" t="s">
        <v>70</v>
      </c>
      <c r="G2484" s="48" t="s">
        <v>407</v>
      </c>
      <c r="H2484" s="69">
        <f t="shared" si="38"/>
        <v>43952</v>
      </c>
    </row>
    <row r="2485" spans="1:8" x14ac:dyDescent="0.25">
      <c r="A2485" s="68">
        <v>43980</v>
      </c>
      <c r="B2485" s="48">
        <v>1</v>
      </c>
      <c r="C2485" s="48">
        <v>1</v>
      </c>
      <c r="D2485" s="48">
        <v>0</v>
      </c>
      <c r="E2485" s="48" t="s">
        <v>112</v>
      </c>
      <c r="F2485" s="48" t="s">
        <v>70</v>
      </c>
      <c r="G2485" s="48" t="s">
        <v>384</v>
      </c>
      <c r="H2485" s="69">
        <f t="shared" si="38"/>
        <v>43952</v>
      </c>
    </row>
    <row r="2486" spans="1:8" x14ac:dyDescent="0.25">
      <c r="A2486" s="68">
        <v>43980</v>
      </c>
      <c r="B2486" s="48">
        <v>2</v>
      </c>
      <c r="C2486" s="48">
        <v>0</v>
      </c>
      <c r="D2486" s="48">
        <v>2</v>
      </c>
      <c r="E2486" s="48" t="s">
        <v>112</v>
      </c>
      <c r="F2486" s="48" t="s">
        <v>70</v>
      </c>
      <c r="G2486" s="48" t="s">
        <v>383</v>
      </c>
      <c r="H2486" s="69">
        <f t="shared" si="38"/>
        <v>43952</v>
      </c>
    </row>
    <row r="2487" spans="1:8" x14ac:dyDescent="0.25">
      <c r="A2487" s="68">
        <v>43980</v>
      </c>
      <c r="B2487" s="48">
        <v>3</v>
      </c>
      <c r="C2487" s="48">
        <v>0</v>
      </c>
      <c r="D2487" s="48">
        <v>-1</v>
      </c>
      <c r="E2487" s="48" t="s">
        <v>112</v>
      </c>
      <c r="F2487" s="48" t="s">
        <v>70</v>
      </c>
      <c r="G2487" s="48" t="s">
        <v>414</v>
      </c>
      <c r="H2487" s="69">
        <f t="shared" si="38"/>
        <v>43952</v>
      </c>
    </row>
    <row r="2488" spans="1:8" x14ac:dyDescent="0.25">
      <c r="A2488" s="68">
        <v>43980</v>
      </c>
      <c r="B2488" s="48">
        <v>0</v>
      </c>
      <c r="C2488" s="48">
        <v>0</v>
      </c>
      <c r="D2488" s="48">
        <v>1</v>
      </c>
      <c r="E2488" s="48" t="s">
        <v>112</v>
      </c>
      <c r="F2488" s="48" t="s">
        <v>70</v>
      </c>
      <c r="G2488" s="48" t="s">
        <v>423</v>
      </c>
      <c r="H2488" s="69">
        <f t="shared" si="38"/>
        <v>43952</v>
      </c>
    </row>
    <row r="2489" spans="1:8" x14ac:dyDescent="0.25">
      <c r="A2489" s="68">
        <v>43980</v>
      </c>
      <c r="B2489" s="48">
        <v>7</v>
      </c>
      <c r="C2489" s="48">
        <v>0</v>
      </c>
      <c r="D2489" s="48">
        <v>8</v>
      </c>
      <c r="E2489" s="48" t="s">
        <v>112</v>
      </c>
      <c r="F2489" s="48" t="s">
        <v>70</v>
      </c>
      <c r="G2489" s="48" t="s">
        <v>345</v>
      </c>
      <c r="H2489" s="69">
        <f t="shared" si="38"/>
        <v>43952</v>
      </c>
    </row>
    <row r="2490" spans="1:8" x14ac:dyDescent="0.25">
      <c r="A2490" s="68">
        <v>43980</v>
      </c>
      <c r="B2490" s="48">
        <v>10</v>
      </c>
      <c r="C2490" s="48">
        <v>0</v>
      </c>
      <c r="D2490" s="48">
        <v>1</v>
      </c>
      <c r="E2490" s="48" t="s">
        <v>112</v>
      </c>
      <c r="F2490" s="48" t="s">
        <v>70</v>
      </c>
      <c r="G2490" s="48" t="s">
        <v>367</v>
      </c>
      <c r="H2490" s="69">
        <f t="shared" si="38"/>
        <v>43952</v>
      </c>
    </row>
    <row r="2491" spans="1:8" x14ac:dyDescent="0.25">
      <c r="A2491" s="68">
        <v>43980</v>
      </c>
      <c r="B2491" s="48">
        <v>1</v>
      </c>
      <c r="C2491" s="48">
        <v>0</v>
      </c>
      <c r="D2491" s="48">
        <v>1</v>
      </c>
      <c r="E2491" s="48" t="s">
        <v>112</v>
      </c>
      <c r="F2491" s="48" t="s">
        <v>70</v>
      </c>
      <c r="G2491" s="48" t="s">
        <v>380</v>
      </c>
      <c r="H2491" s="69">
        <f t="shared" si="38"/>
        <v>43952</v>
      </c>
    </row>
    <row r="2492" spans="1:8" x14ac:dyDescent="0.25">
      <c r="A2492" s="68">
        <v>43980</v>
      </c>
      <c r="B2492" s="48">
        <v>7</v>
      </c>
      <c r="C2492" s="48">
        <v>1</v>
      </c>
      <c r="D2492" s="48">
        <v>6</v>
      </c>
      <c r="E2492" s="48" t="s">
        <v>112</v>
      </c>
      <c r="F2492" s="48" t="s">
        <v>76</v>
      </c>
      <c r="G2492" s="48" t="s">
        <v>339</v>
      </c>
      <c r="H2492" s="69">
        <f t="shared" si="38"/>
        <v>43952</v>
      </c>
    </row>
    <row r="2493" spans="1:8" x14ac:dyDescent="0.25">
      <c r="A2493" s="68">
        <v>43980</v>
      </c>
      <c r="B2493" s="48">
        <v>159</v>
      </c>
      <c r="C2493" s="48">
        <v>3</v>
      </c>
      <c r="D2493" s="48">
        <v>46</v>
      </c>
      <c r="E2493" s="48" t="s">
        <v>112</v>
      </c>
      <c r="F2493" s="48" t="s">
        <v>73</v>
      </c>
      <c r="G2493" s="48" t="s">
        <v>93</v>
      </c>
      <c r="H2493" s="69">
        <f t="shared" si="38"/>
        <v>43952</v>
      </c>
    </row>
    <row r="2494" spans="1:8" x14ac:dyDescent="0.25">
      <c r="A2494" s="68">
        <v>43980</v>
      </c>
      <c r="B2494" s="48">
        <v>1140</v>
      </c>
      <c r="C2494" s="48">
        <v>29</v>
      </c>
      <c r="D2494" s="48">
        <v>169</v>
      </c>
      <c r="E2494" s="48" t="s">
        <v>112</v>
      </c>
      <c r="F2494" s="48" t="s">
        <v>71</v>
      </c>
      <c r="G2494" s="48" t="s">
        <v>92</v>
      </c>
      <c r="H2494" s="69">
        <f t="shared" si="38"/>
        <v>43952</v>
      </c>
    </row>
    <row r="2495" spans="1:8" x14ac:dyDescent="0.25">
      <c r="A2495" s="68">
        <v>43981</v>
      </c>
      <c r="B2495" s="48">
        <v>226</v>
      </c>
      <c r="C2495" s="48">
        <v>4</v>
      </c>
      <c r="D2495" s="48">
        <v>8</v>
      </c>
      <c r="E2495" s="48" t="s">
        <v>112</v>
      </c>
      <c r="F2495" s="48" t="s">
        <v>74</v>
      </c>
      <c r="G2495" s="48" t="s">
        <v>95</v>
      </c>
      <c r="H2495" s="69">
        <f t="shared" si="38"/>
        <v>43952</v>
      </c>
    </row>
    <row r="2496" spans="1:8" x14ac:dyDescent="0.25">
      <c r="A2496" s="68">
        <v>43981</v>
      </c>
      <c r="B2496" s="48">
        <v>0</v>
      </c>
      <c r="C2496" s="48">
        <v>1</v>
      </c>
      <c r="D2496" s="48">
        <v>0</v>
      </c>
      <c r="E2496" s="48" t="s">
        <v>112</v>
      </c>
      <c r="F2496" s="48" t="s">
        <v>75</v>
      </c>
      <c r="G2496" s="48" t="s">
        <v>103</v>
      </c>
      <c r="H2496" s="69">
        <f t="shared" si="38"/>
        <v>43952</v>
      </c>
    </row>
    <row r="2497" spans="1:8" x14ac:dyDescent="0.25">
      <c r="A2497" s="68">
        <v>43981</v>
      </c>
      <c r="B2497" s="48">
        <v>2</v>
      </c>
      <c r="C2497" s="48">
        <v>0</v>
      </c>
      <c r="D2497" s="48">
        <v>0</v>
      </c>
      <c r="E2497" s="48" t="s">
        <v>112</v>
      </c>
      <c r="F2497" s="48" t="s">
        <v>75</v>
      </c>
      <c r="G2497" s="48" t="s">
        <v>368</v>
      </c>
      <c r="H2497" s="69">
        <f t="shared" si="38"/>
        <v>43952</v>
      </c>
    </row>
    <row r="2498" spans="1:8" x14ac:dyDescent="0.25">
      <c r="A2498" s="68">
        <v>43981</v>
      </c>
      <c r="B2498" s="48">
        <v>3</v>
      </c>
      <c r="C2498" s="48">
        <v>0</v>
      </c>
      <c r="D2498" s="48">
        <v>0</v>
      </c>
      <c r="E2498" s="48" t="s">
        <v>112</v>
      </c>
      <c r="F2498" s="48" t="s">
        <v>75</v>
      </c>
      <c r="G2498" s="48" t="s">
        <v>393</v>
      </c>
      <c r="H2498" s="69">
        <f t="shared" ref="H2498:H2561" si="39">DATE(YEAR(A2498),MONTH(A2498),1)</f>
        <v>43952</v>
      </c>
    </row>
    <row r="2499" spans="1:8" x14ac:dyDescent="0.25">
      <c r="A2499" s="68">
        <v>43981</v>
      </c>
      <c r="B2499" s="48">
        <v>0</v>
      </c>
      <c r="C2499" s="48">
        <v>1</v>
      </c>
      <c r="D2499" s="48">
        <v>0</v>
      </c>
      <c r="E2499" s="48" t="s">
        <v>112</v>
      </c>
      <c r="F2499" s="48" t="s">
        <v>75</v>
      </c>
      <c r="G2499" s="48" t="s">
        <v>373</v>
      </c>
      <c r="H2499" s="69">
        <f t="shared" si="39"/>
        <v>43952</v>
      </c>
    </row>
    <row r="2500" spans="1:8" x14ac:dyDescent="0.25">
      <c r="A2500" s="68">
        <v>43981</v>
      </c>
      <c r="B2500" s="48">
        <v>0</v>
      </c>
      <c r="C2500" s="48">
        <v>0</v>
      </c>
      <c r="D2500" s="48">
        <v>4</v>
      </c>
      <c r="E2500" s="48" t="s">
        <v>112</v>
      </c>
      <c r="F2500" s="48" t="s">
        <v>75</v>
      </c>
      <c r="G2500" s="48" t="s">
        <v>398</v>
      </c>
      <c r="H2500" s="69">
        <f t="shared" si="39"/>
        <v>43952</v>
      </c>
    </row>
    <row r="2501" spans="1:8" x14ac:dyDescent="0.25">
      <c r="A2501" s="68">
        <v>43981</v>
      </c>
      <c r="B2501" s="48">
        <v>0</v>
      </c>
      <c r="C2501" s="48">
        <v>0</v>
      </c>
      <c r="D2501" s="48">
        <v>3</v>
      </c>
      <c r="E2501" s="48" t="s">
        <v>112</v>
      </c>
      <c r="F2501" s="48" t="s">
        <v>75</v>
      </c>
      <c r="G2501" s="48" t="s">
        <v>103</v>
      </c>
      <c r="H2501" s="69">
        <f t="shared" si="39"/>
        <v>43952</v>
      </c>
    </row>
    <row r="2502" spans="1:8" x14ac:dyDescent="0.25">
      <c r="A2502" s="68">
        <v>43981</v>
      </c>
      <c r="B2502" s="48">
        <v>6</v>
      </c>
      <c r="C2502" s="48">
        <v>0</v>
      </c>
      <c r="D2502" s="48">
        <v>0</v>
      </c>
      <c r="E2502" s="48" t="s">
        <v>112</v>
      </c>
      <c r="F2502" s="48" t="s">
        <v>75</v>
      </c>
      <c r="G2502" s="48" t="s">
        <v>361</v>
      </c>
      <c r="H2502" s="69">
        <f t="shared" si="39"/>
        <v>43952</v>
      </c>
    </row>
    <row r="2503" spans="1:8" x14ac:dyDescent="0.25">
      <c r="A2503" s="68">
        <v>43981</v>
      </c>
      <c r="B2503" s="48">
        <v>1</v>
      </c>
      <c r="C2503" s="48">
        <v>0</v>
      </c>
      <c r="D2503" s="48">
        <v>0</v>
      </c>
      <c r="E2503" s="48" t="s">
        <v>112</v>
      </c>
      <c r="F2503" s="48" t="s">
        <v>75</v>
      </c>
      <c r="G2503" s="48" t="s">
        <v>402</v>
      </c>
      <c r="H2503" s="69">
        <f t="shared" si="39"/>
        <v>43952</v>
      </c>
    </row>
    <row r="2504" spans="1:8" x14ac:dyDescent="0.25">
      <c r="A2504" s="68">
        <v>43981</v>
      </c>
      <c r="B2504" s="48">
        <v>157</v>
      </c>
      <c r="C2504" s="48">
        <v>4</v>
      </c>
      <c r="D2504" s="48">
        <v>21</v>
      </c>
      <c r="E2504" s="48" t="s">
        <v>112</v>
      </c>
      <c r="F2504" s="48" t="s">
        <v>72</v>
      </c>
      <c r="G2504" s="48" t="s">
        <v>94</v>
      </c>
      <c r="H2504" s="69">
        <f t="shared" si="39"/>
        <v>43952</v>
      </c>
    </row>
    <row r="2505" spans="1:8" x14ac:dyDescent="0.25">
      <c r="A2505" s="68">
        <v>43981</v>
      </c>
      <c r="B2505" s="48">
        <v>28</v>
      </c>
      <c r="C2505" s="48">
        <v>1</v>
      </c>
      <c r="D2505" s="48">
        <v>3</v>
      </c>
      <c r="E2505" s="48" t="s">
        <v>112</v>
      </c>
      <c r="F2505" s="48" t="s">
        <v>72</v>
      </c>
      <c r="G2505" s="48" t="s">
        <v>341</v>
      </c>
      <c r="H2505" s="69">
        <f t="shared" si="39"/>
        <v>43952</v>
      </c>
    </row>
    <row r="2506" spans="1:8" x14ac:dyDescent="0.25">
      <c r="A2506" s="68">
        <v>43981</v>
      </c>
      <c r="B2506" s="48">
        <v>13</v>
      </c>
      <c r="C2506" s="48">
        <v>0</v>
      </c>
      <c r="D2506" s="48">
        <v>3</v>
      </c>
      <c r="E2506" s="48" t="s">
        <v>112</v>
      </c>
      <c r="F2506" s="48" t="s">
        <v>72</v>
      </c>
      <c r="G2506" s="48" t="s">
        <v>338</v>
      </c>
      <c r="H2506" s="69">
        <f t="shared" si="39"/>
        <v>43952</v>
      </c>
    </row>
    <row r="2507" spans="1:8" x14ac:dyDescent="0.25">
      <c r="A2507" s="68">
        <v>43981</v>
      </c>
      <c r="B2507" s="48">
        <v>28</v>
      </c>
      <c r="C2507" s="48">
        <v>0</v>
      </c>
      <c r="D2507" s="48">
        <v>0</v>
      </c>
      <c r="E2507" s="48" t="s">
        <v>112</v>
      </c>
      <c r="F2507" s="48" t="s">
        <v>72</v>
      </c>
      <c r="G2507" s="48" t="s">
        <v>343</v>
      </c>
      <c r="H2507" s="69">
        <f t="shared" si="39"/>
        <v>43952</v>
      </c>
    </row>
    <row r="2508" spans="1:8" x14ac:dyDescent="0.25">
      <c r="A2508" s="68">
        <v>43981</v>
      </c>
      <c r="B2508" s="48">
        <v>0</v>
      </c>
      <c r="C2508" s="48">
        <v>0</v>
      </c>
      <c r="D2508" s="48">
        <v>0</v>
      </c>
      <c r="E2508" s="48" t="s">
        <v>112</v>
      </c>
      <c r="F2508" s="48" t="s">
        <v>72</v>
      </c>
      <c r="G2508" s="48" t="s">
        <v>400</v>
      </c>
      <c r="H2508" s="69">
        <f t="shared" si="39"/>
        <v>43952</v>
      </c>
    </row>
    <row r="2509" spans="1:8" x14ac:dyDescent="0.25">
      <c r="A2509" s="68">
        <v>43981</v>
      </c>
      <c r="B2509" s="48">
        <v>49</v>
      </c>
      <c r="C2509" s="48">
        <v>0</v>
      </c>
      <c r="D2509" s="48">
        <v>1</v>
      </c>
      <c r="E2509" s="48" t="s">
        <v>112</v>
      </c>
      <c r="F2509" s="48" t="s">
        <v>72</v>
      </c>
      <c r="G2509" s="48" t="s">
        <v>102</v>
      </c>
      <c r="H2509" s="69">
        <f t="shared" si="39"/>
        <v>43952</v>
      </c>
    </row>
    <row r="2510" spans="1:8" x14ac:dyDescent="0.25">
      <c r="A2510" s="68">
        <v>43981</v>
      </c>
      <c r="B2510" s="48">
        <v>0</v>
      </c>
      <c r="C2510" s="48">
        <v>0</v>
      </c>
      <c r="D2510" s="48">
        <v>7</v>
      </c>
      <c r="E2510" s="48" t="s">
        <v>112</v>
      </c>
      <c r="F2510" s="48" t="s">
        <v>72</v>
      </c>
      <c r="G2510" s="48" t="s">
        <v>355</v>
      </c>
      <c r="H2510" s="69">
        <f t="shared" si="39"/>
        <v>43952</v>
      </c>
    </row>
    <row r="2511" spans="1:8" x14ac:dyDescent="0.25">
      <c r="A2511" s="68">
        <v>43981</v>
      </c>
      <c r="B2511" s="48">
        <v>1</v>
      </c>
      <c r="C2511" s="48">
        <v>1</v>
      </c>
      <c r="D2511" s="48">
        <v>12</v>
      </c>
      <c r="E2511" s="48" t="s">
        <v>112</v>
      </c>
      <c r="F2511" s="48" t="s">
        <v>72</v>
      </c>
      <c r="G2511" s="48" t="s">
        <v>96</v>
      </c>
      <c r="H2511" s="69">
        <f t="shared" si="39"/>
        <v>43952</v>
      </c>
    </row>
    <row r="2512" spans="1:8" x14ac:dyDescent="0.25">
      <c r="A2512" s="68">
        <v>43981</v>
      </c>
      <c r="B2512" s="48">
        <v>1</v>
      </c>
      <c r="C2512" s="48">
        <v>1</v>
      </c>
      <c r="D2512" s="48">
        <v>0</v>
      </c>
      <c r="E2512" s="48" t="s">
        <v>112</v>
      </c>
      <c r="F2512" s="48" t="s">
        <v>72</v>
      </c>
      <c r="G2512" s="48" t="s">
        <v>347</v>
      </c>
      <c r="H2512" s="69">
        <f t="shared" si="39"/>
        <v>43952</v>
      </c>
    </row>
    <row r="2513" spans="1:8" x14ac:dyDescent="0.25">
      <c r="A2513" s="68">
        <v>43981</v>
      </c>
      <c r="B2513" s="48">
        <v>15</v>
      </c>
      <c r="C2513" s="48">
        <v>0</v>
      </c>
      <c r="D2513" s="48">
        <v>4</v>
      </c>
      <c r="E2513" s="48" t="s">
        <v>112</v>
      </c>
      <c r="F2513" s="48" t="s">
        <v>72</v>
      </c>
      <c r="G2513" s="48" t="s">
        <v>335</v>
      </c>
      <c r="H2513" s="69">
        <f t="shared" si="39"/>
        <v>43952</v>
      </c>
    </row>
    <row r="2514" spans="1:8" x14ac:dyDescent="0.25">
      <c r="A2514" s="68">
        <v>43981</v>
      </c>
      <c r="B2514" s="48">
        <v>20</v>
      </c>
      <c r="C2514" s="48">
        <v>0</v>
      </c>
      <c r="D2514" s="48">
        <v>10</v>
      </c>
      <c r="E2514" s="48" t="s">
        <v>112</v>
      </c>
      <c r="F2514" s="48" t="s">
        <v>72</v>
      </c>
      <c r="G2514" s="48" t="s">
        <v>342</v>
      </c>
      <c r="H2514" s="69">
        <f t="shared" si="39"/>
        <v>43952</v>
      </c>
    </row>
    <row r="2515" spans="1:8" x14ac:dyDescent="0.25">
      <c r="A2515" s="68">
        <v>43981</v>
      </c>
      <c r="B2515" s="48">
        <v>10</v>
      </c>
      <c r="C2515" s="48">
        <v>0</v>
      </c>
      <c r="D2515" s="48">
        <v>2</v>
      </c>
      <c r="E2515" s="48" t="s">
        <v>112</v>
      </c>
      <c r="F2515" s="48" t="s">
        <v>72</v>
      </c>
      <c r="G2515" s="48" t="s">
        <v>353</v>
      </c>
      <c r="H2515" s="69">
        <f t="shared" si="39"/>
        <v>43952</v>
      </c>
    </row>
    <row r="2516" spans="1:8" x14ac:dyDescent="0.25">
      <c r="A2516" s="68">
        <v>43981</v>
      </c>
      <c r="B2516" s="48">
        <v>16</v>
      </c>
      <c r="C2516" s="48">
        <v>0</v>
      </c>
      <c r="D2516" s="48">
        <v>1</v>
      </c>
      <c r="E2516" s="48" t="s">
        <v>112</v>
      </c>
      <c r="F2516" s="48" t="s">
        <v>72</v>
      </c>
      <c r="G2516" s="48" t="s">
        <v>101</v>
      </c>
      <c r="H2516" s="69">
        <f t="shared" si="39"/>
        <v>43952</v>
      </c>
    </row>
    <row r="2517" spans="1:8" x14ac:dyDescent="0.25">
      <c r="A2517" s="68">
        <v>43981</v>
      </c>
      <c r="B2517" s="48">
        <v>0</v>
      </c>
      <c r="C2517" s="48">
        <v>0</v>
      </c>
      <c r="D2517" s="48">
        <v>1</v>
      </c>
      <c r="E2517" s="48" t="s">
        <v>112</v>
      </c>
      <c r="F2517" s="48" t="s">
        <v>72</v>
      </c>
      <c r="G2517" s="48" t="s">
        <v>387</v>
      </c>
      <c r="H2517" s="69">
        <f t="shared" si="39"/>
        <v>43952</v>
      </c>
    </row>
    <row r="2518" spans="1:8" x14ac:dyDescent="0.25">
      <c r="A2518" s="68">
        <v>43981</v>
      </c>
      <c r="B2518" s="48">
        <v>1</v>
      </c>
      <c r="C2518" s="48">
        <v>0</v>
      </c>
      <c r="D2518" s="48">
        <v>1</v>
      </c>
      <c r="E2518" s="48" t="s">
        <v>112</v>
      </c>
      <c r="F2518" s="48" t="s">
        <v>72</v>
      </c>
      <c r="G2518" s="48" t="s">
        <v>406</v>
      </c>
      <c r="H2518" s="69">
        <f t="shared" si="39"/>
        <v>43952</v>
      </c>
    </row>
    <row r="2519" spans="1:8" x14ac:dyDescent="0.25">
      <c r="A2519" s="68">
        <v>43981</v>
      </c>
      <c r="B2519" s="48">
        <v>20</v>
      </c>
      <c r="C2519" s="48">
        <v>0</v>
      </c>
      <c r="D2519" s="48">
        <v>5</v>
      </c>
      <c r="E2519" s="48" t="s">
        <v>112</v>
      </c>
      <c r="F2519" s="48" t="s">
        <v>72</v>
      </c>
      <c r="G2519" s="48" t="s">
        <v>344</v>
      </c>
      <c r="H2519" s="69">
        <f t="shared" si="39"/>
        <v>43952</v>
      </c>
    </row>
    <row r="2520" spans="1:8" x14ac:dyDescent="0.25">
      <c r="A2520" s="68">
        <v>43981</v>
      </c>
      <c r="B2520" s="48">
        <v>0</v>
      </c>
      <c r="C2520" s="48">
        <v>0</v>
      </c>
      <c r="D2520" s="48">
        <v>0</v>
      </c>
      <c r="E2520" s="48" t="s">
        <v>112</v>
      </c>
      <c r="F2520" s="48" t="s">
        <v>72</v>
      </c>
      <c r="G2520" s="48" t="s">
        <v>354</v>
      </c>
      <c r="H2520" s="69">
        <f t="shared" si="39"/>
        <v>43952</v>
      </c>
    </row>
    <row r="2521" spans="1:8" x14ac:dyDescent="0.25">
      <c r="A2521" s="68">
        <v>43981</v>
      </c>
      <c r="B2521" s="48">
        <v>9</v>
      </c>
      <c r="C2521" s="48">
        <v>1</v>
      </c>
      <c r="D2521" s="48">
        <v>0</v>
      </c>
      <c r="E2521" s="48" t="s">
        <v>112</v>
      </c>
      <c r="F2521" s="48" t="s">
        <v>72</v>
      </c>
      <c r="G2521" s="48" t="s">
        <v>337</v>
      </c>
      <c r="H2521" s="69">
        <f t="shared" si="39"/>
        <v>43952</v>
      </c>
    </row>
    <row r="2522" spans="1:8" x14ac:dyDescent="0.25">
      <c r="A2522" s="68">
        <v>43981</v>
      </c>
      <c r="B2522" s="48">
        <v>7</v>
      </c>
      <c r="C2522" s="48">
        <v>0</v>
      </c>
      <c r="D2522" s="48">
        <v>4</v>
      </c>
      <c r="E2522" s="48" t="s">
        <v>112</v>
      </c>
      <c r="F2522" s="48" t="s">
        <v>72</v>
      </c>
      <c r="G2522" s="48" t="s">
        <v>356</v>
      </c>
      <c r="H2522" s="69">
        <f t="shared" si="39"/>
        <v>43952</v>
      </c>
    </row>
    <row r="2523" spans="1:8" x14ac:dyDescent="0.25">
      <c r="A2523" s="68">
        <v>43981</v>
      </c>
      <c r="B2523" s="48">
        <v>0</v>
      </c>
      <c r="C2523" s="48">
        <v>0</v>
      </c>
      <c r="D2523" s="48">
        <v>0</v>
      </c>
      <c r="E2523" s="48" t="s">
        <v>112</v>
      </c>
      <c r="F2523" s="48" t="s">
        <v>72</v>
      </c>
      <c r="G2523" s="48" t="s">
        <v>429</v>
      </c>
      <c r="H2523" s="69">
        <f t="shared" si="39"/>
        <v>43952</v>
      </c>
    </row>
    <row r="2524" spans="1:8" x14ac:dyDescent="0.25">
      <c r="A2524" s="68">
        <v>43981</v>
      </c>
      <c r="B2524" s="48">
        <v>0</v>
      </c>
      <c r="C2524" s="48">
        <v>0</v>
      </c>
      <c r="D2524" s="48">
        <v>0</v>
      </c>
      <c r="E2524" s="48" t="s">
        <v>112</v>
      </c>
      <c r="F2524" s="48" t="s">
        <v>72</v>
      </c>
      <c r="G2524" s="48" t="s">
        <v>431</v>
      </c>
      <c r="H2524" s="69">
        <f t="shared" si="39"/>
        <v>43952</v>
      </c>
    </row>
    <row r="2525" spans="1:8" x14ac:dyDescent="0.25">
      <c r="A2525" s="68">
        <v>43981</v>
      </c>
      <c r="B2525" s="48">
        <v>0</v>
      </c>
      <c r="C2525" s="48">
        <v>0</v>
      </c>
      <c r="D2525" s="48">
        <v>0</v>
      </c>
      <c r="E2525" s="48" t="s">
        <v>112</v>
      </c>
      <c r="F2525" s="48" t="s">
        <v>72</v>
      </c>
      <c r="G2525" s="48" t="s">
        <v>426</v>
      </c>
      <c r="H2525" s="69">
        <f t="shared" si="39"/>
        <v>43952</v>
      </c>
    </row>
    <row r="2526" spans="1:8" x14ac:dyDescent="0.25">
      <c r="A2526" s="68">
        <v>43981</v>
      </c>
      <c r="B2526" s="48">
        <v>0</v>
      </c>
      <c r="C2526" s="48">
        <v>0</v>
      </c>
      <c r="D2526" s="48">
        <v>0</v>
      </c>
      <c r="E2526" s="48" t="s">
        <v>112</v>
      </c>
      <c r="F2526" s="48" t="s">
        <v>72</v>
      </c>
      <c r="G2526" s="48" t="s">
        <v>436</v>
      </c>
      <c r="H2526" s="69">
        <f t="shared" si="39"/>
        <v>43952</v>
      </c>
    </row>
    <row r="2527" spans="1:8" x14ac:dyDescent="0.25">
      <c r="A2527" s="68">
        <v>43981</v>
      </c>
      <c r="B2527" s="48">
        <v>8</v>
      </c>
      <c r="C2527" s="48">
        <v>0</v>
      </c>
      <c r="D2527" s="48">
        <v>0</v>
      </c>
      <c r="E2527" s="48" t="s">
        <v>112</v>
      </c>
      <c r="F2527" s="48" t="s">
        <v>72</v>
      </c>
      <c r="G2527" s="48" t="s">
        <v>357</v>
      </c>
      <c r="H2527" s="69">
        <f t="shared" si="39"/>
        <v>43952</v>
      </c>
    </row>
    <row r="2528" spans="1:8" x14ac:dyDescent="0.25">
      <c r="A2528" s="68">
        <v>43981</v>
      </c>
      <c r="B2528" s="48">
        <v>7</v>
      </c>
      <c r="C2528" s="48">
        <v>0</v>
      </c>
      <c r="D2528" s="48">
        <v>1</v>
      </c>
      <c r="E2528" s="48" t="s">
        <v>112</v>
      </c>
      <c r="F2528" s="48" t="s">
        <v>72</v>
      </c>
      <c r="G2528" s="48" t="s">
        <v>358</v>
      </c>
      <c r="H2528" s="69">
        <f t="shared" si="39"/>
        <v>43952</v>
      </c>
    </row>
    <row r="2529" spans="1:8" x14ac:dyDescent="0.25">
      <c r="A2529" s="68">
        <v>43981</v>
      </c>
      <c r="B2529" s="48">
        <v>1</v>
      </c>
      <c r="C2529" s="48">
        <v>0</v>
      </c>
      <c r="D2529" s="48">
        <v>2</v>
      </c>
      <c r="E2529" s="48" t="s">
        <v>112</v>
      </c>
      <c r="F2529" s="48" t="s">
        <v>72</v>
      </c>
      <c r="G2529" s="48" t="s">
        <v>399</v>
      </c>
      <c r="H2529" s="69">
        <f t="shared" si="39"/>
        <v>43952</v>
      </c>
    </row>
    <row r="2530" spans="1:8" x14ac:dyDescent="0.25">
      <c r="A2530" s="68">
        <v>43981</v>
      </c>
      <c r="B2530" s="48">
        <v>5</v>
      </c>
      <c r="C2530" s="48">
        <v>0</v>
      </c>
      <c r="D2530" s="48">
        <v>0</v>
      </c>
      <c r="E2530" s="48" t="s">
        <v>112</v>
      </c>
      <c r="F2530" s="48" t="s">
        <v>72</v>
      </c>
      <c r="G2530" s="48" t="s">
        <v>352</v>
      </c>
      <c r="H2530" s="69">
        <f t="shared" si="39"/>
        <v>43952</v>
      </c>
    </row>
    <row r="2531" spans="1:8" x14ac:dyDescent="0.25">
      <c r="A2531" s="68">
        <v>43981</v>
      </c>
      <c r="B2531" s="48">
        <v>0</v>
      </c>
      <c r="C2531" s="48">
        <v>0</v>
      </c>
      <c r="D2531" s="48">
        <v>0</v>
      </c>
      <c r="E2531" s="48" t="s">
        <v>112</v>
      </c>
      <c r="F2531" s="48" t="s">
        <v>72</v>
      </c>
      <c r="G2531" s="48" t="s">
        <v>359</v>
      </c>
      <c r="H2531" s="69">
        <f t="shared" si="39"/>
        <v>43952</v>
      </c>
    </row>
    <row r="2532" spans="1:8" x14ac:dyDescent="0.25">
      <c r="A2532" s="68">
        <v>43981</v>
      </c>
      <c r="B2532" s="48">
        <v>0</v>
      </c>
      <c r="C2532" s="48">
        <v>0</v>
      </c>
      <c r="D2532" s="48">
        <v>0</v>
      </c>
      <c r="E2532" s="48" t="s">
        <v>112</v>
      </c>
      <c r="F2532" s="48" t="s">
        <v>72</v>
      </c>
      <c r="G2532" s="48" t="s">
        <v>410</v>
      </c>
      <c r="H2532" s="69">
        <f t="shared" si="39"/>
        <v>43952</v>
      </c>
    </row>
    <row r="2533" spans="1:8" x14ac:dyDescent="0.25">
      <c r="A2533" s="68">
        <v>43981</v>
      </c>
      <c r="B2533" s="48">
        <v>0</v>
      </c>
      <c r="C2533" s="48">
        <v>0</v>
      </c>
      <c r="D2533" s="48">
        <v>0</v>
      </c>
      <c r="E2533" s="48" t="s">
        <v>112</v>
      </c>
      <c r="F2533" s="48" t="s">
        <v>72</v>
      </c>
      <c r="G2533" s="48" t="s">
        <v>365</v>
      </c>
      <c r="H2533" s="69">
        <f t="shared" si="39"/>
        <v>43952</v>
      </c>
    </row>
    <row r="2534" spans="1:8" x14ac:dyDescent="0.25">
      <c r="A2534" s="68">
        <v>43981</v>
      </c>
      <c r="B2534" s="48">
        <v>0</v>
      </c>
      <c r="C2534" s="48">
        <v>0</v>
      </c>
      <c r="D2534" s="48">
        <v>0</v>
      </c>
      <c r="E2534" s="48" t="s">
        <v>112</v>
      </c>
      <c r="F2534" s="48" t="s">
        <v>72</v>
      </c>
      <c r="G2534" s="48" t="s">
        <v>408</v>
      </c>
      <c r="H2534" s="69">
        <f t="shared" si="39"/>
        <v>43952</v>
      </c>
    </row>
    <row r="2535" spans="1:8" x14ac:dyDescent="0.25">
      <c r="A2535" s="68">
        <v>43981</v>
      </c>
      <c r="B2535" s="48">
        <v>0</v>
      </c>
      <c r="C2535" s="48">
        <v>0</v>
      </c>
      <c r="D2535" s="48">
        <v>0</v>
      </c>
      <c r="E2535" s="48" t="s">
        <v>112</v>
      </c>
      <c r="F2535" s="48" t="s">
        <v>72</v>
      </c>
      <c r="G2535" s="48" t="s">
        <v>411</v>
      </c>
      <c r="H2535" s="69">
        <f t="shared" si="39"/>
        <v>43952</v>
      </c>
    </row>
    <row r="2536" spans="1:8" x14ac:dyDescent="0.25">
      <c r="A2536" s="68">
        <v>43981</v>
      </c>
      <c r="B2536" s="48">
        <v>0</v>
      </c>
      <c r="C2536" s="48">
        <v>0</v>
      </c>
      <c r="D2536" s="48">
        <v>0</v>
      </c>
      <c r="E2536" s="48" t="s">
        <v>112</v>
      </c>
      <c r="F2536" s="48" t="s">
        <v>72</v>
      </c>
      <c r="G2536" s="48" t="s">
        <v>351</v>
      </c>
      <c r="H2536" s="69">
        <f t="shared" si="39"/>
        <v>43952</v>
      </c>
    </row>
    <row r="2537" spans="1:8" x14ac:dyDescent="0.25">
      <c r="A2537" s="68">
        <v>43981</v>
      </c>
      <c r="B2537" s="48">
        <v>0</v>
      </c>
      <c r="C2537" s="48">
        <v>0</v>
      </c>
      <c r="D2537" s="48">
        <v>0</v>
      </c>
      <c r="E2537" s="48" t="s">
        <v>112</v>
      </c>
      <c r="F2537" s="48" t="s">
        <v>72</v>
      </c>
      <c r="G2537" s="48" t="s">
        <v>417</v>
      </c>
      <c r="H2537" s="69">
        <f t="shared" si="39"/>
        <v>43952</v>
      </c>
    </row>
    <row r="2538" spans="1:8" x14ac:dyDescent="0.25">
      <c r="A2538" s="68">
        <v>43981</v>
      </c>
      <c r="B2538" s="48">
        <v>0</v>
      </c>
      <c r="C2538" s="48">
        <v>0</v>
      </c>
      <c r="D2538" s="48">
        <v>0</v>
      </c>
      <c r="E2538" s="48" t="s">
        <v>112</v>
      </c>
      <c r="F2538" s="48" t="s">
        <v>72</v>
      </c>
      <c r="G2538" s="48" t="s">
        <v>420</v>
      </c>
      <c r="H2538" s="69">
        <f t="shared" si="39"/>
        <v>43952</v>
      </c>
    </row>
    <row r="2539" spans="1:8" x14ac:dyDescent="0.25">
      <c r="A2539" s="68">
        <v>43981</v>
      </c>
      <c r="B2539" s="48">
        <v>1043</v>
      </c>
      <c r="C2539" s="48">
        <v>35</v>
      </c>
      <c r="D2539" s="48">
        <v>454</v>
      </c>
      <c r="E2539" s="48" t="s">
        <v>112</v>
      </c>
      <c r="F2539" s="48" t="s">
        <v>70</v>
      </c>
      <c r="G2539" s="48" t="s">
        <v>91</v>
      </c>
      <c r="H2539" s="69">
        <f t="shared" si="39"/>
        <v>43952</v>
      </c>
    </row>
    <row r="2540" spans="1:8" x14ac:dyDescent="0.25">
      <c r="A2540" s="68">
        <v>43981</v>
      </c>
      <c r="B2540" s="48">
        <v>24</v>
      </c>
      <c r="C2540" s="48">
        <v>1</v>
      </c>
      <c r="D2540" s="48">
        <v>26</v>
      </c>
      <c r="E2540" s="48" t="s">
        <v>112</v>
      </c>
      <c r="F2540" s="48" t="s">
        <v>70</v>
      </c>
      <c r="G2540" s="48" t="s">
        <v>99</v>
      </c>
      <c r="H2540" s="69">
        <f t="shared" si="39"/>
        <v>43952</v>
      </c>
    </row>
    <row r="2541" spans="1:8" x14ac:dyDescent="0.25">
      <c r="A2541" s="68">
        <v>43981</v>
      </c>
      <c r="B2541" s="48">
        <v>14</v>
      </c>
      <c r="C2541" s="48">
        <v>0</v>
      </c>
      <c r="D2541" s="48">
        <v>2</v>
      </c>
      <c r="E2541" s="48" t="s">
        <v>112</v>
      </c>
      <c r="F2541" s="48" t="s">
        <v>70</v>
      </c>
      <c r="G2541" s="48" t="s">
        <v>363</v>
      </c>
      <c r="H2541" s="69">
        <f t="shared" si="39"/>
        <v>43952</v>
      </c>
    </row>
    <row r="2542" spans="1:8" x14ac:dyDescent="0.25">
      <c r="A2542" s="68">
        <v>43981</v>
      </c>
      <c r="B2542" s="48">
        <v>3</v>
      </c>
      <c r="C2542" s="48">
        <v>0</v>
      </c>
      <c r="D2542" s="48">
        <v>0</v>
      </c>
      <c r="E2542" s="48" t="s">
        <v>112</v>
      </c>
      <c r="F2542" s="48" t="s">
        <v>70</v>
      </c>
      <c r="G2542" s="48" t="s">
        <v>377</v>
      </c>
      <c r="H2542" s="69">
        <f t="shared" si="39"/>
        <v>43952</v>
      </c>
    </row>
    <row r="2543" spans="1:8" x14ac:dyDescent="0.25">
      <c r="A2543" s="68">
        <v>43981</v>
      </c>
      <c r="B2543" s="48">
        <v>8</v>
      </c>
      <c r="C2543" s="48">
        <v>0</v>
      </c>
      <c r="D2543" s="48">
        <v>0</v>
      </c>
      <c r="E2543" s="48" t="s">
        <v>112</v>
      </c>
      <c r="F2543" s="48" t="s">
        <v>70</v>
      </c>
      <c r="G2543" s="48" t="s">
        <v>349</v>
      </c>
      <c r="H2543" s="69">
        <f t="shared" si="39"/>
        <v>43952</v>
      </c>
    </row>
    <row r="2544" spans="1:8" x14ac:dyDescent="0.25">
      <c r="A2544" s="68">
        <v>43981</v>
      </c>
      <c r="B2544" s="48">
        <v>0</v>
      </c>
      <c r="C2544" s="48">
        <v>0</v>
      </c>
      <c r="D2544" s="48">
        <v>0</v>
      </c>
      <c r="E2544" s="48" t="s">
        <v>112</v>
      </c>
      <c r="F2544" s="48" t="s">
        <v>70</v>
      </c>
      <c r="G2544" s="48" t="s">
        <v>385</v>
      </c>
      <c r="H2544" s="69">
        <f t="shared" si="39"/>
        <v>43952</v>
      </c>
    </row>
    <row r="2545" spans="1:8" x14ac:dyDescent="0.25">
      <c r="A2545" s="68">
        <v>43981</v>
      </c>
      <c r="B2545" s="48">
        <v>8</v>
      </c>
      <c r="C2545" s="48">
        <v>0</v>
      </c>
      <c r="D2545" s="48">
        <v>0</v>
      </c>
      <c r="E2545" s="48" t="s">
        <v>112</v>
      </c>
      <c r="F2545" s="48" t="s">
        <v>70</v>
      </c>
      <c r="G2545" s="48" t="s">
        <v>388</v>
      </c>
      <c r="H2545" s="69">
        <f t="shared" si="39"/>
        <v>43952</v>
      </c>
    </row>
    <row r="2546" spans="1:8" x14ac:dyDescent="0.25">
      <c r="A2546" s="68">
        <v>43981</v>
      </c>
      <c r="B2546" s="48">
        <v>3</v>
      </c>
      <c r="C2546" s="48">
        <v>1</v>
      </c>
      <c r="D2546" s="48">
        <v>0</v>
      </c>
      <c r="E2546" s="48" t="s">
        <v>112</v>
      </c>
      <c r="F2546" s="48" t="s">
        <v>70</v>
      </c>
      <c r="G2546" s="48" t="s">
        <v>381</v>
      </c>
      <c r="H2546" s="69">
        <f t="shared" si="39"/>
        <v>43952</v>
      </c>
    </row>
    <row r="2547" spans="1:8" x14ac:dyDescent="0.25">
      <c r="A2547" s="68">
        <v>43981</v>
      </c>
      <c r="B2547" s="48">
        <v>1</v>
      </c>
      <c r="C2547" s="48">
        <v>0</v>
      </c>
      <c r="D2547" s="48">
        <v>0</v>
      </c>
      <c r="E2547" s="48" t="s">
        <v>112</v>
      </c>
      <c r="F2547" s="48" t="s">
        <v>70</v>
      </c>
      <c r="G2547" s="48" t="s">
        <v>374</v>
      </c>
      <c r="H2547" s="69">
        <f t="shared" si="39"/>
        <v>43952</v>
      </c>
    </row>
    <row r="2548" spans="1:8" x14ac:dyDescent="0.25">
      <c r="A2548" s="68">
        <v>43981</v>
      </c>
      <c r="B2548" s="48">
        <v>0</v>
      </c>
      <c r="C2548" s="48">
        <v>0</v>
      </c>
      <c r="D2548" s="48">
        <v>0</v>
      </c>
      <c r="E2548" s="48" t="s">
        <v>112</v>
      </c>
      <c r="F2548" s="48" t="s">
        <v>70</v>
      </c>
      <c r="G2548" s="48" t="s">
        <v>386</v>
      </c>
      <c r="H2548" s="69">
        <f t="shared" si="39"/>
        <v>43952</v>
      </c>
    </row>
    <row r="2549" spans="1:8" x14ac:dyDescent="0.25">
      <c r="A2549" s="68">
        <v>43981</v>
      </c>
      <c r="B2549" s="48">
        <v>0</v>
      </c>
      <c r="C2549" s="48">
        <v>0</v>
      </c>
      <c r="D2549" s="48">
        <v>0</v>
      </c>
      <c r="E2549" s="48" t="s">
        <v>112</v>
      </c>
      <c r="F2549" s="48" t="s">
        <v>70</v>
      </c>
      <c r="G2549" s="48" t="s">
        <v>415</v>
      </c>
      <c r="H2549" s="69">
        <f t="shared" si="39"/>
        <v>43952</v>
      </c>
    </row>
    <row r="2550" spans="1:8" x14ac:dyDescent="0.25">
      <c r="A2550" s="68">
        <v>43981</v>
      </c>
      <c r="B2550" s="48">
        <v>29</v>
      </c>
      <c r="C2550" s="48">
        <v>0</v>
      </c>
      <c r="D2550" s="48">
        <v>8</v>
      </c>
      <c r="E2550" s="48" t="s">
        <v>112</v>
      </c>
      <c r="F2550" s="48" t="s">
        <v>70</v>
      </c>
      <c r="G2550" s="48" t="s">
        <v>105</v>
      </c>
      <c r="H2550" s="69">
        <f t="shared" si="39"/>
        <v>43952</v>
      </c>
    </row>
    <row r="2551" spans="1:8" x14ac:dyDescent="0.25">
      <c r="A2551" s="68">
        <v>43981</v>
      </c>
      <c r="B2551" s="48">
        <v>21</v>
      </c>
      <c r="C2551" s="48">
        <v>1</v>
      </c>
      <c r="D2551" s="48">
        <v>7</v>
      </c>
      <c r="E2551" s="48" t="s">
        <v>112</v>
      </c>
      <c r="F2551" s="48" t="s">
        <v>70</v>
      </c>
      <c r="G2551" s="48" t="s">
        <v>98</v>
      </c>
      <c r="H2551" s="69">
        <f t="shared" si="39"/>
        <v>43952</v>
      </c>
    </row>
    <row r="2552" spans="1:8" x14ac:dyDescent="0.25">
      <c r="A2552" s="68">
        <v>43981</v>
      </c>
      <c r="B2552" s="48">
        <v>8</v>
      </c>
      <c r="C2552" s="48">
        <v>0</v>
      </c>
      <c r="D2552" s="48">
        <v>1</v>
      </c>
      <c r="E2552" s="48" t="s">
        <v>112</v>
      </c>
      <c r="F2552" s="48" t="s">
        <v>70</v>
      </c>
      <c r="G2552" s="48" t="s">
        <v>336</v>
      </c>
      <c r="H2552" s="69">
        <f t="shared" si="39"/>
        <v>43952</v>
      </c>
    </row>
    <row r="2553" spans="1:8" x14ac:dyDescent="0.25">
      <c r="A2553" s="68">
        <v>43981</v>
      </c>
      <c r="B2553" s="48">
        <v>23</v>
      </c>
      <c r="C2553" s="48">
        <v>0</v>
      </c>
      <c r="D2553" s="48">
        <v>2</v>
      </c>
      <c r="E2553" s="48" t="s">
        <v>112</v>
      </c>
      <c r="F2553" s="48" t="s">
        <v>70</v>
      </c>
      <c r="G2553" s="48" t="s">
        <v>104</v>
      </c>
      <c r="H2553" s="69">
        <f t="shared" si="39"/>
        <v>43952</v>
      </c>
    </row>
    <row r="2554" spans="1:8" x14ac:dyDescent="0.25">
      <c r="A2554" s="68">
        <v>43981</v>
      </c>
      <c r="B2554" s="48">
        <v>4</v>
      </c>
      <c r="C2554" s="48">
        <v>0</v>
      </c>
      <c r="D2554" s="48">
        <v>1</v>
      </c>
      <c r="E2554" s="48" t="s">
        <v>112</v>
      </c>
      <c r="F2554" s="48" t="s">
        <v>70</v>
      </c>
      <c r="G2554" s="48" t="s">
        <v>379</v>
      </c>
      <c r="H2554" s="69">
        <f t="shared" si="39"/>
        <v>43952</v>
      </c>
    </row>
    <row r="2555" spans="1:8" x14ac:dyDescent="0.25">
      <c r="A2555" s="68">
        <v>43981</v>
      </c>
      <c r="B2555" s="48">
        <v>5</v>
      </c>
      <c r="C2555" s="48">
        <v>0</v>
      </c>
      <c r="D2555" s="48">
        <v>9</v>
      </c>
      <c r="E2555" s="48" t="s">
        <v>112</v>
      </c>
      <c r="F2555" s="48" t="s">
        <v>70</v>
      </c>
      <c r="G2555" s="48" t="s">
        <v>360</v>
      </c>
      <c r="H2555" s="69">
        <f t="shared" si="39"/>
        <v>43952</v>
      </c>
    </row>
    <row r="2556" spans="1:8" x14ac:dyDescent="0.25">
      <c r="A2556" s="68">
        <v>43981</v>
      </c>
      <c r="B2556" s="48">
        <v>0</v>
      </c>
      <c r="C2556" s="48">
        <v>0</v>
      </c>
      <c r="D2556" s="48">
        <v>2</v>
      </c>
      <c r="E2556" s="48" t="s">
        <v>112</v>
      </c>
      <c r="F2556" s="48" t="s">
        <v>70</v>
      </c>
      <c r="G2556" s="48" t="s">
        <v>407</v>
      </c>
      <c r="H2556" s="69">
        <f t="shared" si="39"/>
        <v>43952</v>
      </c>
    </row>
    <row r="2557" spans="1:8" x14ac:dyDescent="0.25">
      <c r="A2557" s="68">
        <v>43981</v>
      </c>
      <c r="B2557" s="48">
        <v>5</v>
      </c>
      <c r="C2557" s="48">
        <v>0</v>
      </c>
      <c r="D2557" s="48">
        <v>0</v>
      </c>
      <c r="E2557" s="48" t="s">
        <v>112</v>
      </c>
      <c r="F2557" s="48" t="s">
        <v>70</v>
      </c>
      <c r="G2557" s="48" t="s">
        <v>384</v>
      </c>
      <c r="H2557" s="69">
        <f t="shared" si="39"/>
        <v>43952</v>
      </c>
    </row>
    <row r="2558" spans="1:8" x14ac:dyDescent="0.25">
      <c r="A2558" s="68">
        <v>43981</v>
      </c>
      <c r="B2558" s="48">
        <v>5</v>
      </c>
      <c r="C2558" s="48">
        <v>0</v>
      </c>
      <c r="D2558" s="48">
        <v>3</v>
      </c>
      <c r="E2558" s="48" t="s">
        <v>112</v>
      </c>
      <c r="F2558" s="48" t="s">
        <v>70</v>
      </c>
      <c r="G2558" s="48" t="s">
        <v>383</v>
      </c>
      <c r="H2558" s="69">
        <f t="shared" si="39"/>
        <v>43952</v>
      </c>
    </row>
    <row r="2559" spans="1:8" x14ac:dyDescent="0.25">
      <c r="A2559" s="68">
        <v>43981</v>
      </c>
      <c r="B2559" s="48">
        <v>0</v>
      </c>
      <c r="C2559" s="48">
        <v>0</v>
      </c>
      <c r="D2559" s="48">
        <v>0</v>
      </c>
      <c r="E2559" s="48" t="s">
        <v>112</v>
      </c>
      <c r="F2559" s="48" t="s">
        <v>70</v>
      </c>
      <c r="G2559" s="48" t="s">
        <v>414</v>
      </c>
      <c r="H2559" s="69">
        <f t="shared" si="39"/>
        <v>43952</v>
      </c>
    </row>
    <row r="2560" spans="1:8" x14ac:dyDescent="0.25">
      <c r="A2560" s="68">
        <v>43981</v>
      </c>
      <c r="B2560" s="48">
        <v>0</v>
      </c>
      <c r="C2560" s="48">
        <v>0</v>
      </c>
      <c r="D2560" s="48">
        <v>0</v>
      </c>
      <c r="E2560" s="48" t="s">
        <v>112</v>
      </c>
      <c r="F2560" s="48" t="s">
        <v>70</v>
      </c>
      <c r="G2560" s="48" t="s">
        <v>423</v>
      </c>
      <c r="H2560" s="69">
        <f t="shared" si="39"/>
        <v>43952</v>
      </c>
    </row>
    <row r="2561" spans="1:8" x14ac:dyDescent="0.25">
      <c r="A2561" s="68">
        <v>43981</v>
      </c>
      <c r="B2561" s="48">
        <v>21</v>
      </c>
      <c r="C2561" s="48">
        <v>0</v>
      </c>
      <c r="D2561" s="48">
        <v>8</v>
      </c>
      <c r="E2561" s="48" t="s">
        <v>112</v>
      </c>
      <c r="F2561" s="48" t="s">
        <v>70</v>
      </c>
      <c r="G2561" s="48" t="s">
        <v>345</v>
      </c>
      <c r="H2561" s="69">
        <f t="shared" si="39"/>
        <v>43952</v>
      </c>
    </row>
    <row r="2562" spans="1:8" x14ac:dyDescent="0.25">
      <c r="A2562" s="68">
        <v>43981</v>
      </c>
      <c r="B2562" s="48">
        <v>22</v>
      </c>
      <c r="C2562" s="48">
        <v>0</v>
      </c>
      <c r="D2562" s="48">
        <v>1</v>
      </c>
      <c r="E2562" s="48" t="s">
        <v>112</v>
      </c>
      <c r="F2562" s="48" t="s">
        <v>70</v>
      </c>
      <c r="G2562" s="48" t="s">
        <v>367</v>
      </c>
      <c r="H2562" s="69">
        <f t="shared" ref="H2562:H2625" si="40">DATE(YEAR(A2562),MONTH(A2562),1)</f>
        <v>43952</v>
      </c>
    </row>
    <row r="2563" spans="1:8" x14ac:dyDescent="0.25">
      <c r="A2563" s="68">
        <v>43981</v>
      </c>
      <c r="B2563" s="48">
        <v>0</v>
      </c>
      <c r="C2563" s="48">
        <v>0</v>
      </c>
      <c r="D2563" s="48">
        <v>2</v>
      </c>
      <c r="E2563" s="48" t="s">
        <v>112</v>
      </c>
      <c r="F2563" s="48" t="s">
        <v>70</v>
      </c>
      <c r="G2563" s="48" t="s">
        <v>380</v>
      </c>
      <c r="H2563" s="69">
        <f t="shared" si="40"/>
        <v>43952</v>
      </c>
    </row>
    <row r="2564" spans="1:8" x14ac:dyDescent="0.25">
      <c r="A2564" s="68">
        <v>43981</v>
      </c>
      <c r="B2564" s="48">
        <v>17</v>
      </c>
      <c r="C2564" s="48">
        <v>0</v>
      </c>
      <c r="D2564" s="48">
        <v>54</v>
      </c>
      <c r="E2564" s="48" t="s">
        <v>112</v>
      </c>
      <c r="F2564" s="48" t="s">
        <v>76</v>
      </c>
      <c r="G2564" s="48" t="s">
        <v>339</v>
      </c>
      <c r="H2564" s="69">
        <f t="shared" si="40"/>
        <v>43952</v>
      </c>
    </row>
    <row r="2565" spans="1:8" x14ac:dyDescent="0.25">
      <c r="A2565" s="68">
        <v>43981</v>
      </c>
      <c r="B2565" s="48">
        <v>106</v>
      </c>
      <c r="C2565" s="48">
        <v>0</v>
      </c>
      <c r="D2565" s="48">
        <v>71</v>
      </c>
      <c r="E2565" s="48" t="s">
        <v>112</v>
      </c>
      <c r="F2565" s="48" t="s">
        <v>73</v>
      </c>
      <c r="G2565" s="48" t="s">
        <v>93</v>
      </c>
      <c r="H2565" s="69">
        <f t="shared" si="40"/>
        <v>43952</v>
      </c>
    </row>
    <row r="2566" spans="1:8" x14ac:dyDescent="0.25">
      <c r="A2566" s="68">
        <v>43981</v>
      </c>
      <c r="B2566" s="48">
        <v>952</v>
      </c>
      <c r="C2566" s="48">
        <v>36</v>
      </c>
      <c r="D2566" s="48">
        <v>394</v>
      </c>
      <c r="E2566" s="48" t="s">
        <v>112</v>
      </c>
      <c r="F2566" s="48" t="s">
        <v>71</v>
      </c>
      <c r="G2566" s="48" t="s">
        <v>92</v>
      </c>
      <c r="H2566" s="69">
        <f t="shared" si="40"/>
        <v>43952</v>
      </c>
    </row>
    <row r="2567" spans="1:8" x14ac:dyDescent="0.25">
      <c r="A2567" s="68">
        <v>43982</v>
      </c>
      <c r="B2567" s="48">
        <v>171</v>
      </c>
      <c r="C2567" s="48">
        <v>1</v>
      </c>
      <c r="D2567" s="48">
        <v>0</v>
      </c>
      <c r="E2567" s="48" t="s">
        <v>112</v>
      </c>
      <c r="F2567" s="48" t="s">
        <v>74</v>
      </c>
      <c r="G2567" s="48" t="s">
        <v>95</v>
      </c>
      <c r="H2567" s="69">
        <f t="shared" si="40"/>
        <v>43952</v>
      </c>
    </row>
    <row r="2568" spans="1:8" x14ac:dyDescent="0.25">
      <c r="A2568" s="68">
        <v>43982</v>
      </c>
      <c r="B2568" s="48">
        <v>11</v>
      </c>
      <c r="C2568" s="48">
        <v>0</v>
      </c>
      <c r="D2568" s="48">
        <v>0</v>
      </c>
      <c r="E2568" s="48" t="s">
        <v>112</v>
      </c>
      <c r="F2568" s="48" t="s">
        <v>75</v>
      </c>
      <c r="G2568" s="48" t="s">
        <v>368</v>
      </c>
      <c r="H2568" s="69">
        <f t="shared" si="40"/>
        <v>43952</v>
      </c>
    </row>
    <row r="2569" spans="1:8" x14ac:dyDescent="0.25">
      <c r="A2569" s="68">
        <v>43982</v>
      </c>
      <c r="B2569" s="48">
        <v>0</v>
      </c>
      <c r="C2569" s="48">
        <v>0</v>
      </c>
      <c r="D2569" s="48">
        <v>3</v>
      </c>
      <c r="E2569" s="48" t="s">
        <v>112</v>
      </c>
      <c r="F2569" s="48" t="s">
        <v>75</v>
      </c>
      <c r="G2569" s="48" t="s">
        <v>373</v>
      </c>
      <c r="H2569" s="69">
        <f t="shared" si="40"/>
        <v>43952</v>
      </c>
    </row>
    <row r="2570" spans="1:8" x14ac:dyDescent="0.25">
      <c r="A2570" s="68">
        <v>43982</v>
      </c>
      <c r="B2570" s="48">
        <v>3</v>
      </c>
      <c r="C2570" s="48">
        <v>0</v>
      </c>
      <c r="D2570" s="48">
        <v>0</v>
      </c>
      <c r="E2570" s="48" t="s">
        <v>112</v>
      </c>
      <c r="F2570" s="48" t="s">
        <v>75</v>
      </c>
      <c r="G2570" s="48" t="s">
        <v>361</v>
      </c>
      <c r="H2570" s="69">
        <f t="shared" si="40"/>
        <v>43952</v>
      </c>
    </row>
    <row r="2571" spans="1:8" x14ac:dyDescent="0.25">
      <c r="A2571" s="68">
        <v>43982</v>
      </c>
      <c r="B2571" s="48">
        <v>16</v>
      </c>
      <c r="C2571" s="48">
        <v>0</v>
      </c>
      <c r="D2571" s="48">
        <v>0</v>
      </c>
      <c r="E2571" s="48" t="s">
        <v>112</v>
      </c>
      <c r="F2571" s="48" t="s">
        <v>75</v>
      </c>
      <c r="G2571" s="48" t="s">
        <v>103</v>
      </c>
      <c r="H2571" s="69">
        <f t="shared" si="40"/>
        <v>43952</v>
      </c>
    </row>
    <row r="2572" spans="1:8" x14ac:dyDescent="0.25">
      <c r="A2572" s="68">
        <v>43982</v>
      </c>
      <c r="B2572" s="48">
        <v>184</v>
      </c>
      <c r="C2572" s="48">
        <v>8</v>
      </c>
      <c r="D2572" s="48">
        <v>13</v>
      </c>
      <c r="E2572" s="48" t="s">
        <v>112</v>
      </c>
      <c r="F2572" s="48" t="s">
        <v>72</v>
      </c>
      <c r="G2572" s="48" t="s">
        <v>94</v>
      </c>
      <c r="H2572" s="69">
        <f t="shared" si="40"/>
        <v>43952</v>
      </c>
    </row>
    <row r="2573" spans="1:8" x14ac:dyDescent="0.25">
      <c r="A2573" s="68">
        <v>43982</v>
      </c>
      <c r="B2573" s="48">
        <v>3</v>
      </c>
      <c r="C2573" s="48">
        <v>0</v>
      </c>
      <c r="D2573" s="48">
        <v>5</v>
      </c>
      <c r="E2573" s="48" t="s">
        <v>112</v>
      </c>
      <c r="F2573" s="48" t="s">
        <v>72</v>
      </c>
      <c r="G2573" s="48" t="s">
        <v>341</v>
      </c>
      <c r="H2573" s="69">
        <f t="shared" si="40"/>
        <v>43952</v>
      </c>
    </row>
    <row r="2574" spans="1:8" x14ac:dyDescent="0.25">
      <c r="A2574" s="68">
        <v>43982</v>
      </c>
      <c r="B2574" s="48">
        <v>19</v>
      </c>
      <c r="C2574" s="48">
        <v>0</v>
      </c>
      <c r="D2574" s="48">
        <v>16</v>
      </c>
      <c r="E2574" s="48" t="s">
        <v>112</v>
      </c>
      <c r="F2574" s="48" t="s">
        <v>72</v>
      </c>
      <c r="G2574" s="48" t="s">
        <v>338</v>
      </c>
      <c r="H2574" s="69">
        <f t="shared" si="40"/>
        <v>43952</v>
      </c>
    </row>
    <row r="2575" spans="1:8" x14ac:dyDescent="0.25">
      <c r="A2575" s="68">
        <v>43982</v>
      </c>
      <c r="B2575" s="48">
        <v>24</v>
      </c>
      <c r="C2575" s="48">
        <v>0</v>
      </c>
      <c r="D2575" s="48">
        <v>0</v>
      </c>
      <c r="E2575" s="48" t="s">
        <v>112</v>
      </c>
      <c r="F2575" s="48" t="s">
        <v>72</v>
      </c>
      <c r="G2575" s="48" t="s">
        <v>343</v>
      </c>
      <c r="H2575" s="69">
        <f t="shared" si="40"/>
        <v>43952</v>
      </c>
    </row>
    <row r="2576" spans="1:8" x14ac:dyDescent="0.25">
      <c r="A2576" s="68">
        <v>43982</v>
      </c>
      <c r="B2576" s="48">
        <v>4</v>
      </c>
      <c r="C2576" s="48">
        <v>0</v>
      </c>
      <c r="D2576" s="48">
        <v>0</v>
      </c>
      <c r="E2576" s="48" t="s">
        <v>112</v>
      </c>
      <c r="F2576" s="48" t="s">
        <v>72</v>
      </c>
      <c r="G2576" s="48" t="s">
        <v>400</v>
      </c>
      <c r="H2576" s="69">
        <f t="shared" si="40"/>
        <v>43952</v>
      </c>
    </row>
    <row r="2577" spans="1:8" x14ac:dyDescent="0.25">
      <c r="A2577" s="68">
        <v>43982</v>
      </c>
      <c r="B2577" s="48">
        <v>8</v>
      </c>
      <c r="C2577" s="48">
        <v>1</v>
      </c>
      <c r="D2577" s="48">
        <v>12</v>
      </c>
      <c r="E2577" s="48" t="s">
        <v>112</v>
      </c>
      <c r="F2577" s="48" t="s">
        <v>72</v>
      </c>
      <c r="G2577" s="48" t="s">
        <v>102</v>
      </c>
      <c r="H2577" s="69">
        <f t="shared" si="40"/>
        <v>43952</v>
      </c>
    </row>
    <row r="2578" spans="1:8" x14ac:dyDescent="0.25">
      <c r="A2578" s="68">
        <v>43982</v>
      </c>
      <c r="B2578" s="48">
        <v>1</v>
      </c>
      <c r="C2578" s="48">
        <v>0</v>
      </c>
      <c r="D2578" s="48">
        <v>4</v>
      </c>
      <c r="E2578" s="48" t="s">
        <v>112</v>
      </c>
      <c r="F2578" s="48" t="s">
        <v>72</v>
      </c>
      <c r="G2578" s="48" t="s">
        <v>355</v>
      </c>
      <c r="H2578" s="69">
        <f t="shared" si="40"/>
        <v>43952</v>
      </c>
    </row>
    <row r="2579" spans="1:8" x14ac:dyDescent="0.25">
      <c r="A2579" s="68">
        <v>43982</v>
      </c>
      <c r="B2579" s="48">
        <v>36</v>
      </c>
      <c r="C2579" s="48">
        <v>4</v>
      </c>
      <c r="D2579" s="48">
        <v>16</v>
      </c>
      <c r="E2579" s="48" t="s">
        <v>112</v>
      </c>
      <c r="F2579" s="48" t="s">
        <v>72</v>
      </c>
      <c r="G2579" s="48" t="s">
        <v>96</v>
      </c>
      <c r="H2579" s="69">
        <f t="shared" si="40"/>
        <v>43952</v>
      </c>
    </row>
    <row r="2580" spans="1:8" x14ac:dyDescent="0.25">
      <c r="A2580" s="68">
        <v>43982</v>
      </c>
      <c r="B2580" s="48">
        <v>5</v>
      </c>
      <c r="C2580" s="48">
        <v>0</v>
      </c>
      <c r="D2580" s="48">
        <v>2</v>
      </c>
      <c r="E2580" s="48" t="s">
        <v>112</v>
      </c>
      <c r="F2580" s="48" t="s">
        <v>72</v>
      </c>
      <c r="G2580" s="48" t="s">
        <v>347</v>
      </c>
      <c r="H2580" s="69">
        <f t="shared" si="40"/>
        <v>43952</v>
      </c>
    </row>
    <row r="2581" spans="1:8" x14ac:dyDescent="0.25">
      <c r="A2581" s="68">
        <v>43982</v>
      </c>
      <c r="B2581" s="48">
        <v>31</v>
      </c>
      <c r="C2581" s="48">
        <v>1</v>
      </c>
      <c r="D2581" s="48">
        <v>5</v>
      </c>
      <c r="E2581" s="48" t="s">
        <v>112</v>
      </c>
      <c r="F2581" s="48" t="s">
        <v>72</v>
      </c>
      <c r="G2581" s="48" t="s">
        <v>335</v>
      </c>
      <c r="H2581" s="69">
        <f t="shared" si="40"/>
        <v>43952</v>
      </c>
    </row>
    <row r="2582" spans="1:8" x14ac:dyDescent="0.25">
      <c r="A2582" s="68">
        <v>43982</v>
      </c>
      <c r="B2582" s="48">
        <v>8</v>
      </c>
      <c r="C2582" s="48">
        <v>1</v>
      </c>
      <c r="D2582" s="48">
        <v>1</v>
      </c>
      <c r="E2582" s="48" t="s">
        <v>112</v>
      </c>
      <c r="F2582" s="48" t="s">
        <v>72</v>
      </c>
      <c r="G2582" s="48" t="s">
        <v>342</v>
      </c>
      <c r="H2582" s="69">
        <f t="shared" si="40"/>
        <v>43952</v>
      </c>
    </row>
    <row r="2583" spans="1:8" x14ac:dyDescent="0.25">
      <c r="A2583" s="68">
        <v>43982</v>
      </c>
      <c r="B2583" s="48">
        <v>5</v>
      </c>
      <c r="C2583" s="48">
        <v>0</v>
      </c>
      <c r="D2583" s="48">
        <v>3</v>
      </c>
      <c r="E2583" s="48" t="s">
        <v>112</v>
      </c>
      <c r="F2583" s="48" t="s">
        <v>72</v>
      </c>
      <c r="G2583" s="48" t="s">
        <v>353</v>
      </c>
      <c r="H2583" s="69">
        <f t="shared" si="40"/>
        <v>43952</v>
      </c>
    </row>
    <row r="2584" spans="1:8" x14ac:dyDescent="0.25">
      <c r="A2584" s="68">
        <v>43982</v>
      </c>
      <c r="B2584" s="48">
        <v>34</v>
      </c>
      <c r="C2584" s="48">
        <v>0</v>
      </c>
      <c r="D2584" s="48">
        <v>6</v>
      </c>
      <c r="E2584" s="48" t="s">
        <v>112</v>
      </c>
      <c r="F2584" s="48" t="s">
        <v>72</v>
      </c>
      <c r="G2584" s="48" t="s">
        <v>101</v>
      </c>
      <c r="H2584" s="69">
        <f t="shared" si="40"/>
        <v>43952</v>
      </c>
    </row>
    <row r="2585" spans="1:8" x14ac:dyDescent="0.25">
      <c r="A2585" s="68">
        <v>43982</v>
      </c>
      <c r="B2585" s="48">
        <v>3</v>
      </c>
      <c r="C2585" s="48">
        <v>0</v>
      </c>
      <c r="D2585" s="48">
        <v>2</v>
      </c>
      <c r="E2585" s="48" t="s">
        <v>112</v>
      </c>
      <c r="F2585" s="48" t="s">
        <v>72</v>
      </c>
      <c r="G2585" s="48" t="s">
        <v>387</v>
      </c>
      <c r="H2585" s="69">
        <f t="shared" si="40"/>
        <v>43952</v>
      </c>
    </row>
    <row r="2586" spans="1:8" x14ac:dyDescent="0.25">
      <c r="A2586" s="68">
        <v>43982</v>
      </c>
      <c r="B2586" s="48">
        <v>0</v>
      </c>
      <c r="C2586" s="48">
        <v>0</v>
      </c>
      <c r="D2586" s="48">
        <v>1</v>
      </c>
      <c r="E2586" s="48" t="s">
        <v>112</v>
      </c>
      <c r="F2586" s="48" t="s">
        <v>72</v>
      </c>
      <c r="G2586" s="48" t="s">
        <v>406</v>
      </c>
      <c r="H2586" s="69">
        <f t="shared" si="40"/>
        <v>43952</v>
      </c>
    </row>
    <row r="2587" spans="1:8" x14ac:dyDescent="0.25">
      <c r="A2587" s="68">
        <v>43982</v>
      </c>
      <c r="B2587" s="48">
        <v>9</v>
      </c>
      <c r="C2587" s="48">
        <v>1</v>
      </c>
      <c r="D2587" s="48">
        <v>7</v>
      </c>
      <c r="E2587" s="48" t="s">
        <v>112</v>
      </c>
      <c r="F2587" s="48" t="s">
        <v>72</v>
      </c>
      <c r="G2587" s="48" t="s">
        <v>344</v>
      </c>
      <c r="H2587" s="69">
        <f t="shared" si="40"/>
        <v>43952</v>
      </c>
    </row>
    <row r="2588" spans="1:8" x14ac:dyDescent="0.25">
      <c r="A2588" s="68">
        <v>43982</v>
      </c>
      <c r="B2588" s="48">
        <v>2</v>
      </c>
      <c r="C2588" s="48">
        <v>0</v>
      </c>
      <c r="D2588" s="48">
        <v>0</v>
      </c>
      <c r="E2588" s="48" t="s">
        <v>112</v>
      </c>
      <c r="F2588" s="48" t="s">
        <v>72</v>
      </c>
      <c r="G2588" s="48" t="s">
        <v>354</v>
      </c>
      <c r="H2588" s="69">
        <f t="shared" si="40"/>
        <v>43952</v>
      </c>
    </row>
    <row r="2589" spans="1:8" x14ac:dyDescent="0.25">
      <c r="A2589" s="68">
        <v>43982</v>
      </c>
      <c r="B2589" s="48">
        <v>6</v>
      </c>
      <c r="C2589" s="48">
        <v>0</v>
      </c>
      <c r="D2589" s="48">
        <v>0</v>
      </c>
      <c r="E2589" s="48" t="s">
        <v>112</v>
      </c>
      <c r="F2589" s="48" t="s">
        <v>72</v>
      </c>
      <c r="G2589" s="48" t="s">
        <v>337</v>
      </c>
      <c r="H2589" s="69">
        <f t="shared" si="40"/>
        <v>43952</v>
      </c>
    </row>
    <row r="2590" spans="1:8" x14ac:dyDescent="0.25">
      <c r="A2590" s="68">
        <v>43982</v>
      </c>
      <c r="B2590" s="48">
        <v>6</v>
      </c>
      <c r="C2590" s="48">
        <v>2</v>
      </c>
      <c r="D2590" s="48">
        <v>0</v>
      </c>
      <c r="E2590" s="48" t="s">
        <v>112</v>
      </c>
      <c r="F2590" s="48" t="s">
        <v>72</v>
      </c>
      <c r="G2590" s="48" t="s">
        <v>356</v>
      </c>
      <c r="H2590" s="69">
        <f t="shared" si="40"/>
        <v>43952</v>
      </c>
    </row>
    <row r="2591" spans="1:8" x14ac:dyDescent="0.25">
      <c r="A2591" s="68">
        <v>43982</v>
      </c>
      <c r="B2591" s="48">
        <v>0</v>
      </c>
      <c r="C2591" s="48">
        <v>0</v>
      </c>
      <c r="D2591" s="48">
        <v>0</v>
      </c>
      <c r="E2591" s="48" t="s">
        <v>112</v>
      </c>
      <c r="F2591" s="48" t="s">
        <v>72</v>
      </c>
      <c r="G2591" s="48" t="s">
        <v>429</v>
      </c>
      <c r="H2591" s="69">
        <f t="shared" si="40"/>
        <v>43952</v>
      </c>
    </row>
    <row r="2592" spans="1:8" x14ac:dyDescent="0.25">
      <c r="A2592" s="68">
        <v>43982</v>
      </c>
      <c r="B2592" s="48">
        <v>0</v>
      </c>
      <c r="C2592" s="48">
        <v>0</v>
      </c>
      <c r="D2592" s="48">
        <v>0</v>
      </c>
      <c r="E2592" s="48" t="s">
        <v>112</v>
      </c>
      <c r="F2592" s="48" t="s">
        <v>72</v>
      </c>
      <c r="G2592" s="48" t="s">
        <v>431</v>
      </c>
      <c r="H2592" s="69">
        <f t="shared" si="40"/>
        <v>43952</v>
      </c>
    </row>
    <row r="2593" spans="1:8" x14ac:dyDescent="0.25">
      <c r="A2593" s="68">
        <v>43982</v>
      </c>
      <c r="B2593" s="48">
        <v>0</v>
      </c>
      <c r="C2593" s="48">
        <v>0</v>
      </c>
      <c r="D2593" s="48">
        <v>0</v>
      </c>
      <c r="E2593" s="48" t="s">
        <v>112</v>
      </c>
      <c r="F2593" s="48" t="s">
        <v>72</v>
      </c>
      <c r="G2593" s="48" t="s">
        <v>426</v>
      </c>
      <c r="H2593" s="69">
        <f t="shared" si="40"/>
        <v>43952</v>
      </c>
    </row>
    <row r="2594" spans="1:8" x14ac:dyDescent="0.25">
      <c r="A2594" s="68">
        <v>43982</v>
      </c>
      <c r="B2594" s="48">
        <v>0</v>
      </c>
      <c r="C2594" s="48">
        <v>0</v>
      </c>
      <c r="D2594" s="48">
        <v>0</v>
      </c>
      <c r="E2594" s="48" t="s">
        <v>112</v>
      </c>
      <c r="F2594" s="48" t="s">
        <v>72</v>
      </c>
      <c r="G2594" s="48" t="s">
        <v>436</v>
      </c>
      <c r="H2594" s="69">
        <f t="shared" si="40"/>
        <v>43952</v>
      </c>
    </row>
    <row r="2595" spans="1:8" x14ac:dyDescent="0.25">
      <c r="A2595" s="68">
        <v>43982</v>
      </c>
      <c r="B2595" s="48">
        <v>13</v>
      </c>
      <c r="C2595" s="48">
        <v>1</v>
      </c>
      <c r="D2595" s="48">
        <v>1</v>
      </c>
      <c r="E2595" s="48" t="s">
        <v>112</v>
      </c>
      <c r="F2595" s="48" t="s">
        <v>72</v>
      </c>
      <c r="G2595" s="48" t="s">
        <v>357</v>
      </c>
      <c r="H2595" s="69">
        <f t="shared" si="40"/>
        <v>43952</v>
      </c>
    </row>
    <row r="2596" spans="1:8" x14ac:dyDescent="0.25">
      <c r="A2596" s="68">
        <v>43982</v>
      </c>
      <c r="B2596" s="48">
        <v>1</v>
      </c>
      <c r="C2596" s="48">
        <v>0</v>
      </c>
      <c r="D2596" s="48">
        <v>0</v>
      </c>
      <c r="E2596" s="48" t="s">
        <v>112</v>
      </c>
      <c r="F2596" s="48" t="s">
        <v>72</v>
      </c>
      <c r="G2596" s="48" t="s">
        <v>358</v>
      </c>
      <c r="H2596" s="69">
        <f t="shared" si="40"/>
        <v>43952</v>
      </c>
    </row>
    <row r="2597" spans="1:8" x14ac:dyDescent="0.25">
      <c r="A2597" s="68">
        <v>43982</v>
      </c>
      <c r="B2597" s="48">
        <v>0</v>
      </c>
      <c r="C2597" s="48">
        <v>0</v>
      </c>
      <c r="D2597" s="48">
        <v>0</v>
      </c>
      <c r="E2597" s="48" t="s">
        <v>112</v>
      </c>
      <c r="F2597" s="48" t="s">
        <v>72</v>
      </c>
      <c r="G2597" s="48" t="s">
        <v>399</v>
      </c>
      <c r="H2597" s="69">
        <f t="shared" si="40"/>
        <v>43952</v>
      </c>
    </row>
    <row r="2598" spans="1:8" x14ac:dyDescent="0.25">
      <c r="A2598" s="68">
        <v>43982</v>
      </c>
      <c r="B2598" s="48">
        <v>0</v>
      </c>
      <c r="C2598" s="48">
        <v>0</v>
      </c>
      <c r="D2598" s="48">
        <v>5</v>
      </c>
      <c r="E2598" s="48" t="s">
        <v>112</v>
      </c>
      <c r="F2598" s="48" t="s">
        <v>72</v>
      </c>
      <c r="G2598" s="48" t="s">
        <v>352</v>
      </c>
      <c r="H2598" s="69">
        <f t="shared" si="40"/>
        <v>43952</v>
      </c>
    </row>
    <row r="2599" spans="1:8" x14ac:dyDescent="0.25">
      <c r="A2599" s="68">
        <v>43982</v>
      </c>
      <c r="B2599" s="48">
        <v>0</v>
      </c>
      <c r="C2599" s="48">
        <v>0</v>
      </c>
      <c r="D2599" s="48">
        <v>0</v>
      </c>
      <c r="E2599" s="48" t="s">
        <v>112</v>
      </c>
      <c r="F2599" s="48" t="s">
        <v>72</v>
      </c>
      <c r="G2599" s="48" t="s">
        <v>359</v>
      </c>
      <c r="H2599" s="69">
        <f t="shared" si="40"/>
        <v>43952</v>
      </c>
    </row>
    <row r="2600" spans="1:8" x14ac:dyDescent="0.25">
      <c r="A2600" s="68">
        <v>43982</v>
      </c>
      <c r="B2600" s="48">
        <v>1</v>
      </c>
      <c r="C2600" s="48">
        <v>0</v>
      </c>
      <c r="D2600" s="48">
        <v>0</v>
      </c>
      <c r="E2600" s="48" t="s">
        <v>112</v>
      </c>
      <c r="F2600" s="48" t="s">
        <v>72</v>
      </c>
      <c r="G2600" s="48" t="s">
        <v>410</v>
      </c>
      <c r="H2600" s="69">
        <f t="shared" si="40"/>
        <v>43952</v>
      </c>
    </row>
    <row r="2601" spans="1:8" x14ac:dyDescent="0.25">
      <c r="A2601" s="68">
        <v>43982</v>
      </c>
      <c r="B2601" s="48">
        <v>2</v>
      </c>
      <c r="C2601" s="48">
        <v>0</v>
      </c>
      <c r="D2601" s="48">
        <v>0</v>
      </c>
      <c r="E2601" s="48" t="s">
        <v>112</v>
      </c>
      <c r="F2601" s="48" t="s">
        <v>72</v>
      </c>
      <c r="G2601" s="48" t="s">
        <v>365</v>
      </c>
      <c r="H2601" s="69">
        <f t="shared" si="40"/>
        <v>43952</v>
      </c>
    </row>
    <row r="2602" spans="1:8" x14ac:dyDescent="0.25">
      <c r="A2602" s="68">
        <v>43982</v>
      </c>
      <c r="B2602" s="48">
        <v>0</v>
      </c>
      <c r="C2602" s="48">
        <v>0</v>
      </c>
      <c r="D2602" s="48">
        <v>0</v>
      </c>
      <c r="E2602" s="48" t="s">
        <v>112</v>
      </c>
      <c r="F2602" s="48" t="s">
        <v>72</v>
      </c>
      <c r="G2602" s="48" t="s">
        <v>408</v>
      </c>
      <c r="H2602" s="69">
        <f t="shared" si="40"/>
        <v>43952</v>
      </c>
    </row>
    <row r="2603" spans="1:8" x14ac:dyDescent="0.25">
      <c r="A2603" s="68">
        <v>43982</v>
      </c>
      <c r="B2603" s="48">
        <v>0</v>
      </c>
      <c r="C2603" s="48">
        <v>0</v>
      </c>
      <c r="D2603" s="48">
        <v>0</v>
      </c>
      <c r="E2603" s="48" t="s">
        <v>112</v>
      </c>
      <c r="F2603" s="48" t="s">
        <v>72</v>
      </c>
      <c r="G2603" s="48" t="s">
        <v>411</v>
      </c>
      <c r="H2603" s="69">
        <f t="shared" si="40"/>
        <v>43952</v>
      </c>
    </row>
    <row r="2604" spans="1:8" x14ac:dyDescent="0.25">
      <c r="A2604" s="68">
        <v>43982</v>
      </c>
      <c r="B2604" s="48">
        <v>4</v>
      </c>
      <c r="C2604" s="48">
        <v>1</v>
      </c>
      <c r="D2604" s="48">
        <v>4</v>
      </c>
      <c r="E2604" s="48" t="s">
        <v>112</v>
      </c>
      <c r="F2604" s="48" t="s">
        <v>72</v>
      </c>
      <c r="G2604" s="48" t="s">
        <v>351</v>
      </c>
      <c r="H2604" s="69">
        <f t="shared" si="40"/>
        <v>43952</v>
      </c>
    </row>
    <row r="2605" spans="1:8" x14ac:dyDescent="0.25">
      <c r="A2605" s="68">
        <v>43982</v>
      </c>
      <c r="B2605" s="48">
        <v>0</v>
      </c>
      <c r="C2605" s="48">
        <v>0</v>
      </c>
      <c r="D2605" s="48">
        <v>0</v>
      </c>
      <c r="E2605" s="48" t="s">
        <v>112</v>
      </c>
      <c r="F2605" s="48" t="s">
        <v>72</v>
      </c>
      <c r="G2605" s="48" t="s">
        <v>417</v>
      </c>
      <c r="H2605" s="69">
        <f t="shared" si="40"/>
        <v>43952</v>
      </c>
    </row>
    <row r="2606" spans="1:8" x14ac:dyDescent="0.25">
      <c r="A2606" s="68">
        <v>43982</v>
      </c>
      <c r="B2606" s="48">
        <v>0</v>
      </c>
      <c r="C2606" s="48">
        <v>0</v>
      </c>
      <c r="D2606" s="48">
        <v>0</v>
      </c>
      <c r="E2606" s="48" t="s">
        <v>112</v>
      </c>
      <c r="F2606" s="48" t="s">
        <v>72</v>
      </c>
      <c r="G2606" s="48" t="s">
        <v>420</v>
      </c>
      <c r="H2606" s="69">
        <f t="shared" si="40"/>
        <v>43952</v>
      </c>
    </row>
    <row r="2607" spans="1:8" x14ac:dyDescent="0.25">
      <c r="A2607" s="68">
        <v>43982</v>
      </c>
      <c r="B2607" s="48">
        <v>885</v>
      </c>
      <c r="C2607" s="48">
        <v>16</v>
      </c>
      <c r="D2607" s="48">
        <v>538</v>
      </c>
      <c r="E2607" s="48" t="s">
        <v>112</v>
      </c>
      <c r="F2607" s="48" t="s">
        <v>70</v>
      </c>
      <c r="G2607" s="48" t="s">
        <v>91</v>
      </c>
      <c r="H2607" s="69">
        <f t="shared" si="40"/>
        <v>43952</v>
      </c>
    </row>
    <row r="2608" spans="1:8" x14ac:dyDescent="0.25">
      <c r="A2608" s="68">
        <v>43982</v>
      </c>
      <c r="B2608" s="48">
        <v>4</v>
      </c>
      <c r="C2608" s="48">
        <v>0</v>
      </c>
      <c r="D2608" s="48">
        <v>9</v>
      </c>
      <c r="E2608" s="48" t="s">
        <v>112</v>
      </c>
      <c r="F2608" s="48" t="s">
        <v>76</v>
      </c>
      <c r="G2608" s="48" t="s">
        <v>339</v>
      </c>
      <c r="H2608" s="69">
        <f t="shared" si="40"/>
        <v>43952</v>
      </c>
    </row>
    <row r="2609" spans="1:8" x14ac:dyDescent="0.25">
      <c r="A2609" s="68">
        <v>43982</v>
      </c>
      <c r="B2609" s="48">
        <v>200</v>
      </c>
      <c r="C2609" s="48">
        <v>1</v>
      </c>
      <c r="D2609" s="48">
        <v>36</v>
      </c>
      <c r="E2609" s="48" t="s">
        <v>112</v>
      </c>
      <c r="F2609" s="48" t="s">
        <v>73</v>
      </c>
      <c r="G2609" s="48" t="s">
        <v>93</v>
      </c>
      <c r="H2609" s="69">
        <f t="shared" si="40"/>
        <v>43952</v>
      </c>
    </row>
    <row r="2610" spans="1:8" x14ac:dyDescent="0.25">
      <c r="A2610" s="68">
        <v>43982</v>
      </c>
      <c r="B2610" s="48">
        <v>1184</v>
      </c>
      <c r="C2610" s="48">
        <v>22</v>
      </c>
      <c r="D2610" s="48">
        <v>120</v>
      </c>
      <c r="E2610" s="48" t="s">
        <v>112</v>
      </c>
      <c r="F2610" s="48" t="s">
        <v>71</v>
      </c>
      <c r="G2610" s="48" t="s">
        <v>92</v>
      </c>
      <c r="H2610" s="69">
        <f t="shared" si="40"/>
        <v>43952</v>
      </c>
    </row>
    <row r="2611" spans="1:8" x14ac:dyDescent="0.25">
      <c r="A2611" s="68">
        <v>43983</v>
      </c>
      <c r="B2611" s="48">
        <v>304</v>
      </c>
      <c r="C2611" s="48">
        <v>2</v>
      </c>
      <c r="D2611" s="48">
        <v>0</v>
      </c>
      <c r="E2611" s="48" t="s">
        <v>112</v>
      </c>
      <c r="F2611" s="48" t="s">
        <v>74</v>
      </c>
      <c r="G2611" s="48" t="s">
        <v>95</v>
      </c>
      <c r="H2611" s="69">
        <f t="shared" si="40"/>
        <v>43983</v>
      </c>
    </row>
    <row r="2612" spans="1:8" x14ac:dyDescent="0.25">
      <c r="A2612" s="68">
        <v>43983</v>
      </c>
      <c r="B2612" s="48">
        <v>2</v>
      </c>
      <c r="C2612" s="48">
        <v>0</v>
      </c>
      <c r="D2612" s="48">
        <v>25</v>
      </c>
      <c r="E2612" s="48" t="s">
        <v>112</v>
      </c>
      <c r="F2612" s="48" t="s">
        <v>75</v>
      </c>
      <c r="G2612" s="48" t="s">
        <v>103</v>
      </c>
      <c r="H2612" s="69">
        <f t="shared" si="40"/>
        <v>43983</v>
      </c>
    </row>
    <row r="2613" spans="1:8" x14ac:dyDescent="0.25">
      <c r="A2613" s="68">
        <v>43983</v>
      </c>
      <c r="B2613" s="48">
        <v>2</v>
      </c>
      <c r="C2613" s="48">
        <v>0</v>
      </c>
      <c r="D2613" s="48">
        <v>0</v>
      </c>
      <c r="E2613" s="48" t="s">
        <v>112</v>
      </c>
      <c r="F2613" s="48" t="s">
        <v>75</v>
      </c>
      <c r="G2613" s="48" t="s">
        <v>402</v>
      </c>
      <c r="H2613" s="69">
        <f t="shared" si="40"/>
        <v>43983</v>
      </c>
    </row>
    <row r="2614" spans="1:8" x14ac:dyDescent="0.25">
      <c r="A2614" s="68">
        <v>43983</v>
      </c>
      <c r="B2614" s="48">
        <v>5</v>
      </c>
      <c r="C2614" s="48">
        <v>0</v>
      </c>
      <c r="D2614" s="48">
        <v>1</v>
      </c>
      <c r="E2614" s="48" t="s">
        <v>112</v>
      </c>
      <c r="F2614" s="48" t="s">
        <v>75</v>
      </c>
      <c r="G2614" s="48" t="s">
        <v>393</v>
      </c>
      <c r="H2614" s="69">
        <f t="shared" si="40"/>
        <v>43983</v>
      </c>
    </row>
    <row r="2615" spans="1:8" x14ac:dyDescent="0.25">
      <c r="A2615" s="68">
        <v>43983</v>
      </c>
      <c r="B2615" s="48">
        <v>1</v>
      </c>
      <c r="C2615" s="48">
        <v>0</v>
      </c>
      <c r="D2615" s="48">
        <v>0</v>
      </c>
      <c r="E2615" s="48" t="s">
        <v>112</v>
      </c>
      <c r="F2615" s="48" t="s">
        <v>75</v>
      </c>
      <c r="G2615" s="48" t="s">
        <v>404</v>
      </c>
      <c r="H2615" s="69">
        <f t="shared" si="40"/>
        <v>43983</v>
      </c>
    </row>
    <row r="2616" spans="1:8" x14ac:dyDescent="0.25">
      <c r="A2616" s="68">
        <v>43983</v>
      </c>
      <c r="B2616" s="48">
        <v>8</v>
      </c>
      <c r="C2616" s="48">
        <v>0</v>
      </c>
      <c r="D2616" s="48">
        <v>0</v>
      </c>
      <c r="E2616" s="48" t="s">
        <v>112</v>
      </c>
      <c r="F2616" s="48" t="s">
        <v>75</v>
      </c>
      <c r="G2616" s="48" t="s">
        <v>398</v>
      </c>
      <c r="H2616" s="69">
        <f t="shared" si="40"/>
        <v>43983</v>
      </c>
    </row>
    <row r="2617" spans="1:8" x14ac:dyDescent="0.25">
      <c r="A2617" s="68">
        <v>43983</v>
      </c>
      <c r="B2617" s="48">
        <v>9</v>
      </c>
      <c r="C2617" s="48">
        <v>0</v>
      </c>
      <c r="D2617" s="48">
        <v>5</v>
      </c>
      <c r="E2617" s="48" t="s">
        <v>112</v>
      </c>
      <c r="F2617" s="48" t="s">
        <v>75</v>
      </c>
      <c r="G2617" s="48" t="s">
        <v>373</v>
      </c>
      <c r="H2617" s="69">
        <f t="shared" si="40"/>
        <v>43983</v>
      </c>
    </row>
    <row r="2618" spans="1:8" x14ac:dyDescent="0.25">
      <c r="A2618" s="68">
        <v>43983</v>
      </c>
      <c r="B2618" s="48">
        <v>168</v>
      </c>
      <c r="C2618" s="48">
        <v>2</v>
      </c>
      <c r="D2618" s="48">
        <v>7</v>
      </c>
      <c r="E2618" s="48" t="s">
        <v>112</v>
      </c>
      <c r="F2618" s="48" t="s">
        <v>72</v>
      </c>
      <c r="G2618" s="48" t="s">
        <v>94</v>
      </c>
      <c r="H2618" s="69">
        <f t="shared" si="40"/>
        <v>43983</v>
      </c>
    </row>
    <row r="2619" spans="1:8" x14ac:dyDescent="0.25">
      <c r="A2619" s="68">
        <v>43983</v>
      </c>
      <c r="B2619" s="48">
        <v>1</v>
      </c>
      <c r="C2619" s="48">
        <v>0</v>
      </c>
      <c r="D2619" s="48">
        <v>0</v>
      </c>
      <c r="E2619" s="48" t="s">
        <v>112</v>
      </c>
      <c r="F2619" s="48" t="s">
        <v>72</v>
      </c>
      <c r="G2619" s="48" t="s">
        <v>341</v>
      </c>
      <c r="H2619" s="69">
        <f t="shared" si="40"/>
        <v>43983</v>
      </c>
    </row>
    <row r="2620" spans="1:8" x14ac:dyDescent="0.25">
      <c r="A2620" s="68">
        <v>43983</v>
      </c>
      <c r="B2620" s="48">
        <v>4</v>
      </c>
      <c r="C2620" s="48">
        <v>0</v>
      </c>
      <c r="D2620" s="48">
        <v>0</v>
      </c>
      <c r="E2620" s="48" t="s">
        <v>112</v>
      </c>
      <c r="F2620" s="48" t="s">
        <v>72</v>
      </c>
      <c r="G2620" s="48" t="s">
        <v>338</v>
      </c>
      <c r="H2620" s="69">
        <f t="shared" si="40"/>
        <v>43983</v>
      </c>
    </row>
    <row r="2621" spans="1:8" x14ac:dyDescent="0.25">
      <c r="A2621" s="68">
        <v>43983</v>
      </c>
      <c r="B2621" s="48">
        <v>11</v>
      </c>
      <c r="C2621" s="48">
        <v>0</v>
      </c>
      <c r="D2621" s="48">
        <v>2</v>
      </c>
      <c r="E2621" s="48" t="s">
        <v>112</v>
      </c>
      <c r="F2621" s="48" t="s">
        <v>72</v>
      </c>
      <c r="G2621" s="48" t="s">
        <v>343</v>
      </c>
      <c r="H2621" s="69">
        <f t="shared" si="40"/>
        <v>43983</v>
      </c>
    </row>
    <row r="2622" spans="1:8" x14ac:dyDescent="0.25">
      <c r="A2622" s="68">
        <v>43983</v>
      </c>
      <c r="B2622" s="48">
        <v>1</v>
      </c>
      <c r="C2622" s="48">
        <v>0</v>
      </c>
      <c r="D2622" s="48">
        <v>0</v>
      </c>
      <c r="E2622" s="48" t="s">
        <v>112</v>
      </c>
      <c r="F2622" s="48" t="s">
        <v>72</v>
      </c>
      <c r="G2622" s="48" t="s">
        <v>400</v>
      </c>
      <c r="H2622" s="69">
        <f t="shared" si="40"/>
        <v>43983</v>
      </c>
    </row>
    <row r="2623" spans="1:8" x14ac:dyDescent="0.25">
      <c r="A2623" s="68">
        <v>43983</v>
      </c>
      <c r="B2623" s="48">
        <v>3</v>
      </c>
      <c r="C2623" s="48">
        <v>0</v>
      </c>
      <c r="D2623" s="48">
        <v>6</v>
      </c>
      <c r="E2623" s="48" t="s">
        <v>112</v>
      </c>
      <c r="F2623" s="48" t="s">
        <v>72</v>
      </c>
      <c r="G2623" s="48" t="s">
        <v>102</v>
      </c>
      <c r="H2623" s="69">
        <f t="shared" si="40"/>
        <v>43983</v>
      </c>
    </row>
    <row r="2624" spans="1:8" x14ac:dyDescent="0.25">
      <c r="A2624" s="68">
        <v>43983</v>
      </c>
      <c r="B2624" s="48">
        <v>3</v>
      </c>
      <c r="C2624" s="48">
        <v>0</v>
      </c>
      <c r="D2624" s="48">
        <v>6</v>
      </c>
      <c r="E2624" s="48" t="s">
        <v>112</v>
      </c>
      <c r="F2624" s="48" t="s">
        <v>72</v>
      </c>
      <c r="G2624" s="48" t="s">
        <v>355</v>
      </c>
      <c r="H2624" s="69">
        <f t="shared" si="40"/>
        <v>43983</v>
      </c>
    </row>
    <row r="2625" spans="1:8" x14ac:dyDescent="0.25">
      <c r="A2625" s="68">
        <v>43983</v>
      </c>
      <c r="B2625" s="48">
        <v>60</v>
      </c>
      <c r="C2625" s="48">
        <v>1</v>
      </c>
      <c r="D2625" s="48">
        <v>5</v>
      </c>
      <c r="E2625" s="48" t="s">
        <v>112</v>
      </c>
      <c r="F2625" s="48" t="s">
        <v>72</v>
      </c>
      <c r="G2625" s="48" t="s">
        <v>96</v>
      </c>
      <c r="H2625" s="69">
        <f t="shared" si="40"/>
        <v>43983</v>
      </c>
    </row>
    <row r="2626" spans="1:8" x14ac:dyDescent="0.25">
      <c r="A2626" s="68">
        <v>43983</v>
      </c>
      <c r="B2626" s="48">
        <v>10</v>
      </c>
      <c r="C2626" s="48">
        <v>1</v>
      </c>
      <c r="D2626" s="48">
        <v>0</v>
      </c>
      <c r="E2626" s="48" t="s">
        <v>112</v>
      </c>
      <c r="F2626" s="48" t="s">
        <v>72</v>
      </c>
      <c r="G2626" s="48" t="s">
        <v>347</v>
      </c>
      <c r="H2626" s="69">
        <f t="shared" ref="H2626:H2689" si="41">DATE(YEAR(A2626),MONTH(A2626),1)</f>
        <v>43983</v>
      </c>
    </row>
    <row r="2627" spans="1:8" x14ac:dyDescent="0.25">
      <c r="A2627" s="68">
        <v>43983</v>
      </c>
      <c r="B2627" s="48">
        <v>44</v>
      </c>
      <c r="C2627" s="48">
        <v>1</v>
      </c>
      <c r="D2627" s="48">
        <v>4</v>
      </c>
      <c r="E2627" s="48" t="s">
        <v>112</v>
      </c>
      <c r="F2627" s="48" t="s">
        <v>72</v>
      </c>
      <c r="G2627" s="48" t="s">
        <v>335</v>
      </c>
      <c r="H2627" s="69">
        <f t="shared" si="41"/>
        <v>43983</v>
      </c>
    </row>
    <row r="2628" spans="1:8" x14ac:dyDescent="0.25">
      <c r="A2628" s="68">
        <v>43983</v>
      </c>
      <c r="B2628" s="48">
        <v>12</v>
      </c>
      <c r="C2628" s="48">
        <v>0</v>
      </c>
      <c r="D2628" s="48">
        <v>0</v>
      </c>
      <c r="E2628" s="48" t="s">
        <v>112</v>
      </c>
      <c r="F2628" s="48" t="s">
        <v>72</v>
      </c>
      <c r="G2628" s="48" t="s">
        <v>342</v>
      </c>
      <c r="H2628" s="69">
        <f t="shared" si="41"/>
        <v>43983</v>
      </c>
    </row>
    <row r="2629" spans="1:8" x14ac:dyDescent="0.25">
      <c r="A2629" s="68">
        <v>43983</v>
      </c>
      <c r="B2629" s="48">
        <v>13</v>
      </c>
      <c r="C2629" s="48">
        <v>0</v>
      </c>
      <c r="D2629" s="48">
        <v>0</v>
      </c>
      <c r="E2629" s="48" t="s">
        <v>112</v>
      </c>
      <c r="F2629" s="48" t="s">
        <v>72</v>
      </c>
      <c r="G2629" s="48" t="s">
        <v>353</v>
      </c>
      <c r="H2629" s="69">
        <f t="shared" si="41"/>
        <v>43983</v>
      </c>
    </row>
    <row r="2630" spans="1:8" x14ac:dyDescent="0.25">
      <c r="A2630" s="68">
        <v>43983</v>
      </c>
      <c r="B2630" s="48">
        <v>32</v>
      </c>
      <c r="C2630" s="48">
        <v>1</v>
      </c>
      <c r="D2630" s="48">
        <v>16</v>
      </c>
      <c r="E2630" s="48" t="s">
        <v>112</v>
      </c>
      <c r="F2630" s="48" t="s">
        <v>72</v>
      </c>
      <c r="G2630" s="48" t="s">
        <v>101</v>
      </c>
      <c r="H2630" s="69">
        <f t="shared" si="41"/>
        <v>43983</v>
      </c>
    </row>
    <row r="2631" spans="1:8" x14ac:dyDescent="0.25">
      <c r="A2631" s="68">
        <v>43983</v>
      </c>
      <c r="B2631" s="48">
        <v>0</v>
      </c>
      <c r="C2631" s="48">
        <v>0</v>
      </c>
      <c r="D2631" s="48">
        <v>0</v>
      </c>
      <c r="E2631" s="48" t="s">
        <v>112</v>
      </c>
      <c r="F2631" s="48" t="s">
        <v>72</v>
      </c>
      <c r="G2631" s="48" t="s">
        <v>387</v>
      </c>
      <c r="H2631" s="69">
        <f t="shared" si="41"/>
        <v>43983</v>
      </c>
    </row>
    <row r="2632" spans="1:8" x14ac:dyDescent="0.25">
      <c r="A2632" s="68">
        <v>43983</v>
      </c>
      <c r="B2632" s="48">
        <v>0</v>
      </c>
      <c r="C2632" s="48">
        <v>0</v>
      </c>
      <c r="D2632" s="48">
        <v>0</v>
      </c>
      <c r="E2632" s="48" t="s">
        <v>112</v>
      </c>
      <c r="F2632" s="48" t="s">
        <v>72</v>
      </c>
      <c r="G2632" s="48" t="s">
        <v>406</v>
      </c>
      <c r="H2632" s="69">
        <f t="shared" si="41"/>
        <v>43983</v>
      </c>
    </row>
    <row r="2633" spans="1:8" x14ac:dyDescent="0.25">
      <c r="A2633" s="68">
        <v>43983</v>
      </c>
      <c r="B2633" s="48">
        <v>18</v>
      </c>
      <c r="C2633" s="48">
        <v>2</v>
      </c>
      <c r="D2633" s="48">
        <v>4</v>
      </c>
      <c r="E2633" s="48" t="s">
        <v>112</v>
      </c>
      <c r="F2633" s="48" t="s">
        <v>72</v>
      </c>
      <c r="G2633" s="48" t="s">
        <v>344</v>
      </c>
      <c r="H2633" s="69">
        <f t="shared" si="41"/>
        <v>43983</v>
      </c>
    </row>
    <row r="2634" spans="1:8" x14ac:dyDescent="0.25">
      <c r="A2634" s="68">
        <v>43983</v>
      </c>
      <c r="B2634" s="48">
        <v>14</v>
      </c>
      <c r="C2634" s="48">
        <v>0</v>
      </c>
      <c r="D2634" s="48">
        <v>1</v>
      </c>
      <c r="E2634" s="48" t="s">
        <v>112</v>
      </c>
      <c r="F2634" s="48" t="s">
        <v>72</v>
      </c>
      <c r="G2634" s="48" t="s">
        <v>354</v>
      </c>
      <c r="H2634" s="69">
        <f t="shared" si="41"/>
        <v>43983</v>
      </c>
    </row>
    <row r="2635" spans="1:8" x14ac:dyDescent="0.25">
      <c r="A2635" s="68">
        <v>43983</v>
      </c>
      <c r="B2635" s="48">
        <v>32</v>
      </c>
      <c r="C2635" s="48">
        <v>0</v>
      </c>
      <c r="D2635" s="48">
        <v>2</v>
      </c>
      <c r="E2635" s="48" t="s">
        <v>112</v>
      </c>
      <c r="F2635" s="48" t="s">
        <v>72</v>
      </c>
      <c r="G2635" s="48" t="s">
        <v>337</v>
      </c>
      <c r="H2635" s="69">
        <f t="shared" si="41"/>
        <v>43983</v>
      </c>
    </row>
    <row r="2636" spans="1:8" x14ac:dyDescent="0.25">
      <c r="A2636" s="68">
        <v>43983</v>
      </c>
      <c r="B2636" s="48">
        <v>10</v>
      </c>
      <c r="C2636" s="48">
        <v>0</v>
      </c>
      <c r="D2636" s="48">
        <v>2</v>
      </c>
      <c r="E2636" s="48" t="s">
        <v>112</v>
      </c>
      <c r="F2636" s="48" t="s">
        <v>72</v>
      </c>
      <c r="G2636" s="48" t="s">
        <v>356</v>
      </c>
      <c r="H2636" s="69">
        <f t="shared" si="41"/>
        <v>43983</v>
      </c>
    </row>
    <row r="2637" spans="1:8" x14ac:dyDescent="0.25">
      <c r="A2637" s="68">
        <v>43983</v>
      </c>
      <c r="B2637" s="48">
        <v>0</v>
      </c>
      <c r="C2637" s="48">
        <v>0</v>
      </c>
      <c r="D2637" s="48">
        <v>0</v>
      </c>
      <c r="E2637" s="48" t="s">
        <v>112</v>
      </c>
      <c r="F2637" s="48" t="s">
        <v>72</v>
      </c>
      <c r="G2637" s="48" t="s">
        <v>429</v>
      </c>
      <c r="H2637" s="69">
        <f t="shared" si="41"/>
        <v>43983</v>
      </c>
    </row>
    <row r="2638" spans="1:8" x14ac:dyDescent="0.25">
      <c r="A2638" s="68">
        <v>43983</v>
      </c>
      <c r="B2638" s="48">
        <v>0</v>
      </c>
      <c r="C2638" s="48">
        <v>0</v>
      </c>
      <c r="D2638" s="48">
        <v>0</v>
      </c>
      <c r="E2638" s="48" t="s">
        <v>112</v>
      </c>
      <c r="F2638" s="48" t="s">
        <v>72</v>
      </c>
      <c r="G2638" s="48" t="s">
        <v>431</v>
      </c>
      <c r="H2638" s="69">
        <f t="shared" si="41"/>
        <v>43983</v>
      </c>
    </row>
    <row r="2639" spans="1:8" x14ac:dyDescent="0.25">
      <c r="A2639" s="68">
        <v>43983</v>
      </c>
      <c r="B2639" s="48">
        <v>1</v>
      </c>
      <c r="C2639" s="48">
        <v>0</v>
      </c>
      <c r="D2639" s="48">
        <v>0</v>
      </c>
      <c r="E2639" s="48" t="s">
        <v>112</v>
      </c>
      <c r="F2639" s="48" t="s">
        <v>72</v>
      </c>
      <c r="G2639" s="48" t="s">
        <v>426</v>
      </c>
      <c r="H2639" s="69">
        <f t="shared" si="41"/>
        <v>43983</v>
      </c>
    </row>
    <row r="2640" spans="1:8" x14ac:dyDescent="0.25">
      <c r="A2640" s="68">
        <v>43983</v>
      </c>
      <c r="B2640" s="48">
        <v>0</v>
      </c>
      <c r="C2640" s="48">
        <v>0</v>
      </c>
      <c r="D2640" s="48">
        <v>0</v>
      </c>
      <c r="E2640" s="48" t="s">
        <v>112</v>
      </c>
      <c r="F2640" s="48" t="s">
        <v>72</v>
      </c>
      <c r="G2640" s="48" t="s">
        <v>436</v>
      </c>
      <c r="H2640" s="69">
        <f t="shared" si="41"/>
        <v>43983</v>
      </c>
    </row>
    <row r="2641" spans="1:8" x14ac:dyDescent="0.25">
      <c r="A2641" s="68">
        <v>43983</v>
      </c>
      <c r="B2641" s="48">
        <v>0</v>
      </c>
      <c r="C2641" s="48">
        <v>0</v>
      </c>
      <c r="D2641" s="48">
        <v>1</v>
      </c>
      <c r="E2641" s="48" t="s">
        <v>112</v>
      </c>
      <c r="F2641" s="48" t="s">
        <v>72</v>
      </c>
      <c r="G2641" s="48" t="s">
        <v>357</v>
      </c>
      <c r="H2641" s="69">
        <f t="shared" si="41"/>
        <v>43983</v>
      </c>
    </row>
    <row r="2642" spans="1:8" x14ac:dyDescent="0.25">
      <c r="A2642" s="68">
        <v>43983</v>
      </c>
      <c r="B2642" s="48">
        <v>1</v>
      </c>
      <c r="C2642" s="48">
        <v>1</v>
      </c>
      <c r="D2642" s="48">
        <v>0</v>
      </c>
      <c r="E2642" s="48" t="s">
        <v>112</v>
      </c>
      <c r="F2642" s="48" t="s">
        <v>72</v>
      </c>
      <c r="G2642" s="48" t="s">
        <v>358</v>
      </c>
      <c r="H2642" s="69">
        <f t="shared" si="41"/>
        <v>43983</v>
      </c>
    </row>
    <row r="2643" spans="1:8" x14ac:dyDescent="0.25">
      <c r="A2643" s="68">
        <v>43983</v>
      </c>
      <c r="B2643" s="48">
        <v>1</v>
      </c>
      <c r="C2643" s="48">
        <v>0</v>
      </c>
      <c r="D2643" s="48">
        <v>0</v>
      </c>
      <c r="E2643" s="48" t="s">
        <v>112</v>
      </c>
      <c r="F2643" s="48" t="s">
        <v>72</v>
      </c>
      <c r="G2643" s="48" t="s">
        <v>399</v>
      </c>
      <c r="H2643" s="69">
        <f t="shared" si="41"/>
        <v>43983</v>
      </c>
    </row>
    <row r="2644" spans="1:8" x14ac:dyDescent="0.25">
      <c r="A2644" s="68">
        <v>43983</v>
      </c>
      <c r="B2644" s="48">
        <v>14</v>
      </c>
      <c r="C2644" s="48">
        <v>0</v>
      </c>
      <c r="D2644" s="48">
        <v>3</v>
      </c>
      <c r="E2644" s="48" t="s">
        <v>112</v>
      </c>
      <c r="F2644" s="48" t="s">
        <v>72</v>
      </c>
      <c r="G2644" s="48" t="s">
        <v>352</v>
      </c>
      <c r="H2644" s="69">
        <f t="shared" si="41"/>
        <v>43983</v>
      </c>
    </row>
    <row r="2645" spans="1:8" x14ac:dyDescent="0.25">
      <c r="A2645" s="68">
        <v>43983</v>
      </c>
      <c r="B2645" s="48">
        <v>0</v>
      </c>
      <c r="C2645" s="48">
        <v>0</v>
      </c>
      <c r="D2645" s="48">
        <v>0</v>
      </c>
      <c r="E2645" s="48" t="s">
        <v>112</v>
      </c>
      <c r="F2645" s="48" t="s">
        <v>72</v>
      </c>
      <c r="G2645" s="48" t="s">
        <v>359</v>
      </c>
      <c r="H2645" s="69">
        <f t="shared" si="41"/>
        <v>43983</v>
      </c>
    </row>
    <row r="2646" spans="1:8" x14ac:dyDescent="0.25">
      <c r="A2646" s="68">
        <v>43983</v>
      </c>
      <c r="B2646" s="48">
        <v>0</v>
      </c>
      <c r="C2646" s="48">
        <v>0</v>
      </c>
      <c r="D2646" s="48">
        <v>0</v>
      </c>
      <c r="E2646" s="48" t="s">
        <v>112</v>
      </c>
      <c r="F2646" s="48" t="s">
        <v>72</v>
      </c>
      <c r="G2646" s="48" t="s">
        <v>410</v>
      </c>
      <c r="H2646" s="69">
        <f t="shared" si="41"/>
        <v>43983</v>
      </c>
    </row>
    <row r="2647" spans="1:8" x14ac:dyDescent="0.25">
      <c r="A2647" s="68">
        <v>43983</v>
      </c>
      <c r="B2647" s="48">
        <v>1</v>
      </c>
      <c r="C2647" s="48">
        <v>0</v>
      </c>
      <c r="D2647" s="48">
        <v>0</v>
      </c>
      <c r="E2647" s="48" t="s">
        <v>112</v>
      </c>
      <c r="F2647" s="48" t="s">
        <v>72</v>
      </c>
      <c r="G2647" s="48" t="s">
        <v>365</v>
      </c>
      <c r="H2647" s="69">
        <f t="shared" si="41"/>
        <v>43983</v>
      </c>
    </row>
    <row r="2648" spans="1:8" x14ac:dyDescent="0.25">
      <c r="A2648" s="68">
        <v>43983</v>
      </c>
      <c r="B2648" s="48">
        <v>4</v>
      </c>
      <c r="C2648" s="48">
        <v>0</v>
      </c>
      <c r="D2648" s="48">
        <v>2</v>
      </c>
      <c r="E2648" s="48" t="s">
        <v>112</v>
      </c>
      <c r="F2648" s="48" t="s">
        <v>72</v>
      </c>
      <c r="G2648" s="48" t="s">
        <v>408</v>
      </c>
      <c r="H2648" s="69">
        <f t="shared" si="41"/>
        <v>43983</v>
      </c>
    </row>
    <row r="2649" spans="1:8" x14ac:dyDescent="0.25">
      <c r="A2649" s="68">
        <v>43983</v>
      </c>
      <c r="B2649" s="48">
        <v>0</v>
      </c>
      <c r="C2649" s="48">
        <v>0</v>
      </c>
      <c r="D2649" s="48">
        <v>0</v>
      </c>
      <c r="E2649" s="48" t="s">
        <v>112</v>
      </c>
      <c r="F2649" s="48" t="s">
        <v>72</v>
      </c>
      <c r="G2649" s="48" t="s">
        <v>411</v>
      </c>
      <c r="H2649" s="69">
        <f t="shared" si="41"/>
        <v>43983</v>
      </c>
    </row>
    <row r="2650" spans="1:8" x14ac:dyDescent="0.25">
      <c r="A2650" s="68">
        <v>43983</v>
      </c>
      <c r="B2650" s="48">
        <v>0</v>
      </c>
      <c r="C2650" s="48">
        <v>0</v>
      </c>
      <c r="D2650" s="48">
        <v>0</v>
      </c>
      <c r="E2650" s="48" t="s">
        <v>112</v>
      </c>
      <c r="F2650" s="48" t="s">
        <v>72</v>
      </c>
      <c r="G2650" s="48" t="s">
        <v>351</v>
      </c>
      <c r="H2650" s="69">
        <f t="shared" si="41"/>
        <v>43983</v>
      </c>
    </row>
    <row r="2651" spans="1:8" x14ac:dyDescent="0.25">
      <c r="A2651" s="68">
        <v>43983</v>
      </c>
      <c r="B2651" s="48">
        <v>0</v>
      </c>
      <c r="C2651" s="48">
        <v>0</v>
      </c>
      <c r="D2651" s="48">
        <v>0</v>
      </c>
      <c r="E2651" s="48" t="s">
        <v>112</v>
      </c>
      <c r="F2651" s="48" t="s">
        <v>72</v>
      </c>
      <c r="G2651" s="48" t="s">
        <v>417</v>
      </c>
      <c r="H2651" s="69">
        <f t="shared" si="41"/>
        <v>43983</v>
      </c>
    </row>
    <row r="2652" spans="1:8" x14ac:dyDescent="0.25">
      <c r="A2652" s="68">
        <v>43983</v>
      </c>
      <c r="B2652" s="48">
        <v>0</v>
      </c>
      <c r="C2652" s="48">
        <v>0</v>
      </c>
      <c r="D2652" s="48">
        <v>0</v>
      </c>
      <c r="E2652" s="48" t="s">
        <v>112</v>
      </c>
      <c r="F2652" s="48" t="s">
        <v>72</v>
      </c>
      <c r="G2652" s="48" t="s">
        <v>420</v>
      </c>
      <c r="H2652" s="69">
        <f t="shared" si="41"/>
        <v>43983</v>
      </c>
    </row>
    <row r="2653" spans="1:8" x14ac:dyDescent="0.25">
      <c r="A2653" s="68">
        <v>43983</v>
      </c>
      <c r="B2653" s="48">
        <v>1402</v>
      </c>
      <c r="C2653" s="48">
        <v>22</v>
      </c>
      <c r="D2653" s="48">
        <v>780</v>
      </c>
      <c r="E2653" s="48" t="s">
        <v>112</v>
      </c>
      <c r="F2653" s="48" t="s">
        <v>70</v>
      </c>
      <c r="G2653" s="48" t="s">
        <v>91</v>
      </c>
      <c r="H2653" s="69">
        <f t="shared" si="41"/>
        <v>43983</v>
      </c>
    </row>
    <row r="2654" spans="1:8" x14ac:dyDescent="0.25">
      <c r="A2654" s="68">
        <v>43983</v>
      </c>
      <c r="B2654" s="48">
        <v>16</v>
      </c>
      <c r="C2654" s="48">
        <v>0</v>
      </c>
      <c r="D2654" s="48">
        <v>2</v>
      </c>
      <c r="E2654" s="48" t="s">
        <v>112</v>
      </c>
      <c r="F2654" s="48" t="s">
        <v>76</v>
      </c>
      <c r="G2654" s="48" t="s">
        <v>339</v>
      </c>
      <c r="H2654" s="69">
        <f t="shared" si="41"/>
        <v>43983</v>
      </c>
    </row>
    <row r="2655" spans="1:8" x14ac:dyDescent="0.25">
      <c r="A2655" s="68">
        <v>43983</v>
      </c>
      <c r="B2655" s="48">
        <v>55</v>
      </c>
      <c r="C2655" s="48">
        <v>2</v>
      </c>
      <c r="D2655" s="48">
        <v>58</v>
      </c>
      <c r="E2655" s="48" t="s">
        <v>112</v>
      </c>
      <c r="F2655" s="48" t="s">
        <v>73</v>
      </c>
      <c r="G2655" s="48" t="s">
        <v>93</v>
      </c>
      <c r="H2655" s="69">
        <f t="shared" si="41"/>
        <v>43983</v>
      </c>
    </row>
    <row r="2656" spans="1:8" x14ac:dyDescent="0.25">
      <c r="A2656" s="68">
        <v>43983</v>
      </c>
      <c r="B2656" s="48">
        <v>1610</v>
      </c>
      <c r="C2656" s="48">
        <v>43</v>
      </c>
      <c r="D2656" s="48">
        <v>95</v>
      </c>
      <c r="E2656" s="48" t="s">
        <v>112</v>
      </c>
      <c r="F2656" s="48" t="s">
        <v>71</v>
      </c>
      <c r="G2656" s="48" t="s">
        <v>92</v>
      </c>
      <c r="H2656" s="69">
        <f t="shared" si="41"/>
        <v>43983</v>
      </c>
    </row>
    <row r="2657" spans="1:8" x14ac:dyDescent="0.25">
      <c r="A2657" s="68">
        <v>43984</v>
      </c>
      <c r="B2657" s="48">
        <v>295</v>
      </c>
      <c r="C2657" s="48">
        <v>4</v>
      </c>
      <c r="D2657" s="48">
        <v>230</v>
      </c>
      <c r="E2657" s="48" t="s">
        <v>112</v>
      </c>
      <c r="F2657" s="48" t="s">
        <v>74</v>
      </c>
      <c r="G2657" s="48" t="s">
        <v>95</v>
      </c>
      <c r="H2657" s="69">
        <f t="shared" si="41"/>
        <v>43983</v>
      </c>
    </row>
    <row r="2658" spans="1:8" x14ac:dyDescent="0.25">
      <c r="A2658" s="68">
        <v>43984</v>
      </c>
      <c r="B2658" s="48">
        <v>2</v>
      </c>
      <c r="C2658" s="48">
        <v>0</v>
      </c>
      <c r="D2658" s="48">
        <v>0</v>
      </c>
      <c r="E2658" s="48" t="s">
        <v>112</v>
      </c>
      <c r="F2658" s="48" t="s">
        <v>75</v>
      </c>
      <c r="G2658" s="48" t="s">
        <v>402</v>
      </c>
      <c r="H2658" s="69">
        <f t="shared" si="41"/>
        <v>43983</v>
      </c>
    </row>
    <row r="2659" spans="1:8" x14ac:dyDescent="0.25">
      <c r="A2659" s="68">
        <v>43984</v>
      </c>
      <c r="B2659" s="48">
        <v>2</v>
      </c>
      <c r="C2659" s="48">
        <v>0</v>
      </c>
      <c r="D2659" s="48">
        <v>0</v>
      </c>
      <c r="E2659" s="48" t="s">
        <v>112</v>
      </c>
      <c r="F2659" s="48" t="s">
        <v>75</v>
      </c>
      <c r="G2659" s="48" t="s">
        <v>394</v>
      </c>
      <c r="H2659" s="69">
        <f t="shared" si="41"/>
        <v>43983</v>
      </c>
    </row>
    <row r="2660" spans="1:8" x14ac:dyDescent="0.25">
      <c r="A2660" s="68">
        <v>43984</v>
      </c>
      <c r="B2660" s="48">
        <v>1</v>
      </c>
      <c r="C2660" s="48">
        <v>0</v>
      </c>
      <c r="D2660" s="48">
        <v>0</v>
      </c>
      <c r="E2660" s="48" t="s">
        <v>112</v>
      </c>
      <c r="F2660" s="48" t="s">
        <v>75</v>
      </c>
      <c r="G2660" s="48" t="s">
        <v>390</v>
      </c>
      <c r="H2660" s="69">
        <f t="shared" si="41"/>
        <v>43983</v>
      </c>
    </row>
    <row r="2661" spans="1:8" x14ac:dyDescent="0.25">
      <c r="A2661" s="68">
        <v>43984</v>
      </c>
      <c r="B2661" s="48">
        <v>15</v>
      </c>
      <c r="C2661" s="48">
        <v>0</v>
      </c>
      <c r="D2661" s="48">
        <v>0</v>
      </c>
      <c r="E2661" s="48" t="s">
        <v>112</v>
      </c>
      <c r="F2661" s="48" t="s">
        <v>75</v>
      </c>
      <c r="G2661" s="48" t="s">
        <v>373</v>
      </c>
      <c r="H2661" s="69">
        <f t="shared" si="41"/>
        <v>43983</v>
      </c>
    </row>
    <row r="2662" spans="1:8" x14ac:dyDescent="0.25">
      <c r="A2662" s="68">
        <v>43984</v>
      </c>
      <c r="B2662" s="48">
        <v>1</v>
      </c>
      <c r="C2662" s="48">
        <v>0</v>
      </c>
      <c r="D2662" s="48">
        <v>0</v>
      </c>
      <c r="E2662" s="48" t="s">
        <v>112</v>
      </c>
      <c r="F2662" s="48" t="s">
        <v>75</v>
      </c>
      <c r="G2662" s="48" t="s">
        <v>404</v>
      </c>
      <c r="H2662" s="69">
        <f t="shared" si="41"/>
        <v>43983</v>
      </c>
    </row>
    <row r="2663" spans="1:8" x14ac:dyDescent="0.25">
      <c r="A2663" s="68">
        <v>43984</v>
      </c>
      <c r="B2663" s="48">
        <v>6</v>
      </c>
      <c r="C2663" s="48">
        <v>0</v>
      </c>
      <c r="D2663" s="48">
        <v>0</v>
      </c>
      <c r="E2663" s="48" t="s">
        <v>112</v>
      </c>
      <c r="F2663" s="48" t="s">
        <v>75</v>
      </c>
      <c r="G2663" s="48" t="s">
        <v>393</v>
      </c>
      <c r="H2663" s="69">
        <f t="shared" si="41"/>
        <v>43983</v>
      </c>
    </row>
    <row r="2664" spans="1:8" x14ac:dyDescent="0.25">
      <c r="A2664" s="68">
        <v>43984</v>
      </c>
      <c r="B2664" s="48">
        <v>16</v>
      </c>
      <c r="C2664" s="48">
        <v>1</v>
      </c>
      <c r="D2664" s="48">
        <v>0</v>
      </c>
      <c r="E2664" s="48" t="s">
        <v>112</v>
      </c>
      <c r="F2664" s="48" t="s">
        <v>75</v>
      </c>
      <c r="G2664" s="48" t="s">
        <v>103</v>
      </c>
      <c r="H2664" s="69">
        <f t="shared" si="41"/>
        <v>43983</v>
      </c>
    </row>
    <row r="2665" spans="1:8" x14ac:dyDescent="0.25">
      <c r="A2665" s="68">
        <v>43984</v>
      </c>
      <c r="B2665" s="48">
        <v>174</v>
      </c>
      <c r="C2665" s="48">
        <v>3</v>
      </c>
      <c r="D2665" s="48">
        <v>13</v>
      </c>
      <c r="E2665" s="48" t="s">
        <v>112</v>
      </c>
      <c r="F2665" s="48" t="s">
        <v>72</v>
      </c>
      <c r="G2665" s="48" t="s">
        <v>94</v>
      </c>
      <c r="H2665" s="69">
        <f t="shared" si="41"/>
        <v>43983</v>
      </c>
    </row>
    <row r="2666" spans="1:8" x14ac:dyDescent="0.25">
      <c r="A2666" s="68">
        <v>43984</v>
      </c>
      <c r="B2666" s="48">
        <v>33</v>
      </c>
      <c r="C2666" s="48">
        <v>0</v>
      </c>
      <c r="D2666" s="48">
        <v>1</v>
      </c>
      <c r="E2666" s="48" t="s">
        <v>112</v>
      </c>
      <c r="F2666" s="48" t="s">
        <v>72</v>
      </c>
      <c r="G2666" s="48" t="s">
        <v>341</v>
      </c>
      <c r="H2666" s="69">
        <f t="shared" si="41"/>
        <v>43983</v>
      </c>
    </row>
    <row r="2667" spans="1:8" x14ac:dyDescent="0.25">
      <c r="A2667" s="68">
        <v>43984</v>
      </c>
      <c r="B2667" s="48">
        <v>6</v>
      </c>
      <c r="C2667" s="48">
        <v>0</v>
      </c>
      <c r="D2667" s="48">
        <v>4</v>
      </c>
      <c r="E2667" s="48" t="s">
        <v>112</v>
      </c>
      <c r="F2667" s="48" t="s">
        <v>72</v>
      </c>
      <c r="G2667" s="48" t="s">
        <v>338</v>
      </c>
      <c r="H2667" s="69">
        <f t="shared" si="41"/>
        <v>43983</v>
      </c>
    </row>
    <row r="2668" spans="1:8" x14ac:dyDescent="0.25">
      <c r="A2668" s="68">
        <v>43984</v>
      </c>
      <c r="B2668" s="48">
        <v>0</v>
      </c>
      <c r="C2668" s="48">
        <v>0</v>
      </c>
      <c r="D2668" s="48">
        <v>1</v>
      </c>
      <c r="E2668" s="48" t="s">
        <v>112</v>
      </c>
      <c r="F2668" s="48" t="s">
        <v>72</v>
      </c>
      <c r="G2668" s="48" t="s">
        <v>343</v>
      </c>
      <c r="H2668" s="69">
        <f t="shared" si="41"/>
        <v>43983</v>
      </c>
    </row>
    <row r="2669" spans="1:8" x14ac:dyDescent="0.25">
      <c r="A2669" s="68">
        <v>43984</v>
      </c>
      <c r="B2669" s="48">
        <v>4</v>
      </c>
      <c r="C2669" s="48">
        <v>0</v>
      </c>
      <c r="D2669" s="48">
        <v>0</v>
      </c>
      <c r="E2669" s="48" t="s">
        <v>112</v>
      </c>
      <c r="F2669" s="48" t="s">
        <v>72</v>
      </c>
      <c r="G2669" s="48" t="s">
        <v>400</v>
      </c>
      <c r="H2669" s="69">
        <f t="shared" si="41"/>
        <v>43983</v>
      </c>
    </row>
    <row r="2670" spans="1:8" x14ac:dyDescent="0.25">
      <c r="A2670" s="68">
        <v>43984</v>
      </c>
      <c r="B2670" s="48">
        <v>12</v>
      </c>
      <c r="C2670" s="48">
        <v>1</v>
      </c>
      <c r="D2670" s="48">
        <v>8</v>
      </c>
      <c r="E2670" s="48" t="s">
        <v>112</v>
      </c>
      <c r="F2670" s="48" t="s">
        <v>72</v>
      </c>
      <c r="G2670" s="48" t="s">
        <v>102</v>
      </c>
      <c r="H2670" s="69">
        <f t="shared" si="41"/>
        <v>43983</v>
      </c>
    </row>
    <row r="2671" spans="1:8" x14ac:dyDescent="0.25">
      <c r="A2671" s="68">
        <v>43984</v>
      </c>
      <c r="B2671" s="48">
        <v>4</v>
      </c>
      <c r="C2671" s="48">
        <v>0</v>
      </c>
      <c r="D2671" s="48">
        <v>1</v>
      </c>
      <c r="E2671" s="48" t="s">
        <v>112</v>
      </c>
      <c r="F2671" s="48" t="s">
        <v>72</v>
      </c>
      <c r="G2671" s="48" t="s">
        <v>355</v>
      </c>
      <c r="H2671" s="69">
        <f t="shared" si="41"/>
        <v>43983</v>
      </c>
    </row>
    <row r="2672" spans="1:8" x14ac:dyDescent="0.25">
      <c r="A2672" s="68">
        <v>43984</v>
      </c>
      <c r="B2672" s="48">
        <v>60</v>
      </c>
      <c r="C2672" s="48">
        <v>1</v>
      </c>
      <c r="D2672" s="48">
        <v>23</v>
      </c>
      <c r="E2672" s="48" t="s">
        <v>112</v>
      </c>
      <c r="F2672" s="48" t="s">
        <v>72</v>
      </c>
      <c r="G2672" s="48" t="s">
        <v>96</v>
      </c>
      <c r="H2672" s="69">
        <f t="shared" si="41"/>
        <v>43983</v>
      </c>
    </row>
    <row r="2673" spans="1:8" x14ac:dyDescent="0.25">
      <c r="A2673" s="68">
        <v>43984</v>
      </c>
      <c r="B2673" s="48">
        <v>4</v>
      </c>
      <c r="C2673" s="48">
        <v>0</v>
      </c>
      <c r="D2673" s="48">
        <v>9</v>
      </c>
      <c r="E2673" s="48" t="s">
        <v>112</v>
      </c>
      <c r="F2673" s="48" t="s">
        <v>72</v>
      </c>
      <c r="G2673" s="48" t="s">
        <v>347</v>
      </c>
      <c r="H2673" s="69">
        <f t="shared" si="41"/>
        <v>43983</v>
      </c>
    </row>
    <row r="2674" spans="1:8" x14ac:dyDescent="0.25">
      <c r="A2674" s="68">
        <v>43984</v>
      </c>
      <c r="B2674" s="48">
        <v>33</v>
      </c>
      <c r="C2674" s="48">
        <v>1</v>
      </c>
      <c r="D2674" s="48">
        <v>2</v>
      </c>
      <c r="E2674" s="48" t="s">
        <v>112</v>
      </c>
      <c r="F2674" s="48" t="s">
        <v>72</v>
      </c>
      <c r="G2674" s="48" t="s">
        <v>335</v>
      </c>
      <c r="H2674" s="69">
        <f t="shared" si="41"/>
        <v>43983</v>
      </c>
    </row>
    <row r="2675" spans="1:8" x14ac:dyDescent="0.25">
      <c r="A2675" s="68">
        <v>43984</v>
      </c>
      <c r="B2675" s="48">
        <v>21</v>
      </c>
      <c r="C2675" s="48">
        <v>0</v>
      </c>
      <c r="D2675" s="48">
        <v>1</v>
      </c>
      <c r="E2675" s="48" t="s">
        <v>112</v>
      </c>
      <c r="F2675" s="48" t="s">
        <v>72</v>
      </c>
      <c r="G2675" s="48" t="s">
        <v>342</v>
      </c>
      <c r="H2675" s="69">
        <f t="shared" si="41"/>
        <v>43983</v>
      </c>
    </row>
    <row r="2676" spans="1:8" x14ac:dyDescent="0.25">
      <c r="A2676" s="68">
        <v>43984</v>
      </c>
      <c r="B2676" s="48">
        <v>6</v>
      </c>
      <c r="C2676" s="48">
        <v>0</v>
      </c>
      <c r="D2676" s="48">
        <v>4</v>
      </c>
      <c r="E2676" s="48" t="s">
        <v>112</v>
      </c>
      <c r="F2676" s="48" t="s">
        <v>72</v>
      </c>
      <c r="G2676" s="48" t="s">
        <v>353</v>
      </c>
      <c r="H2676" s="69">
        <f t="shared" si="41"/>
        <v>43983</v>
      </c>
    </row>
    <row r="2677" spans="1:8" x14ac:dyDescent="0.25">
      <c r="A2677" s="68">
        <v>43984</v>
      </c>
      <c r="B2677" s="48">
        <v>19</v>
      </c>
      <c r="C2677" s="48">
        <v>0</v>
      </c>
      <c r="D2677" s="48">
        <v>28</v>
      </c>
      <c r="E2677" s="48" t="s">
        <v>112</v>
      </c>
      <c r="F2677" s="48" t="s">
        <v>72</v>
      </c>
      <c r="G2677" s="48" t="s">
        <v>101</v>
      </c>
      <c r="H2677" s="69">
        <f t="shared" si="41"/>
        <v>43983</v>
      </c>
    </row>
    <row r="2678" spans="1:8" x14ac:dyDescent="0.25">
      <c r="A2678" s="68">
        <v>43984</v>
      </c>
      <c r="B2678" s="48">
        <v>2</v>
      </c>
      <c r="C2678" s="48">
        <v>0</v>
      </c>
      <c r="D2678" s="48">
        <v>0</v>
      </c>
      <c r="E2678" s="48" t="s">
        <v>112</v>
      </c>
      <c r="F2678" s="48" t="s">
        <v>72</v>
      </c>
      <c r="G2678" s="48" t="s">
        <v>387</v>
      </c>
      <c r="H2678" s="69">
        <f t="shared" si="41"/>
        <v>43983</v>
      </c>
    </row>
    <row r="2679" spans="1:8" x14ac:dyDescent="0.25">
      <c r="A2679" s="68">
        <v>43984</v>
      </c>
      <c r="B2679" s="48">
        <v>0</v>
      </c>
      <c r="C2679" s="48">
        <v>0</v>
      </c>
      <c r="D2679" s="48">
        <v>0</v>
      </c>
      <c r="E2679" s="48" t="s">
        <v>112</v>
      </c>
      <c r="F2679" s="48" t="s">
        <v>72</v>
      </c>
      <c r="G2679" s="48" t="s">
        <v>406</v>
      </c>
      <c r="H2679" s="69">
        <f t="shared" si="41"/>
        <v>43983</v>
      </c>
    </row>
    <row r="2680" spans="1:8" x14ac:dyDescent="0.25">
      <c r="A2680" s="68">
        <v>43984</v>
      </c>
      <c r="B2680" s="48">
        <v>0</v>
      </c>
      <c r="C2680" s="48">
        <v>0</v>
      </c>
      <c r="D2680" s="48">
        <v>0</v>
      </c>
      <c r="E2680" s="48" t="s">
        <v>112</v>
      </c>
      <c r="F2680" s="48" t="s">
        <v>72</v>
      </c>
      <c r="G2680" s="48" t="s">
        <v>344</v>
      </c>
      <c r="H2680" s="69">
        <f t="shared" si="41"/>
        <v>43983</v>
      </c>
    </row>
    <row r="2681" spans="1:8" x14ac:dyDescent="0.25">
      <c r="A2681" s="68">
        <v>43984</v>
      </c>
      <c r="B2681" s="48">
        <v>0</v>
      </c>
      <c r="C2681" s="48">
        <v>0</v>
      </c>
      <c r="D2681" s="48">
        <v>0</v>
      </c>
      <c r="E2681" s="48" t="s">
        <v>112</v>
      </c>
      <c r="F2681" s="48" t="s">
        <v>72</v>
      </c>
      <c r="G2681" s="48" t="s">
        <v>354</v>
      </c>
      <c r="H2681" s="69">
        <f t="shared" si="41"/>
        <v>43983</v>
      </c>
    </row>
    <row r="2682" spans="1:8" x14ac:dyDescent="0.25">
      <c r="A2682" s="68">
        <v>43984</v>
      </c>
      <c r="B2682" s="48">
        <v>8</v>
      </c>
      <c r="C2682" s="48">
        <v>1</v>
      </c>
      <c r="D2682" s="48">
        <v>6</v>
      </c>
      <c r="E2682" s="48" t="s">
        <v>112</v>
      </c>
      <c r="F2682" s="48" t="s">
        <v>72</v>
      </c>
      <c r="G2682" s="48" t="s">
        <v>337</v>
      </c>
      <c r="H2682" s="69">
        <f t="shared" si="41"/>
        <v>43983</v>
      </c>
    </row>
    <row r="2683" spans="1:8" x14ac:dyDescent="0.25">
      <c r="A2683" s="68">
        <v>43984</v>
      </c>
      <c r="B2683" s="48">
        <v>10</v>
      </c>
      <c r="C2683" s="48">
        <v>0</v>
      </c>
      <c r="D2683" s="48">
        <v>3</v>
      </c>
      <c r="E2683" s="48" t="s">
        <v>112</v>
      </c>
      <c r="F2683" s="48" t="s">
        <v>72</v>
      </c>
      <c r="G2683" s="48" t="s">
        <v>356</v>
      </c>
      <c r="H2683" s="69">
        <f t="shared" si="41"/>
        <v>43983</v>
      </c>
    </row>
    <row r="2684" spans="1:8" x14ac:dyDescent="0.25">
      <c r="A2684" s="68">
        <v>43984</v>
      </c>
      <c r="B2684" s="48">
        <v>0</v>
      </c>
      <c r="C2684" s="48">
        <v>0</v>
      </c>
      <c r="D2684" s="48">
        <v>0</v>
      </c>
      <c r="E2684" s="48" t="s">
        <v>112</v>
      </c>
      <c r="F2684" s="48" t="s">
        <v>72</v>
      </c>
      <c r="G2684" s="48" t="s">
        <v>429</v>
      </c>
      <c r="H2684" s="69">
        <f t="shared" si="41"/>
        <v>43983</v>
      </c>
    </row>
    <row r="2685" spans="1:8" x14ac:dyDescent="0.25">
      <c r="A2685" s="68">
        <v>43984</v>
      </c>
      <c r="B2685" s="48">
        <v>0</v>
      </c>
      <c r="C2685" s="48">
        <v>0</v>
      </c>
      <c r="D2685" s="48">
        <v>0</v>
      </c>
      <c r="E2685" s="48" t="s">
        <v>112</v>
      </c>
      <c r="F2685" s="48" t="s">
        <v>72</v>
      </c>
      <c r="G2685" s="48" t="s">
        <v>431</v>
      </c>
      <c r="H2685" s="69">
        <f t="shared" si="41"/>
        <v>43983</v>
      </c>
    </row>
    <row r="2686" spans="1:8" x14ac:dyDescent="0.25">
      <c r="A2686" s="68">
        <v>43984</v>
      </c>
      <c r="B2686" s="48">
        <v>1</v>
      </c>
      <c r="C2686" s="48">
        <v>0</v>
      </c>
      <c r="D2686" s="48">
        <v>0</v>
      </c>
      <c r="E2686" s="48" t="s">
        <v>112</v>
      </c>
      <c r="F2686" s="48" t="s">
        <v>72</v>
      </c>
      <c r="G2686" s="48" t="s">
        <v>426</v>
      </c>
      <c r="H2686" s="69">
        <f t="shared" si="41"/>
        <v>43983</v>
      </c>
    </row>
    <row r="2687" spans="1:8" x14ac:dyDescent="0.25">
      <c r="A2687" s="68">
        <v>43984</v>
      </c>
      <c r="B2687" s="48">
        <v>0</v>
      </c>
      <c r="C2687" s="48">
        <v>0</v>
      </c>
      <c r="D2687" s="48">
        <v>0</v>
      </c>
      <c r="E2687" s="48" t="s">
        <v>112</v>
      </c>
      <c r="F2687" s="48" t="s">
        <v>72</v>
      </c>
      <c r="G2687" s="48" t="s">
        <v>436</v>
      </c>
      <c r="H2687" s="69">
        <f t="shared" si="41"/>
        <v>43983</v>
      </c>
    </row>
    <row r="2688" spans="1:8" x14ac:dyDescent="0.25">
      <c r="A2688" s="68">
        <v>43984</v>
      </c>
      <c r="B2688" s="48">
        <v>0</v>
      </c>
      <c r="C2688" s="48">
        <v>0</v>
      </c>
      <c r="D2688" s="48">
        <v>0</v>
      </c>
      <c r="E2688" s="48" t="s">
        <v>112</v>
      </c>
      <c r="F2688" s="48" t="s">
        <v>72</v>
      </c>
      <c r="G2688" s="48" t="s">
        <v>357</v>
      </c>
      <c r="H2688" s="69">
        <f t="shared" si="41"/>
        <v>43983</v>
      </c>
    </row>
    <row r="2689" spans="1:8" x14ac:dyDescent="0.25">
      <c r="A2689" s="68">
        <v>43984</v>
      </c>
      <c r="B2689" s="48">
        <v>2</v>
      </c>
      <c r="C2689" s="48">
        <v>1</v>
      </c>
      <c r="D2689" s="48">
        <v>1</v>
      </c>
      <c r="E2689" s="48" t="s">
        <v>112</v>
      </c>
      <c r="F2689" s="48" t="s">
        <v>72</v>
      </c>
      <c r="G2689" s="48" t="s">
        <v>358</v>
      </c>
      <c r="H2689" s="69">
        <f t="shared" si="41"/>
        <v>43983</v>
      </c>
    </row>
    <row r="2690" spans="1:8" x14ac:dyDescent="0.25">
      <c r="A2690" s="68">
        <v>43984</v>
      </c>
      <c r="B2690" s="48">
        <v>0</v>
      </c>
      <c r="C2690" s="48">
        <v>0</v>
      </c>
      <c r="D2690" s="48">
        <v>0</v>
      </c>
      <c r="E2690" s="48" t="s">
        <v>112</v>
      </c>
      <c r="F2690" s="48" t="s">
        <v>72</v>
      </c>
      <c r="G2690" s="48" t="s">
        <v>399</v>
      </c>
      <c r="H2690" s="69">
        <f t="shared" ref="H2690:H2753" si="42">DATE(YEAR(A2690),MONTH(A2690),1)</f>
        <v>43983</v>
      </c>
    </row>
    <row r="2691" spans="1:8" x14ac:dyDescent="0.25">
      <c r="A2691" s="68">
        <v>43984</v>
      </c>
      <c r="B2691" s="48">
        <v>2</v>
      </c>
      <c r="C2691" s="48">
        <v>0</v>
      </c>
      <c r="D2691" s="48">
        <v>1</v>
      </c>
      <c r="E2691" s="48" t="s">
        <v>112</v>
      </c>
      <c r="F2691" s="48" t="s">
        <v>72</v>
      </c>
      <c r="G2691" s="48" t="s">
        <v>352</v>
      </c>
      <c r="H2691" s="69">
        <f t="shared" si="42"/>
        <v>43983</v>
      </c>
    </row>
    <row r="2692" spans="1:8" x14ac:dyDescent="0.25">
      <c r="A2692" s="68">
        <v>43984</v>
      </c>
      <c r="B2692" s="48">
        <v>0</v>
      </c>
      <c r="C2692" s="48">
        <v>0</v>
      </c>
      <c r="D2692" s="48">
        <v>0</v>
      </c>
      <c r="E2692" s="48" t="s">
        <v>112</v>
      </c>
      <c r="F2692" s="48" t="s">
        <v>72</v>
      </c>
      <c r="G2692" s="48" t="s">
        <v>359</v>
      </c>
      <c r="H2692" s="69">
        <f t="shared" si="42"/>
        <v>43983</v>
      </c>
    </row>
    <row r="2693" spans="1:8" x14ac:dyDescent="0.25">
      <c r="A2693" s="68">
        <v>43984</v>
      </c>
      <c r="B2693" s="48">
        <v>1</v>
      </c>
      <c r="C2693" s="48">
        <v>0</v>
      </c>
      <c r="D2693" s="48">
        <v>0</v>
      </c>
      <c r="E2693" s="48" t="s">
        <v>112</v>
      </c>
      <c r="F2693" s="48" t="s">
        <v>72</v>
      </c>
      <c r="G2693" s="48" t="s">
        <v>410</v>
      </c>
      <c r="H2693" s="69">
        <f t="shared" si="42"/>
        <v>43983</v>
      </c>
    </row>
    <row r="2694" spans="1:8" x14ac:dyDescent="0.25">
      <c r="A2694" s="68">
        <v>43984</v>
      </c>
      <c r="B2694" s="48">
        <v>0</v>
      </c>
      <c r="C2694" s="48">
        <v>0</v>
      </c>
      <c r="D2694" s="48">
        <v>0</v>
      </c>
      <c r="E2694" s="48" t="s">
        <v>112</v>
      </c>
      <c r="F2694" s="48" t="s">
        <v>72</v>
      </c>
      <c r="G2694" s="48" t="s">
        <v>365</v>
      </c>
      <c r="H2694" s="69">
        <f t="shared" si="42"/>
        <v>43983</v>
      </c>
    </row>
    <row r="2695" spans="1:8" x14ac:dyDescent="0.25">
      <c r="A2695" s="68">
        <v>43984</v>
      </c>
      <c r="B2695" s="48">
        <v>0</v>
      </c>
      <c r="C2695" s="48">
        <v>0</v>
      </c>
      <c r="D2695" s="48">
        <v>0</v>
      </c>
      <c r="E2695" s="48" t="s">
        <v>112</v>
      </c>
      <c r="F2695" s="48" t="s">
        <v>72</v>
      </c>
      <c r="G2695" s="48" t="s">
        <v>408</v>
      </c>
      <c r="H2695" s="69">
        <f t="shared" si="42"/>
        <v>43983</v>
      </c>
    </row>
    <row r="2696" spans="1:8" x14ac:dyDescent="0.25">
      <c r="A2696" s="68">
        <v>43984</v>
      </c>
      <c r="B2696" s="48">
        <v>0</v>
      </c>
      <c r="C2696" s="48">
        <v>0</v>
      </c>
      <c r="D2696" s="48">
        <v>0</v>
      </c>
      <c r="E2696" s="48" t="s">
        <v>112</v>
      </c>
      <c r="F2696" s="48" t="s">
        <v>72</v>
      </c>
      <c r="G2696" s="48" t="s">
        <v>411</v>
      </c>
      <c r="H2696" s="69">
        <f t="shared" si="42"/>
        <v>43983</v>
      </c>
    </row>
    <row r="2697" spans="1:8" x14ac:dyDescent="0.25">
      <c r="A2697" s="68">
        <v>43984</v>
      </c>
      <c r="B2697" s="48">
        <v>6</v>
      </c>
      <c r="C2697" s="48">
        <v>0</v>
      </c>
      <c r="D2697" s="48">
        <v>6</v>
      </c>
      <c r="E2697" s="48" t="s">
        <v>112</v>
      </c>
      <c r="F2697" s="48" t="s">
        <v>72</v>
      </c>
      <c r="G2697" s="48" t="s">
        <v>351</v>
      </c>
      <c r="H2697" s="69">
        <f t="shared" si="42"/>
        <v>43983</v>
      </c>
    </row>
    <row r="2698" spans="1:8" x14ac:dyDescent="0.25">
      <c r="A2698" s="68">
        <v>43984</v>
      </c>
      <c r="B2698" s="48">
        <v>0</v>
      </c>
      <c r="C2698" s="48">
        <v>0</v>
      </c>
      <c r="D2698" s="48">
        <v>0</v>
      </c>
      <c r="E2698" s="48" t="s">
        <v>112</v>
      </c>
      <c r="F2698" s="48" t="s">
        <v>72</v>
      </c>
      <c r="G2698" s="48" t="s">
        <v>417</v>
      </c>
      <c r="H2698" s="69">
        <f t="shared" si="42"/>
        <v>43983</v>
      </c>
    </row>
    <row r="2699" spans="1:8" x14ac:dyDescent="0.25">
      <c r="A2699" s="68">
        <v>43984</v>
      </c>
      <c r="B2699" s="48">
        <v>0</v>
      </c>
      <c r="C2699" s="48">
        <v>0</v>
      </c>
      <c r="D2699" s="48">
        <v>0</v>
      </c>
      <c r="E2699" s="48" t="s">
        <v>112</v>
      </c>
      <c r="F2699" s="48" t="s">
        <v>72</v>
      </c>
      <c r="G2699" s="48" t="s">
        <v>420</v>
      </c>
      <c r="H2699" s="69">
        <f t="shared" si="42"/>
        <v>43983</v>
      </c>
    </row>
    <row r="2700" spans="1:8" x14ac:dyDescent="0.25">
      <c r="A2700" s="68">
        <v>43984</v>
      </c>
      <c r="B2700" s="48">
        <v>1149</v>
      </c>
      <c r="C2700" s="48">
        <v>23</v>
      </c>
      <c r="D2700" s="48">
        <v>948</v>
      </c>
      <c r="E2700" s="48" t="s">
        <v>112</v>
      </c>
      <c r="F2700" s="48" t="s">
        <v>70</v>
      </c>
      <c r="G2700" s="48" t="s">
        <v>91</v>
      </c>
      <c r="H2700" s="69">
        <f t="shared" si="42"/>
        <v>43983</v>
      </c>
    </row>
    <row r="2701" spans="1:8" x14ac:dyDescent="0.25">
      <c r="A2701" s="68">
        <v>43984</v>
      </c>
      <c r="B2701" s="48">
        <v>47</v>
      </c>
      <c r="C2701" s="48">
        <v>0</v>
      </c>
      <c r="D2701" s="48">
        <v>44</v>
      </c>
      <c r="E2701" s="48" t="s">
        <v>112</v>
      </c>
      <c r="F2701" s="48" t="s">
        <v>70</v>
      </c>
      <c r="G2701" s="48" t="s">
        <v>99</v>
      </c>
      <c r="H2701" s="69">
        <f t="shared" si="42"/>
        <v>43983</v>
      </c>
    </row>
    <row r="2702" spans="1:8" x14ac:dyDescent="0.25">
      <c r="A2702" s="68">
        <v>43984</v>
      </c>
      <c r="B2702" s="48">
        <v>10</v>
      </c>
      <c r="C2702" s="48">
        <v>0</v>
      </c>
      <c r="D2702" s="48">
        <v>0</v>
      </c>
      <c r="E2702" s="48" t="s">
        <v>112</v>
      </c>
      <c r="F2702" s="48" t="s">
        <v>70</v>
      </c>
      <c r="G2702" s="48" t="s">
        <v>363</v>
      </c>
      <c r="H2702" s="69">
        <f t="shared" si="42"/>
        <v>43983</v>
      </c>
    </row>
    <row r="2703" spans="1:8" x14ac:dyDescent="0.25">
      <c r="A2703" s="68">
        <v>43984</v>
      </c>
      <c r="B2703" s="48">
        <v>16</v>
      </c>
      <c r="C2703" s="48">
        <v>0</v>
      </c>
      <c r="D2703" s="48">
        <v>0</v>
      </c>
      <c r="E2703" s="48" t="s">
        <v>112</v>
      </c>
      <c r="F2703" s="48" t="s">
        <v>70</v>
      </c>
      <c r="G2703" s="48" t="s">
        <v>377</v>
      </c>
      <c r="H2703" s="69">
        <f t="shared" si="42"/>
        <v>43983</v>
      </c>
    </row>
    <row r="2704" spans="1:8" x14ac:dyDescent="0.25">
      <c r="A2704" s="68">
        <v>43984</v>
      </c>
      <c r="B2704" s="48">
        <v>17</v>
      </c>
      <c r="C2704" s="48">
        <v>0</v>
      </c>
      <c r="D2704" s="48">
        <v>1</v>
      </c>
      <c r="E2704" s="48" t="s">
        <v>112</v>
      </c>
      <c r="F2704" s="48" t="s">
        <v>70</v>
      </c>
      <c r="G2704" s="48" t="s">
        <v>349</v>
      </c>
      <c r="H2704" s="69">
        <f t="shared" si="42"/>
        <v>43983</v>
      </c>
    </row>
    <row r="2705" spans="1:8" x14ac:dyDescent="0.25">
      <c r="A2705" s="68">
        <v>43984</v>
      </c>
      <c r="B2705" s="48">
        <v>0</v>
      </c>
      <c r="C2705" s="48">
        <v>0</v>
      </c>
      <c r="D2705" s="48">
        <v>0</v>
      </c>
      <c r="E2705" s="48" t="s">
        <v>112</v>
      </c>
      <c r="F2705" s="48" t="s">
        <v>70</v>
      </c>
      <c r="G2705" s="48" t="s">
        <v>385</v>
      </c>
      <c r="H2705" s="69">
        <f t="shared" si="42"/>
        <v>43983</v>
      </c>
    </row>
    <row r="2706" spans="1:8" x14ac:dyDescent="0.25">
      <c r="A2706" s="68">
        <v>43984</v>
      </c>
      <c r="B2706" s="48">
        <v>5</v>
      </c>
      <c r="C2706" s="48">
        <v>0</v>
      </c>
      <c r="D2706" s="48">
        <v>0</v>
      </c>
      <c r="E2706" s="48" t="s">
        <v>112</v>
      </c>
      <c r="F2706" s="48" t="s">
        <v>70</v>
      </c>
      <c r="G2706" s="48" t="s">
        <v>388</v>
      </c>
      <c r="H2706" s="69">
        <f t="shared" si="42"/>
        <v>43983</v>
      </c>
    </row>
    <row r="2707" spans="1:8" x14ac:dyDescent="0.25">
      <c r="A2707" s="68">
        <v>43984</v>
      </c>
      <c r="B2707" s="48">
        <v>2</v>
      </c>
      <c r="C2707" s="48">
        <v>0</v>
      </c>
      <c r="D2707" s="48">
        <v>1</v>
      </c>
      <c r="E2707" s="48" t="s">
        <v>112</v>
      </c>
      <c r="F2707" s="48" t="s">
        <v>70</v>
      </c>
      <c r="G2707" s="48" t="s">
        <v>381</v>
      </c>
      <c r="H2707" s="69">
        <f t="shared" si="42"/>
        <v>43983</v>
      </c>
    </row>
    <row r="2708" spans="1:8" x14ac:dyDescent="0.25">
      <c r="A2708" s="68">
        <v>43984</v>
      </c>
      <c r="B2708" s="48">
        <v>13</v>
      </c>
      <c r="C2708" s="48">
        <v>0</v>
      </c>
      <c r="D2708" s="48">
        <v>0</v>
      </c>
      <c r="E2708" s="48" t="s">
        <v>112</v>
      </c>
      <c r="F2708" s="48" t="s">
        <v>70</v>
      </c>
      <c r="G2708" s="48" t="s">
        <v>374</v>
      </c>
      <c r="H2708" s="69">
        <f t="shared" si="42"/>
        <v>43983</v>
      </c>
    </row>
    <row r="2709" spans="1:8" x14ac:dyDescent="0.25">
      <c r="A2709" s="68">
        <v>43984</v>
      </c>
      <c r="B2709" s="48">
        <v>1</v>
      </c>
      <c r="C2709" s="48">
        <v>0</v>
      </c>
      <c r="D2709" s="48">
        <v>0</v>
      </c>
      <c r="E2709" s="48" t="s">
        <v>112</v>
      </c>
      <c r="F2709" s="48" t="s">
        <v>70</v>
      </c>
      <c r="G2709" s="48" t="s">
        <v>386</v>
      </c>
      <c r="H2709" s="69">
        <f t="shared" si="42"/>
        <v>43983</v>
      </c>
    </row>
    <row r="2710" spans="1:8" x14ac:dyDescent="0.25">
      <c r="A2710" s="68">
        <v>43984</v>
      </c>
      <c r="B2710" s="48">
        <v>0</v>
      </c>
      <c r="C2710" s="48">
        <v>0</v>
      </c>
      <c r="D2710" s="48">
        <v>0</v>
      </c>
      <c r="E2710" s="48" t="s">
        <v>112</v>
      </c>
      <c r="F2710" s="48" t="s">
        <v>70</v>
      </c>
      <c r="G2710" s="48" t="s">
        <v>415</v>
      </c>
      <c r="H2710" s="69">
        <f t="shared" si="42"/>
        <v>43983</v>
      </c>
    </row>
    <row r="2711" spans="1:8" x14ac:dyDescent="0.25">
      <c r="A2711" s="68">
        <v>43984</v>
      </c>
      <c r="B2711" s="48">
        <v>27</v>
      </c>
      <c r="C2711" s="48">
        <v>0</v>
      </c>
      <c r="D2711" s="48">
        <v>9</v>
      </c>
      <c r="E2711" s="48" t="s">
        <v>112</v>
      </c>
      <c r="F2711" s="48" t="s">
        <v>70</v>
      </c>
      <c r="G2711" s="48" t="s">
        <v>105</v>
      </c>
      <c r="H2711" s="69">
        <f t="shared" si="42"/>
        <v>43983</v>
      </c>
    </row>
    <row r="2712" spans="1:8" x14ac:dyDescent="0.25">
      <c r="A2712" s="68">
        <v>43984</v>
      </c>
      <c r="B2712" s="48">
        <v>40</v>
      </c>
      <c r="C2712" s="48">
        <v>0</v>
      </c>
      <c r="D2712" s="48">
        <v>31</v>
      </c>
      <c r="E2712" s="48" t="s">
        <v>112</v>
      </c>
      <c r="F2712" s="48" t="s">
        <v>70</v>
      </c>
      <c r="G2712" s="48" t="s">
        <v>98</v>
      </c>
      <c r="H2712" s="69">
        <f t="shared" si="42"/>
        <v>43983</v>
      </c>
    </row>
    <row r="2713" spans="1:8" x14ac:dyDescent="0.25">
      <c r="A2713" s="68">
        <v>43984</v>
      </c>
      <c r="B2713" s="48">
        <v>33</v>
      </c>
      <c r="C2713" s="48">
        <v>1</v>
      </c>
      <c r="D2713" s="48">
        <v>3</v>
      </c>
      <c r="E2713" s="48" t="s">
        <v>112</v>
      </c>
      <c r="F2713" s="48" t="s">
        <v>70</v>
      </c>
      <c r="G2713" s="48" t="s">
        <v>336</v>
      </c>
      <c r="H2713" s="69">
        <f t="shared" si="42"/>
        <v>43983</v>
      </c>
    </row>
    <row r="2714" spans="1:8" x14ac:dyDescent="0.25">
      <c r="A2714" s="68">
        <v>43984</v>
      </c>
      <c r="B2714" s="48">
        <v>50</v>
      </c>
      <c r="C2714" s="48">
        <v>0</v>
      </c>
      <c r="D2714" s="48">
        <v>7</v>
      </c>
      <c r="E2714" s="48" t="s">
        <v>112</v>
      </c>
      <c r="F2714" s="48" t="s">
        <v>70</v>
      </c>
      <c r="G2714" s="48" t="s">
        <v>104</v>
      </c>
      <c r="H2714" s="69">
        <f t="shared" si="42"/>
        <v>43983</v>
      </c>
    </row>
    <row r="2715" spans="1:8" x14ac:dyDescent="0.25">
      <c r="A2715" s="68">
        <v>43984</v>
      </c>
      <c r="B2715" s="48">
        <v>3</v>
      </c>
      <c r="C2715" s="48">
        <v>0</v>
      </c>
      <c r="D2715" s="48">
        <v>3</v>
      </c>
      <c r="E2715" s="48" t="s">
        <v>112</v>
      </c>
      <c r="F2715" s="48" t="s">
        <v>70</v>
      </c>
      <c r="G2715" s="48" t="s">
        <v>379</v>
      </c>
      <c r="H2715" s="69">
        <f t="shared" si="42"/>
        <v>43983</v>
      </c>
    </row>
    <row r="2716" spans="1:8" x14ac:dyDescent="0.25">
      <c r="A2716" s="68">
        <v>43984</v>
      </c>
      <c r="B2716" s="48">
        <v>6</v>
      </c>
      <c r="C2716" s="48">
        <v>0</v>
      </c>
      <c r="D2716" s="48">
        <v>6</v>
      </c>
      <c r="E2716" s="48" t="s">
        <v>112</v>
      </c>
      <c r="F2716" s="48" t="s">
        <v>70</v>
      </c>
      <c r="G2716" s="48" t="s">
        <v>360</v>
      </c>
      <c r="H2716" s="69">
        <f t="shared" si="42"/>
        <v>43983</v>
      </c>
    </row>
    <row r="2717" spans="1:8" x14ac:dyDescent="0.25">
      <c r="A2717" s="68">
        <v>43984</v>
      </c>
      <c r="B2717" s="48">
        <v>1</v>
      </c>
      <c r="C2717" s="48">
        <v>0</v>
      </c>
      <c r="D2717" s="48">
        <v>0</v>
      </c>
      <c r="E2717" s="48" t="s">
        <v>112</v>
      </c>
      <c r="F2717" s="48" t="s">
        <v>70</v>
      </c>
      <c r="G2717" s="48" t="s">
        <v>407</v>
      </c>
      <c r="H2717" s="69">
        <f t="shared" si="42"/>
        <v>43983</v>
      </c>
    </row>
    <row r="2718" spans="1:8" x14ac:dyDescent="0.25">
      <c r="A2718" s="68">
        <v>43984</v>
      </c>
      <c r="B2718" s="48">
        <v>2</v>
      </c>
      <c r="C2718" s="48">
        <v>0</v>
      </c>
      <c r="D2718" s="48">
        <v>0</v>
      </c>
      <c r="E2718" s="48" t="s">
        <v>112</v>
      </c>
      <c r="F2718" s="48" t="s">
        <v>70</v>
      </c>
      <c r="G2718" s="48" t="s">
        <v>384</v>
      </c>
      <c r="H2718" s="69">
        <f t="shared" si="42"/>
        <v>43983</v>
      </c>
    </row>
    <row r="2719" spans="1:8" x14ac:dyDescent="0.25">
      <c r="A2719" s="68">
        <v>43984</v>
      </c>
      <c r="B2719" s="48">
        <v>0</v>
      </c>
      <c r="C2719" s="48">
        <v>0</v>
      </c>
      <c r="D2719" s="48">
        <v>2</v>
      </c>
      <c r="E2719" s="48" t="s">
        <v>112</v>
      </c>
      <c r="F2719" s="48" t="s">
        <v>70</v>
      </c>
      <c r="G2719" s="48" t="s">
        <v>383</v>
      </c>
      <c r="H2719" s="69">
        <f t="shared" si="42"/>
        <v>43983</v>
      </c>
    </row>
    <row r="2720" spans="1:8" x14ac:dyDescent="0.25">
      <c r="A2720" s="68">
        <v>43984</v>
      </c>
      <c r="B2720" s="48">
        <v>1</v>
      </c>
      <c r="C2720" s="48">
        <v>0</v>
      </c>
      <c r="D2720" s="48">
        <v>0</v>
      </c>
      <c r="E2720" s="48" t="s">
        <v>112</v>
      </c>
      <c r="F2720" s="48" t="s">
        <v>70</v>
      </c>
      <c r="G2720" s="48" t="s">
        <v>414</v>
      </c>
      <c r="H2720" s="69">
        <f t="shared" si="42"/>
        <v>43983</v>
      </c>
    </row>
    <row r="2721" spans="1:8" x14ac:dyDescent="0.25">
      <c r="A2721" s="68">
        <v>43984</v>
      </c>
      <c r="B2721" s="48">
        <v>0</v>
      </c>
      <c r="C2721" s="48">
        <v>0</v>
      </c>
      <c r="D2721" s="48">
        <v>0</v>
      </c>
      <c r="E2721" s="48" t="s">
        <v>112</v>
      </c>
      <c r="F2721" s="48" t="s">
        <v>70</v>
      </c>
      <c r="G2721" s="48" t="s">
        <v>423</v>
      </c>
      <c r="H2721" s="69">
        <f t="shared" si="42"/>
        <v>43983</v>
      </c>
    </row>
    <row r="2722" spans="1:8" x14ac:dyDescent="0.25">
      <c r="A2722" s="68">
        <v>43984</v>
      </c>
      <c r="B2722" s="48">
        <v>6</v>
      </c>
      <c r="C2722" s="48">
        <v>1</v>
      </c>
      <c r="D2722" s="48">
        <v>9</v>
      </c>
      <c r="E2722" s="48" t="s">
        <v>112</v>
      </c>
      <c r="F2722" s="48" t="s">
        <v>70</v>
      </c>
      <c r="G2722" s="48" t="s">
        <v>345</v>
      </c>
      <c r="H2722" s="69">
        <f t="shared" si="42"/>
        <v>43983</v>
      </c>
    </row>
    <row r="2723" spans="1:8" x14ac:dyDescent="0.25">
      <c r="A2723" s="68">
        <v>43984</v>
      </c>
      <c r="B2723" s="48">
        <v>3</v>
      </c>
      <c r="C2723" s="48">
        <v>0</v>
      </c>
      <c r="D2723" s="48">
        <v>4</v>
      </c>
      <c r="E2723" s="48" t="s">
        <v>112</v>
      </c>
      <c r="F2723" s="48" t="s">
        <v>70</v>
      </c>
      <c r="G2723" s="48" t="s">
        <v>367</v>
      </c>
      <c r="H2723" s="69">
        <f t="shared" si="42"/>
        <v>43983</v>
      </c>
    </row>
    <row r="2724" spans="1:8" x14ac:dyDescent="0.25">
      <c r="A2724" s="68">
        <v>43984</v>
      </c>
      <c r="B2724" s="48">
        <v>7</v>
      </c>
      <c r="C2724" s="48">
        <v>0</v>
      </c>
      <c r="D2724" s="48">
        <v>0</v>
      </c>
      <c r="E2724" s="48" t="s">
        <v>112</v>
      </c>
      <c r="F2724" s="48" t="s">
        <v>70</v>
      </c>
      <c r="G2724" s="48" t="s">
        <v>380</v>
      </c>
      <c r="H2724" s="69">
        <f t="shared" si="42"/>
        <v>43983</v>
      </c>
    </row>
    <row r="2725" spans="1:8" x14ac:dyDescent="0.25">
      <c r="A2725" s="68">
        <v>43984</v>
      </c>
      <c r="B2725" s="48">
        <v>13</v>
      </c>
      <c r="C2725" s="48">
        <v>1</v>
      </c>
      <c r="D2725" s="48">
        <v>0</v>
      </c>
      <c r="E2725" s="48" t="s">
        <v>112</v>
      </c>
      <c r="F2725" s="48" t="s">
        <v>76</v>
      </c>
      <c r="G2725" s="48" t="s">
        <v>339</v>
      </c>
      <c r="H2725" s="69">
        <f t="shared" si="42"/>
        <v>43983</v>
      </c>
    </row>
    <row r="2726" spans="1:8" x14ac:dyDescent="0.25">
      <c r="A2726" s="68">
        <v>43984</v>
      </c>
      <c r="B2726" s="48">
        <v>405</v>
      </c>
      <c r="C2726" s="48">
        <v>0</v>
      </c>
      <c r="D2726" s="48">
        <v>168</v>
      </c>
      <c r="E2726" s="48" t="s">
        <v>112</v>
      </c>
      <c r="F2726" s="48" t="s">
        <v>73</v>
      </c>
      <c r="G2726" s="48" t="s">
        <v>93</v>
      </c>
      <c r="H2726" s="69">
        <f t="shared" si="42"/>
        <v>43983</v>
      </c>
    </row>
    <row r="2727" spans="1:8" x14ac:dyDescent="0.25">
      <c r="A2727" s="68">
        <v>43984</v>
      </c>
      <c r="B2727" s="48">
        <v>1639</v>
      </c>
      <c r="C2727" s="48">
        <v>30</v>
      </c>
      <c r="D2727" s="48">
        <v>353</v>
      </c>
      <c r="E2727" s="48" t="s">
        <v>112</v>
      </c>
      <c r="F2727" s="48" t="s">
        <v>71</v>
      </c>
      <c r="G2727" s="48" t="s">
        <v>92</v>
      </c>
      <c r="H2727" s="69">
        <f t="shared" si="42"/>
        <v>43983</v>
      </c>
    </row>
    <row r="2728" spans="1:8" x14ac:dyDescent="0.25">
      <c r="A2728" s="68">
        <v>43985</v>
      </c>
      <c r="B2728" s="48">
        <v>356</v>
      </c>
      <c r="C2728" s="48">
        <v>4</v>
      </c>
      <c r="D2728" s="48">
        <v>119</v>
      </c>
      <c r="E2728" s="48" t="s">
        <v>112</v>
      </c>
      <c r="F2728" s="48" t="s">
        <v>74</v>
      </c>
      <c r="G2728" s="48" t="s">
        <v>95</v>
      </c>
      <c r="H2728" s="69">
        <f t="shared" si="42"/>
        <v>43983</v>
      </c>
    </row>
    <row r="2729" spans="1:8" x14ac:dyDescent="0.25">
      <c r="A2729" s="68">
        <v>43985</v>
      </c>
      <c r="B2729" s="48">
        <v>3</v>
      </c>
      <c r="C2729" s="48">
        <v>0</v>
      </c>
      <c r="D2729" s="48">
        <v>0</v>
      </c>
      <c r="E2729" s="48" t="s">
        <v>112</v>
      </c>
      <c r="F2729" s="48" t="s">
        <v>75</v>
      </c>
      <c r="G2729" s="48" t="s">
        <v>361</v>
      </c>
      <c r="H2729" s="69">
        <f t="shared" si="42"/>
        <v>43983</v>
      </c>
    </row>
    <row r="2730" spans="1:8" x14ac:dyDescent="0.25">
      <c r="A2730" s="68">
        <v>43985</v>
      </c>
      <c r="B2730" s="48">
        <v>7</v>
      </c>
      <c r="C2730" s="48">
        <v>0</v>
      </c>
      <c r="D2730" s="48">
        <v>0</v>
      </c>
      <c r="E2730" s="48" t="s">
        <v>112</v>
      </c>
      <c r="F2730" s="48" t="s">
        <v>75</v>
      </c>
      <c r="G2730" s="48" t="s">
        <v>394</v>
      </c>
      <c r="H2730" s="69">
        <f t="shared" si="42"/>
        <v>43983</v>
      </c>
    </row>
    <row r="2731" spans="1:8" x14ac:dyDescent="0.25">
      <c r="A2731" s="68">
        <v>43985</v>
      </c>
      <c r="B2731" s="48">
        <v>22</v>
      </c>
      <c r="C2731" s="48">
        <v>0</v>
      </c>
      <c r="D2731" s="48">
        <v>0</v>
      </c>
      <c r="E2731" s="48" t="s">
        <v>112</v>
      </c>
      <c r="F2731" s="48" t="s">
        <v>75</v>
      </c>
      <c r="G2731" s="48" t="s">
        <v>103</v>
      </c>
      <c r="H2731" s="69">
        <f t="shared" si="42"/>
        <v>43983</v>
      </c>
    </row>
    <row r="2732" spans="1:8" x14ac:dyDescent="0.25">
      <c r="A2732" s="68">
        <v>43985</v>
      </c>
      <c r="B2732" s="48">
        <v>3</v>
      </c>
      <c r="C2732" s="48">
        <v>0</v>
      </c>
      <c r="D2732" s="48">
        <v>0</v>
      </c>
      <c r="E2732" s="48" t="s">
        <v>112</v>
      </c>
      <c r="F2732" s="48" t="s">
        <v>75</v>
      </c>
      <c r="G2732" s="48" t="s">
        <v>398</v>
      </c>
      <c r="H2732" s="69">
        <f t="shared" si="42"/>
        <v>43983</v>
      </c>
    </row>
    <row r="2733" spans="1:8" x14ac:dyDescent="0.25">
      <c r="A2733" s="68">
        <v>43985</v>
      </c>
      <c r="B2733" s="48">
        <v>11</v>
      </c>
      <c r="C2733" s="48">
        <v>0</v>
      </c>
      <c r="D2733" s="48">
        <v>0</v>
      </c>
      <c r="E2733" s="48" t="s">
        <v>112</v>
      </c>
      <c r="F2733" s="48" t="s">
        <v>75</v>
      </c>
      <c r="G2733" s="48" t="s">
        <v>368</v>
      </c>
      <c r="H2733" s="69">
        <f t="shared" si="42"/>
        <v>43983</v>
      </c>
    </row>
    <row r="2734" spans="1:8" x14ac:dyDescent="0.25">
      <c r="A2734" s="68">
        <v>43985</v>
      </c>
      <c r="B2734" s="48">
        <v>0</v>
      </c>
      <c r="C2734" s="48">
        <v>0</v>
      </c>
      <c r="D2734" s="48">
        <v>3</v>
      </c>
      <c r="E2734" s="48" t="s">
        <v>112</v>
      </c>
      <c r="F2734" s="48" t="s">
        <v>75</v>
      </c>
      <c r="G2734" s="48" t="s">
        <v>373</v>
      </c>
      <c r="H2734" s="69">
        <f t="shared" si="42"/>
        <v>43983</v>
      </c>
    </row>
    <row r="2735" spans="1:8" x14ac:dyDescent="0.25">
      <c r="A2735" s="68">
        <v>43985</v>
      </c>
      <c r="B2735" s="48">
        <v>145</v>
      </c>
      <c r="C2735" s="48">
        <v>6</v>
      </c>
      <c r="D2735" s="48">
        <v>11</v>
      </c>
      <c r="E2735" s="48" t="s">
        <v>112</v>
      </c>
      <c r="F2735" s="48" t="s">
        <v>72</v>
      </c>
      <c r="G2735" s="48" t="s">
        <v>94</v>
      </c>
      <c r="H2735" s="69">
        <f t="shared" si="42"/>
        <v>43983</v>
      </c>
    </row>
    <row r="2736" spans="1:8" x14ac:dyDescent="0.25">
      <c r="A2736" s="68">
        <v>43985</v>
      </c>
      <c r="B2736" s="48">
        <v>6</v>
      </c>
      <c r="C2736" s="48">
        <v>0</v>
      </c>
      <c r="D2736" s="48">
        <v>7</v>
      </c>
      <c r="E2736" s="48" t="s">
        <v>112</v>
      </c>
      <c r="F2736" s="48" t="s">
        <v>72</v>
      </c>
      <c r="G2736" s="48" t="s">
        <v>341</v>
      </c>
      <c r="H2736" s="69">
        <f t="shared" si="42"/>
        <v>43983</v>
      </c>
    </row>
    <row r="2737" spans="1:8" x14ac:dyDescent="0.25">
      <c r="A2737" s="68">
        <v>43985</v>
      </c>
      <c r="B2737" s="48">
        <v>24</v>
      </c>
      <c r="C2737" s="48">
        <v>2</v>
      </c>
      <c r="D2737" s="48">
        <v>9</v>
      </c>
      <c r="E2737" s="48" t="s">
        <v>112</v>
      </c>
      <c r="F2737" s="48" t="s">
        <v>72</v>
      </c>
      <c r="G2737" s="48" t="s">
        <v>338</v>
      </c>
      <c r="H2737" s="69">
        <f t="shared" si="42"/>
        <v>43983</v>
      </c>
    </row>
    <row r="2738" spans="1:8" x14ac:dyDescent="0.25">
      <c r="A2738" s="68">
        <v>43985</v>
      </c>
      <c r="B2738" s="48">
        <v>23</v>
      </c>
      <c r="C2738" s="48">
        <v>1</v>
      </c>
      <c r="D2738" s="48">
        <v>6</v>
      </c>
      <c r="E2738" s="48" t="s">
        <v>112</v>
      </c>
      <c r="F2738" s="48" t="s">
        <v>72</v>
      </c>
      <c r="G2738" s="48" t="s">
        <v>343</v>
      </c>
      <c r="H2738" s="69">
        <f t="shared" si="42"/>
        <v>43983</v>
      </c>
    </row>
    <row r="2739" spans="1:8" x14ac:dyDescent="0.25">
      <c r="A2739" s="68">
        <v>43985</v>
      </c>
      <c r="B2739" s="48">
        <v>0</v>
      </c>
      <c r="C2739" s="48">
        <v>0</v>
      </c>
      <c r="D2739" s="48">
        <v>0</v>
      </c>
      <c r="E2739" s="48" t="s">
        <v>112</v>
      </c>
      <c r="F2739" s="48" t="s">
        <v>72</v>
      </c>
      <c r="G2739" s="48" t="s">
        <v>400</v>
      </c>
      <c r="H2739" s="69">
        <f t="shared" si="42"/>
        <v>43983</v>
      </c>
    </row>
    <row r="2740" spans="1:8" x14ac:dyDescent="0.25">
      <c r="A2740" s="68">
        <v>43985</v>
      </c>
      <c r="B2740" s="48">
        <v>11</v>
      </c>
      <c r="C2740" s="48">
        <v>0</v>
      </c>
      <c r="D2740" s="48">
        <v>3</v>
      </c>
      <c r="E2740" s="48" t="s">
        <v>112</v>
      </c>
      <c r="F2740" s="48" t="s">
        <v>72</v>
      </c>
      <c r="G2740" s="48" t="s">
        <v>102</v>
      </c>
      <c r="H2740" s="69">
        <f t="shared" si="42"/>
        <v>43983</v>
      </c>
    </row>
    <row r="2741" spans="1:8" x14ac:dyDescent="0.25">
      <c r="A2741" s="68">
        <v>43985</v>
      </c>
      <c r="B2741" s="48">
        <v>8</v>
      </c>
      <c r="C2741" s="48">
        <v>0</v>
      </c>
      <c r="D2741" s="48">
        <v>0</v>
      </c>
      <c r="E2741" s="48" t="s">
        <v>112</v>
      </c>
      <c r="F2741" s="48" t="s">
        <v>72</v>
      </c>
      <c r="G2741" s="48" t="s">
        <v>355</v>
      </c>
      <c r="H2741" s="69">
        <f t="shared" si="42"/>
        <v>43983</v>
      </c>
    </row>
    <row r="2742" spans="1:8" x14ac:dyDescent="0.25">
      <c r="A2742" s="68">
        <v>43985</v>
      </c>
      <c r="B2742" s="48">
        <v>53</v>
      </c>
      <c r="C2742" s="48">
        <v>0</v>
      </c>
      <c r="D2742" s="48">
        <v>8</v>
      </c>
      <c r="E2742" s="48" t="s">
        <v>112</v>
      </c>
      <c r="F2742" s="48" t="s">
        <v>72</v>
      </c>
      <c r="G2742" s="48" t="s">
        <v>96</v>
      </c>
      <c r="H2742" s="69">
        <f t="shared" si="42"/>
        <v>43983</v>
      </c>
    </row>
    <row r="2743" spans="1:8" x14ac:dyDescent="0.25">
      <c r="A2743" s="68">
        <v>43985</v>
      </c>
      <c r="B2743" s="48">
        <v>7</v>
      </c>
      <c r="C2743" s="48">
        <v>0</v>
      </c>
      <c r="D2743" s="48">
        <v>1</v>
      </c>
      <c r="E2743" s="48" t="s">
        <v>112</v>
      </c>
      <c r="F2743" s="48" t="s">
        <v>72</v>
      </c>
      <c r="G2743" s="48" t="s">
        <v>347</v>
      </c>
      <c r="H2743" s="69">
        <f t="shared" si="42"/>
        <v>43983</v>
      </c>
    </row>
    <row r="2744" spans="1:8" x14ac:dyDescent="0.25">
      <c r="A2744" s="68">
        <v>43985</v>
      </c>
      <c r="B2744" s="48">
        <v>2</v>
      </c>
      <c r="C2744" s="48">
        <v>0</v>
      </c>
      <c r="D2744" s="48">
        <v>0</v>
      </c>
      <c r="E2744" s="48" t="s">
        <v>112</v>
      </c>
      <c r="F2744" s="48" t="s">
        <v>72</v>
      </c>
      <c r="G2744" s="48" t="s">
        <v>335</v>
      </c>
      <c r="H2744" s="69">
        <f t="shared" si="42"/>
        <v>43983</v>
      </c>
    </row>
    <row r="2745" spans="1:8" x14ac:dyDescent="0.25">
      <c r="A2745" s="68">
        <v>43985</v>
      </c>
      <c r="B2745" s="48">
        <v>44</v>
      </c>
      <c r="C2745" s="48">
        <v>0</v>
      </c>
      <c r="D2745" s="48">
        <v>3</v>
      </c>
      <c r="E2745" s="48" t="s">
        <v>112</v>
      </c>
      <c r="F2745" s="48" t="s">
        <v>72</v>
      </c>
      <c r="G2745" s="48" t="s">
        <v>342</v>
      </c>
      <c r="H2745" s="69">
        <f t="shared" si="42"/>
        <v>43983</v>
      </c>
    </row>
    <row r="2746" spans="1:8" x14ac:dyDescent="0.25">
      <c r="A2746" s="68">
        <v>43985</v>
      </c>
      <c r="B2746" s="48">
        <v>0</v>
      </c>
      <c r="C2746" s="48">
        <v>0</v>
      </c>
      <c r="D2746" s="48">
        <v>0</v>
      </c>
      <c r="E2746" s="48" t="s">
        <v>112</v>
      </c>
      <c r="F2746" s="48" t="s">
        <v>72</v>
      </c>
      <c r="G2746" s="48" t="s">
        <v>353</v>
      </c>
      <c r="H2746" s="69">
        <f t="shared" si="42"/>
        <v>43983</v>
      </c>
    </row>
    <row r="2747" spans="1:8" x14ac:dyDescent="0.25">
      <c r="A2747" s="68">
        <v>43985</v>
      </c>
      <c r="B2747" s="48">
        <v>33</v>
      </c>
      <c r="C2747" s="48">
        <v>0</v>
      </c>
      <c r="D2747" s="48">
        <v>6</v>
      </c>
      <c r="E2747" s="48" t="s">
        <v>112</v>
      </c>
      <c r="F2747" s="48" t="s">
        <v>72</v>
      </c>
      <c r="G2747" s="48" t="s">
        <v>101</v>
      </c>
      <c r="H2747" s="69">
        <f t="shared" si="42"/>
        <v>43983</v>
      </c>
    </row>
    <row r="2748" spans="1:8" x14ac:dyDescent="0.25">
      <c r="A2748" s="68">
        <v>43985</v>
      </c>
      <c r="B2748" s="48">
        <v>2</v>
      </c>
      <c r="C2748" s="48">
        <v>0</v>
      </c>
      <c r="D2748" s="48">
        <v>1</v>
      </c>
      <c r="E2748" s="48" t="s">
        <v>112</v>
      </c>
      <c r="F2748" s="48" t="s">
        <v>72</v>
      </c>
      <c r="G2748" s="48" t="s">
        <v>387</v>
      </c>
      <c r="H2748" s="69">
        <f t="shared" si="42"/>
        <v>43983</v>
      </c>
    </row>
    <row r="2749" spans="1:8" x14ac:dyDescent="0.25">
      <c r="A2749" s="68">
        <v>43985</v>
      </c>
      <c r="B2749" s="48">
        <v>5</v>
      </c>
      <c r="C2749" s="48">
        <v>0</v>
      </c>
      <c r="D2749" s="48">
        <v>2</v>
      </c>
      <c r="E2749" s="48" t="s">
        <v>112</v>
      </c>
      <c r="F2749" s="48" t="s">
        <v>72</v>
      </c>
      <c r="G2749" s="48" t="s">
        <v>406</v>
      </c>
      <c r="H2749" s="69">
        <f t="shared" si="42"/>
        <v>43983</v>
      </c>
    </row>
    <row r="2750" spans="1:8" x14ac:dyDescent="0.25">
      <c r="A2750" s="68">
        <v>43985</v>
      </c>
      <c r="B2750" s="48">
        <v>24</v>
      </c>
      <c r="C2750" s="48">
        <v>0</v>
      </c>
      <c r="D2750" s="48">
        <v>0</v>
      </c>
      <c r="E2750" s="48" t="s">
        <v>112</v>
      </c>
      <c r="F2750" s="48" t="s">
        <v>72</v>
      </c>
      <c r="G2750" s="48" t="s">
        <v>344</v>
      </c>
      <c r="H2750" s="69">
        <f t="shared" si="42"/>
        <v>43983</v>
      </c>
    </row>
    <row r="2751" spans="1:8" x14ac:dyDescent="0.25">
      <c r="A2751" s="68">
        <v>43985</v>
      </c>
      <c r="B2751" s="48">
        <v>0</v>
      </c>
      <c r="C2751" s="48">
        <v>0</v>
      </c>
      <c r="D2751" s="48">
        <v>0</v>
      </c>
      <c r="E2751" s="48" t="s">
        <v>112</v>
      </c>
      <c r="F2751" s="48" t="s">
        <v>72</v>
      </c>
      <c r="G2751" s="48" t="s">
        <v>354</v>
      </c>
      <c r="H2751" s="69">
        <f t="shared" si="42"/>
        <v>43983</v>
      </c>
    </row>
    <row r="2752" spans="1:8" x14ac:dyDescent="0.25">
      <c r="A2752" s="68">
        <v>43985</v>
      </c>
      <c r="B2752" s="48">
        <v>7</v>
      </c>
      <c r="C2752" s="48">
        <v>1</v>
      </c>
      <c r="D2752" s="48">
        <v>0</v>
      </c>
      <c r="E2752" s="48" t="s">
        <v>112</v>
      </c>
      <c r="F2752" s="48" t="s">
        <v>72</v>
      </c>
      <c r="G2752" s="48" t="s">
        <v>337</v>
      </c>
      <c r="H2752" s="69">
        <f t="shared" si="42"/>
        <v>43983</v>
      </c>
    </row>
    <row r="2753" spans="1:8" x14ac:dyDescent="0.25">
      <c r="A2753" s="68">
        <v>43985</v>
      </c>
      <c r="B2753" s="48">
        <v>19</v>
      </c>
      <c r="C2753" s="48">
        <v>0</v>
      </c>
      <c r="D2753" s="48">
        <v>0</v>
      </c>
      <c r="E2753" s="48" t="s">
        <v>112</v>
      </c>
      <c r="F2753" s="48" t="s">
        <v>72</v>
      </c>
      <c r="G2753" s="48" t="s">
        <v>356</v>
      </c>
      <c r="H2753" s="69">
        <f t="shared" si="42"/>
        <v>43983</v>
      </c>
    </row>
    <row r="2754" spans="1:8" x14ac:dyDescent="0.25">
      <c r="A2754" s="68">
        <v>43985</v>
      </c>
      <c r="B2754" s="48">
        <v>0</v>
      </c>
      <c r="C2754" s="48">
        <v>0</v>
      </c>
      <c r="D2754" s="48">
        <v>0</v>
      </c>
      <c r="E2754" s="48" t="s">
        <v>112</v>
      </c>
      <c r="F2754" s="48" t="s">
        <v>72</v>
      </c>
      <c r="G2754" s="48" t="s">
        <v>429</v>
      </c>
      <c r="H2754" s="69">
        <f t="shared" ref="H2754:H2797" si="43">DATE(YEAR(A2754),MONTH(A2754),1)</f>
        <v>43983</v>
      </c>
    </row>
    <row r="2755" spans="1:8" x14ac:dyDescent="0.25">
      <c r="A2755" s="68">
        <v>43985</v>
      </c>
      <c r="B2755" s="48">
        <v>0</v>
      </c>
      <c r="C2755" s="48">
        <v>0</v>
      </c>
      <c r="D2755" s="48">
        <v>0</v>
      </c>
      <c r="E2755" s="48" t="s">
        <v>112</v>
      </c>
      <c r="F2755" s="48" t="s">
        <v>72</v>
      </c>
      <c r="G2755" s="48" t="s">
        <v>431</v>
      </c>
      <c r="H2755" s="69">
        <f t="shared" si="43"/>
        <v>43983</v>
      </c>
    </row>
    <row r="2756" spans="1:8" x14ac:dyDescent="0.25">
      <c r="A2756" s="68">
        <v>43985</v>
      </c>
      <c r="B2756" s="48">
        <v>0</v>
      </c>
      <c r="C2756" s="48">
        <v>0</v>
      </c>
      <c r="D2756" s="48">
        <v>0</v>
      </c>
      <c r="E2756" s="48" t="s">
        <v>112</v>
      </c>
      <c r="F2756" s="48" t="s">
        <v>72</v>
      </c>
      <c r="G2756" s="48" t="s">
        <v>426</v>
      </c>
      <c r="H2756" s="69">
        <f t="shared" si="43"/>
        <v>43983</v>
      </c>
    </row>
    <row r="2757" spans="1:8" x14ac:dyDescent="0.25">
      <c r="A2757" s="68">
        <v>43985</v>
      </c>
      <c r="B2757" s="48">
        <v>0</v>
      </c>
      <c r="C2757" s="48">
        <v>0</v>
      </c>
      <c r="D2757" s="48">
        <v>0</v>
      </c>
      <c r="E2757" s="48" t="s">
        <v>112</v>
      </c>
      <c r="F2757" s="48" t="s">
        <v>72</v>
      </c>
      <c r="G2757" s="48" t="s">
        <v>436</v>
      </c>
      <c r="H2757" s="69">
        <f t="shared" si="43"/>
        <v>43983</v>
      </c>
    </row>
    <row r="2758" spans="1:8" x14ac:dyDescent="0.25">
      <c r="A2758" s="68">
        <v>43985</v>
      </c>
      <c r="B2758" s="48">
        <v>17</v>
      </c>
      <c r="C2758" s="48">
        <v>0</v>
      </c>
      <c r="D2758" s="48">
        <v>1</v>
      </c>
      <c r="E2758" s="48" t="s">
        <v>112</v>
      </c>
      <c r="F2758" s="48" t="s">
        <v>72</v>
      </c>
      <c r="G2758" s="48" t="s">
        <v>357</v>
      </c>
      <c r="H2758" s="69">
        <f t="shared" si="43"/>
        <v>43983</v>
      </c>
    </row>
    <row r="2759" spans="1:8" x14ac:dyDescent="0.25">
      <c r="A2759" s="68">
        <v>43985</v>
      </c>
      <c r="B2759" s="48">
        <v>1</v>
      </c>
      <c r="C2759" s="48">
        <v>0</v>
      </c>
      <c r="D2759" s="48">
        <v>0</v>
      </c>
      <c r="E2759" s="48" t="s">
        <v>112</v>
      </c>
      <c r="F2759" s="48" t="s">
        <v>72</v>
      </c>
      <c r="G2759" s="48" t="s">
        <v>358</v>
      </c>
      <c r="H2759" s="69">
        <f t="shared" si="43"/>
        <v>43983</v>
      </c>
    </row>
    <row r="2760" spans="1:8" x14ac:dyDescent="0.25">
      <c r="A2760" s="68">
        <v>43985</v>
      </c>
      <c r="B2760" s="48">
        <v>0</v>
      </c>
      <c r="C2760" s="48">
        <v>0</v>
      </c>
      <c r="D2760" s="48">
        <v>0</v>
      </c>
      <c r="E2760" s="48" t="s">
        <v>112</v>
      </c>
      <c r="F2760" s="48" t="s">
        <v>72</v>
      </c>
      <c r="G2760" s="48" t="s">
        <v>399</v>
      </c>
      <c r="H2760" s="69">
        <f t="shared" si="43"/>
        <v>43983</v>
      </c>
    </row>
    <row r="2761" spans="1:8" x14ac:dyDescent="0.25">
      <c r="A2761" s="68">
        <v>43985</v>
      </c>
      <c r="B2761" s="48">
        <v>0</v>
      </c>
      <c r="C2761" s="48">
        <v>0</v>
      </c>
      <c r="D2761" s="48">
        <v>0</v>
      </c>
      <c r="E2761" s="48" t="s">
        <v>112</v>
      </c>
      <c r="F2761" s="48" t="s">
        <v>72</v>
      </c>
      <c r="G2761" s="48" t="s">
        <v>352</v>
      </c>
      <c r="H2761" s="69">
        <f t="shared" si="43"/>
        <v>43983</v>
      </c>
    </row>
    <row r="2762" spans="1:8" x14ac:dyDescent="0.25">
      <c r="A2762" s="68">
        <v>43985</v>
      </c>
      <c r="B2762" s="48">
        <v>23</v>
      </c>
      <c r="C2762" s="48">
        <v>0</v>
      </c>
      <c r="D2762" s="48">
        <v>2</v>
      </c>
      <c r="E2762" s="48" t="s">
        <v>112</v>
      </c>
      <c r="F2762" s="48" t="s">
        <v>72</v>
      </c>
      <c r="G2762" s="48" t="s">
        <v>359</v>
      </c>
      <c r="H2762" s="69">
        <f t="shared" si="43"/>
        <v>43983</v>
      </c>
    </row>
    <row r="2763" spans="1:8" x14ac:dyDescent="0.25">
      <c r="A2763" s="68">
        <v>43985</v>
      </c>
      <c r="B2763" s="48">
        <v>0</v>
      </c>
      <c r="C2763" s="48">
        <v>0</v>
      </c>
      <c r="D2763" s="48">
        <v>0</v>
      </c>
      <c r="E2763" s="48" t="s">
        <v>112</v>
      </c>
      <c r="F2763" s="48" t="s">
        <v>72</v>
      </c>
      <c r="G2763" s="48" t="s">
        <v>410</v>
      </c>
      <c r="H2763" s="69">
        <f t="shared" si="43"/>
        <v>43983</v>
      </c>
    </row>
    <row r="2764" spans="1:8" x14ac:dyDescent="0.25">
      <c r="A2764" s="68">
        <v>43985</v>
      </c>
      <c r="B2764" s="48">
        <v>0</v>
      </c>
      <c r="C2764" s="48">
        <v>0</v>
      </c>
      <c r="D2764" s="48">
        <v>0</v>
      </c>
      <c r="E2764" s="48" t="s">
        <v>112</v>
      </c>
      <c r="F2764" s="48" t="s">
        <v>72</v>
      </c>
      <c r="G2764" s="48" t="s">
        <v>365</v>
      </c>
      <c r="H2764" s="69">
        <f t="shared" si="43"/>
        <v>43983</v>
      </c>
    </row>
    <row r="2765" spans="1:8" x14ac:dyDescent="0.25">
      <c r="A2765" s="68">
        <v>43985</v>
      </c>
      <c r="B2765" s="48">
        <v>0</v>
      </c>
      <c r="C2765" s="48">
        <v>0</v>
      </c>
      <c r="D2765" s="48">
        <v>1</v>
      </c>
      <c r="E2765" s="48" t="s">
        <v>112</v>
      </c>
      <c r="F2765" s="48" t="s">
        <v>72</v>
      </c>
      <c r="G2765" s="48" t="s">
        <v>408</v>
      </c>
      <c r="H2765" s="69">
        <f t="shared" si="43"/>
        <v>43983</v>
      </c>
    </row>
    <row r="2766" spans="1:8" x14ac:dyDescent="0.25">
      <c r="A2766" s="68">
        <v>43985</v>
      </c>
      <c r="B2766" s="48">
        <v>0</v>
      </c>
      <c r="C2766" s="48">
        <v>0</v>
      </c>
      <c r="D2766" s="48">
        <v>0</v>
      </c>
      <c r="E2766" s="48" t="s">
        <v>112</v>
      </c>
      <c r="F2766" s="48" t="s">
        <v>72</v>
      </c>
      <c r="G2766" s="48" t="s">
        <v>411</v>
      </c>
      <c r="H2766" s="69">
        <f t="shared" si="43"/>
        <v>43983</v>
      </c>
    </row>
    <row r="2767" spans="1:8" x14ac:dyDescent="0.25">
      <c r="A2767" s="68">
        <v>43985</v>
      </c>
      <c r="B2767" s="48">
        <v>6</v>
      </c>
      <c r="C2767" s="48">
        <v>0</v>
      </c>
      <c r="D2767" s="48">
        <v>4</v>
      </c>
      <c r="E2767" s="48" t="s">
        <v>112</v>
      </c>
      <c r="F2767" s="48" t="s">
        <v>72</v>
      </c>
      <c r="G2767" s="48" t="s">
        <v>351</v>
      </c>
      <c r="H2767" s="69">
        <f t="shared" si="43"/>
        <v>43983</v>
      </c>
    </row>
    <row r="2768" spans="1:8" x14ac:dyDescent="0.25">
      <c r="A2768" s="68">
        <v>43985</v>
      </c>
      <c r="B2768" s="48">
        <v>0</v>
      </c>
      <c r="C2768" s="48">
        <v>0</v>
      </c>
      <c r="D2768" s="48">
        <v>0</v>
      </c>
      <c r="E2768" s="48" t="s">
        <v>112</v>
      </c>
      <c r="F2768" s="48" t="s">
        <v>72</v>
      </c>
      <c r="G2768" s="48" t="s">
        <v>417</v>
      </c>
      <c r="H2768" s="69">
        <f t="shared" si="43"/>
        <v>43983</v>
      </c>
    </row>
    <row r="2769" spans="1:8" x14ac:dyDescent="0.25">
      <c r="A2769" s="68">
        <v>43985</v>
      </c>
      <c r="B2769" s="48">
        <v>4</v>
      </c>
      <c r="C2769" s="48">
        <v>0</v>
      </c>
      <c r="D2769" s="48">
        <v>0</v>
      </c>
      <c r="E2769" s="48" t="s">
        <v>112</v>
      </c>
      <c r="F2769" s="48" t="s">
        <v>72</v>
      </c>
      <c r="G2769" s="48" t="s">
        <v>420</v>
      </c>
      <c r="H2769" s="69">
        <f t="shared" si="43"/>
        <v>43983</v>
      </c>
    </row>
    <row r="2770" spans="1:8" x14ac:dyDescent="0.25">
      <c r="A2770" s="68">
        <v>43985</v>
      </c>
      <c r="B2770" s="48">
        <v>1487</v>
      </c>
      <c r="C2770" s="48">
        <v>27</v>
      </c>
      <c r="D2770" s="48">
        <v>364</v>
      </c>
      <c r="E2770" s="48" t="s">
        <v>112</v>
      </c>
      <c r="F2770" s="48" t="s">
        <v>70</v>
      </c>
      <c r="G2770" s="48" t="s">
        <v>91</v>
      </c>
      <c r="H2770" s="69">
        <f t="shared" si="43"/>
        <v>43983</v>
      </c>
    </row>
    <row r="2771" spans="1:8" x14ac:dyDescent="0.25">
      <c r="A2771" s="68">
        <v>43985</v>
      </c>
      <c r="B2771" s="48">
        <v>73</v>
      </c>
      <c r="C2771" s="48">
        <v>0</v>
      </c>
      <c r="D2771" s="48">
        <v>44</v>
      </c>
      <c r="E2771" s="48" t="s">
        <v>112</v>
      </c>
      <c r="F2771" s="48" t="s">
        <v>70</v>
      </c>
      <c r="G2771" s="48" t="s">
        <v>99</v>
      </c>
      <c r="H2771" s="69">
        <f t="shared" si="43"/>
        <v>43983</v>
      </c>
    </row>
    <row r="2772" spans="1:8" x14ac:dyDescent="0.25">
      <c r="A2772" s="68">
        <v>43985</v>
      </c>
      <c r="B2772" s="48">
        <v>13</v>
      </c>
      <c r="C2772" s="48">
        <v>0</v>
      </c>
      <c r="D2772" s="48">
        <v>0</v>
      </c>
      <c r="E2772" s="48" t="s">
        <v>112</v>
      </c>
      <c r="F2772" s="48" t="s">
        <v>70</v>
      </c>
      <c r="G2772" s="48" t="s">
        <v>363</v>
      </c>
      <c r="H2772" s="69">
        <f t="shared" si="43"/>
        <v>43983</v>
      </c>
    </row>
    <row r="2773" spans="1:8" x14ac:dyDescent="0.25">
      <c r="A2773" s="68">
        <v>43985</v>
      </c>
      <c r="B2773" s="48">
        <v>4</v>
      </c>
      <c r="C2773" s="48">
        <v>0</v>
      </c>
      <c r="D2773" s="48">
        <v>0</v>
      </c>
      <c r="E2773" s="48" t="s">
        <v>112</v>
      </c>
      <c r="F2773" s="48" t="s">
        <v>70</v>
      </c>
      <c r="G2773" s="48" t="s">
        <v>377</v>
      </c>
      <c r="H2773" s="69">
        <f t="shared" si="43"/>
        <v>43983</v>
      </c>
    </row>
    <row r="2774" spans="1:8" x14ac:dyDescent="0.25">
      <c r="A2774" s="68">
        <v>43985</v>
      </c>
      <c r="B2774" s="48">
        <v>4</v>
      </c>
      <c r="C2774" s="48">
        <v>0</v>
      </c>
      <c r="D2774" s="48">
        <v>1</v>
      </c>
      <c r="E2774" s="48" t="s">
        <v>112</v>
      </c>
      <c r="F2774" s="48" t="s">
        <v>70</v>
      </c>
      <c r="G2774" s="48" t="s">
        <v>349</v>
      </c>
      <c r="H2774" s="69">
        <f t="shared" si="43"/>
        <v>43983</v>
      </c>
    </row>
    <row r="2775" spans="1:8" x14ac:dyDescent="0.25">
      <c r="A2775" s="68">
        <v>43985</v>
      </c>
      <c r="B2775" s="48">
        <v>0</v>
      </c>
      <c r="C2775" s="48">
        <v>0</v>
      </c>
      <c r="D2775" s="48">
        <v>0</v>
      </c>
      <c r="E2775" s="48" t="s">
        <v>112</v>
      </c>
      <c r="F2775" s="48" t="s">
        <v>70</v>
      </c>
      <c r="G2775" s="48" t="s">
        <v>385</v>
      </c>
      <c r="H2775" s="69">
        <f t="shared" si="43"/>
        <v>43983</v>
      </c>
    </row>
    <row r="2776" spans="1:8" x14ac:dyDescent="0.25">
      <c r="A2776" s="68">
        <v>43985</v>
      </c>
      <c r="B2776" s="48">
        <v>8</v>
      </c>
      <c r="C2776" s="48">
        <v>0</v>
      </c>
      <c r="D2776" s="48">
        <v>0</v>
      </c>
      <c r="E2776" s="48" t="s">
        <v>112</v>
      </c>
      <c r="F2776" s="48" t="s">
        <v>70</v>
      </c>
      <c r="G2776" s="48" t="s">
        <v>388</v>
      </c>
      <c r="H2776" s="69">
        <f t="shared" si="43"/>
        <v>43983</v>
      </c>
    </row>
    <row r="2777" spans="1:8" x14ac:dyDescent="0.25">
      <c r="A2777" s="68">
        <v>43985</v>
      </c>
      <c r="B2777" s="48">
        <v>0</v>
      </c>
      <c r="C2777" s="48">
        <v>0</v>
      </c>
      <c r="D2777" s="48">
        <v>1</v>
      </c>
      <c r="E2777" s="48" t="s">
        <v>112</v>
      </c>
      <c r="F2777" s="48" t="s">
        <v>70</v>
      </c>
      <c r="G2777" s="48" t="s">
        <v>381</v>
      </c>
      <c r="H2777" s="69">
        <f t="shared" si="43"/>
        <v>43983</v>
      </c>
    </row>
    <row r="2778" spans="1:8" x14ac:dyDescent="0.25">
      <c r="A2778" s="68">
        <v>43985</v>
      </c>
      <c r="B2778" s="48">
        <v>3</v>
      </c>
      <c r="C2778" s="48">
        <v>0</v>
      </c>
      <c r="D2778" s="48">
        <v>0</v>
      </c>
      <c r="E2778" s="48" t="s">
        <v>112</v>
      </c>
      <c r="F2778" s="48" t="s">
        <v>70</v>
      </c>
      <c r="G2778" s="48" t="s">
        <v>374</v>
      </c>
      <c r="H2778" s="69">
        <f t="shared" si="43"/>
        <v>43983</v>
      </c>
    </row>
    <row r="2779" spans="1:8" x14ac:dyDescent="0.25">
      <c r="A2779" s="68">
        <v>43985</v>
      </c>
      <c r="B2779" s="48">
        <v>0</v>
      </c>
      <c r="C2779" s="48">
        <v>0</v>
      </c>
      <c r="D2779" s="48">
        <v>0</v>
      </c>
      <c r="E2779" s="48" t="s">
        <v>112</v>
      </c>
      <c r="F2779" s="48" t="s">
        <v>70</v>
      </c>
      <c r="G2779" s="48" t="s">
        <v>386</v>
      </c>
      <c r="H2779" s="69">
        <f t="shared" si="43"/>
        <v>43983</v>
      </c>
    </row>
    <row r="2780" spans="1:8" x14ac:dyDescent="0.25">
      <c r="A2780" s="68">
        <v>43985</v>
      </c>
      <c r="B2780" s="48">
        <v>0</v>
      </c>
      <c r="C2780" s="48">
        <v>0</v>
      </c>
      <c r="D2780" s="48">
        <v>0</v>
      </c>
      <c r="E2780" s="48" t="s">
        <v>112</v>
      </c>
      <c r="F2780" s="48" t="s">
        <v>70</v>
      </c>
      <c r="G2780" s="48" t="s">
        <v>415</v>
      </c>
      <c r="H2780" s="69">
        <f t="shared" si="43"/>
        <v>43983</v>
      </c>
    </row>
    <row r="2781" spans="1:8" x14ac:dyDescent="0.25">
      <c r="A2781" s="68">
        <v>43985</v>
      </c>
      <c r="B2781" s="48">
        <v>36</v>
      </c>
      <c r="C2781" s="48">
        <v>0</v>
      </c>
      <c r="D2781" s="48">
        <v>9</v>
      </c>
      <c r="E2781" s="48" t="s">
        <v>112</v>
      </c>
      <c r="F2781" s="48" t="s">
        <v>70</v>
      </c>
      <c r="G2781" s="48" t="s">
        <v>105</v>
      </c>
      <c r="H2781" s="69">
        <f t="shared" si="43"/>
        <v>43983</v>
      </c>
    </row>
    <row r="2782" spans="1:8" x14ac:dyDescent="0.25">
      <c r="A2782" s="68">
        <v>43985</v>
      </c>
      <c r="B2782" s="48">
        <v>62</v>
      </c>
      <c r="C2782" s="48">
        <v>0</v>
      </c>
      <c r="D2782" s="48">
        <v>31</v>
      </c>
      <c r="E2782" s="48" t="s">
        <v>112</v>
      </c>
      <c r="F2782" s="48" t="s">
        <v>70</v>
      </c>
      <c r="G2782" s="48" t="s">
        <v>98</v>
      </c>
      <c r="H2782" s="69">
        <f t="shared" si="43"/>
        <v>43983</v>
      </c>
    </row>
    <row r="2783" spans="1:8" x14ac:dyDescent="0.25">
      <c r="A2783" s="68">
        <v>43985</v>
      </c>
      <c r="B2783" s="48">
        <v>9</v>
      </c>
      <c r="C2783" s="48">
        <v>1</v>
      </c>
      <c r="D2783" s="48">
        <v>3</v>
      </c>
      <c r="E2783" s="48" t="s">
        <v>112</v>
      </c>
      <c r="F2783" s="48" t="s">
        <v>70</v>
      </c>
      <c r="G2783" s="48" t="s">
        <v>336</v>
      </c>
      <c r="H2783" s="69">
        <f t="shared" si="43"/>
        <v>43983</v>
      </c>
    </row>
    <row r="2784" spans="1:8" x14ac:dyDescent="0.25">
      <c r="A2784" s="68">
        <v>43985</v>
      </c>
      <c r="B2784" s="48">
        <v>49</v>
      </c>
      <c r="C2784" s="48">
        <v>0</v>
      </c>
      <c r="D2784" s="48">
        <v>7</v>
      </c>
      <c r="E2784" s="48" t="s">
        <v>112</v>
      </c>
      <c r="F2784" s="48" t="s">
        <v>70</v>
      </c>
      <c r="G2784" s="48" t="s">
        <v>104</v>
      </c>
      <c r="H2784" s="69">
        <f t="shared" si="43"/>
        <v>43983</v>
      </c>
    </row>
    <row r="2785" spans="1:8" x14ac:dyDescent="0.25">
      <c r="A2785" s="68">
        <v>43985</v>
      </c>
      <c r="B2785" s="48">
        <v>9</v>
      </c>
      <c r="C2785" s="48">
        <v>0</v>
      </c>
      <c r="D2785" s="48">
        <v>3</v>
      </c>
      <c r="E2785" s="48" t="s">
        <v>112</v>
      </c>
      <c r="F2785" s="48" t="s">
        <v>70</v>
      </c>
      <c r="G2785" s="48" t="s">
        <v>379</v>
      </c>
      <c r="H2785" s="69">
        <f t="shared" si="43"/>
        <v>43983</v>
      </c>
    </row>
    <row r="2786" spans="1:8" x14ac:dyDescent="0.25">
      <c r="A2786" s="68">
        <v>43985</v>
      </c>
      <c r="B2786" s="48">
        <v>10</v>
      </c>
      <c r="C2786" s="48">
        <v>0</v>
      </c>
      <c r="D2786" s="48">
        <v>6</v>
      </c>
      <c r="E2786" s="48" t="s">
        <v>112</v>
      </c>
      <c r="F2786" s="48" t="s">
        <v>70</v>
      </c>
      <c r="G2786" s="48" t="s">
        <v>360</v>
      </c>
      <c r="H2786" s="69">
        <f t="shared" si="43"/>
        <v>43983</v>
      </c>
    </row>
    <row r="2787" spans="1:8" x14ac:dyDescent="0.25">
      <c r="A2787" s="68">
        <v>43985</v>
      </c>
      <c r="B2787" s="48">
        <v>0</v>
      </c>
      <c r="C2787" s="48">
        <v>0</v>
      </c>
      <c r="D2787" s="48">
        <v>0</v>
      </c>
      <c r="E2787" s="48" t="s">
        <v>112</v>
      </c>
      <c r="F2787" s="48" t="s">
        <v>70</v>
      </c>
      <c r="G2787" s="48" t="s">
        <v>407</v>
      </c>
      <c r="H2787" s="69">
        <f t="shared" si="43"/>
        <v>43983</v>
      </c>
    </row>
    <row r="2788" spans="1:8" x14ac:dyDescent="0.25">
      <c r="A2788" s="68">
        <v>43985</v>
      </c>
      <c r="B2788" s="48">
        <v>13</v>
      </c>
      <c r="C2788" s="48">
        <v>0</v>
      </c>
      <c r="D2788" s="48">
        <v>0</v>
      </c>
      <c r="E2788" s="48" t="s">
        <v>112</v>
      </c>
      <c r="F2788" s="48" t="s">
        <v>70</v>
      </c>
      <c r="G2788" s="48" t="s">
        <v>384</v>
      </c>
      <c r="H2788" s="69">
        <f t="shared" si="43"/>
        <v>43983</v>
      </c>
    </row>
    <row r="2789" spans="1:8" x14ac:dyDescent="0.25">
      <c r="A2789" s="68">
        <v>43985</v>
      </c>
      <c r="B2789" s="48">
        <v>8</v>
      </c>
      <c r="C2789" s="48">
        <v>0</v>
      </c>
      <c r="D2789" s="48">
        <v>2</v>
      </c>
      <c r="E2789" s="48" t="s">
        <v>112</v>
      </c>
      <c r="F2789" s="48" t="s">
        <v>70</v>
      </c>
      <c r="G2789" s="48" t="s">
        <v>383</v>
      </c>
      <c r="H2789" s="69">
        <f t="shared" si="43"/>
        <v>43983</v>
      </c>
    </row>
    <row r="2790" spans="1:8" x14ac:dyDescent="0.25">
      <c r="A2790" s="68">
        <v>43985</v>
      </c>
      <c r="B2790" s="48">
        <v>0</v>
      </c>
      <c r="C2790" s="48">
        <v>0</v>
      </c>
      <c r="D2790" s="48">
        <v>0</v>
      </c>
      <c r="E2790" s="48" t="s">
        <v>112</v>
      </c>
      <c r="F2790" s="48" t="s">
        <v>70</v>
      </c>
      <c r="G2790" s="48" t="s">
        <v>414</v>
      </c>
      <c r="H2790" s="69">
        <f t="shared" si="43"/>
        <v>43983</v>
      </c>
    </row>
    <row r="2791" spans="1:8" x14ac:dyDescent="0.25">
      <c r="A2791" s="68">
        <v>43985</v>
      </c>
      <c r="B2791" s="48">
        <v>0</v>
      </c>
      <c r="C2791" s="48">
        <v>0</v>
      </c>
      <c r="D2791" s="48">
        <v>0</v>
      </c>
      <c r="E2791" s="48" t="s">
        <v>112</v>
      </c>
      <c r="F2791" s="48" t="s">
        <v>70</v>
      </c>
      <c r="G2791" s="48" t="s">
        <v>423</v>
      </c>
      <c r="H2791" s="69">
        <f t="shared" si="43"/>
        <v>43983</v>
      </c>
    </row>
    <row r="2792" spans="1:8" x14ac:dyDescent="0.25">
      <c r="A2792" s="68">
        <v>43985</v>
      </c>
      <c r="B2792" s="48">
        <v>24</v>
      </c>
      <c r="C2792" s="48">
        <v>1</v>
      </c>
      <c r="D2792" s="48">
        <v>9</v>
      </c>
      <c r="E2792" s="48" t="s">
        <v>112</v>
      </c>
      <c r="F2792" s="48" t="s">
        <v>70</v>
      </c>
      <c r="G2792" s="48" t="s">
        <v>345</v>
      </c>
      <c r="H2792" s="69">
        <f t="shared" si="43"/>
        <v>43983</v>
      </c>
    </row>
    <row r="2793" spans="1:8" x14ac:dyDescent="0.25">
      <c r="A2793" s="68">
        <v>43985</v>
      </c>
      <c r="B2793" s="48">
        <v>7</v>
      </c>
      <c r="C2793" s="48">
        <v>0</v>
      </c>
      <c r="D2793" s="48">
        <v>4</v>
      </c>
      <c r="E2793" s="48" t="s">
        <v>112</v>
      </c>
      <c r="F2793" s="48" t="s">
        <v>70</v>
      </c>
      <c r="G2793" s="48" t="s">
        <v>367</v>
      </c>
      <c r="H2793" s="69">
        <f t="shared" si="43"/>
        <v>43983</v>
      </c>
    </row>
    <row r="2794" spans="1:8" x14ac:dyDescent="0.25">
      <c r="A2794" s="68">
        <v>43985</v>
      </c>
      <c r="B2794" s="48">
        <v>5</v>
      </c>
      <c r="C2794" s="48">
        <v>0</v>
      </c>
      <c r="D2794" s="48">
        <v>0</v>
      </c>
      <c r="E2794" s="48" t="s">
        <v>112</v>
      </c>
      <c r="F2794" s="48" t="s">
        <v>70</v>
      </c>
      <c r="G2794" s="48" t="s">
        <v>380</v>
      </c>
      <c r="H2794" s="69">
        <f t="shared" si="43"/>
        <v>43983</v>
      </c>
    </row>
    <row r="2795" spans="1:8" x14ac:dyDescent="0.25">
      <c r="A2795" s="68">
        <v>43985</v>
      </c>
      <c r="B2795" s="48">
        <v>1</v>
      </c>
      <c r="C2795" s="48">
        <v>0</v>
      </c>
      <c r="D2795" s="48">
        <v>3</v>
      </c>
      <c r="E2795" s="48" t="s">
        <v>112</v>
      </c>
      <c r="F2795" s="48" t="s">
        <v>76</v>
      </c>
      <c r="G2795" s="48" t="s">
        <v>339</v>
      </c>
      <c r="H2795" s="69">
        <f t="shared" si="43"/>
        <v>43983</v>
      </c>
    </row>
    <row r="2796" spans="1:8" x14ac:dyDescent="0.25">
      <c r="A2796" s="68">
        <v>43985</v>
      </c>
      <c r="B2796" s="48">
        <v>371</v>
      </c>
      <c r="C2796" s="48">
        <v>2</v>
      </c>
      <c r="D2796" s="48">
        <v>288</v>
      </c>
      <c r="E2796" s="48" t="s">
        <v>112</v>
      </c>
      <c r="F2796" s="48" t="s">
        <v>73</v>
      </c>
      <c r="G2796" s="48" t="s">
        <v>93</v>
      </c>
      <c r="H2796" s="69">
        <f t="shared" si="43"/>
        <v>43983</v>
      </c>
    </row>
    <row r="2797" spans="1:8" x14ac:dyDescent="0.25">
      <c r="A2797" s="68">
        <v>43985</v>
      </c>
      <c r="B2797" s="48">
        <v>1615</v>
      </c>
      <c r="C2797" s="48">
        <v>37</v>
      </c>
      <c r="D2797" s="48">
        <v>243</v>
      </c>
      <c r="E2797" s="48" t="s">
        <v>112</v>
      </c>
      <c r="F2797" s="48" t="s">
        <v>71</v>
      </c>
      <c r="G2797" s="48" t="s">
        <v>92</v>
      </c>
      <c r="H2797" s="69">
        <f t="shared" si="43"/>
        <v>43983</v>
      </c>
    </row>
  </sheetData>
  <autoFilter ref="A1:H2797" xr:uid="{00000000-0009-0000-0000-00001B000000}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Daily</vt:lpstr>
      <vt:lpstr>Weekly</vt:lpstr>
      <vt:lpstr>Monthly</vt:lpstr>
      <vt:lpstr>Province</vt:lpstr>
      <vt:lpstr>City</vt:lpstr>
      <vt:lpstr>Travel</vt:lpstr>
      <vt:lpstr>Statistics</vt:lpstr>
      <vt:lpstr>Regression_Excel</vt:lpstr>
      <vt:lpstr>Regression_Charts</vt:lpstr>
      <vt:lpstr>Logistic_Solver</vt:lpstr>
      <vt:lpstr>Clustering_Guide</vt:lpstr>
      <vt:lpstr>City_Agg</vt:lpstr>
      <vt:lpstr>KMeans_Data</vt:lpstr>
      <vt:lpstr>KMeans_City</vt:lpstr>
      <vt:lpstr>Elbow_Silhouette</vt:lpstr>
      <vt:lpstr>Elbow_Engine</vt:lpstr>
      <vt:lpstr>Distance_Matrix</vt:lpstr>
      <vt:lpstr>Province_Agg</vt:lpstr>
      <vt:lpstr>KMeans_Province</vt:lpstr>
      <vt:lpstr>Phase_Data</vt:lpstr>
      <vt:lpstr>KMeans_Phase</vt:lpstr>
      <vt:lpstr>Travel_Data</vt:lpstr>
      <vt:lpstr>KMeans_Travel</vt:lpstr>
      <vt:lpstr>Cluster_Charts</vt:lpstr>
      <vt:lpstr>Chart_Data</vt:lpstr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NLP</cp:lastModifiedBy>
  <cp:revision>1</cp:revision>
  <dcterms:created xsi:type="dcterms:W3CDTF">2026-10-20T04:36:32Z</dcterms:created>
  <dcterms:modified xsi:type="dcterms:W3CDTF">2026-10-20T04:55:21Z</dcterms:modified>
  <dc:language>en-US</dc:language>
</cp:coreProperties>
</file>